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#histcomm" sheetId="1" r:id="rId3"/>
    <sheet state="visible" name="Logs Twitter Archiver" sheetId="2" r:id="rId4"/>
  </sheets>
  <definedNames/>
  <calcPr/>
</workbook>
</file>

<file path=xl/sharedStrings.xml><?xml version="1.0" encoding="utf-8"?>
<sst xmlns="http://schemas.openxmlformats.org/spreadsheetml/2006/main" count="11009" uniqueCount="1945">
  <si>
    <t>Twitter Search Rule: #histcomm</t>
  </si>
  <si>
    <t>User Details</t>
  </si>
  <si>
    <t>Date</t>
  </si>
  <si>
    <t>Screen Name</t>
  </si>
  <si>
    <t>Full Name</t>
  </si>
  <si>
    <t>Tweet Text</t>
  </si>
  <si>
    <t>Tweet ID</t>
  </si>
  <si>
    <t>App</t>
  </si>
  <si>
    <t>Followers</t>
  </si>
  <si>
    <t>Follows</t>
  </si>
  <si>
    <t>Retweets</t>
  </si>
  <si>
    <t>Favorites</t>
  </si>
  <si>
    <t>Verfied</t>
  </si>
  <si>
    <t>User Since</t>
  </si>
  <si>
    <t>Location</t>
  </si>
  <si>
    <t>Bio</t>
  </si>
  <si>
    <t>Profile Image</t>
  </si>
  <si>
    <t>Google Maps</t>
  </si>
  <si>
    <t>UMass History Dept.</t>
  </si>
  <si>
    <t>Looking forward to next week: @rebeccaonion lecture on 3/2 and History Communication event on 3/4 https://t.co/MmI6MtH2wS #histcomm</t>
  </si>
  <si>
    <t>Twuffer</t>
  </si>
  <si>
    <t>No</t>
  </si>
  <si>
    <t>Amherst, MA</t>
  </si>
  <si>
    <t>Dedicated to the idea that understanding the past is essential to a free and enlightened citizenry.</t>
  </si>
  <si>
    <t>Julie Peterson</t>
  </si>
  <si>
    <t>Excited for a week of great events @UMassHistory: Writer in Residence w/ @rebeccaonion, conf. w/ @GHAUmass and #HistComm events w/ @umassph</t>
  </si>
  <si>
    <t>Twitter for iPhone</t>
  </si>
  <si>
    <t>Public History grad student UMass Amherst(@umassph) I study 20th C US, mass incarceration, prison museums. Runner, traveler, museum aficionado, reluctant foodie</t>
  </si>
  <si>
    <t>RT @juliegpeterson: Excited for a week of great events @UMassHistory: Writer in Residence w/ @rebeccaonion, conf. w/ @GHAUmass and #HistCom…</t>
  </si>
  <si>
    <t>Twitter for Windows Phone</t>
  </si>
  <si>
    <t>Umass GHA</t>
  </si>
  <si>
    <t>Twitter Web Client</t>
  </si>
  <si>
    <t>The Graduate History Association is dedicated to building community, facilitating academic progress and offering profesional support to our members.</t>
  </si>
  <si>
    <t>Monica L. Mercado</t>
  </si>
  <si>
    <t>@kelcyshepherd A few events this week @UMassHistory - Rebecca on Weds https://t.co/BT3x5GJZbk &amp; #histcomm Friday! Alas, I'll be in Boston.</t>
  </si>
  <si>
    <t>Philadelphia, PA</t>
  </si>
  <si>
    <t>lady scholar &amp; scholar of ladies | current @BrynMawrCollege @GreenfieldHWE #CLIRpostdoc | @colgateuniv-bound | tweeting #wmnhist #histsex #amrel #archives</t>
  </si>
  <si>
    <t>Jason Steinhauer</t>
  </si>
  <si>
    <t>THIS WEEK we host the first-ever public conversation on history communication. Join us: https://t.co/0GN9MBn6uI #histcomm @UMassHistory</t>
  </si>
  <si>
    <t>Washington, D.C.</t>
  </si>
  <si>
    <t>Creating the field of History Communication. Voice of @KlugeCtr. @TIME contributor. #histcomm advocate. @UMassHistory Fellow. Tweets are my own. #history</t>
  </si>
  <si>
    <t>RT @JasonSteinhauer: THIS WEEK we host the first-ever public conversation on history communication. Join us: https://t.co/0GN9MBn6uI #histc…</t>
  </si>
  <si>
    <t>MK</t>
  </si>
  <si>
    <t>Mobile Web (M5)</t>
  </si>
  <si>
    <t>Former NARA Nixon Presidential Materials Project archivist</t>
  </si>
  <si>
    <t>Marla Miller</t>
  </si>
  <si>
    <t>Also, the Fri #histcomm event is being taped by local public radio &amp; will be on the website. @Kristine_E_Hunt @nicolebelolan @rebeccaonion</t>
  </si>
  <si>
    <t>A #twitterstorian interested in women, work, &amp; #materialculture in the past; #publichistory, poetry &amp; grad training in the present; #craft then &amp; now.</t>
  </si>
  <si>
    <t>If you love history, @UMassAmherst is where to be this week #history #publichistory #histcomm @ncph @AHAhistorians https://t.co/TWhRwWHcEP</t>
  </si>
  <si>
    <t>NCPH</t>
  </si>
  <si>
    <t>RT @JasonSteinhauer: If you love history, @UMassAmherst is where to be this week #history #publichistory #histcomm @ncph @AHAhistorians htt…</t>
  </si>
  <si>
    <t>Indianapolis, IN</t>
  </si>
  <si>
    <t>NCPH advances the field of public history, promoting professionalism among history practitioners and encouraging historians' engagement with the public.</t>
  </si>
  <si>
    <t>Melissa M Alexander</t>
  </si>
  <si>
    <t>How do I condense 5 years of experience &amp; research into a 15 minute #conference presentation? #thestruggleisreal #twitterstorian #histcomm</t>
  </si>
  <si>
    <t>Cincinnati, OH</t>
  </si>
  <si>
    <t>Bourbon historian for @bourbonbanter, History MA student at @uofcincy, renegade #twitterstorian, journeying through history one glass at a time!</t>
  </si>
  <si>
    <t>RT @MarlaAtUmass: Also, the Fri #histcomm event is being taped by local public radio &amp; will be on the website. @Kristine_E_Hunt @nicolebelo…</t>
  </si>
  <si>
    <t>Justin E. Burch</t>
  </si>
  <si>
    <t>The Pioneer Valley, MA</t>
  </si>
  <si>
    <t>Native of the Southern Plains. Chickasaw. Cold War &amp; US IR Historian. Star Trek Fan. Bad Twitterer. Ph.D. Student, The University of Massachusetts, Amherst</t>
  </si>
  <si>
    <t>Adam Matthew</t>
  </si>
  <si>
    <t>Take a look at how we choose to digitise objects with examples from the @V_and_A https://t.co/JLgWrKt9L2 #histcomm https://t.co/kX3b8qCXEc</t>
  </si>
  <si>
    <t>Hootsuite</t>
  </si>
  <si>
    <t>Marlborough, England</t>
  </si>
  <si>
    <t>Publishing unique, award-winning primary source collections from libraries and archives around the world since 1990.</t>
  </si>
  <si>
    <t>Amanda Moniz</t>
  </si>
  <si>
    <t>Looking forward to convos w/ @JasonSteinhauer, @MarlaAtUmass &amp; others at the #HistComm summit later this week! https://t.co/suY5UGua8k</t>
  </si>
  <si>
    <t>Asst director of the National History Center of the American Historical Association. Early American historian, of humanitarianism &amp; of food. Former pastry chef.</t>
  </si>
  <si>
    <t>RT @AmandaMoniz1: Looking forward to convos w/ @JasonSteinhauer, @MarlaAtUmass &amp; others at the #HistComm summit later this week! https://t…</t>
  </si>
  <si>
    <t>Jennie Joyce</t>
  </si>
  <si>
    <t>YES #histcomm #publichistory https://t.co/4NerC0fRGM</t>
  </si>
  <si>
    <t>Buffer</t>
  </si>
  <si>
    <t>New York</t>
  </si>
  <si>
    <t>#PublicHistorian, #HistComm, #MuseumEducator. @NYUGradHistory/@williamandmary alum. Views/opinions mine, RT=/=endorsements. I aspire to be history's Bill Nye.</t>
  </si>
  <si>
    <t>AHA</t>
  </si>
  <si>
    <t>AHA's @JimGrossmanAHA and @AmandaMoniz1 will be there! Looking forward to following #histcomm this week. https://t.co/MDASdI11KG</t>
  </si>
  <si>
    <t>TweetDeck</t>
  </si>
  <si>
    <t>Founded in 1884, the American Historical Association serves the broad field of history. Join today: http://t.co/3HberXqh</t>
  </si>
  <si>
    <t>RT @AHAhistorians: AHA's @JimGrossmanAHA and @AmandaMoniz1 will be there! Looking forward to following #histcomm this week. https://t.co/MD…</t>
  </si>
  <si>
    <t>National History Ctr</t>
  </si>
  <si>
    <t>The NHC is dedicated to the study and teaching of history and the advancement of historical knowledge in academia, business, government, journalism, and more.</t>
  </si>
  <si>
    <t>History Communication in the 21st Century: Fri 3/4 at 7:15pm https://t.co/B0dH0fK0eh #histcomm #twitterstorians https://t.co/ec4xP8UEDi</t>
  </si>
  <si>
    <t>Katie Benoit</t>
  </si>
  <si>
    <t>Looking fwd to #histcomm convos @ UMass - couldn't convince friends this'd be a fun way to spend Fri nite, but it is https://t.co/M6ySpdFKI4</t>
  </si>
  <si>
    <t>Massachusetts</t>
  </si>
  <si>
    <t>I like Sundays, history, and new media.</t>
  </si>
  <si>
    <t>#WIR2016 Many accounts/blogs/sites that communicate history online are problematic b/c content is decontextualized&amp; universalizing #histcomm</t>
  </si>
  <si>
    <t>RT @juliegpeterson: #WIR2016 Many accounts/blogs/sites that communicate history online are problematic b/c content is decontextualized&amp; uni…</t>
  </si>
  <si>
    <t>Liz Loveland</t>
  </si>
  <si>
    <t>metro Boston, Massachusetts US</t>
  </si>
  <si>
    <t>Independent historical/genealogical researcher.Archaeology,maps,ephemera.Writer,gardener,artist,traveler.Some interests: Histories of women,POC,early modern era</t>
  </si>
  <si>
    <t>Nicole Hemmer</t>
  </si>
  <si>
    <t>I am so excited for this. See y’all in Amherst! #twitterstorians #histcomm https://t.co/2DfcuzWsJ5</t>
  </si>
  <si>
    <t>Charlottesville, VA</t>
  </si>
  <si>
    <t>Historian, writer, &amp; host of @pastpresentpod. Visiting Research Assoc, @Miller_Center. Contributing editor, @USNews. Research Assoc, @USSC, @Sydney_Uni.</t>
  </si>
  <si>
    <t>Taylor Stoermer</t>
  </si>
  <si>
    <t>RT @UMassHistory: History Communication in the 21st Century: Fri 3/4 at 7:15pm https://t.co/B0dH0fK0eh #histcomm #twitterstorians https://t…</t>
  </si>
  <si>
    <t>Cambridge, MA &amp; Newport, RI</t>
  </si>
  <si>
    <t>@Harvard GSAS Fellow &amp; Public History Instructor @HarvardEXT Museum Studies; @UVa @JohnsHopkins @TulaneLaw alum; Formerly @ColonialWmsburg @Brown &amp; U.S. Senate.</t>
  </si>
  <si>
    <t>Miller Center</t>
  </si>
  <si>
    <t>We represent. Break a leg @pastpunditry &amp; @edward_l_ayers #histcomm https://t.co/Rwrnk5eVxV</t>
  </si>
  <si>
    <t>Twitter for iPad</t>
  </si>
  <si>
    <t xml:space="preserve">Charlottesville, Va. </t>
  </si>
  <si>
    <t>Based at @UVA, the Miller Center focuses on the presidency, policy and political history.</t>
  </si>
  <si>
    <t>Allison Horrocks</t>
  </si>
  <si>
    <t>Warwick, RI</t>
  </si>
  <si>
    <t>PhD candidate in History @uconn . Loves house museums, desserts, and procedural dramas.</t>
  </si>
  <si>
    <t>RT @pastpunditry: I am so excited for this. See y’all in Amherst! #twitterstorians #histcomm https://t.co/2DfcuzWsJ5</t>
  </si>
  <si>
    <t>Michael Boynton</t>
  </si>
  <si>
    <t>RT @Miller_Center: We represent. Break a leg @pastpunditry &amp; @edward_l_ayers #histcomm https://t.co/Rwrnk5eVxV</t>
  </si>
  <si>
    <t>Virginia Beach, Virginia, USA</t>
  </si>
  <si>
    <t>I am so full of questions and so lacking in answers...I am to leave Earth a better place for having lived -- that quest is never ending</t>
  </si>
  <si>
    <t>Time for more #historyjobs! Great career opps in #history #publichistory #histcomm and #digitalhumanities</t>
  </si>
  <si>
    <t>New on Past@Present: MA student Ryan Dorsey on science &amp; history communication #histcomm https://t.co/WIE8Le2rYH</t>
  </si>
  <si>
    <t>Chelsea R. Miller</t>
  </si>
  <si>
    <t>RT @UMassHistory: New on Past@Present: MA student Ryan Dorsey on science &amp; history communication #histcomm https://t.co/WIE8Le2rYH</t>
  </si>
  <si>
    <t>@mtholyoke '14. @UMassHistory MA Candidate and Communications Assistant. Public history, global history, art, and social justice.</t>
  </si>
  <si>
    <t>John Fea</t>
  </si>
  <si>
    <t>Do you know about the History Relevance Campaign? You should. https://t.co/fxukOALhkg @AASLH #twitterstorians #histcomm @ncph @samwineburg</t>
  </si>
  <si>
    <t>History professor and author at Messiah College. Those of us trying to bring good historical content to Twitter prefer retweets over favorites.</t>
  </si>
  <si>
    <t>UMass Public History</t>
  </si>
  <si>
    <t>Excited for today's arrival of #histcomm summit participants in anticipation of tomorrow's public event: https://t.co/wLbIRDmhJk</t>
  </si>
  <si>
    <t>Since 1986, we've provided a link between the University and the Commonwealth's variety of institutions that preserve and communicate history to the public.</t>
  </si>
  <si>
    <t>Erica Fagen</t>
  </si>
  <si>
    <t>Montréal</t>
  </si>
  <si>
    <t>PhD Candidate @UMassHistory researching modern Europe, Holocaust memory, photography, and digital history. Traveler, Habs fan.</t>
  </si>
  <si>
    <t>Emily Esten</t>
  </si>
  <si>
    <t>RT @umassph: Excited for today's arrival of #histcomm summit participants in anticipation of tomorrow's public event: https://t.co/wLbIRDmh…</t>
  </si>
  <si>
    <t>UMass Amherst</t>
  </si>
  <si>
    <t>History/DH Major. Incurable reader. Proud travel lover. Constantly in search of numen. There's a million things I haven't done, but just you wait.</t>
  </si>
  <si>
    <t>John Dichtl</t>
  </si>
  <si>
    <t>President and CEO of the American Association for State and Local History</t>
  </si>
  <si>
    <t>History Relevance</t>
  </si>
  <si>
    <t>Can't make it to @UMassHistory Friday? Join the conversation on Twitter at 7pm on 3/4! #histcomm #historyrelevance https://t.co/mMnQzSwplE</t>
  </si>
  <si>
    <t>The History Relevance Campaign is a diverse group of history professionals working to make history a necessity.</t>
  </si>
  <si>
    <t>RT @JohnFea1: Do you know about the History Relevance Campaign? You should. https://t.co/fxukOALhkg @AASLH #twitterstorians #histcomm @ncp…</t>
  </si>
  <si>
    <t>ASU Public History</t>
  </si>
  <si>
    <t>Tempe, AZ</t>
  </si>
  <si>
    <t>Public History at Arizona State University.</t>
  </si>
  <si>
    <t>TOMORROW: #histcomm in the 21st Century, 3/4 at 7:15pm, UMass Campus Center https://t.co/B0dH0g1B5P</t>
  </si>
  <si>
    <t>Rebekkah Rubin</t>
  </si>
  <si>
    <t>Looking forward to this! #histcomm https://t.co/6iZ8WWQlGn</t>
  </si>
  <si>
    <t>Northampton, MA</t>
  </si>
  <si>
    <t>Tweets about #publichistory, women's history, Victorian literature, P.G. Wodehouse, and vegan baked goods.</t>
  </si>
  <si>
    <t>Nice story by @diled about our program Friday night https://t.co/BT0fEXnici #histcomm @UMassHistory @umassph</t>
  </si>
  <si>
    <t>Nico Nolden</t>
  </si>
  <si>
    <t>RT @JasonSteinhauer: Nice story by @diled about our program Friday night https://t.co/BT0fEXnici #histcomm @UMassHistory @umassph</t>
  </si>
  <si>
    <t>Twitter for Android</t>
  </si>
  <si>
    <t>Hamburg</t>
  </si>
  <si>
    <t>Aus Archiven zurückgekehrt, um historische Darstellungen im öffentlichen Raum zu untersuchen. Unter anderem Videospiele, ihre Innovationen und deren Geschichte.</t>
  </si>
  <si>
    <t>Been so busy, a reminder to catch up on the #histcomm tweets!</t>
  </si>
  <si>
    <t>Read @diled's piece about History Communication in the 21st Century #histcomm #twitterstorians #publichistory https://t.co/8Cy0CvbWUM</t>
  </si>
  <si>
    <t>How does #history play out in the #digital age? How can #historians reach a broader audience? #histcomm https://t.co/vJpInzfD3U</t>
  </si>
  <si>
    <t>RT @UMassHistory: How does #history play out in the #digital age? How can #historians reach a broader audience? #histcomm https://t.co/vJpI…</t>
  </si>
  <si>
    <t>Joseph M. Adelman</t>
  </si>
  <si>
    <t>Framingham, MA</t>
  </si>
  <si>
    <t>Historian of Atlantic world, business, media. Affiliated with @FraminghamU, @OIEAHC, @thejuntoblog. Tweets reflect my opinion alone; RTs are not endorsements.</t>
  </si>
  <si>
    <t>Samuel J. Redman</t>
  </si>
  <si>
    <t>UMass offering program on history in digital age https://t.co/HpvKpgzavD @umasshistory @umassph #HistComm</t>
  </si>
  <si>
    <t xml:space="preserve">Amherst, MA </t>
  </si>
  <si>
    <t>Historian / Explorer / Educator / Writer @UMasshistory + @umassph +@UMassCHS +@oralhistorylab. Book @BoneRoomsBook - via @Harvard_Press on March 14, 2016.</t>
  </si>
  <si>
    <t>Yuri Gama</t>
  </si>
  <si>
    <t>RT @samueljredman: UMass offering program on history in digital age https://t.co/HpvKpgzavD @umasshistory @umassph #HistComm</t>
  </si>
  <si>
    <t>US/BR</t>
  </si>
  <si>
    <t>Brazilian urban researcher. Investigating the history of cities, social movements, transport, and the intersection of racial segregation and social inequality.</t>
  </si>
  <si>
    <t>Historians can leverage content in many ways. From blogs &amp; infographics to video + more! #historyrelevance #histcomm https://t.co/7BSlUBZIze</t>
  </si>
  <si>
    <t>Stacy Nation-Knapper</t>
  </si>
  <si>
    <t>Usually in Rochester, NY</t>
  </si>
  <si>
    <t>History PhD. Chair, Editorial Committee, Findings/Trouvailles (@champlainsoc). Assistant Director, @ASCatRIT (tweets are my own). Settler. Mom. Goofball.</t>
  </si>
  <si>
    <t>Panther Mountain</t>
  </si>
  <si>
    <t>Caroline bravely faced war and heartbreak in 19th Century Virginia. Now available as an e-book &amp; in paperback on Amazon: https://t.co/aomP3vAXa5</t>
  </si>
  <si>
    <t>Rebecca Ortenberg</t>
  </si>
  <si>
    <t>In which I talk #histSTM, #histcomm, and what working at @ChemHeritage has meant to me https://t.co/1tmDndTuIT</t>
  </si>
  <si>
    <t>History + art communicator, wrangler of academics, pop culture enthusiast, incurable dreamer. Works (and sometimes tweets) @Chemheritage. Views my own.</t>
  </si>
  <si>
    <t>FL Conf Historians</t>
  </si>
  <si>
    <t>Florida</t>
  </si>
  <si>
    <t>The official Twitter page of the Florida Conference of Historians</t>
  </si>
  <si>
    <t>Sonia Nicholson</t>
  </si>
  <si>
    <t>RT @historycampaign: Historians can leverage content in many ways. From blogs &amp; infographics to video + more! #historyrelevance #histcomm h…</t>
  </si>
  <si>
    <t>Victoria, British Columbia</t>
  </si>
  <si>
    <t>A passion for old (archives), new (intelligence), and all the technology in between. Archivist by profession.</t>
  </si>
  <si>
    <t>James Burnes</t>
  </si>
  <si>
    <t>Norman, Oklahoma.</t>
  </si>
  <si>
    <t>Paleontologist, Archaeologist, Author, Archivist, Natural Historian, Capybara rancher, and dentist to Anteaters, Sloths, and Armadillos</t>
  </si>
  <si>
    <t>Kathleen Crowther</t>
  </si>
  <si>
    <t>Norman, OK</t>
  </si>
  <si>
    <t>U of Oklahoma prof interested in medieval/early modern history of the book, history of science, history of medicine, digital history</t>
  </si>
  <si>
    <t>.</t>
  </si>
  <si>
    <t>Las cambiantes formas de la memoria, que está hecha de olvido.' (j.l. borges)</t>
  </si>
  <si>
    <t>Mixed Race Studies</t>
  </si>
  <si>
    <t>Maryland, USA</t>
  </si>
  <si>
    <t>http://t.co/2XZOsCYuns is a non-commercial website created by Steven F. Riley that provides a gateway to scholarship about multiracialism.</t>
  </si>
  <si>
    <t>Just rolled up for the #histcomm conference at UMass-Amherst &amp; have the debate dialed up. Let’s do this. #GOPDebate</t>
  </si>
  <si>
    <t>RT @UMassHistory: TOMORROW: #histcomm in the 21st Century, 3/4 at 7:15pm, UMass Campus Center https://t.co/B0dH0g1B5P</t>
  </si>
  <si>
    <t>Sara Georgini</t>
  </si>
  <si>
    <t>RT @historycampaign: Can't make it to @UMassHistory Friday? Join the conversation on Twitter at 7pm on 3/4! #histcomm #historyrelevance ht…</t>
  </si>
  <si>
    <t>Boston, MA</t>
  </si>
  <si>
    <t>Historian &amp; Editor, The Adams Papers, @MHS1791. Views here are mine, #history for all @thejuntoblog &amp; #USIH. #twitterstorian #editing #BU #DH</t>
  </si>
  <si>
    <t>TreaAndrea</t>
  </si>
  <si>
    <t>New England</t>
  </si>
  <si>
    <t>Dapper professor who writes, aka #AllMyBooks, aka Blackness is Burning and Theorizing Tyler Perry; @SpawnonMe Minister of Style; new media/video games studies.</t>
  </si>
  <si>
    <t>I’m live-tweeting #histcomm, but since the people want a tweet storm on presidential genitalia, I’ve Storified it: https://t.co/MV5fkozUFb</t>
  </si>
  <si>
    <t>Ken Hughes</t>
  </si>
  <si>
    <t>RT @pastpunditry: I’m live-tweeting #histcomm, but since the people want a tweet storm on presidential genitalia, I’ve Storified it: https:…</t>
  </si>
  <si>
    <t>intersection of now and then</t>
  </si>
  <si>
    <t>JFK, LBJ and Nixon Tapes</t>
  </si>
  <si>
    <t>Jonathan Wilson</t>
  </si>
  <si>
    <t>Scranton, Pa.</t>
  </si>
  <si>
    <t>Adjunct prof at @UnivofScranton and @MarywoodU. @thejuntoblog'ist. PhD in #USIH from @MaxwellSU. I study the idea of the nation in antebellum NYC print culture.</t>
  </si>
  <si>
    <t>Kicking off #histcomm with @UMassHistory — so excited about this conference.</t>
  </si>
  <si>
    <t>Julie Golia</t>
  </si>
  <si>
    <t>Getting started at #histcomm summit @UMassHistory - quite a room full of historians!</t>
  </si>
  <si>
    <t>Brooklyn, NY</t>
  </si>
  <si>
    <t>Director of Public History @brooklynhistory. Media and gender historian writing history of advice columns. Co-founder and editor of http://t.co/0PHxc7TGso</t>
  </si>
  <si>
    <t>Awesome graphic recording by Visuals for Change #histcomm https://t.co/O0lN5ZRpci</t>
  </si>
  <si>
    <t>RT @mille24c: Awesome graphic recording by Visuals for Change #histcomm https://t.co/O0lN5ZRpci</t>
  </si>
  <si>
    <t>Lots of impressive folks at this summit! Looking forward to hearing their insights about #histcomm and #publichistory</t>
  </si>
  <si>
    <t>Sad to be missing #histcomm panel @UMassAmherst tonight! Life just wasn't gonna let me get it together to drive up. I'll be stalking online!</t>
  </si>
  <si>
    <t>Outcomes for #histcomm summit include short thought pieces from each participant which will be made public says @JasonSteinhauer</t>
  </si>
  <si>
    <t>RT @JulieThePH: Outcomes for #histcomm summit include short thought pieces from each participant which will be made public says @JasonStein…</t>
  </si>
  <si>
    <t>Graphic notetakers will be recording the conversation to get #histcomm beyond text.</t>
  </si>
  <si>
    <t>How to share results beyond textual - "graphic note takers" will be documenting, participating, challenging #histcomm</t>
  </si>
  <si>
    <t>Looking forward to learning at the #histcomm summit.</t>
  </si>
  <si>
    <t>Finding #1: historians can't draw. Or they identify as people who can't draw #histcomm</t>
  </si>
  <si>
    <t>RT @JulieThePH: Finding #1: historians can't draw. Or they identify as people who can't draw #histcomm</t>
  </si>
  <si>
    <t>Brian Leech</t>
  </si>
  <si>
    <t>Rock Island, IL</t>
  </si>
  <si>
    <t>Historian of environment, American West at Augustana College in Illinois. Researching mining, nuclear power, speed limits, gardens. Soccer! Opinions are my own.</t>
  </si>
  <si>
    <t>Finding #2: historians depict history via stick figures and arrows #histcomm</t>
  </si>
  <si>
    <t>First challenge of the #histcomm summit: draw the importance of history. https://t.co/JNFYbipgVV</t>
  </si>
  <si>
    <t>RT @AmandaMoniz1: First challenge of the #histcomm summit: draw the importance of history. https://t.co/JNFYbipgVV</t>
  </si>
  <si>
    <t>"Draw the importance of history" #histcomm https://t.co/nJHswFXlV8</t>
  </si>
  <si>
    <t>.@JasonSteinhauer likens #histcomm to the movie “Clue,” which: spot-on.</t>
  </si>
  <si>
    <t>RT @mille24c: "Draw the importance of history" #histcomm https://t.co/nJHswFXlV8</t>
  </si>
  <si>
    <t>We're having #histcomm meeting because it's time to put answers to salient questions that have been raised, says @JasonSteinhauer</t>
  </si>
  <si>
    <t>RT @JulieThePH: We're having #histcomm meeting because it's time to put answers to salient questions that have been raised, says @JasonStei…</t>
  </si>
  <si>
    <t>What does a #histcomm graduate course look like? What would you learn? Topics: journalism, social media, editing, film, advocacy, what else?</t>
  </si>
  <si>
    <t>A summer institute on #histcomm? I’m down.</t>
  </si>
  <si>
    <t>RT @JulieThePH: What does a #histcomm graduate course look like? What would you learn? Topics: journalism, social media, editing, film, adv…</t>
  </si>
  <si>
    <t>First question for the #histcomm summit: What is the question, the problem?</t>
  </si>
  <si>
    <t>Another important #histcomm q, says @JasonSteinhauer: is this necessary? Is this covered by initiatives already in existence?</t>
  </si>
  <si>
    <t>.@JasonSteinhauer points out #histcomm is not just about new tech but new modes of knowledge. “Today’s Twitter is tomorrow’s MySpace."</t>
  </si>
  <si>
    <t>What does #histcomm mean technologically, philosophically. Rapid changes in how we communicate, what is authority, multiplicity of formats.</t>
  </si>
  <si>
    <t>RT @JulieThePH: What does #histcomm mean technologically, philosophically. Rapid changes in how we communicate, what is authority, multipli…</t>
  </si>
  <si>
    <t>There are sea changes in communication today. Same was true in the 18th c. We are facing a recurring issue. #histcomm</t>
  </si>
  <si>
    <t>RT @AmandaMoniz1: There are sea changes in communication today. Same was true in the 18th c. We are facing a recurring issue. #histcomm</t>
  </si>
  <si>
    <t>None of the #histcomm questions are new, says @JasonSteinhauer. What's new is the opportunity to build framework, examine, propose new plan.</t>
  </si>
  <si>
    <t>True enough. 18th c. Encyclopedie was a similar challenge. #histcomm https://t.co/eGYhwpAQak</t>
  </si>
  <si>
    <t>#histcomm looks to science communicators to see how they’ve navigated the challenges of audience, technology, authority, etc</t>
  </si>
  <si>
    <t>RT @AmandaMoniz1: True enough. 18th c. Encyclopedie was a similar challenge. #histcomm https://t.co/eGYhwpAQak</t>
  </si>
  <si>
    <t>Tim Lacy</t>
  </si>
  <si>
    <t>Chicago, IL</t>
  </si>
  <si>
    <t>I'm an educator &amp; historian. I blog @ *U.S. Intellectual History* &amp; *Thinking Through History*. My book on the history of the great books idea is linked below.</t>
  </si>
  <si>
    <t>RT @pastpunditry: #histcomm looks to science communicators to see how they’ve navigated the challenges of audience, technology, authority, …</t>
  </si>
  <si>
    <t>🙌 #historyrelevance #histcomm https://t.co/S7CnbVGKEN</t>
  </si>
  <si>
    <t>Stephanie Zvan</t>
  </si>
  <si>
    <t>Minneapolis, MN</t>
  </si>
  <si>
    <t>Writer, blogger, geek and skeptic. Sometimes very silly.</t>
  </si>
  <si>
    <t>.@JimGrossmanAHA: Historians now communicate in every medium that exists. The fact that communication changes isn't new. #histcomm</t>
  </si>
  <si>
    <t>False dichotomy, says @JimGrossmanAHA, between consumption, communication. #histcomm</t>
  </si>
  <si>
    <t>RT @JulieThePH: False dichotomy, says @JimGrossmanAHA, between consumption, communication. #histcomm</t>
  </si>
  <si>
    <t>Also, says @JimGrossmanAHA, let's talk about problems in comparisons of #scicomm and #histcomm</t>
  </si>
  <si>
    <t>In STEM disciplines, they "write it up" when done with research. In #histcomm, we need to teach communication as process - @JimGrossmanAHA</t>
  </si>
  <si>
    <t>There are forms of #histcomm that are more engaged with audiences &amp; others that are less, @rebeccaonion notes.</t>
  </si>
  <si>
    <t>RT @JulieThePH: In STEM disciplines, they "write it up" when done with research. In #histcomm, we need to teach communication as process - …</t>
  </si>
  <si>
    <t>RT @pastpunditry: There are forms of #histcomm that are more engaged with audiences &amp; others that are less, @rebeccaonion notes.</t>
  </si>
  <si>
    <t>Tension, via @rebeccaonion, about community, ongoing #histcomm; short-term "broadcast" #histcomm, the latter being, say, publicity for book.</t>
  </si>
  <si>
    <t>Lindsey Maxwell</t>
  </si>
  <si>
    <t>Historians depict importance of history in drawings. #histcomm https://t.co/cCEdDvkMmV</t>
  </si>
  <si>
    <t>Miami</t>
  </si>
  <si>
    <t>Historian of Religion &amp; Culture in US &amp; ZA | I study Pentecostalism, Fundamentalism, and other isms | PhD Candidate at #FIU</t>
  </si>
  <si>
    <t>Looking forward to #histcomm tonight @UMassHistory &amp; hearing #WIR2016 @rebeccaonion, @JasonSteinhauer, @jamiaw, @JimGrossmanAHA &amp;amp; more!</t>
  </si>
  <si>
    <t>Is a history communicator an advocate? an ambassador? a translator? #histcomm</t>
  </si>
  <si>
    <t>.@JulieThePH suggests “history ambassadors”; @JimGrossmanAHA argues this is a better frame than “history advocates” #histcomm</t>
  </si>
  <si>
    <t>.@JimGrossmanAHA: "An ambassador is someone who listens. An advocate is someone who speaks.” #histcomm</t>
  </si>
  <si>
    <t>#histcomm an advocate speaks, an ambassador listens, says @JimGrossmanAHA</t>
  </si>
  <si>
    <t>RT @JulieThePH: #histcomm an advocate speaks, an ambassador listens, says @JimGrossmanAHA</t>
  </si>
  <si>
    <t>Jim Grossman</t>
  </si>
  <si>
    <t>Washington, DC</t>
  </si>
  <si>
    <t>Historian; Executive Director, American Historical Association (tweets reflect personal, not institutional perspective). #Everythinghasahistory</t>
  </si>
  <si>
    <t>says @mathhistory we have our Neil DeGrasse Tyson - it's Ken Burns #histcomm</t>
  </si>
  <si>
    <t>"Are you a science communicator or a scientist communicator?" @SciencEric asks. Same for #histcomm — history or historian communicator?</t>
  </si>
  <si>
    <t>RT @pastpunditry: "Are you a science communicator or a scientist communicator?" @SciencEric asks. Same for #histcomm — history or historian…</t>
  </si>
  <si>
    <t>U of C Freethinkers</t>
  </si>
  <si>
    <t>University of Calgary</t>
  </si>
  <si>
    <t>Rational thought on the University of Calgary Campus.</t>
  </si>
  <si>
    <t>asks @JimGrossmanAHA, are people reading local papers, op eds, reviews? Historians shouldn't ONLY write for national outlets #histcomm</t>
  </si>
  <si>
    <t>.@JimGrossmanAHA and @jamiaw discussing potential of op-eds in local papers, campus media, etc. Interesting potential there? #histcomm</t>
  </si>
  <si>
    <t>RT @MarlaAtUmass: .@JimGrossmanAHA and @jamiaw discussing potential of op-eds in local papers, campus media, etc. Interesting potential th…</t>
  </si>
  <si>
    <t>historians' articles (reviews,op ed, etc) are read by various publics even if not published in NYT, etc. #ahacareerdiversity #histcomm</t>
  </si>
  <si>
    <t>RT @JimGrossmanAHA: historians' articles (reviews,op ed, etc) are read by various publics even if not published in NYT, etc. #ahacareerdive…</t>
  </si>
  <si>
    <t>We need to move beyond op eds, says @smrobertson3. It is too limited a frame of understanding #histcomm, audience.</t>
  </si>
  <si>
    <t>RT @JulieThePH: We need to move beyond op eds, says @smrobertson3. It is too limited a frame of understanding #histcomm, audience.</t>
  </si>
  <si>
    <t>Jennifer Howard</t>
  </si>
  <si>
    <t>D.C.</t>
  </si>
  <si>
    <t>Writer, journalist, gadabout. Writes fiction and non. Book- and nature-lover. Bylines @TheTLS, @washingtonpost, @chronicle, &amp; more. Directs PR for @abcbirds1.</t>
  </si>
  <si>
    <t>Jennifer McPherson</t>
  </si>
  <si>
    <t xml:space="preserve">Albuquerque, NM </t>
  </si>
  <si>
    <t>PhD Candidate [US/US West, gender, urban, and historian of the PTA]. UNM Proj. Coord. for Career Diversity for Historians. College BBall fan. Opinions my own.</t>
  </si>
  <si>
    <t>Devin Hunter</t>
  </si>
  <si>
    <t>Springfield, IL</t>
  </si>
  <si>
    <t>Assistant Professor of US and Public History, Univ. of Illinois Springfield. In to: liberal and leftist urbanists in Chicago,1955-1975. An Okie.</t>
  </si>
  <si>
    <t>issue here is not either/or.But grad students learning many possibilities of "publication" &amp; how 2 do it . #histcomm https://t.co/SOkgyLcziM</t>
  </si>
  <si>
    <t>Getting to crux at #histcomm summit, which is: what forms of communication/formats best reveal process of history making to wide audience.</t>
  </si>
  <si>
    <t>RT @JulieThePH: Getting to crux at #histcomm summit, which is: what forms of communication/formats best reveal process of history making to…</t>
  </si>
  <si>
    <t>Matt Delmont</t>
  </si>
  <si>
    <t>Hist Prof at ASU. Author of Why Busing Failed (Mar 2016 w/ UC Press), Making Roots (Aug 2016), The Nicest Kids in Town (2012) &amp; https://t.co/wxqwetidgC</t>
  </si>
  <si>
    <t>Key question for #histcomm is audience: who do you want to reach?</t>
  </si>
  <si>
    <t>When talking about broadening audiences remember there are many publics. One can accomplish much w/o reaching everyone. #histcomm</t>
  </si>
  <si>
    <t>RT @JimGrossmanAHA: When talking about broadening audiences remember there are many publics. One can accomplish much w/o reaching everyone.…</t>
  </si>
  <si>
    <t>RT @AmandaMoniz1: Key question for #histcomm is audience: who do you want to reach?</t>
  </si>
  <si>
    <t>Impt points from @pastpunditry about the economics of being a history communicator. How does #histcomm become a financially viable career?</t>
  </si>
  <si>
    <t>Much disc about "entrepreneurial" skills/orientations in thinking about communicating "history." #ahacareerdiversity #histcomm</t>
  </si>
  <si>
    <t>RT @JulieThePH: Impt points from @pastpunditry about the economics of being a history communicator. How does #histcomm become a financially…</t>
  </si>
  <si>
    <t>RT @JimGrossmanAHA: Much disc about "entrepreneurial" skills/orientations in thinking about communicating "history." #ahacareerdiversity #h…</t>
  </si>
  <si>
    <t>Nick Sacco</t>
  </si>
  <si>
    <t>I'm following from afar &amp; probably missing something, but don't get this line. What are we moving towards? #histcomm https://t.co/XEPN8u4Ppb</t>
  </si>
  <si>
    <t>St. Louis, Missouri</t>
  </si>
  <si>
    <t>Public Historian. Park Guide with the National Park Service at @USGrantNPS. Musician. Passionate about history, museums, pedagogy, and sushi.</t>
  </si>
  <si>
    <t>@NickSacco55 Fair enough. My take is: effectively communicating the essential-ness of history to wide audience via multiple medias #histcomm</t>
  </si>
  <si>
    <t>Laura Milsk Fowler</t>
  </si>
  <si>
    <t>St. Louis</t>
  </si>
  <si>
    <t>History Professor whenever there is time for that...</t>
  </si>
  <si>
    <t>jamiaw</t>
  </si>
  <si>
    <t>Borderless</t>
  </si>
  <si>
    <t>Feminist. Movement Builder. Cartwheeler. Storyteller. @womenactmedia executive director. @ROOKIEMag writer. All views are my own. Book me via @FreshSpeakers</t>
  </si>
  <si>
    <t>WAM!</t>
  </si>
  <si>
    <t>Women, Action, and the Media</t>
  </si>
  <si>
    <t>RT @erfagen: Looking forward to #histcomm tonight @UMassHistory &amp; hearing #WIR2016 @rebeccaonion, @JasonSteinhauer, @jamiaw, @JimGrossmanAH…</t>
  </si>
  <si>
    <t>What are graduate students want to do and what we are able to teach them are growing further and further apart, says @smrobertson3 #histcomm</t>
  </si>
  <si>
    <t>RT @pastpunditry: What are graduate students want to do and what we are able to teach them are growing further and further apart, says @smr…</t>
  </si>
  <si>
    <t>Cathy Stanton points out that #histcomm isn’t individual work but about teams &amp; collaboration.</t>
  </si>
  <si>
    <t>RT @LindseyBMaxwell: Historians depict importance of history in drawings. #histcomm https://t.co/cCEdDvkMmV</t>
  </si>
  <si>
    <t>More information from @masslivenews about this evening's event. Please join us! #histcomm https://t.co/YawtWwoT2Q</t>
  </si>
  <si>
    <t>RT @umassph: More information from @masslivenews about this evening's event. Please join us! #histcomm https://t.co/YawtWwoT2Q</t>
  </si>
  <si>
    <t>RT @pastpunditry: Cathy Stanton points out that #histcomm isn’t individual work but about teams &amp; collaboration.</t>
  </si>
  <si>
    <t>I'm mostly just soaking in this great #histcomm conversation on History Communication in 21st Century happening @UMassHistory #UMass</t>
  </si>
  <si>
    <t>Where are we now? #histcomm (visual graphics by Visuals for Change) https://t.co/9Xe7q6ykc8</t>
  </si>
  <si>
    <t>RT @mille24c: Where are we now? #histcomm (visual graphics by Visuals for Change) https://t.co/9Xe7q6ykc8</t>
  </si>
  <si>
    <t>What role do digital and mobile technologies play in reshaping how we think about #histcomm?</t>
  </si>
  <si>
    <t>Emily T.H. Redman</t>
  </si>
  <si>
    <t>I'd like to tweet about our current conversation about #history communication on mobile platforms. Meta. #histcomm</t>
  </si>
  <si>
    <t>Northwestern East Coast</t>
  </si>
  <si>
    <t>I like math, and history, and history of math. (And sandwiches and pelicans.) Asst. Prof. @UMassHistory Dept. via @UCBerkeley. Go MinutemenBears.</t>
  </si>
  <si>
    <t>Conundrum that points to distinction b/tw proficiency &amp; literacy. Latter is lower bar &amp;amp; useful/essential.#histcomm https://t.co/yAgG2ou36R</t>
  </si>
  <si>
    <t>What does a day of communication look like for you? #histcomm (drawing by @MarlaAtUmass) https://t.co/ybubuxEbEO</t>
  </si>
  <si>
    <t>This is considered "artistic" by my historian colleagues... #histcomm https://t.co/lwdOOZ6XdA</t>
  </si>
  <si>
    <t>We just drew our day in communication. Mine: email email email email, w/ brief breaks 4 Twitter, Fb, memos, meetings. But, email. #histcomm</t>
  </si>
  <si>
    <t>NCPH new prof &amp; grad</t>
  </si>
  <si>
    <t>Follow the inspiring #histcomm convo today going on at @UMassHistory!</t>
  </si>
  <si>
    <t>Our committee helps @NCPH consider issues, services, &amp; questions concerning both public historian graduate students &amp; new professionals. http://t.co/L0G9yFr9iJ</t>
  </si>
  <si>
    <t>RT @mathhistory: This is considered "artistic" by my historian colleagues... #histcomm https://t.co/lwdOOZ6XdA</t>
  </si>
  <si>
    <t>RT @mille24c: What does a day of communication look like for you? #histcomm (drawing by @MarlaAtUmass) https://t.co/ybubuxEbEO</t>
  </si>
  <si>
    <t>@JenHoward @smrobertson3 Answer is essentially the goal of the #histcomm summit. Ideas: apps, blogs, podcasts, dig projects, museums, etc.</t>
  </si>
  <si>
    <t>Dude, I may have to steal this "draw your day of #histcomm" idea for @ChemHeritage-related things. https://t.co/cS6KmnBM6P</t>
  </si>
  <si>
    <t>RT @MarlaAtUmass: We just drew our day in communication. Mine: email email email email, w/ brief breaks 4 Twitter, Fb, memos, meetings. But…</t>
  </si>
  <si>
    <t>RT @JimGrossmanAHA: Conundrum that points to distinction b/tw proficiency &amp; literacy. Latter is lower bar &amp;amp; useful/essential.#histcomm http…</t>
  </si>
  <si>
    <t>RT @historein: Dude, I may have to steal this "draw your day of #histcomm" idea for @ChemHeritage-related things. https://t.co/cS6KmnBM6P</t>
  </si>
  <si>
    <t>RT @JimGrossmanAHA: issue here is not either/or.But grad students learning many possibilities of "publication" &amp; how 2 do it . #histcomm ht…</t>
  </si>
  <si>
    <t>Wish I could be there! Time zones are not on my side, so looking forward to reading #histcomm tonight! https://t.co/bu0WClX05P</t>
  </si>
  <si>
    <t>Read Jill Lepore on the relationship between communications revolutions &amp; political revolutions: https://t.co/j1ugnWrAUp #histcomm</t>
  </si>
  <si>
    <t>Key point from @jamiaw: saturation of mobile media can have a silencing effect. Harassment. Prompts reticence to do public work. #histcomm</t>
  </si>
  <si>
    <t>RT @JulieThePH: Key point from @jamiaw: saturation of mobile media can have a silencing effect. Harassment. Prompts reticence to do public …</t>
  </si>
  <si>
    <t>What is the scale of #histcomm? Is the local, hands-on strategy better than a polarized, soundbite-driven national sphere?</t>
  </si>
  <si>
    <t>RT @JulieThePH: What is the scale of #histcomm? Is the local, hands-on strategy better than a polarized, soundbite-driven national sphere?</t>
  </si>
  <si>
    <t>.@SciencEric: primary driver of innovation is not info creation but info obsolescence &amp; internet doesn’t allow info to go obsolete #histcomm</t>
  </si>
  <si>
    <t>Vincent Brown discusses “need for new protocols for making truth claims.” #histcomm</t>
  </si>
  <si>
    <t>Gotham Scholar</t>
  </si>
  <si>
    <t>A.K. Pertilla, historian</t>
  </si>
  <si>
    <t>RT @JulieThePH: @JenHoward @smrobertson3 Answer is essentially the goal of the #histcomm summit. Ideas: apps, blogs, podcasts, dig projects…</t>
  </si>
  <si>
    <t>.@lilyrothman discusses links as an important new form of authority-creation. #histcomm</t>
  </si>
  <si>
    <t>In response, Brown points to Lepore’s piece on the proliferation of broken links: https://t.co/0tsa47ZfXS #histcomm</t>
  </si>
  <si>
    <t>RT @NCPHnewgrad: Follow the inspiring #histcomm convo today going on at @UMassHistory!</t>
  </si>
  <si>
    <t>Lots of wisdom being shared @ #histcomm summit.Participating in @GHAUmass lightning convo tonight &amp; tomorrow's panel https://t.co/fu0qXvAnIj</t>
  </si>
  <si>
    <t>.@smrobertson3 points to @every3minutes as an innovative form of history communicating via twitter. #histcomm</t>
  </si>
  <si>
    <t>We're WAM!ming at #histcomm summit. Participating in @GHAUmass lightning convo tonight &amp; tomorrow's panel. Info: https://t.co/MSMa2PJ8X4</t>
  </si>
  <si>
    <t>RT @JulieThePH: asks @JimGrossmanAHA, are people reading local papers, op eds, reviews? Historians shouldn't ONLY write for national outlet…</t>
  </si>
  <si>
    <t>.@samueljredman points to the serious problem of lack of access to databases, etc., outside the university context. #histcomm</t>
  </si>
  <si>
    <t>.@JasonSteinhauer asks, to what extent does digitization confer authority in museum settings? #histcomm</t>
  </si>
  <si>
    <t>RT @pastpunditry: .@samueljredman points to the serious problem of lack of access to databases, etc., outside the university context. #hist…</t>
  </si>
  <si>
    <t>RT @pastpunditry: .@JasonSteinhauer asks, to what extent does digitization confer authority in museum settings? #histcomm</t>
  </si>
  <si>
    <t>RT @pastpunditry: .@smrobertson3 points to @every3minutes as an innovative form of history communicating via twitter. #histcomm</t>
  </si>
  <si>
    <t>Brown points to the current expectation that museums of places of multiple types of access: physical, digital, aural, etc. #histcomm</t>
  </si>
  <si>
    <t>But then counters that given the move to mindfulness, we may see ashift back to museums as places of just being physically present #histcomm</t>
  </si>
  <si>
    <t>.@SciencEric asks whether authority is emergent from the technology system itself, rather than coming from just one place. #histcomm</t>
  </si>
  <si>
    <t>.@jamiaw asks about corralling the “Beyonce effect” — popularity can confer authority, so may be worth leveraging the popular. #histcomm</t>
  </si>
  <si>
    <t>Ansley Erickson</t>
  </si>
  <si>
    <t>Loving the digital humanities/public history mash-up in my TL at #histcomm + #humanitiesvis Thx to @pastpunditry @JulieThePH @miriamkp</t>
  </si>
  <si>
    <t>New York, NY</t>
  </si>
  <si>
    <t>US cities, schools, and inequality, historically. Nashville: Making the Unequal Metropolis (UChicago, 2016). Harlem: collaborative work in progress. DH-curious.</t>
  </si>
  <si>
    <t>RT @ATErickson: Loving the digital humanities/public history mash-up in my TL at #histcomm + #humanitiesvis Thx to @pastpunditry @JulieTheP…</t>
  </si>
  <si>
    <t>Leah Wright Rigueur</t>
  </si>
  <si>
    <t>Echofon</t>
  </si>
  <si>
    <t>Cambridge, MA</t>
  </si>
  <si>
    <t>Assistant Professor at the Harvard Kennedy School II Author of The Loneliness of the Black Republican: https://t.co/aD1MF8eBHG (PUP 2015)</t>
  </si>
  <si>
    <t>Debate breaks out about curation vs editing. #histcomm</t>
  </si>
  <si>
    <t>.@rebeccaonion points to curation as something visible vs something legible. #histcomm</t>
  </si>
  <si>
    <t>Fascinating convo on the role of celebrity as booster, curator, editor for history-focused institutions. #histcomm</t>
  </si>
  <si>
    <t>RT @JulieThePH: Fascinating convo on the role of celebrity as booster, curator, editor for history-focused institutions. #histcomm</t>
  </si>
  <si>
    <t>.@rebeccaonion notes the importance of “bridge figures” to shape (curate!) scholarship &amp; ideas for different public audiences. #histcomm</t>
  </si>
  <si>
    <t>And the significant staff/human labor that takes to court and manage that. #histcomm</t>
  </si>
  <si>
    <t>.@rebeccaonion proposes "bridge figures;" 1 of best arguments for #histcomm as an arena is that staying abreast of culture is a lot of work</t>
  </si>
  <si>
    <t>Christian Ostermann speaks to the role of communicating to policymakers, a vital part of his work at @TheWilsonCenter #histcomm</t>
  </si>
  <si>
    <t>RT @mathhistory: I'd like to tweet about our current conversation about #history communication on mobile platforms. Meta. #histcomm</t>
  </si>
  <si>
    <t>For my own part, I thought a lot w/ students about mobile experiences writing blog posts for the Smithsonian. Who reads this? How? #histcomm</t>
  </si>
  <si>
    <t>RT @pastpunditry: .@rebeccaonion notes the importance of “bridge figures” to shape (curate!) scholarship &amp; ideas for different public audie…</t>
  </si>
  <si>
    <t>RT @samueljredman: For my own part, I thought a lot w/ students about mobile experiences writing blog posts for the Smithsonian. Who reads …</t>
  </si>
  <si>
    <t>A Smithsonian colleague did a thought experiment w out students asking them to imagine person reading their phone on the train. #histcomm</t>
  </si>
  <si>
    <t>.@AmandaMoniz1 points to the many federal historians &amp; asks whether there’s a #histcomm problem or problem of recognizing existing #histcomm</t>
  </si>
  <si>
    <t>#histcomm summit examining the ( rapidly changing) nature of authority in the digital age https://t.co/l7icyqNovi</t>
  </si>
  <si>
    <t>RT @pastpunditry: .@jamiaw asks about corralling the “Beyonce effect” — popularity can confer authority, so may be worth leveraging the pop…</t>
  </si>
  <si>
    <t>RT @pastpunditry: Christian Ostermann speaks to the role of communicating to policymakers, a vital part of his work at @TheWilsonCenter #hi…</t>
  </si>
  <si>
    <t>RT @MarlaAtUmass: .@rebeccaonion proposes "bridge figures;" 1 of best arguments for #histcomm as an arena is that staying abreast of cultur…</t>
  </si>
  <si>
    <t>RT @womenactmedia: We're WAM!ming at #histcomm summit. Participating in @GHAUmass lightning convo tonight &amp; tomorrow's panel. Info: https:/…</t>
  </si>
  <si>
    <t>RT @jamiaw: Lots of wisdom being shared @ #histcomm summit.Participating in @GHAUmass lightning convo tonight &amp; tomorrow's panel https://t.…</t>
  </si>
  <si>
    <t>RT @pastpunditry: Debate breaks out about curation vs editing. #histcomm</t>
  </si>
  <si>
    <t>A hashtag I'm keeping an eye on: #histcomm, from a confab on history communication in the 21st c. taking place at @UMassHistory today.</t>
  </si>
  <si>
    <t>RT @jamiaw: #histcomm summit examining the ( rapidly changing) nature of authority in the digital age https://t.co/l7icyqNovi</t>
  </si>
  <si>
    <t>Sarah Russo</t>
  </si>
  <si>
    <t>RT @JenHoward: A hashtag I'm keeping an eye on: #histcomm, from a confab on history communication in the 21st c. taking place at @UMassHist…</t>
  </si>
  <si>
    <t>Brooklyn</t>
  </si>
  <si>
    <t>publicist (working with @Karl_Jacoby, Dave Kilcullen, @harveyjkaye, Metabook for @WallyLambAuthor, @BookCritics), Interim Director of Publicity @OUPAcademic.</t>
  </si>
  <si>
    <t>.@JimGrossmanAHA points to the desire of members of Congress to borrow historical authority to shore up their arguments. #histcomm</t>
  </si>
  <si>
    <t>RT @pastpunditry: In response, Brown points to Lepore’s piece on the proliferation of broken links: https://t.co/0tsa47ZfXS #histcomm</t>
  </si>
  <si>
    <t>RT @pastpunditry: .@JimGrossmanAHA points to the desire of members of Congress to borrow historical authority to shore up their arguments. …</t>
  </si>
  <si>
    <t>Beth</t>
  </si>
  <si>
    <t>New Orleans</t>
  </si>
  <si>
    <t>New Orleanian by choice</t>
  </si>
  <si>
    <t>RT @pastpunditry: .@AmandaMoniz1 points to the many federal historians &amp; asks whether there’s a #histcomm problem or problem of recognizing…</t>
  </si>
  <si>
    <t>Debate over the importance of timeliness vs timelessness in communicating to a public audience. #histcomm</t>
  </si>
  <si>
    <t>Need to remember what brought us to our research in the first place. Don't squeeze your research into clickbait headline #histcomm</t>
  </si>
  <si>
    <t>RT @JulieThePH: Need to remember what brought us to our research in the first place. Don't squeeze your research into clickbait headline #h…</t>
  </si>
  <si>
    <t>.@YAppelbaum urges historians not to try to be journalists, but play to strengths &amp; tell a compelling story w/ staying power. #histcomm</t>
  </si>
  <si>
    <t>RT @AmandaMoniz1: .@YAppelbaum urges historians not to try to be journalists, but play to strengths &amp; tell a compelling story w/ staying po…</t>
  </si>
  <si>
    <t>How do scholars get their work "out there?" Follow #histcomm https://t.co/cOZXf6JwPP</t>
  </si>
  <si>
    <t>Presidential Studies</t>
  </si>
  <si>
    <t>RT @Miller_Center: How do scholars get their work "out there?" Follow #histcomm https://t.co/cOZXf6JwPP</t>
  </si>
  <si>
    <t>Charlottesville VA</t>
  </si>
  <si>
    <t>Presidential Studies, at @UVA's @Miller_Center, is the preeminent resource for research, scholarship, and education on the U.S. presidency.</t>
  </si>
  <si>
    <t>Must embrace fact that Google search is everyone's place to start. Public's Google question different than the historian's #histcomm</t>
  </si>
  <si>
    <t>RT @JulieThePH: Must embrace fact that Google search is everyone's place to start. Public's Google question different than the historian's …</t>
  </si>
  <si>
    <t>I asked the journalists in the room about the challenge of making work "timely" in a rapidly changing news cycle. #histcomm</t>
  </si>
  <si>
    <t>RT @samueljredman: I asked the journalists in the room about the challenge of making work "timely" in a rapidly changing news cycle. #histc…</t>
  </si>
  <si>
    <t>In 2011, inspiration struck when Newt Gingrich said something silly connecting to my oral history work - https://t.co/OABCjJ9slg #histcomm</t>
  </si>
  <si>
    <t>Shout out to @livingnewdeal #histcomm</t>
  </si>
  <si>
    <t>Melissa J. Gismondi</t>
  </si>
  <si>
    <t>@UVA PhD candidate writing about Andrew Jackson's wife &amp; Native American warfare; Researcher &amp; writer @BackStoryRadio; @uvapress digital editor; @McGillU alum</t>
  </si>
  <si>
    <t>Paige Roberts</t>
  </si>
  <si>
    <t>Interesting tweets today on how historians communicate with the public(s) at @UMassHistory #publichistory #histcomm</t>
  </si>
  <si>
    <t>New England, USA</t>
  </si>
  <si>
    <t>I'm a public historian, archivist (@phillipsacademy) and aspiring poet when I'm not swimming or hiking. #altac #openglam #digitalhumanities</t>
  </si>
  <si>
    <t>Lunch break @ #histcomm. Here are some pix from Visuals for Change. Love this work. https://t.co/B19a1T9VTX</t>
  </si>
  <si>
    <t>iOS</t>
  </si>
  <si>
    <t>From #histcomm convo re op-eds https://t.co/aqJPAXKINK</t>
  </si>
  <si>
    <t>#histcomm and quantum tunnels! https://t.co/elvnoQFCCU</t>
  </si>
  <si>
    <t>#histcomm and the #nationalparks! https://t.co/Pu1O9zpSB0</t>
  </si>
  <si>
    <t>#histcomm &amp; curation https://t.co/LrgFhJH7dq</t>
  </si>
  <si>
    <t>#histcomm in mobile environments: our morning topic. https://t.co/uYNUbSFCvX</t>
  </si>
  <si>
    <t>RT @MarlaAtUmass: #histcomm &amp; curation https://t.co/LrgFhJH7dq</t>
  </si>
  <si>
    <t>Jason Heppler</t>
  </si>
  <si>
    <t>Fantastic stuff coming out of #histcomm today. Thanks for the live tweets!</t>
  </si>
  <si>
    <t>Tweetbot for iΟS</t>
  </si>
  <si>
    <t>San Jose, Calif.</t>
  </si>
  <si>
    <t>Historian of 20c North American Wests, #envhist, #dighist, #publichistory | @StanfordHistory and @CESTA_Stanford. Co-host, @firstdraftcast and @_overanalyze.</t>
  </si>
  <si>
    <t>Amanda Lyons</t>
  </si>
  <si>
    <t>Capturing awesome conversation on #histcomm &amp; beyond today...appreciating the tension of physical &amp;amp; digital spaces https://t.co/mLhVVIdfTI</t>
  </si>
  <si>
    <t>(Co)Creating visuals to engage, collaborate &amp; revitalize as a facilitating consultant with VISUALS for CHANGE. Living via experiential education every day.</t>
  </si>
  <si>
    <t>Sarah Austin</t>
  </si>
  <si>
    <t>Colorado Springs, CO</t>
  </si>
  <si>
    <t>Amazing. #histcomm https://t.co/v80tkJfQhX</t>
  </si>
  <si>
    <t>Oh the paywall... there's so much to be said about access... in the #histcomm world &amp; many others! https://t.co/mVexnKSEOT</t>
  </si>
  <si>
    <t>RT @MarlaAtUmass: #histcomm in mobile environments: our morning topic. https://t.co/uYNUbSFCvX</t>
  </si>
  <si>
    <t>RT @MarlaAtUmass: Lunch break @ #histcomm. Here are some pix from Visuals for Change. Love this work. https://t.co/B19a1T9VTX</t>
  </si>
  <si>
    <t>E.Berry Drago</t>
  </si>
  <si>
    <t>PhD candidate in Art History @UDelaware and Public History Fellow @chemheritage. Connecting early modern art, alchemy, and discovery. All views my own.</t>
  </si>
  <si>
    <t>RT @amanda_lyons: Oh the paywall... there's so much to be said about access... in the #histcomm world &amp; many others! https://t.co/mVexnKSEOT</t>
  </si>
  <si>
    <t>Really enjoying #histcomm twitter dialogue @UMassHistory today. Timely for museum team @ChemHeritage, it's today's reading group topic also!</t>
  </si>
  <si>
    <t>The map of history and how it gets communicated today #histcomm https://t.co/Ra1w5SgI8U</t>
  </si>
  <si>
    <t>Charlottesville Dems</t>
  </si>
  <si>
    <t>We are the Charlottesville Democratic Party.</t>
  </si>
  <si>
    <t>Zachary Lewis</t>
  </si>
  <si>
    <t>RT @JasonSteinhauer: The map of history and how it gets communicated today #histcomm https://t.co/Ra1w5SgI8U</t>
  </si>
  <si>
    <t>Historian in training @WingateUniv | If you can't find me, it's probably a 404 error. Check your URL.</t>
  </si>
  <si>
    <t>The (digital) mobile phenomenon: where we communicate impacts how we communicate #histcomm https://t.co/Yf9aLd0PQS</t>
  </si>
  <si>
    <t>Love seeing this concept mapped out! Kudos to the illustrator @JasonSteinhauer #histcomm #historyrelevance https://t.co/5QR95aogYY</t>
  </si>
  <si>
    <t>RT @MarlaAtUmass: From #histcomm convo re op-eds https://t.co/aqJPAXKINK</t>
  </si>
  <si>
    <t>RT @mille24c: The (digital) mobile phenomenon: where we communicate impacts how we communicate #histcomm https://t.co/Yf9aLd0PQS</t>
  </si>
  <si>
    <t>RT @MarlaAtUmass: #histcomm and quantum tunnels! https://t.co/elvnoQFCCU</t>
  </si>
  <si>
    <t>RT @MarlaAtUmass: #histcomm and the #nationalparks! https://t.co/Pu1O9zpSB0</t>
  </si>
  <si>
    <t>RT @amanda_lyons: Capturing awesome conversation on #histcomm &amp; beyond today...appreciating the tension of physical &amp;amp; digital spaces https:…</t>
  </si>
  <si>
    <t>Wholly endorsing @JasonSteinhauer 's endorsement of @rebeccaonion as a consummate history communicator #histcomm</t>
  </si>
  <si>
    <t>The spotlight turns on @rebeccaonion to discuss truth, lies, clicks &amp; shares, who was Writer in Residence this wk at @UMassAmherst #histcomm</t>
  </si>
  <si>
    <t>RT @JulieThePH: Wholly endorsing @JasonSteinhauer 's endorsement of @rebeccaonion as a consummate history communicator #histcomm</t>
  </si>
  <si>
    <t>RT @pastpunditry: The spotlight turns on @rebeccaonion to discuss truth, lies, clicks &amp; shares, who was Writer in Residence this wk at @UMa…</t>
  </si>
  <si>
    <t>RT @historycampaign: Love seeing this concept mapped out! Kudos to the illustrator @JasonSteinhauer #histcomm #historyrelevance https://t.…</t>
  </si>
  <si>
    <t>.@rebeccaonion shares her lecture on places on the web where history happens outside of traditional history/historian spaces. #histcomm</t>
  </si>
  <si>
    <t>Listening to @rebeccaonion speak to #histcomm about history on the web. #twitterstorians</t>
  </si>
  <si>
    <t>Loving @rebeccaonion on the history of history on the web. Especially the enduring lie of pizza-eating suffragettes. #histcomm</t>
  </si>
  <si>
    <t>.@rebeccaonion talks about the problems of accuracy, coolness, reliability, and exploitation in popular history. #histcomm</t>
  </si>
  <si>
    <t>RT @JulieThePH: Loving @rebeccaonion on the history of history on the web. Especially the enduring lie of pizza-eating suffragettes. #histc…</t>
  </si>
  <si>
    <t>Getting a quick recap of @rebeccaonion's Wed talk, incl the many postings (real/fake) of this fab photo: https://t.co/34MmObk9NU #histcomm</t>
  </si>
  <si>
    <t>Read @rebeccaonion’s take-down of @HistoryInPics from 2014: https://t.co/Hmo2sosDVm #histcomm</t>
  </si>
  <si>
    <t>RT @MarlaAtUmass: Getting a quick recap of @rebeccaonion's Wed talk, incl the many postings (real/fake) of this fab photo: https://t.co/34M…</t>
  </si>
  <si>
    <t>History on the web filled with pitfalls. Potential for wrongness, decontextualization, contemporary reflecting, exploitation #histcomm</t>
  </si>
  <si>
    <t>RT @pastpunditry: Read @rebeccaonion’s take-down of @HistoryInPics from 2014: https://t.co/Hmo2sosDVm #histcomm</t>
  </si>
  <si>
    <t>.@rebeccaonion's talk on Truth, Lies, Clicks &amp; Shares unearths truth about viral pizza suffragists photo https://t.co/RcZJrQcVt8 #histcomm</t>
  </si>
  <si>
    <t>Hugely bummed to be missing @rebeccaonion's talk. Following here, and champing at the bit to watch the day's video! #histcomm</t>
  </si>
  <si>
    <t>RT @jamiaw: .@rebeccaonion's talk on Truth, Lies, Clicks &amp; Shares unearths truth about viral pizza suffragists photo https://t.co/RcZJrQcVt…</t>
  </si>
  <si>
    <t>Clio History App</t>
  </si>
  <si>
    <t>United States</t>
  </si>
  <si>
    <t>Website &amp; mobile app connecting users to nearby history. Free for all, new entries daily by growing network of contributors and editors. Tweets by @DTrowbridge7</t>
  </si>
  <si>
    <t>Ben Gammon</t>
  </si>
  <si>
    <t>Consultant specialising in audience research, informal learning &amp; museum interpretation. Tweeting about evaluation, heritage, science &amp; museums</t>
  </si>
  <si>
    <t>.@rebeccaonion calls our attention to the amazing satire account @WowHistoryPics that sends up error-ridden history pics online. #histcomm</t>
  </si>
  <si>
    <t>#histcomm - amusing parody account teases poorly cited, fake history picture accounts on Twitter. Toast w captions. https://t.co/SauCQDFQbO</t>
  </si>
  <si>
    <t>RT @samueljredman: #histcomm - amusing parody account teases poorly cited, fake history picture accounts on Twitter. Toast w captions. http…</t>
  </si>
  <si>
    <t>Terry Stigers</t>
  </si>
  <si>
    <t>Earth</t>
  </si>
  <si>
    <t>My weltschmerz is acting up.</t>
  </si>
  <si>
    <t>RT @pastpunditry: .@rebeccaonion calls our attention to the amazing satire account @WowHistoryPics that sends up error-ridden history pics …</t>
  </si>
  <si>
    <t>Accuracy and inaccuracy is only the start when it comes to doing history on the web, says @rebeccaonion, pointing to Rocket Cats. #histcomm</t>
  </si>
  <si>
    <t>Context: https://t.co/lmXP8IHzi9 #histcomm</t>
  </si>
  <si>
    <t>Will Stoutamire</t>
  </si>
  <si>
    <t>Kearney, NE</t>
  </si>
  <si>
    <t>Director @frankhouseunk and Affiliated Faculty @UNKearney | Public Historian | Western Historian | Preservationist | Backpacker | Tweets my own.</t>
  </si>
  <si>
    <t>.@rebeccaonion is reminding me of a prof's onetime comment that many students see only two historical periods: then, and now. #histcomm</t>
  </si>
  <si>
    <t>RT @MarlaAtUmass: .@rebeccaonion is reminding me of a prof's onetime comment that many students see only two historical periods: then, and …</t>
  </si>
  <si>
    <t>Read @rebeccaonion on the Internet’s idea of history for On Letters of Note: https://t.co/aTKGrkavuu #histcomm</t>
  </si>
  <si>
    <t>RT @pastpunditry: Accuracy and inaccuracy is only the start when it comes to doing history on the web, says @rebeccaonion, pointing to Rock…</t>
  </si>
  <si>
    <t>Read @rebeccaonion on exploitation through historical photos: https://t.co/de1fzv7zeh #histcomm</t>
  </si>
  <si>
    <t>Perhaps little different from politicians who toss around references to how things "used to be" #histcomm https://t.co/MWKknUpz3e</t>
  </si>
  <si>
    <t>RT @JimGrossmanAHA: Perhaps little different from politicians who toss around references to how things "used to be" #histcomm https://t.co…</t>
  </si>
  <si>
    <t>RT @pastpunditry: Read @rebeccaonion on exploitation through historical photos: https://t.co/de1fzv7zeh #histcomm</t>
  </si>
  <si>
    <t>Bone Rooms</t>
  </si>
  <si>
    <t>Bone Rooms: From Scientific Racism to Human Prehistory in Museums. Forthcoming from Harvard University Press - March 14, 2016. Author: @samueljredman</t>
  </si>
  <si>
    <t>Intriguing technique of putting a digital veil over difficult images--asks viewers to pause, if only briefly, before viewing. #histcomm</t>
  </si>
  <si>
    <t>RT @MarlaAtUmass: Intriguing technique of putting a digital veil over difficult images--asks viewers to pause, if only briefly, before view…</t>
  </si>
  <si>
    <t>Carl Robert Keyes</t>
  </si>
  <si>
    <t>Worcester, MA</t>
  </si>
  <si>
    <t>Assoc Prof History @ Assumption Coll; Reading Room Regular @ American Antiquarian Society; 18th-c Advertising &amp; Ephemera Enthusiast; Daily #Adverts250 Update</t>
  </si>
  <si>
    <t>Today #histcomm @rebeccaonion introduced me to this: https://t.co/TDoFRLeRAE #howtohugjamesmadison</t>
  </si>
  <si>
    <t>This. Everyone go look at this. #histcomm https://t.co/TMztsRvlzq</t>
  </si>
  <si>
    <t>&lt; shameless plug &gt; @MedievalRobots explains the Rocket Cat: https://t.co/93eU6aaDRU &amp;lt; /shameless plug &amp;gt; #histcomm https://t.co/uRf4f6sjGh</t>
  </si>
  <si>
    <t>RT @historein: &lt; shameless plug &gt; @MedievalRobots explains the Rocket Cat: https://t.co/93eU6aaDRU &amp;lt; /shameless plug &amp;gt; #histcomm https://…</t>
  </si>
  <si>
    <t>.@smrobertson3 proposing that we regret lack of context in online history, but for many, that lack of context is what's appealing. #histcomm</t>
  </si>
  <si>
    <t>Caitlin M Gale</t>
  </si>
  <si>
    <t>RT @JulieThePH: Today #histcomm @rebeccaonion introduced me to this: https://t.co/TDoFRLeRAE #howtohugjamesmadison</t>
  </si>
  <si>
    <t>PhD, @OxfordHistory. Navies, Piracy, Diplomacy, Slavery, the Mediterranean, Islam, &amp; Africa. Contains feminism, fangirling, &amp; general bitching.</t>
  </si>
  <si>
    <t>RT @MarlaAtUmass: .@smrobertson3 proposing that we regret lack of context in online history, but for many, that lack of context is what's a…</t>
  </si>
  <si>
    <t>Vince Brown notes — rightly — that @rebeccaonion has a very cool job. Calls her “a historical ethicist.” #histcomm</t>
  </si>
  <si>
    <t>Hey @rebeccaonion, do you think the job title Historical Ethicist comes with a pay raise? I say work that angle. #histcomm</t>
  </si>
  <si>
    <t>RT @mathhistory: Hey @rebeccaonion, do you think the job title Historical Ethicist comes with a pay raise? I say work that angle. #histcomm</t>
  </si>
  <si>
    <t>.@lilyrothman and @smrobertson3 underscoring how much people want history to be malleable, adaptable. #histcomm</t>
  </si>
  <si>
    <t>RT @pastpunditry: Vince Brown notes — rightly — that @rebeccaonion has a very cool job. Calls her “a historical ethicist.” #histcomm</t>
  </si>
  <si>
    <t>.@rebeccaonion distinguishes between joyful &amp; joking approaches to history, as a way of responding to charges of humorlessness. #histcomm</t>
  </si>
  <si>
    <t>RT @MarlaAtUmass: .@lilyrothman and @smrobertson3 underscoring how much people want history to be malleable, adaptable. #histcomm</t>
  </si>
  <si>
    <t>Interesting also b/c raises question of why we generally don't teach ethics in grad school #histcomm https://t.co/UzlU5G3kpy</t>
  </si>
  <si>
    <t>A course on the ethics of doing history would be fascinating. #histcomm https://t.co/b2up1MbcB4</t>
  </si>
  <si>
    <t>RT @JimGrossmanAHA: Interesting also b/c raises question of why we generally don't teach ethics in grad school #histcomm https://t.co/UzlU…</t>
  </si>
  <si>
    <t>Leila A. McNeill</t>
  </si>
  <si>
    <t>history of science &amp; cultural criticism writer, violence prevention educator, feminist as hell, curmudgeon I Editor: https://t.co/6Vt28Yjrho</t>
  </si>
  <si>
    <t>.@SciencEric draws a parallel between @HistoryInPics and @IFLScience. #histcomm</t>
  </si>
  <si>
    <t>M. A. Kruger</t>
  </si>
  <si>
    <t>RT @pastpunditry: .@rebeccaonion distinguishes between joyful &amp; joking approaches to history, as a way of responding to charges of humorles…</t>
  </si>
  <si>
    <t>Omaha, NE</t>
  </si>
  <si>
    <t>Late blooming political scientist &amp; historian, Net engineer, programmer, technology expert, bad speler, consultant and business owner. https://t.co/ep1wTjlYUm</t>
  </si>
  <si>
    <t>RT @pastpunditry: .@SciencEric draws a parallel between @HistoryInPics and @IFLScience. #histcomm</t>
  </si>
  <si>
    <t>B Zepeda</t>
  </si>
  <si>
    <t>Bethlehem, PA</t>
  </si>
  <si>
    <t>Assistant Professor of #history at Lehigh University / #corruption / reform in #LatinAmerica / #SpanishEmpire/ #PuertoRican Nationalism / Colmex / UC San Diego</t>
  </si>
  <si>
    <t>Reminder from @JulioCapoJr to distinguish b/w low stakes &amp; high stakes misinformation. Some things matter &gt; others. #histcomm</t>
  </si>
  <si>
    <t>RT @MarlaAtUmass: Reminder from @JulioCapoJr to distinguish b/w low stakes &amp; high stakes misinformation. Some things matter &gt; others. #hist…</t>
  </si>
  <si>
    <t>Can historians be funny? asks @JasonSteinhauer. Should they be? #histcomm</t>
  </si>
  <si>
    <t>.@edward_l_ayers points to Drunk History as a playful space that relies on historical knowledge for the joke. #histcomm</t>
  </si>
  <si>
    <t>Audra J. Wolfe</t>
  </si>
  <si>
    <t>Writer, Editor, Historian. Author of Competing with the Soviets. Bylines for @slate, @theatlantic, @belt_magazine, @sciencemagazine, &amp; more. ❤️‍≠ actual affect.</t>
  </si>
  <si>
    <t>But @JimGrossmanAHA is strongly anti Drunk History, on both an ethical and historical level. #histcomm</t>
  </si>
  <si>
    <t>Marking the time: 1st reference to "Drunk History" is 3:15, by @edward_l_ayers. Part of convo re: possibilities/limits of humor. #histcomm</t>
  </si>
  <si>
    <t>Useful caution from @JimGrossmanAHA that too often, our sense of the "line" b/w OK/not OK is just what we agree with. #histcomm</t>
  </si>
  <si>
    <t>.@JimGrossmanAHA notes the ethical line on how flexible we can be with historical accuracy often is drawn at “what I agree with.” #histcomm</t>
  </si>
  <si>
    <t>RT @MarlaAtUmass: Marking the time: 1st reference to "Drunk History" is 3:15, by @edward_l_ayers. Part of convo re: possibilities/limits o…</t>
  </si>
  <si>
    <t>RT @MarlaAtUmass: Useful caution from @JimGrossmanAHA that too often, our sense of the "line" b/w OK/not OK is just what we agree with. #hi…</t>
  </si>
  <si>
    <t>Should the AHA do a history fact-check for journalism? Journalists are split on the idea, reports @JimGrossmanAHA #histcomm</t>
  </si>
  <si>
    <t>RT @pastpunditry: Should the AHA do a history fact-check for journalism? Journalists are split on the idea, reports @JimGrossmanAHA #histco…</t>
  </si>
  <si>
    <t>Cathy Stanton notes that the debate over whether to police history in popular culture is in the DNA of the historical profession. #histcomm</t>
  </si>
  <si>
    <t>Should historians focus more on teaching historical content or what it is historians do and how they think? #histcomm</t>
  </si>
  <si>
    <t>RT @samueljredman: Should historians focus more on teaching historical content or what it is historians do and how they think? #histcomm</t>
  </si>
  <si>
    <t>“We can’t police the internet, but we can provide alternatives,” notes @JasonSteinhauer #histcomm</t>
  </si>
  <si>
    <t>.@rebeccaonion warns against the relatability of history, arguing we can’t really know how people felt &amp; why they did things. #histcomm</t>
  </si>
  <si>
    <t>.@smrobertson3 agrees, emphasizing the striking difference of the past from the present. #histcomm</t>
  </si>
  <si>
    <t>Relatability is the lowest hanging fruit, says Shola Lynch, but it’s an entry point. #histcomm</t>
  </si>
  <si>
    <t>.@JulieThePH points out how we approach #histcomm depends on our objectives — no 1 right answer. (In debate over relatability/difference)</t>
  </si>
  <si>
    <t>J Golia:bottom line in communicating history to any audience-begin with purpose. Why am I teaching history here? #histcomm #historyteachers</t>
  </si>
  <si>
    <t>RT @JimGrossmanAHA: J Golia:bottom line in communicating history to any audience-begin with purpose. Why am I teaching history here? #histc…</t>
  </si>
  <si>
    <t>Amb Carolyn Curiel notes how “surreal” it is to read historians’ accounts of events she was involved in, like the Tuskegee apology #histcomm</t>
  </si>
  <si>
    <t>Results of a Rose/Bud/Thorn exercise: lots of interest in historical ethicists. #histcomm https://t.co/PAUEuoh0I1</t>
  </si>
  <si>
    <t>RT @MarlaAtUmass: Results of a Rose/Bud/Thorn exercise: lots of interest in historical ethicists. #histcomm https://t.co/PAUEuoh0I1</t>
  </si>
  <si>
    <t>AASLH</t>
  </si>
  <si>
    <t>Music City &amp; various locales</t>
  </si>
  <si>
    <t>AASLH provides updates and commentary on the practice of state/local/national history and the wider world of history and museums.</t>
  </si>
  <si>
    <t>The ethics angle is a cool part of justifying the professional #histcomm idea. Ppl don’t like gatekeepers, but here’s a reason to have pros.</t>
  </si>
  <si>
    <t>The Visuals for Change summary of our last session, "Truth, Lies, Clicks, &amp; Shares." #histcomm https://t.co/an9GASq7t8</t>
  </si>
  <si>
    <t>RT @MarlaAtUmass: The Visuals for Change summary of our last session, "Truth, Lies, Clicks, &amp; Shares." #histcomm https://t.co/an9GASq7t8</t>
  </si>
  <si>
    <t>RT @pastpunditry: The ethics angle is a cool part of justifying the professional #histcomm idea. Ppl don’t like gatekeepers, but here’s a r…</t>
  </si>
  <si>
    <t>Taylor C. Bye</t>
  </si>
  <si>
    <t>.@lilyrothman notes that a story for which there is no image is a story that will likely be killed. #histcomm</t>
  </si>
  <si>
    <t>.@JulieThePH notes that @rebeccaonion’s work does historiography on the sly. #histcomm</t>
  </si>
  <si>
    <t>Part of what we're talking about here, Cathy Stanton reminds us, goes beyond knowledge of history, toward larger media literacies. #histcomm</t>
  </si>
  <si>
    <t>.@sholalynch emphasizes the importance of storytelling &amp; narrative — and notes it’s a skill that must be learned. #histcomm</t>
  </si>
  <si>
    <t>RT @MarlaAtUmass: Part of what we're talking about here, Cathy Stanton reminds us, goes beyond knowledge of history, toward larger media li…</t>
  </si>
  <si>
    <t>RT @pastpunditry: .@sholalynch emphasizes the importance of storytelling &amp; narrative — and notes it’s a skill that must be learned. #histco…</t>
  </si>
  <si>
    <t>.@sholalynch also notes the reductive power of marketing, as she experienced with Free Angela. #histcomm</t>
  </si>
  <si>
    <t>Question from @teafield: Why doesn't audio go viral? #histcomm</t>
  </si>
  <si>
    <t>.@teafield notes the parallels to conversation around storytelling in audio, esp as podcasting grows. #histcomm</t>
  </si>
  <si>
    <t>RT @MarlaAtUmass: Question from @teafield: Why doesn't audio go viral? #histcomm</t>
  </si>
  <si>
    <t>Interesting observation by @edward_l_ayers on gap b/w the affirming narratives of bestsellers &amp; "corrosive" spaces online. #histcomm</t>
  </si>
  <si>
    <t>.@edward_l_ayers notes popular history tilts heavy toward affirmative nationalist bias vs jokey corrosiveness of online history. #histcomm</t>
  </si>
  <si>
    <t>That’s a wrap until tonight’s lightning rounds. Great first day of #histcomm — tune back in tonight, &amp; join us tomorrow morning, too!</t>
  </si>
  <si>
    <t>Smab</t>
  </si>
  <si>
    <t>RT @pastpunditry: .@teafield notes the parallels to conversation around storytelling in audio, esp as podcasting grows. #histcomm</t>
  </si>
  <si>
    <t>@SmabAudio App</t>
  </si>
  <si>
    <t>Spain</t>
  </si>
  <si>
    <t>Interactive, SEO ready audio for Podcasts, Audiobooks or Courses. Test our Beta! Monetize your Audio https://t.co/5j03xMCupN</t>
  </si>
  <si>
    <t>Gordon Belt</t>
  </si>
  <si>
    <t>Oh Tennessee, My Tennessee</t>
  </si>
  <si>
    <t>Public Historian and Author of the @HistoryPress book, John Sevier: Tennessee’s First Hero. Studying History, Myth, and Memory on America's First Frontier.</t>
  </si>
  <si>
    <t>RT @paige_roberts: Interesting tweets today on how historians communicate with the public(s) at @UMassHistory #publichistory #histcomm</t>
  </si>
  <si>
    <t>Shola</t>
  </si>
  <si>
    <t>Harlem, NYC</t>
  </si>
  <si>
    <t>Film Maker + Curator</t>
  </si>
  <si>
    <t>And as a woman of color - how she was edited out. #histcomm https://t.co/esMBLaDQQ6</t>
  </si>
  <si>
    <t>RT @sholalynch: And as a woman of color - how she was edited out. #histcomm https://t.co/esMBLaDQQ6</t>
  </si>
  <si>
    <t>I confess, I love @drunkhistory. It has just enough right to be so deliciously wrong. #histcomm https://t.co/tILJER6TnK</t>
  </si>
  <si>
    <t>Today's Black Quotidian is from @JulianChambliss Advocate Recovered project https://t.co/u6cdhqr90p #histcomm https://t.co/BdV0RFk0Xs</t>
  </si>
  <si>
    <t>Yes, worth a read! #histcomm @SchomburgCenter https://t.co/pO3K8JEv5z</t>
  </si>
  <si>
    <t>Margaret Middleton</t>
  </si>
  <si>
    <t>@MarlaAtUmass heading to #histcomm - see ya in a couple hrs!</t>
  </si>
  <si>
    <t>Designer of playful learning experiences. Museum geek playing at the intersection of design and social justice. #MuseumEdChat #MuseumWorkersSpeak</t>
  </si>
  <si>
    <t>MedievalRobots</t>
  </si>
  <si>
    <t>Medievalist, writer. Author of Medieval Robots: Mechanism, Magic, Nature, &amp; Art.</t>
  </si>
  <si>
    <t>After a great 1st day of #histcomm summit @UMassAmherst, ready to continue the convo in public tonite, 7:15 PM, Amherst Rm, Campus Center</t>
  </si>
  <si>
    <t>The state of history on the world wide web #histcomm #history #twitterstorians #publichistory https://t.co/yUx2bCtPyn</t>
  </si>
  <si>
    <t>RT @umassph: After a great 1st day of #histcomm summit @UMassAmherst, ready to continue the convo in public tonite, 7:15 PM, Amherst Rm, Ca…</t>
  </si>
  <si>
    <t>RT @mattdelmont: Today's Black Quotidian is from @JulianChambliss Advocate Recovered project https://t.co/u6cdhqr90p #histcomm https://t.co…</t>
  </si>
  <si>
    <t>RT @MarlaAtUmass: Interesting observation by @edward_l_ayers on gap b/w the affirming narratives of bestsellers &amp; "corrosive" spaces online…</t>
  </si>
  <si>
    <t>HistoryGal</t>
  </si>
  <si>
    <t>Scholar still recovering from the job market</t>
  </si>
  <si>
    <t>mrpotter</t>
  </si>
  <si>
    <t>Western NY</t>
  </si>
  <si>
    <t>Teaching HS Social Studies in Western New York. History nerd &amp; tech geek. Model UN &amp; Class of 2010, 2014 &amp; 2018 adv. This is me, not my employer.</t>
  </si>
  <si>
    <t>Enjoying #histcomm Thank you to @umasshistory for putting this together looking forward to tonight's conversations</t>
  </si>
  <si>
    <t>Peter C. Pihos</t>
  </si>
  <si>
    <t>One is astonished in the study of history at the recurrence of the idea that evil must be forgotten, distorted, skimmed over.</t>
  </si>
  <si>
    <t>Jenn Miller</t>
  </si>
  <si>
    <t>Research geek. Never met a library-museum-archive-or bookstore I didn't have to be dragged out of at closing time.</t>
  </si>
  <si>
    <t>Should @lizcovart start a history podcast network? https://t.co/Yjm4kpvgUq #podcasting #earlyAmerica #histcomm</t>
  </si>
  <si>
    <t>Bob Whitaker</t>
  </si>
  <si>
    <t>Historian of Europe, empire, international crime and policing. Teaching @LATech. Creator of @historyrespawn. Editor @britishscholar.</t>
  </si>
  <si>
    <t>For the #histcomm folks, a humble podcast plug: @_overanalyze, where @anwils1 @rjordan_csu and I talk about pop culture + history.</t>
  </si>
  <si>
    <t>Also, @firstdraftcast with @Elijah_Meeks, @pfzenke, and I, mostly about digital humanities #histcomm</t>
  </si>
  <si>
    <t>Will be livetweeting the #histcomm event at @UMassHistory starting momentarily!</t>
  </si>
  <si>
    <t>Getting started for the evening #histcomm event! @Umasshistory</t>
  </si>
  <si>
    <t>RT @erfagen: Getting started for the evening #histcomm event! @Umasshistory</t>
  </si>
  <si>
    <t>RT @rebekkahrubin: Will be livetweeting the #histcomm event at @UMassHistory starting momentarily!</t>
  </si>
  <si>
    <t>Katherine Fecteau</t>
  </si>
  <si>
    <t>A fan of history vs. THE fan of history #histcomm #lighteningconversations</t>
  </si>
  <si>
    <t>Public History MA candidate at UMass Amherst studying American Revolutionary War era and material culture **Though she be but little, she is fierce!**</t>
  </si>
  <si>
    <t>Citizen Wald</t>
  </si>
  <si>
    <t>Jim Wald: cultural, book historian; historic preservationist; evolving into an agnostic...an egotist, a pessimist &amp; an anarchist or an illuminated vase of odors</t>
  </si>
  <si>
    <t>.@radiosue and @JasonSteinhauer getting things started at @UMassHistory's #histcomm lightning conversations.</t>
  </si>
  <si>
    <t>.@radiosue excited about creating/talking with fans of history @UMassHistory Lightning Conversation #histcomm event, starting now!</t>
  </si>
  <si>
    <t>RT @rebekkahrubin: .@radiosue and @JasonSteinhauer getting things started at @UMassHistory's #histcomm lightning conversations.</t>
  </si>
  <si>
    <t>.@JasonSteinhauer: What does it mean to communicate history in the 21st century? #histcomm</t>
  </si>
  <si>
    <t>RT @juliegpeterson: .@radiosue excited about creating/talking with fans of history @UMassHistory Lightning Conversation #histcomm event, st…</t>
  </si>
  <si>
    <t>"History communication is a new frontier for the profession." -@JasonSteinhauer #histcomm</t>
  </si>
  <si>
    <t>RT @rebekkahrubin: "History communication is a new frontier for the profession." -@JasonSteinhauer #histcomm</t>
  </si>
  <si>
    <t>Also excited to see @amanda_lyons of Visuals for Change capturing these conversations! Amazing work here #histcomm https://t.co/f33CEVqvcG</t>
  </si>
  <si>
    <t>RT @juliegpeterson: Also excited to see @amanda_lyons of Visuals for Change capturing these conversations! Amazing work here #histcomm http…</t>
  </si>
  <si>
    <t>The #histcomm lightning rounds are starting! First up: @JimGrossmanAHA &amp; @rebeccaonion on "what is history for?"</t>
  </si>
  <si>
    <t>.@JasonSteinhauer is explaining "lightning conversations"-- seven 10-minute conversations between pairs. #histcomm</t>
  </si>
  <si>
    <t>Lightening conversations begin. #histcomm 7 pairs of ten minute convos on communicating #history. Here we go!</t>
  </si>
  <si>
    <t>RT @pastpunditry: The #histcomm lightning rounds are starting! First up: @JimGrossmanAHA &amp; @rebeccaonion on "what is history for?"</t>
  </si>
  <si>
    <t>Going to try to tweet on tonight's #histcomm lightning conversations but they may go fast!</t>
  </si>
  <si>
    <t>RT @rebekkahrubin: .@JasonSteinhauer is explaining "lightning conversations"-- seven 10-minute conversations between pairs. #histcomm</t>
  </si>
  <si>
    <t>Lightning conversations will also be documented visually. #histcomm</t>
  </si>
  <si>
    <t>First conversation pairing: @JimGrossmanAHA and @rebeccaonion. #histcomm</t>
  </si>
  <si>
    <t>Excited to be at UMass Amherst for the #histcomm symposium lightning talks tonight!</t>
  </si>
  <si>
    <t>Big questions w/ @JimGrossmanAHA and @rebeccaonion #histcomm</t>
  </si>
  <si>
    <t>First up, @JimGrossmanAHA +@rebeccaonion with the BIG question: why do we do history? #histcomm</t>
  </si>
  <si>
    <t>.@JimGrossmanAHA and @rebeccaonion talking abt the purpose of studying #history. #histcomm https://t.co/v1tTmqCDhy</t>
  </si>
  <si>
    <t>#histcomm @JimGrossmanAHA &amp; @rebeccaonion speaking on the public perception of #history. https://t.co/9SMj9gsG4R</t>
  </si>
  <si>
    <t>First pair addressing "why do we do this?" @rebeccaonion does it because she likes it. #histcomm</t>
  </si>
  <si>
    <t>Why do you do history? @rebeccaonion says the intellectual &amp; philosophical challenge of interpreting the past. #histcomm</t>
  </si>
  <si>
    <t>1st lightening talk underway: @JimGrossmanAHA &amp; @rebeccaonion #histcomm</t>
  </si>
  <si>
    <t>.@JimGrossmanAHA and @rebeccaonion starting with why do history? Intellectual and philosophical interest in human nature for Onion #histcomm</t>
  </si>
  <si>
    <t>.@rebeccaonion is interested in the philosophical and intellectual challenge of thinking about the past and causality. #histcomm</t>
  </si>
  <si>
    <t>Chris Levesque</t>
  </si>
  <si>
    <t>RT @JohnFea1: Should @lizcovart start a history podcast network? https://t.co/Yjm4kpvgUq #podcasting #earlyAmerica #histcomm</t>
  </si>
  <si>
    <t>Tampa</t>
  </si>
  <si>
    <t>PhD in military history, adjunct professor, librarian, and geek. I write about atrocities in Vietnam. RT ≠ endorsement.</t>
  </si>
  <si>
    <t>.@rebeccaonion why do we do history? Because of interest, for philosophical reasons. Curiosity also a big factor! #histcomm</t>
  </si>
  <si>
    <t>RT @MarlaAtUmass: 1st lightening talk underway: @JimGrossmanAHA &amp; @rebeccaonion #histcomm</t>
  </si>
  <si>
    <t>.@rebeccaonion celebrates contingency, and @JimGrossmanAHA points out that how change happens is at the heart of history? #histcomm</t>
  </si>
  <si>
    <t>Off to a rollicking start as @JimGrossmanAHA and @rebeccaonion debate meaning of "contingency" #histcomm</t>
  </si>
  <si>
    <t>RT @pastpunditry: Why do you do history? @rebeccaonion says the intellectual &amp; philosophical challenge of interpreting the past. #histcomm</t>
  </si>
  <si>
    <t>RT @juliegpeterson: .@JimGrossmanAHA and @rebeccaonion starting with why do history? Intellectual and philosophical interest in human natur…</t>
  </si>
  <si>
    <t>RT @erfagen: .@rebeccaonion why do we do history? Because of interest, for philosophical reasons. Curiosity also a big factor! #histcomm</t>
  </si>
  <si>
    <t>RT @rebekkahrubin: .@rebeccaonion is interested in the philosophical and intellectual challenge of thinking about the past and causality. #…</t>
  </si>
  <si>
    <t>History:how change happens #histcomm #lighteningconversations #everythinghasahistory</t>
  </si>
  <si>
    <t>RT @GHAUmass: #histcomm @JimGrossmanAHA &amp; @rebeccaonion speaking on the public perception of #history. https://t.co/9SMj9gsG4R</t>
  </si>
  <si>
    <t>.@JimGrossmanAHA is drawn in by the way history shapes everything in public culture and public policy. #histcomm</t>
  </si>
  <si>
    <t>.@JimGrossmanAHA history *should* effect all the decisions we make. It always matters. #histcomm</t>
  </si>
  <si>
    <t>.@JimGrossmanAHA is interested in ways that history affects everything in culture. #histcomm</t>
  </si>
  <si>
    <t>.@JimGrossmanAHA no student has an interest that doesn't have a history. #histcomm</t>
  </si>
  <si>
    <t>"Why did people do the things they did?" was the question that drew @JimGrossmanAHA to history. #histcomm</t>
  </si>
  <si>
    <t>"Things happen because people make them happen."- @JimGrossmanAHA #histcomm</t>
  </si>
  <si>
    <t>RT @pastpunditry: .@JimGrossmanAHA is drawn in by the way history shapes everything in public culture and public policy. #histcomm</t>
  </si>
  <si>
    <t>What's so interesting about history? @JimGrossmanAHA says there's a universality to history, everything has a history. #histcomm</t>
  </si>
  <si>
    <t>.@JimGrossmanAHA started in sociology where things happened because of the "izations"... Urbanization, industrialization, etc. #histcomm</t>
  </si>
  <si>
    <t>.@rebeccaonion is "bridging the gap between academic history and popular history." #histcomm</t>
  </si>
  <si>
    <t>"There is no Sociology Channel," @JimGrossmanAHA notes when talking about the public appeal of history. #histcomm</t>
  </si>
  <si>
    <t>Says @JimGrossmanAHA Americans love history. There is, after all, no sociology channel. #histcomm</t>
  </si>
  <si>
    <t>There's no Sociology Channel, says @JimGrossmanAHA #histcomm</t>
  </si>
  <si>
    <t>RT @magmidd: What's so interesting about history? @JimGrossmanAHA says there's a universality to history, everything has a history. #histco…</t>
  </si>
  <si>
    <t>"There's no sociology channel" @JimGrossmanAHA on the public popularity of #history. #histcomm</t>
  </si>
  <si>
    <t>RT @HistoryCtr: .@JimGrossmanAHA and @rebeccaonion talking abt the purpose of studying #history. #histcomm https://t.co/v1tTmqCDhy</t>
  </si>
  <si>
    <t>RT @GHAUmass: "There's no sociology channel" @JimGrossmanAHA on the public popularity of #history. #histcomm</t>
  </si>
  <si>
    <t>RT @JulieThePH: Says @JimGrossmanAHA Americans love history. There is, after all, no sociology channel. #histcomm</t>
  </si>
  <si>
    <t>"When I tell people I study history, they're interested bc they think I study wars or founding fathers," says @JimGrossmanAHA #histcomm</t>
  </si>
  <si>
    <t>RT @juliegpeterson: .@JimGrossmanAHA started in sociology where things happened because of the "izations"... Urbanization, industrializatio…</t>
  </si>
  <si>
    <t>.@rebeccaonion noting the ways in which academic historians differ from broader audiences--the former "aren't as sure of history." #histcomm</t>
  </si>
  <si>
    <t>RT @rebekkahrubin: "Things happen because people make them happen."- @JimGrossmanAHA #histcomm</t>
  </si>
  <si>
    <t>RT @pastpunditry: "Why did people do the things they did?" was the question that drew @JimGrossmanAHA to history. #histcomm</t>
  </si>
  <si>
    <t>RT @erfagen: .@JimGrossmanAHA history *should* effect all the decisions we make. It always matters. #histcomm</t>
  </si>
  <si>
    <t>Actually says @rebeccaonion people love uncertainty, investigative and interpretive impulse. Not facts #histcomm</t>
  </si>
  <si>
    <t>RT @pastpunditry: "When I tell people I study history, they're interested bc they think I study wars or founding fathers," says @JimGrossma…</t>
  </si>
  <si>
    <t>People are drawn in by a mystery, @rebeccaonion notes, explaining the appeal of historical storytelling. #histcomm</t>
  </si>
  <si>
    <t>Tom Scheinfeldt</t>
  </si>
  <si>
    <t>If you're not following #histcomm conference from @umassph, you're missing out.</t>
  </si>
  <si>
    <t>Connecticut</t>
  </si>
  <si>
    <t>Associate Professor of Digital Media &amp; Design and History / Director of Digital Humanities @UConn</t>
  </si>
  <si>
    <t>RT @rebekkahrubin: .@rebeccaonion noting the ways in which academic historians differ from broader audiences--the former "aren't as sure of…</t>
  </si>
  <si>
    <t>People can get on board with more "academic" history-- they have appetites for mystery, according to @rebeccaonion. #histcomm</t>
  </si>
  <si>
    <t>RT @foundhistory: If you're not following #histcomm conference from @umassph, you're missing out.</t>
  </si>
  <si>
    <t>Wonderfully appropriate that today's @pchh is all about historical fiction/history and nostalgia in pop culture! #histcomm</t>
  </si>
  <si>
    <t>.@JimGrossmanAHA says we study history because it's about change, and all humans &amp; societies experience change #twitterstorians #histcomm</t>
  </si>
  <si>
    <t>.@rebeccaonion &amp; @JimGrossmanAHA debating the use of historical analogy #histcomm</t>
  </si>
  <si>
    <t>.@rebeccaonion and @JimGrossmanAHA now discussing analogy- why are ppl so quick to link current events/figures to hist events? #histcomm</t>
  </si>
  <si>
    <t>RT @CitizenWald: .@JimGrossmanAHA says we study history because it's about change, and all humans &amp; societies experience change #twittersto…</t>
  </si>
  <si>
    <t>RT @juliegpeterson: .@rebeccaonion and @JimGrossmanAHA now discussing analogy- why are ppl so quick to link current events/figures to hist …</t>
  </si>
  <si>
    <t>UMass #histcomm - public has an appetite for ambiguity and complexity, as evidenced by interest in true crime, investigation</t>
  </si>
  <si>
    <t>Up next: @pastpunditry &amp; @jamiaw! Continuing the convo re: analogies. What are the political uses of history? #histcomm</t>
  </si>
  <si>
    <t>History seems boring bc when it's just facts, but there is so much mystery @rebeccaonion says we have an appetite for uncertainty. #histcomm</t>
  </si>
  <si>
    <t>Next, @pastpunditry and @jamiaw tackle the political uses of history #histcomm</t>
  </si>
  <si>
    <t>.@JimGrossmanAHA pace, Susan Kaplan, ppl ARE interested in #history: there's no "sociology channel" on tv. #histcomm #twitterstorians</t>
  </si>
  <si>
    <t>.@GHAUmass isn't quick enough to express the Awesomeness of @rebeccaonion &amp; @JimGrossmanAHA #histcomm 7 minutes that will inspire.</t>
  </si>
  <si>
    <t>RT @allisonhorrocks: UMass #histcomm - public has an appetite for ambiguity and complexity, as evidenced by interest in true crime, investi…</t>
  </si>
  <si>
    <t>Next conversation: @pastpunditry and Jamia Wilson discussing utilization of history for own devices/"weaponizing history." #histcomm</t>
  </si>
  <si>
    <t>RT @juliegpeterson: Up next: @pastpunditry &amp; @jamiaw! Continuing the convo re: analogies. What are the political uses of history? #histcomm</t>
  </si>
  <si>
    <t>"Weaponizing" history to make a political point - how can historians change this? #histcomm</t>
  </si>
  <si>
    <t>camesha scruggs</t>
  </si>
  <si>
    <t>An aspiring historienne (yes, I made it gender appropriate) navigating through the academic journey</t>
  </si>
  <si>
    <t>.@pastpunditry identifies the "weaponization" of history, stripped of its content and deployed. #histcomm</t>
  </si>
  <si>
    <t>RT @JulieThePH: .@pastpunditry identifies the "weaponization" of history, stripped of its content and deployed. #histcomm</t>
  </si>
  <si>
    <t>RT @sheishistoric: "Weaponizing" history to make a political point - how can historians change this? #histcomm</t>
  </si>
  <si>
    <t>History can be used as an asset for activists, especially when drawing on histories of their own movements. #histcomm</t>
  </si>
  <si>
    <t>.@jamiaw what can historians do? Connect with people without being condescending. Important! #histcomm</t>
  </si>
  <si>
    <t>Movement history is important says @jamiaw but it can't be delivered condescendingly, can shut things down. #histcomm</t>
  </si>
  <si>
    <t>RT @erfagen: .@jamiaw what can historians do? Connect with people without being condescending. Important! #histcomm</t>
  </si>
  <si>
    <t>.@jamiaw says that hist probs motivate her own activism, @pastpunditry agreed history can be used as asset for current movements #histcomm</t>
  </si>
  <si>
    <t>RT @rebekkahrubin: History can be used as an asset for activists, especially when drawing on histories of their own movements. #histcomm</t>
  </si>
  <si>
    <t>Valley Nerd Watch</t>
  </si>
  <si>
    <t>RT @magmidd: Excited to be at UMass Amherst for the #histcomm symposium lightning talks tonight!</t>
  </si>
  <si>
    <t>Pioneer Valley, MA</t>
  </si>
  <si>
    <t>All the nerd news you can use if and only if you currently live in the Pioneer Valley area of Massachusetts.</t>
  </si>
  <si>
    <t>History also breaks down activist silos, builds coalitions says @jamiaw #histcomm</t>
  </si>
  <si>
    <t>.@jamiaw: Reductionist history used to inspire fear in people #histcomm</t>
  </si>
  <si>
    <t>RT @juliegpeterson: .@jamiaw says that hist probs motivate her own activism, @pastpunditry agreed history can be used as asset for current …</t>
  </si>
  <si>
    <t>RT @juliegpeterson: .@jamiaw: Reductionist history used to inspire fear in people #histcomm</t>
  </si>
  <si>
    <t>Jamia Wilson asked abt using history for progressive vs conservative activism. Reply:"I feel as thought I'm on the side of good." #histcomm</t>
  </si>
  <si>
    <t>Provocative question: do liberals &amp; conservatives use history in substantively different ways--or is it just a matter of politics? #histcomm</t>
  </si>
  <si>
    <t>What should come first: scholarship or activism? What must the driving force be? #histcomm</t>
  </si>
  <si>
    <t>RT @CitizenWald: Provocative question: do liberals &amp; conservatives use history in substantively different ways--or is it just a matter of p…</t>
  </si>
  <si>
    <t>RT @defactofecteau: What should come first: scholarship or activism? What must the driving force be? #histcomm</t>
  </si>
  <si>
    <t>Weaponizing history is negative use of history but activists can call on their knowledge of history to clap back/call in. @jamiaw #histcomm</t>
  </si>
  <si>
    <t>Nicole Hemmer asks about the dangers of one's political agenda driving one's historical frame &amp; analysis #histcomm #everythinghasahistory</t>
  </si>
  <si>
    <t>RT @rebekkahrubin: Jamia Wilson asked abt using history for progressive vs conservative activism. Reply:"I feel as thought I'm on the side …</t>
  </si>
  <si>
    <t>.@pastpunditry: A difference btwn using prior scholarship to support yr cause &amp; creating yr own scholarship for yr own cause. #histcomm</t>
  </si>
  <si>
    <t>soul wonder</t>
  </si>
  <si>
    <t>@jamiaw spitting knowledge at the #histcomm conference at @UMassHistory @GHAUmass ✊🏿</t>
  </si>
  <si>
    <t>Massachusetts, USA</t>
  </si>
  <si>
    <t>PhD student-sistah-scholar, etc</t>
  </si>
  <si>
    <t>Historians can use facts perceived as boring within their storytelling. Many stories to choose from! #histcomm https://t.co/eLpB0BAl48</t>
  </si>
  <si>
    <t>Loving the @pastpresentpod #histcomm #lighteningconversation about history and activism #twitterstorian @UMassHistory</t>
  </si>
  <si>
    <t>Must acknowledge complexity of historical activists says @jamiaw. Case in point the racism of mainstream suffrage movement. #histcomm</t>
  </si>
  <si>
    <t>RT @historycampaign: Historians can use facts perceived as boring within their storytelling. Many stories to choose from! #histcomm https:…</t>
  </si>
  <si>
    <t>.@pastpunditry ask what about political debates that require historians to be in the fray? #histcomm</t>
  </si>
  <si>
    <t>RT @JasonSteinhauer: The state of history on the world wide web #histcomm #history #twitterstorians #publichistory https://t.co/yUx2bCtPyn</t>
  </si>
  <si>
    <t>RT @JimGrossmanAHA: Nicole Hemmer asks about the dangers of one's political agenda driving one's historical frame &amp; analysis #histcomm #eve…</t>
  </si>
  <si>
    <t>.@jamiaw why do people watch @FoxNews? Not because they're interested in facts. More about the show. #histcomm</t>
  </si>
  <si>
    <t>J. L. Bell</t>
  </si>
  <si>
    <t>History, analysis &amp; unabashed gossip about the American Revolution in New England.</t>
  </si>
  <si>
    <t>RT @aglassofhistory: Loving the @pastpresentpod #histcomm #lighteningconversation about history and activism #twitterstorian @UMassHistory</t>
  </si>
  <si>
    <t>RT @JulieThePH: Must acknowledge complexity of historical activists says @jamiaw. Case in point the racism of mainstream suffrage movement.…</t>
  </si>
  <si>
    <t>RT @erfagen: .@jamiaw why do people watch @FoxNews? Not because they're interested in facts. More about the show. #histcomm</t>
  </si>
  <si>
    <t>Hemmer asks whether history is a "tool" or a mode of establishing factual landscape for public debate. Aiming for heart or mind? #histcomm</t>
  </si>
  <si>
    <t>Jamia Wilson: Not enough of "moving hearts and minds" in liberal journalism, more facts. #histcomm</t>
  </si>
  <si>
    <t>@pastpresentpod "Mic drop." #histcomm</t>
  </si>
  <si>
    <t>"How do you engage the public as a scholar in a post-fact age?" -@pastpunditry #histcomm</t>
  </si>
  <si>
    <t>RT @JimGrossmanAHA: Hemmer asks whether history is a "tool" or a mode of establishing factual landscape for public debate. Aiming for heart…</t>
  </si>
  <si>
    <t>Shakti Castro</t>
  </si>
  <si>
    <t>RT @fefenifi: @jamiaw spitting knowledge at the #histcomm conference at @UMassHistory @GHAUmass ✊🏿</t>
  </si>
  <si>
    <t>NYC/MA</t>
  </si>
  <si>
    <t>Popculture enthusiast, coffee lover, Wise Latina. Puerto Rican Diaspora historian &amp; storyteller en la brega. #PublicHistory MA student at @umassamherst.</t>
  </si>
  <si>
    <t>Next up: Shola Lynch and @lilyrothman talking about editing. #histcomm</t>
  </si>
  <si>
    <t>Asks @pastpunditry provocatively, how do we engage public re history in a post-fact age? #histcomm</t>
  </si>
  <si>
    <t>RT @rebekkahrubin: Jamia Wilson: Not enough of "moving hearts and minds" in liberal journalism, more facts. #histcomm</t>
  </si>
  <si>
    <t>RT @rebekkahrubin: Next up: Shola Lynch and @lilyrothman talking about editing. #histcomm</t>
  </si>
  <si>
    <t>.@sholalynch &amp; @lilyrothman kicking off their lighting convo at #histcomm: how do you edit history? What goes first? https://t.co/MNtKlf1OaV</t>
  </si>
  <si>
    <t>.@pastpunditry mic drop! #histcomm</t>
  </si>
  <si>
    <t>RT @jamiaw: .@sholalynch &amp; @lilyrothman kicking off their lighting convo at #histcomm: how do you edit history? What goes first? https://t.…</t>
  </si>
  <si>
    <t>.@sholalynch and @lilyrothman on editing. Rothman says you can't include everything, asks Lynch re: what to leave out of films? #histcomm</t>
  </si>
  <si>
    <t>Now up: @sholalynch &amp; @lilyrothman on editing. #histcomm</t>
  </si>
  <si>
    <t>RT @JulieThePH: Asks @pastpunditry provocatively, how do we engage public re history in a post-fact age? #histcomm</t>
  </si>
  <si>
    <t>RT @sheishistoric: "How do you engage the public as a scholar in a post-fact age?" -@pastpunditry #histcomm</t>
  </si>
  <si>
    <t>.@sholalynch talks about her approach to documentary filmmaking: “Our history has been edited out.” #histcomm</t>
  </si>
  <si>
    <t>RT @pastpunditry: .@sholalynch talks about her approach to documentary filmmaking: “Our history has been edited out.” #histcomm</t>
  </si>
  <si>
    <t>RT @pastpunditry: Now up: @sholalynch &amp; @lilyrothman on editing. #histcomm</t>
  </si>
  <si>
    <t>My stories have been edited out of history with passive readings of our agency. I edit us in.-@sholalynch, @SchomburgCenter #histcomm</t>
  </si>
  <si>
    <t>.@sholalynch and @lilyrothman on editing. Shola: my stories, histories were edited out of history. I'm editing it back in #histcomm</t>
  </si>
  <si>
    <t>.@sholalynch says her history was edited out of education; her films focus on radical women so their stories can be edited back in #histcomm</t>
  </si>
  <si>
    <t>RT @jamiaw: My stories have been edited out of history with passive readings of our agency. I edit us in.-@sholalynch, @SchomburgCenter #hi…</t>
  </si>
  <si>
    <t>.@sholalynch we've been edited out. (Of larger narrative) I'm writing ourselves in. #histcomm</t>
  </si>
  <si>
    <t>RT @magmidd: History seems boring bc when it's just facts, but there is so much mystery @rebeccaonion says we have an appetite for uncertai…</t>
  </si>
  <si>
    <t>Shola Lynch.In her early schooling, "history happened to us." So sees editing less as cutting than as "editing us in." #histcomm</t>
  </si>
  <si>
    <t>Use unique ways to deliver scholarship that may live outside the academic norm. #histcomm #historyrelevance https://t.co/y0PQCHfPG3</t>
  </si>
  <si>
    <t>How do you edit when you're editing in a history that has been edited out? #histcomm</t>
  </si>
  <si>
    <t>#histcomm</t>
  </si>
  <si>
    <t>Our stories have been edited out. I'm editing our stories back in, says filmmaker and curator @sholalynch #histcomm</t>
  </si>
  <si>
    <t>RT @JimGrossmanAHA: Shola Lynch.In her early schooling, "history happened to us." So sees editing less as cutting than as "editing us in." …</t>
  </si>
  <si>
    <t>RT @juliegpeterson: .@sholalynch says her history was edited out of education; her films focus on radical women so their stories can be edi…</t>
  </si>
  <si>
    <t>My stories and agencies have been edited out -shola lynch. Why I do what I do #histcomm #historiennehustle</t>
  </si>
  <si>
    <t>.@sholalynch: “finding the evidence is critically important,” esp in black history which for so long was not considered “a thing” #histcomm</t>
  </si>
  <si>
    <t>Thanks for a powerful conversation @pastpunditry! We need for you to have a Sunday AM talk show. #histcomm</t>
  </si>
  <si>
    <t>RT @rebekkahrubin: People can get on board with more "academic" history-- they have appetites for mystery, according to @rebeccaonion. #his…</t>
  </si>
  <si>
    <t>.@lilyrothman: "We live in a great time for telling stories that had been edited out.” #histcomm</t>
  </si>
  <si>
    <t>Editing IN, silences, and collecting: @SchomburgCenter founded bc people didn't think black people had a history says @sholalynch #histcomm</t>
  </si>
  <si>
    <t>"We live in a really great time for telling stories that have been edited out."- @lilyrothman #histcomm</t>
  </si>
  <si>
    <t>RT @pastpunditry: .@sholalynch: “finding the evidence is critically important,” esp in black history which for so long was not considered “…</t>
  </si>
  <si>
    <t>SOLD. Let’s do it. #histcomm https://t.co/T4q0BBML5t</t>
  </si>
  <si>
    <t>RT @jamiaw: Thanks for a powerful conversation @pastpunditry! We need for you to have a Sunday AM talk show. #histcomm</t>
  </si>
  <si>
    <t>RT @pastpunditry: .@lilyrothman: "We live in a great time for telling stories that had been edited out.” #histcomm</t>
  </si>
  <si>
    <t>.@sholalynch: Arthur Schomburg's collection of "vindicating evidences" became @SchomburgCenter #histcomm</t>
  </si>
  <si>
    <t>RT @rebekkahrubin: "We live in a really great time for telling stories that have been edited out."- @lilyrothman #histcomm</t>
  </si>
  <si>
    <t>RT @magmidd: Weaponizing history is negative use of history but activists can call on their knowledge of history to clap back/call in. @jam…</t>
  </si>
  <si>
    <t>.@lilyrothman talks about Margaret Hamilton who helped code the mission to the moon, &amp; the viral pic that helped spread the story. #histcomm</t>
  </si>
  <si>
    <t>RT @JulieThePH: History also breaks down activist silos, builds coalitions says @jamiaw #histcomm</t>
  </si>
  <si>
    <t>RT @JulieThePH: Movement history is important says @jamiaw but it can't be delivered condescendingly, can shut things down. #histcomm</t>
  </si>
  <si>
    <t>Lots more tweeps here @UMassAmherst for #histcomm including @juliegpeterson @defactofecteau --and many #historians NOT on #twitter (shame!)</t>
  </si>
  <si>
    <t>RT @JulieThePH: Next, @pastpunditry and @jamiaw tackle the political uses of history #histcomm</t>
  </si>
  <si>
    <t>RT @pastpunditry: SOLD. Let’s do it. #histcomm https://t.co/T4q0BBML5t</t>
  </si>
  <si>
    <t>People are eager to hear stories that have been edited out of most histories #histcomm #schomburg</t>
  </si>
  <si>
    <t>RT @juliegpeterson: .@sholalynch: Arthur Schomburg's collection of "vindicating evidences" became @SchomburgCenter #histcomm</t>
  </si>
  <si>
    <t>"My history has been edited out. I'm editing it back in." -@sholalynch #histcomm</t>
  </si>
  <si>
    <t>.@lilyrothman brings up this picture &amp; the idea of knowing about edited history #histcomm https://t.co/qpx1lEFTAP</t>
  </si>
  <si>
    <t>RT @pastpunditry: .@lilyrothman talks about Margaret Hamilton who helped code the mission to the moon, &amp; the viral pic that helped spread t…</t>
  </si>
  <si>
    <t>.@lilyrothman reiterates the importance of narrative to #histcomm — emerging theme!</t>
  </si>
  <si>
    <t>RT @erfagen: .@pastpunditry mic drop! #histcomm</t>
  </si>
  <si>
    <t>"I PUT MYSELF BACK IN THE NARRATIVE." #sorrynotsorry #Hamilton #histcomm https://t.co/bP0xWNxXH6</t>
  </si>
  <si>
    <t>#histcomm @lilyrothman talks about power of specificity and finding YOUR story</t>
  </si>
  <si>
    <t>RT @sheishistoric: .@lilyrothman brings up this picture &amp; the idea of knowing about edited history #histcomm https://t.co/qpx1lEFTAP</t>
  </si>
  <si>
    <t>.@lilyrothman what she thinks about: history of specificity. What do we include? What do we leave out? #histcomm</t>
  </si>
  <si>
    <t>RT @historein: "I PUT MYSELF BACK IN THE NARRATIVE." #sorrynotsorry #Hamilton #histcomm https://t.co/bP0xWNxXH6</t>
  </si>
  <si>
    <t>Says @lilyrothman specificity important for doing good history journalism. Can't do history of everything #histcomm</t>
  </si>
  <si>
    <t>Thankful so many are live tweeting #histcomm @umassph so I can catch up later. Disappointed to miss it in person. https://t.co/SQTvwBrU2L</t>
  </si>
  <si>
    <t>.@sholalynch on Chisolm documentary: asked to start w Cronkite saying, “A hat — no a bonnet! — has been thrown into the ring.” #histcomm</t>
  </si>
  <si>
    <t>RT @pastpunditry: .@sholalynch on Chisolm documentary: asked to start w Cronkite saying, “A hat — no a bonnet! — has been thrown into the r…</t>
  </si>
  <si>
    <t>RT @CitizenWald: Lots more tweeps here @UMassAmherst for #histcomm including @juliegpeterson @defactofecteau --and many #historians NOT on…</t>
  </si>
  <si>
    <t>.@sholalynch's words are important here: histories are *edited out*. Not skipped/ignored/glossed over. It's active exclusion. #histcomm</t>
  </si>
  <si>
    <t>In film abt Shirley Chisholm, @sholalynch pushed back on producers wanting to lead with Cronkite clip. Instead emph on SC agency. #histcomm</t>
  </si>
  <si>
    <t>Steven Lubar</t>
  </si>
  <si>
    <t>RT @TradeCardCarl: Thankful so many are live tweeting #histcomm @umassph so I can catch up later. Disappointed to miss it in person. https…</t>
  </si>
  <si>
    <t>Providence, RI</t>
  </si>
  <si>
    <t>Trying to make sense of museums.</t>
  </si>
  <si>
    <t>Hamilton Tickets</t>
  </si>
  <si>
    <t>RT historein "I PUT MYSELF BACK IN THE NARRATIVE." #sorrynotsorry #Hamilton #histcomm https://t.co/dipL6frk0z</t>
  </si>
  <si>
    <t>Zapier.com</t>
  </si>
  <si>
    <t>Super Discount Price #Hamilton Tickets Here: https://t.co/BfSUQaS19e</t>
  </si>
  <si>
    <t>.@sholalynch concludes saying it's about getting the heart right #histcomm</t>
  </si>
  <si>
    <t>Feature-length film is like a book — if you don’t get all the details right, you at least want to get the heart right: @sholalynch #histcomm</t>
  </si>
  <si>
    <t>"If you can't get the details right, you have to get the heart right" - @sholalynch #histcomm</t>
  </si>
  <si>
    <t>Next up: place of the digital in history communication. #histcomm</t>
  </si>
  <si>
    <t>mackenzian</t>
  </si>
  <si>
    <t>mckenzie consulting group</t>
  </si>
  <si>
    <t>for public good, social change | phd in the wild | she/they | newsletter: http://t.co/exwgGIAFgl | tip jar: https://t.co/UoOlVKgdv5</t>
  </si>
  <si>
    <t>RT @magmidd: .@sholalynch's words are important here: histories are *edited out*. Not skipped/ignored/glossed over. It's active exclusion. …</t>
  </si>
  <si>
    <t>.@cathystanton and @smrobertson3 on history in "the digital"- Stanton asks is "the digital" truly separate from history? #histcomm</t>
  </si>
  <si>
    <t>Round 3: “Can we still refer to the digital as a separate strand within #histcomm?” Should we lose the sense of novelty around digital work?</t>
  </si>
  <si>
    <t>Next up: @cathystanton and @smrobertson3 discussing the place of the digital in #histcomm.</t>
  </si>
  <si>
    <t>RT @pastpunditry: Feature-length film is like a book — if you don’t get all the details right, you at least want to get the heart right: @s…</t>
  </si>
  <si>
    <t>This features @cathystanton &amp; @smrobertson3, debating the digital in #histcomm</t>
  </si>
  <si>
    <t>RT @erfagen: Next up: place of the digital in history communication. #histcomm</t>
  </si>
  <si>
    <t>RT @juliegpeterson: .@cathystanton and @smrobertson3 on history in "the digital"- Stanton asks is "the digital" truly separate from history…</t>
  </si>
  <si>
    <t>What is the digital? A multiplicity of things that don't necessarily play together. Definitely a challenge! #histcomm</t>
  </si>
  <si>
    <t>If you can't get the details right get the heart right-@sholalynch on editing history #histcomm</t>
  </si>
  <si>
    <t>"Not a seamless transition from a dissertation to twitter."- @smrobertson3 #histcomm</t>
  </si>
  <si>
    <t>.@smrobertson3 talks about the variety of digitals, from Twitter on out. #histcomm</t>
  </si>
  <si>
    <t>RT @rebekkahrubin: "Not a seamless transition from a dissertation to twitter."- @smrobertson3 #histcomm</t>
  </si>
  <si>
    <t>RT @erfagen: What is the digital? A multiplicity of things that don't necessarily play together. Definitely a challenge! #histcomm</t>
  </si>
  <si>
    <t>We need a "variety of histories" tailored to the digital medium it's being told on, says @smrobertson3 #histcomm</t>
  </si>
  <si>
    <t>.@smrobertson3 on Twitter: "With 140 characters, it's not a seamless transition from a dissertation." #histcomm</t>
  </si>
  <si>
    <t>Say @smrobertson3 and @cathystanton, can't see digital as a monolith. Many different mediums have different purposes, stories #histcomm</t>
  </si>
  <si>
    <t>RT @rebekkahrubin: Next up: @cathystanton and @smrobertson3 discussing the place of the digital in #histcomm.</t>
  </si>
  <si>
    <t>Goodness, this is round 4, not 3. This is moving quickly. Lightning-fast, even. #histcomm</t>
  </si>
  <si>
    <t>@natematias @defactofecteau #histcomm summit on history communications. Check out @JasonSteinhauer 😀</t>
  </si>
  <si>
    <t>RT @JulieThePH: Say @smrobertson3 and @cathystanton, can't see digital as a monolith. Many different mediums have different purposes, stori…</t>
  </si>
  <si>
    <t>.@smrobertson3 what can Twitter do for us? How can it help doing history? (Feeling very #meta right now...) #histcomm</t>
  </si>
  <si>
    <t>RT @sheishistoric: We need a "variety of histories" tailored to the digital medium it's being told on, says @smrobertson3 #histcomm</t>
  </si>
  <si>
    <t>.@smrobertson3 asks what can you do on Twitter in transmitting history. #histcomm</t>
  </si>
  <si>
    <t>RT @pastpunditry: Round 3: “Can we still refer to the digital as a separate strand within #histcomm?” Should we lose the sense of novelty a…</t>
  </si>
  <si>
    <t>Now getting to yet other foundational questions: reflection on nature of #digital must precede debates on its use #histcomm</t>
  </si>
  <si>
    <t>RT @juliegpeterson: .@smrobertson3 on Twitter: "With 140 characters, it's not a seamless transition from a dissertation." #histcomm</t>
  </si>
  <si>
    <t>What is "the digital" we are referring to with digital history? Why a perpetual sense of novelty with digital work? #histcomm</t>
  </si>
  <si>
    <t>The internet can cause you to lose your sense of audience, says @cathystanton — you feel like you’re aiming at the entire world. #histcomm</t>
  </si>
  <si>
    <t>"When you deal with the internet you somehow have the sense that you're trying to reach the entire world."- @cathystanton #histcomm</t>
  </si>
  <si>
    <t>RT @jamiaw: If you can't get the details right get the heart right-@sholalynch on editing history #histcomm</t>
  </si>
  <si>
    <t>Says @cathystanton we can't think of a digital public as a mass public. It actually is many publics and must be tailored. #histcomm</t>
  </si>
  <si>
    <t>RT @rebekkahrubin: "When you deal with the internet you somehow have the sense that you're trying to reach the entire world."- @cathystanto…</t>
  </si>
  <si>
    <t>RT @erfagen: .@smrobertson3 what can Twitter do for us? How can it help doing history? (Feeling very #meta right now...) #histcomm</t>
  </si>
  <si>
    <t>The internet hasn’t broken down boundaries, @smrobertson3 —still lots of digital silos. #histcomm</t>
  </si>
  <si>
    <t>Alisha Rankin</t>
  </si>
  <si>
    <t>Historian of science and medicine, professor, mom.</t>
  </si>
  <si>
    <t>RT @JulieThePH: Says @cathystanton we can't think of a digital public as a mass public. It actually is many publics and must be tailored. #…</t>
  </si>
  <si>
    <t>RT @CitizenWald: Now getting to yet other foundational questions: reflection on nature of #digital must precede debates on its use #histcomm</t>
  </si>
  <si>
    <t>RT @allisonhorrocks: What is "the digital" we are referring to with digital history? Why a perpetual sense of novelty with digital work? #h…</t>
  </si>
  <si>
    <t>Digital communication sometimes creates communities just as narrow as communities that existed before.But potential is greater #histcomm</t>
  </si>
  <si>
    <t>RT @pastpunditry: The internet can cause you to lose your sense of audience, says @cathystanton — you feel like you’re aiming at the entire…</t>
  </si>
  <si>
    <t>.@cathystanton we tend to think of the Internet for the general public. But is it really all that accessible? Yes, great point! #histcomm</t>
  </si>
  <si>
    <t>RT @erfagen: .@cathystanton we tend to think of the Internet for the general public. But is it really all that accessible? Yes, great point…</t>
  </si>
  <si>
    <t>People think about using the Internet to talk to the world. But@cathystanton and @smrobertson3 talks about targeting audiences #histcomm</t>
  </si>
  <si>
    <t>"Who are you talking to on a platform?" - @smrobertson3 #histcomm</t>
  </si>
  <si>
    <t>Actually, says @smrobertson3, some of the best digital projects are deeply tied to material place. Yes. Think mapping projects. #histcomm</t>
  </si>
  <si>
    <t>The internet is a visual medium, @smrobertson3 says. That has limitations, but also opportunities. #histcomm</t>
  </si>
  <si>
    <t>RT @JulieThePH: Actually, says @smrobertson3, some of the best digital projects are deeply tied to material place. Yes. Think mapping proje…</t>
  </si>
  <si>
    <t>Maggie Yancey</t>
  </si>
  <si>
    <t>RT @JimGrossmanAHA: Digital communication sometimes creates communities just as narrow as communities that existed before.But potential is …</t>
  </si>
  <si>
    <t>also tweet for @SCWHistorians</t>
  </si>
  <si>
    <t>Civil War &amp; Alcohol Historian, Ph.D. Candidate in American History at the University of Tennessee, musician on the side, devotee of yoga &amp; the Pekingese.</t>
  </si>
  <si>
    <t>As in other media.There is never a single "public." Different publics have different histories &amp; cultures #histcomm https://t.co/sRKJiMfW0V</t>
  </si>
  <si>
    <t>RT @JimGrossmanAHA: As in other media.There is never a single "public." Different publics have different histories &amp; cultures #histcomm ht…</t>
  </si>
  <si>
    <t>People find their channels and streams of information and lock into those. Often tied to place according to @smrobertson3 #histcomm</t>
  </si>
  <si>
    <t>RT @pastpunditry: The internet hasn’t broken down boundaries, @smrobertson3 —still lots of digital silos. #histcomm</t>
  </si>
  <si>
    <t>.@smrobertson3 Twitter isn't just 140 characters. Tied to photos/videos. Much more visual. Yes, absolutely. Amirite @rebeccaonion? #histcomm</t>
  </si>
  <si>
    <t>"What can we do in this medium that we can't do in other places?" @smrobertson3 re: digital history and moving beyond text #histcomm</t>
  </si>
  <si>
    <t>What kind of outcomes do audiences expect on particular platforms? Twitter difft, says @smrobertson3 than his large map projects. #histcomm</t>
  </si>
  <si>
    <t>RT @sheishistoric: "What can we do in this medium that we can't do in other places?" @smrobertson3 re: digital history and moving beyond te…</t>
  </si>
  <si>
    <t>.@cathystanton history has always been about the visual...I have to agree! #histcomm</t>
  </si>
  <si>
    <t>Says @cathystanton, museums and public historians have been doing visual work for decades. @smrobertson3 mentions @omeka #histcomm</t>
  </si>
  <si>
    <t>.@smrobertson3 gets to the bigger pictures: this isn’t just about professional historians, but how we train students. #histcomm</t>
  </si>
  <si>
    <t>RT @JulieThePH: Says @cathystanton, museums and public historians have been doing visual work for decades. @smrobertson3 mentions @omeka #h…</t>
  </si>
  <si>
    <t>.@cathystanton conventional historians think about texts, but #publichistory, exhibits, etc. reconsider that model #histcomm</t>
  </si>
  <si>
    <t>.@smrobertson3 speaking about the usefulness of @omeka. Great points. #histcomm</t>
  </si>
  <si>
    <t>.@smrobertson3 notes that many #historians aren't very comfortable w the visual--even as we are expected to work more with images #histcomm</t>
  </si>
  <si>
    <t>Christian McWhirter</t>
  </si>
  <si>
    <t>Historian. Pop Culture Obsessive. Editor at The Papers of Abraham Lincoln and the Journal of the Abraham Lincoln Association. https://t.co/dd3ImlUS5N</t>
  </si>
  <si>
    <t>RT @CitizenWald: .@smrobertson3 notes that many #historians aren't very comfortable w the visual--even as we are expected to work more with…</t>
  </si>
  <si>
    <t>RT @pastpunditry: The internet is a visual medium, @smrobertson3 says. That has limitations, but also opportunities. #histcomm</t>
  </si>
  <si>
    <t>RT @pastpunditry: .@smrobertson3 gets to the bigger pictures: this isn’t just about professional historians, but how we train students. #hi…</t>
  </si>
  <si>
    <t>RT @rebekkahrubin: People find their channels and streams of information and lock into those. Often tied to place according to @smrobertson…</t>
  </si>
  <si>
    <t>“Where the digital is is not everybody, it’s a variety of audiences,” says @smrobertson3 #histcomm</t>
  </si>
  <si>
    <t>RT @erfagen: .@smrobertson3 Twitter isn't just 140 characters. Tied to photos/videos. Much more visual. Yes, absolutely. Amirite @rebeccaon…</t>
  </si>
  <si>
    <t>Questions about audience and reach need to be considered w digital work - is work that's online necessarily reaching more people? #histcomm</t>
  </si>
  <si>
    <t>Now: @JulioCapoJr &amp; @AmandaMoniz1 on insiders v outsiders in #histcomm</t>
  </si>
  <si>
    <t>RT @juliegpeterson: .@cathystanton conventional historians think about texts, but #publichistory, exhibits, etc. reconsider that model #his…</t>
  </si>
  <si>
    <t>The History List</t>
  </si>
  <si>
    <t>Throughout the United States</t>
  </si>
  <si>
    <t>History-related events across the country, plus research and tools to help attract visitors to historic sites. Also the folks behind http://t.co/zt0HlUWZSz.</t>
  </si>
  <si>
    <t>@UMassHistory's @JulioCapoJr now speaking! #histcomm</t>
  </si>
  <si>
    <t>.@JulioCapoJr draws parallel to the election, a battle over who’s the most unqualified. #histcomm</t>
  </si>
  <si>
    <t>.@AmandaMoniz1 and @JulioCapoJr on insiders vs. outsiders in history #histcomm</t>
  </si>
  <si>
    <t>Next pair: @AmandaMoniz1 and @juliocapo discussing insiders/outsiders of #histcomm.</t>
  </si>
  <si>
    <t>RT @pastpunditry: Now: @JulioCapoJr &amp; @AmandaMoniz1 on insiders v outsiders in #histcomm</t>
  </si>
  <si>
    <t>RT @erfagen: @UMassHistory's @JulioCapoJr now speaking! #histcomm</t>
  </si>
  <si>
    <t>"Online" isn't an audience. Online publishing doesn't mean you automatically get more readers say @smrobertson3 + @cathystanton #histcomm</t>
  </si>
  <si>
    <t>Key: just because online doesn't mean reaching more people. @smrobertson3 #histcomm</t>
  </si>
  <si>
    <t>RT @juliegpeterson: .@AmandaMoniz1 and @JulioCapoJr on insiders vs. outsiders in history #histcomm</t>
  </si>
  <si>
    <t>.@AmandaMoniz1 doesn’t believe a) academics are cloistered in academia nor b) that they need oxygen from outside. #histcomm</t>
  </si>
  <si>
    <t>.@AmandaMoniz1 is questioning "insider/outsider dichotomy." #histcomm</t>
  </si>
  <si>
    <t>RT @rebekkahrubin: .@AmandaMoniz1 is questioning "insider/outsider dichotomy." #histcomm</t>
  </si>
  <si>
    <t>RT @magmidd: "Online" isn't an audience. Online publishing doesn't mean you automatically get more readers say @smrobertson3 + @cathystanto…</t>
  </si>
  <si>
    <t>.@AmandaMoniz1 questions the dichotomy of insider/outsider, as does @JulioCapoJr: "Fight the binary!" #histcomm</t>
  </si>
  <si>
    <t>GIS Sharer</t>
  </si>
  <si>
    <t>Living with kyroskoh (SG)</t>
  </si>
  <si>
    <t>Follow Me and Mention #Mapping, #GeoSpatial, #Cartography, #Geomatics, #mapillustration, @GIS_Sharer on your Tweet. Creator: @kyroskoh, 08 Dec 2015</t>
  </si>
  <si>
    <t>.@smrobertson3 making a point I always argue to retrograde faculty: throwing something on the web is not communicating w the world #histcomm</t>
  </si>
  <si>
    <t>RT @pastpunditry: .@AmandaMoniz1 doesn’t believe a) academics are cloistered in academia nor b) that they need oxygen from outside. #histco…</t>
  </si>
  <si>
    <t>. @JulioCapoJr talking about historians as insiders/outsiders #histcomm</t>
  </si>
  <si>
    <t>Moniz: questions earlier reference to "bringing oxygen into the academy." This assumes dichotomy that flattens academic landscape #histcomm</t>
  </si>
  <si>
    <t>RT @CitizenWald: .@smrobertson3 making a point I always argue to retrograde faculty: throwing something on the web is not communicating w t…</t>
  </si>
  <si>
    <t>RT @MedeaCulpa: . @JulioCapoJr talking about historians as insiders/outsiders #histcomm</t>
  </si>
  <si>
    <t>.@JulioCapoJr talks about covering Katrina, &amp; how the wrong questions (no questions) were being asked. Couldn’t just cover storm. #histcomm</t>
  </si>
  <si>
    <t>RT @JimGrossmanAHA: Moniz: questions earlier reference to "bringing oxygen into the academy." This assumes dichotomy that flattens academic…</t>
  </si>
  <si>
    <t>RT @pastpunditry: .@JulioCapoJr talks about covering Katrina, &amp; how the wrong questions (no questions) were being asked. Couldn’t just cove…</t>
  </si>
  <si>
    <t>Both @AmandaMoniz1 and @JulioCapoJr push back against binary of their "insider/outsider" assignment #histcomm</t>
  </si>
  <si>
    <t>Wherever we work we have to work. One earns an audience #histcomm https://t.co/vaW8SxjrmV</t>
  </si>
  <si>
    <t>Which draws attention to the importance both of asking the right questions &amp; bringing new perspectives to conversation. #histcomm</t>
  </si>
  <si>
    <t>.@JulioCapoJr says covering Katrina as a journalist inspired him to become a historian b/c important questions not being asked #histcomm</t>
  </si>
  <si>
    <t>RT @juliegpeterson: .@JulioCapoJr says covering Katrina as a journalist inspired him to become a historian b/c important questions not bein…</t>
  </si>
  <si>
    <t>.@AmandaMoniz1 there is more than one way to tell a story. Through food, through text. Informs how she approaches history. #histcomm</t>
  </si>
  <si>
    <t>.@AmandaMoniz1 calls attention to doing history through food, which I AM HERE FOR. #histcomm #pastrepast</t>
  </si>
  <si>
    <t>.@JulioCapoJr discussing work as a journalist-- started grad school so history could help do justice to stories. #histcomm</t>
  </si>
  <si>
    <t>RT @erfagen: .@AmandaMoniz1 there is more than one way to tell a story. Through food, through text. Informs how she approaches history. #hi…</t>
  </si>
  <si>
    <t>Let's get back to the basics, says @AmandaMoniz1: "we're talking!" #histcomm</t>
  </si>
  <si>
    <t>Food as storytelling radically alters our attachments to text and visuals. #histcomm</t>
  </si>
  <si>
    <t>Moniz:hiistorians "tell stories in different ways for different audiences."This should be part of grad educ. Learn to do this #histcomm</t>
  </si>
  <si>
    <t>.@AmandaMoniz1 there are different ways to tell stories. Not just through technology. Maybe through recipes says @JulioCapoJr. #histcomm</t>
  </si>
  <si>
    <t>.@AmandaMoniz1 approaches history like she approached former job as pastry chef- different "recipes" for different settings. #histcomm</t>
  </si>
  <si>
    <t>Rosemary G. Feal</t>
  </si>
  <si>
    <t>RT @JimGrossmanAHA: Moniz:hiistorians "tell stories in different ways for different audiences."This should be part of grad educ. Learn to d…</t>
  </si>
  <si>
    <t>Executive director of the Modern Language Association. Opinions mine. Follow @MLAconvention, @MLAnews, and @MLACommons for MLA info. I reply to email at MLA.</t>
  </si>
  <si>
    <t>RT @rebekkahrubin: .@JulioCapoJr discussing work as a journalist-- started grad school so history could help do justice to stories. #histco…</t>
  </si>
  <si>
    <t>Lindsay Parker</t>
  </si>
  <si>
    <t>I'm a museum educator by training. But it's a big world, and I'm drawn to all complex educational problems regardless of the setting. (also @SensoryMuse)</t>
  </si>
  <si>
    <t>Crucial issue of how historical thinking generates questions different from conventional wisdoms. #histcomm #history https://t.co/ktIjSs3mc9</t>
  </si>
  <si>
    <t>The positioning of outsider/insider offer different opportunities, @AmandaMoniz1 says. #histcomm</t>
  </si>
  <si>
    <t>.@AmandaMoniz1 thinks it's v. powerful when she teaches a historical recipe to someone and they go on to teach others. #histcomm</t>
  </si>
  <si>
    <t>RT @JimGrossmanAHA: Crucial issue of how historical thinking generates questions different from conventional wisdoms. #histcomm #history ht…</t>
  </si>
  <si>
    <t>RT @juliegpeterson: .@AmandaMoniz1 approaches history like she approached former job as pastry chef- different "recipes" for different sett…</t>
  </si>
  <si>
    <t>RT @rebekkahrubin: .@AmandaMoniz1 thinks it's v. powerful when she teaches a historical recipe to someone and they go on to teach others. #…</t>
  </si>
  <si>
    <t>Being an outsider allows you to speak to a broader audience - thought provoking #histcomm</t>
  </si>
  <si>
    <t>Lavanya Vemsani Ph.D</t>
  </si>
  <si>
    <t xml:space="preserve">Shawnee State University </t>
  </si>
  <si>
    <t>Professor, History &amp; Religious St Author: Hindu &amp; Jain Mythology of Balarama Editor: International Journal of Dharma and Hindu Studies https://t.co/jPDg850kfn</t>
  </si>
  <si>
    <t>Whereas as an insider, gives you more authority, perhaps. #histcomm https://t.co/k8synRinAF</t>
  </si>
  <si>
    <t>This insider/outsider question as a historian one I think about often as ethnic studies scholar #histcomm</t>
  </si>
  <si>
    <t>.@JulioCapoJr discusses times when being too much of an "insider" is problematic. #histcomm</t>
  </si>
  <si>
    <t>RT @MedeaCulpa: This insider/outsider question as a historian one I think about often as ethnic studies scholar #histcomm</t>
  </si>
  <si>
    <t>RT @juliegpeterson: .@JulioCapoJr discusses times when being too much of an "insider" is problematic. #histcomm</t>
  </si>
  <si>
    <t>RT @pastpunditry: Whereas as an insider, gives you more authority, perhaps. #histcomm https://t.co/k8synRinAF</t>
  </si>
  <si>
    <t>RT @defactofecteau: Being an outsider allows you to speak to a broader audience - thought provoking #histcomm</t>
  </si>
  <si>
    <t>How do we bring outsiders in? @JulioCapoJr asks, tying back to the editing conversation. #histcomm</t>
  </si>
  <si>
    <t>.@JulioCapoJr returns to convo re: editing in as a way to rethink insider/outsider barriers #histcomm</t>
  </si>
  <si>
    <t>.@JulioCapoJr on insider/outsider status as a journo &amp; as historian-teaching &amp;amp; reimagining is editing in #histcomm https://t.co/VcSbDlQC0F</t>
  </si>
  <si>
    <t>.@AmandaMoniz1 on food #history reminds me: @KosherSoul work on African American #history &amp; culinary justice would b perfect here #histcomm</t>
  </si>
  <si>
    <t>RT @pastpunditry: How do we bring outsiders in? @JulioCapoJr asks, tying back to the editing conversation. #histcomm</t>
  </si>
  <si>
    <t>RT @CitizenWald: .@AmandaMoniz1 on food #history reminds me: @KosherSoul work on African American #history &amp; culinary justice would b perfe…</t>
  </si>
  <si>
    <t>RT @juliegpeterson: .@JulioCapoJr returns to convo re: editing in as a way to rethink insider/outsider barriers #histcomm</t>
  </si>
  <si>
    <t>"We do wear a lot of hats and we can wear a lot of hats."- @AmandaMoniz1 #histcomm</t>
  </si>
  <si>
    <t>“We wear lots of hats,” @AmandaMoniz1 notes of #histcomm folks. TRUTH.</t>
  </si>
  <si>
    <t>SensoryMuse</t>
  </si>
  <si>
    <t>@objectsrock loves accessible culture for sensory disorders such as #add #adhd #aspergers #autism #chronicpain #fibromyalgia #SPD</t>
  </si>
  <si>
    <t>RT @JulieThePH: Both @AmandaMoniz1 and @JulioCapoJr push back against binary of their "insider/outsider" assignment #histcomm</t>
  </si>
  <si>
    <t>And now our penultimate round: @KathrynBrownell &amp; @SciencEric. #histcomm</t>
  </si>
  <si>
    <t>RT @jamiaw: .@JulioCapoJr on insider/outsider status as a journo &amp; as historian-teaching &amp;amp; reimagining is editing in #histcomm https://t.co…</t>
  </si>
  <si>
    <t>RT @pastpunditry: And now our penultimate round: @KathrynBrownell &amp; @SciencEric. #histcomm</t>
  </si>
  <si>
    <t>RT @rebekkahrubin: "We do wear a lot of hats and we can wear a lot of hats."- @AmandaMoniz1 #histcomm</t>
  </si>
  <si>
    <t>.@KathrynBrownell and @SciencEric on history and the media, through lens of entertainment #histcomm</t>
  </si>
  <si>
    <t>To get at the question of media &amp; information, @KathrynBrownell &amp;amp; @SciencEric are using the lens of entertainment. #histcomm</t>
  </si>
  <si>
    <t>.@AmandaMoniz1 and @JulioCapoJr talk about the many hats 👒🎩👑 they wear as insiders/outsiders in their field. #histcomm</t>
  </si>
  <si>
    <t>Red Shirt #2</t>
  </si>
  <si>
    <t>Pocumtuc/Abenaky borderlands</t>
  </si>
  <si>
    <t>The evil genius's right-hand man. ricochet:mxf4cckfdrqaa2rl</t>
  </si>
  <si>
    <t>RT @pastpunditry: To get at the question of media &amp; information, @KathrynBrownell &amp;amp; @SciencEric are using the lens of entertainment. #histc…</t>
  </si>
  <si>
    <t>How can entertainment be a tool for #histcomm folks? @KathrynBrownell asks.</t>
  </si>
  <si>
    <t>Next @KathrynBrownell and @SciencEric take on intersection of media, entertainment, history #histcomm</t>
  </si>
  <si>
    <t>RT @juliegpeterson: .@KathrynBrownell and @SciencEric on history and the media, through lens of entertainment #histcomm</t>
  </si>
  <si>
    <t>How can entertainment be a tool for communicating academic history? #histcomm learning and entertainment need not be mutually exclusive</t>
  </si>
  <si>
    <t>Using entertainment as a educational tool to communicate history (or science) #histcomm</t>
  </si>
  <si>
    <t>Learning and entertainment aren’t mutually exclusive, @SciencEric argues. #histcomm</t>
  </si>
  <si>
    <t>.@KathrynBrownell how do we bridge the gap between history and entertainment? Great question... #histcomm</t>
  </si>
  <si>
    <t>What comes first, your entertainment or your scholarship? @KathrynBrownell smartly asks. #histcomm</t>
  </si>
  <si>
    <t>RT @pastpunditry: How can entertainment be a tool for #histcomm folks? @KathrynBrownell asks.</t>
  </si>
  <si>
    <t>Should history be entertaining? @KathrynBrownell uses it as a tool, but must be secondary to content. #histcomm</t>
  </si>
  <si>
    <t>RT @JulieThePH: Should history be entertaining? @KathrynBrownell uses it as a tool, but must be secondary to content. #histcomm</t>
  </si>
  <si>
    <t>.@KathrynBrownell we can use entertainment as a tool. Uses it when she teaches. I admit, I've used memes while teaching. #histcomm</t>
  </si>
  <si>
    <t>Thanks to @JulioCapoJr for a great lighting convo at #histcomm.</t>
  </si>
  <si>
    <t>.@kathrynbrownell and @ericschul discussing media and entertainment-- really intrigued to hear from a science communicator. #histcomm</t>
  </si>
  <si>
    <t>RT @pastpunditry: What comes first, your entertainment or your scholarship? @KathrynBrownell smartly asks. #histcomm</t>
  </si>
  <si>
    <t>.@SciencEric brings up the economic issue, which DON’T GET ME STARTED. #histcomm</t>
  </si>
  <si>
    <t>RT @erfagen: .@KathrynBrownell we can use entertainment as a tool. Uses it when she teaches. I admit, I've used memes while teaching. #hist…</t>
  </si>
  <si>
    <t>.@SciencEric who loves science? Shoutout! #histcomm</t>
  </si>
  <si>
    <t>RT @AmandaMoniz1: Thanks to @JulioCapoJr for a great lighting convo at #histcomm.</t>
  </si>
  <si>
    <t>For better or worse, entertainment confers economic value says @SciencEric. @KathrynBrownell asks should we train students in it? #histcomm</t>
  </si>
  <si>
    <t>Is creativity something we should learn in becoming a professional historian? I vote yes!! #histcomm</t>
  </si>
  <si>
    <t>.@KathrynBrownell: should we teach entertainment as part of grad training? #histcomm</t>
  </si>
  <si>
    <t>RT @defactofecteau: Is creativity something we should learn in becoming a professional historian? I vote yes!! #histcomm</t>
  </si>
  <si>
    <t>Role of creativity in #histcomm? @KathrynBrownell @SciencEric</t>
  </si>
  <si>
    <t>.@SciencEric: What we have learned from the science of creativity is that collaboration is the best thing. #histcomm</t>
  </si>
  <si>
    <t>RT @JulieThePH: For better or worse, entertainment confers economic value says @SciencEric. @KathrynBrownell asks should we train students …</t>
  </si>
  <si>
    <t>RT @jamiaw: .@SciencEric: What we have learned from the science of creativity is that collaboration is the best thing. #histcomm</t>
  </si>
  <si>
    <t>Still my goal 2 get @KosherSoul up here 2 talk #history, culinary justice. Meanwhile read his Cooking Gene https://t.co/fAAsOh8djy #histcomm</t>
  </si>
  <si>
    <t>RT @erfagen: .@SciencEric who loves science? Shoutout! #histcomm</t>
  </si>
  <si>
    <t>LaTanya S. Autry</t>
  </si>
  <si>
    <t>New Haven, CT, USA</t>
  </si>
  <si>
    <t>Working on a PhD in art history @ UDel. I focus on arts &amp; public culture- memorials/photography/museums. Social Justice &amp; Museums guide https://t.co/rP6RaoctWv</t>
  </si>
  <si>
    <t>Describing (interestingly) both what we do and what we know is hard to meld, @SciencEric says, but doing both is critical. #histcomm</t>
  </si>
  <si>
    <t>.@SciencEric Science communicator vs scientist communicator? @KathrynBrownell asks should they be both? #histcomm</t>
  </si>
  <si>
    <t>Michael W. Twitty</t>
  </si>
  <si>
    <t>RT @CitizenWald: Still my goal 2 get @KosherSoul up here 2 talk #history, culinary justice. Meanwhile read his Cooking Gene https://t.co/fA…</t>
  </si>
  <si>
    <t>Washington D.C. area</t>
  </si>
  <si>
    <t>African American-Jewish culinary historian Author of the forthcoming book The Cooking Gene (HarperCollins November 2016) #TEDFELLOW</t>
  </si>
  <si>
    <t>RT @pastpunditry: .@KathrynBrownell: should we teach entertainment as part of grad training? #histcomm</t>
  </si>
  <si>
    <t>"Learning and entertainment are never mutually exclusive."-@SciencEric #histcomm</t>
  </si>
  <si>
    <t>Are teaching students &amp; reaching “the public” the same process? Does entertainment play same role in each? @KathrynBrownell asks #histcomm</t>
  </si>
  <si>
    <t>RT @juliegpeterson: "Learning and entertainment are never mutually exclusive."-@SciencEric #histcomm</t>
  </si>
  <si>
    <t>Learning and entertainment are not mutually exclusive, says @SciencEric #histcomm</t>
  </si>
  <si>
    <t>RT @pastpunditry: Are teaching students &amp; reaching “the public” the same process? Does entertainment play same role in each? @KathrynBrowne…</t>
  </si>
  <si>
    <t>"Learning and entertainment are never mutually exclusive."- @SciencEric #histcomm</t>
  </si>
  <si>
    <t>.@SciencEric I teach a lot of people everyday. Doesn't meet most of them! (Since they're all online!) #histcomm</t>
  </si>
  <si>
    <t>How do we teach people we will never meet or see? #histcomm</t>
  </si>
  <si>
    <t>RT @juliegpeterson: .@SciencEric Science communicator vs scientist communicator? @KathrynBrownell asks should they be both? #histcomm</t>
  </si>
  <si>
    <t>Start w/ how students learn. Should lead to "entertainment" b/c meets students at their interests &amp; goals.#histcomm https://t.co/tkxEwA39Pp</t>
  </si>
  <si>
    <t>"Teaching is not a one-way conversation," @KathrynBrownell argues. #histcomm</t>
  </si>
  <si>
    <t>Interesting to think about teaching people you never meet, as in MOOCS, online tv shows, etc. @SciencEric @KathrynBrownell #histcomm</t>
  </si>
  <si>
    <t>RT @defactofecteau: How do we teach people we will never meet or see? #histcomm</t>
  </si>
  <si>
    <t>Hearing new BFF @SciencEric wax scientific &amp; excited for us to talk more about science &amp;amp; @Beyonce 👑 🐝#histcomm https://t.co/bmjz8orJhv</t>
  </si>
  <si>
    <t>RT @JimGrossmanAHA: Start w/ how students learn. Should lead to "entertainment" b/c meets students at their interests &amp; goals.#histcomm ht…</t>
  </si>
  <si>
    <t>RT @erfagen: .@SciencEric I teach a lot of people everyday. Doesn't meet most of them! (Since they're all online!) #histcomm</t>
  </si>
  <si>
    <t>.@SciencEric doesn't meet most of the people he educates. #histcomm</t>
  </si>
  <si>
    <t>RT @pastpunditry: "Teaching is not a one-way conversation," @KathrynBrownell argues. #histcomm</t>
  </si>
  <si>
    <t>Understanding different ways to convey historical scholarship can only help students! #histcomm #historyrelevance https://t.co/dmxFFsBVl1</t>
  </si>
  <si>
    <t>RT @juliegpeterson: Interesting to think about teaching people you never meet, as in MOOCS, online tv shows, etc. @SciencEric @KathrynBrown…</t>
  </si>
  <si>
    <t>“It sometimes takes a falsehood to convey a truth,” said one of Nixon’s advisers. Should we do the same? @KathrynBrownell asks. #histcomm</t>
  </si>
  <si>
    <t>RT @historycampaign: Understanding different ways to convey historical scholarship can only help students! #histcomm #historyrelevance htt…</t>
  </si>
  <si>
    <t>.@KathrynBrownell Ethics of entertainment and history? Conveying essence/ idea of history rather than full truth/hard facts #histcomm</t>
  </si>
  <si>
    <t>The importance is to shed some nuance while retaining the essential truth, argues @SciencEric #histcomm</t>
  </si>
  <si>
    <t>.@SciencEric there is an art to using nuance. Definitely agree! #histcomm</t>
  </si>
  <si>
    <t>There's an art to losing nuance &amp; to knowing what to omit when communicating science.- @SciencEric #histcomm</t>
  </si>
  <si>
    <t>Our last panel: @JulieThePH &amp; @edward_l_ayers! #histcomm</t>
  </si>
  <si>
    <t>Naomi Weinberger</t>
  </si>
  <si>
    <t>SIPA, Columbia U</t>
  </si>
  <si>
    <t>always intrigued by global insecurities</t>
  </si>
  <si>
    <t>@amanda_lyons is the master of communication with incredible art! #histcomm</t>
  </si>
  <si>
    <t>RT @juliegpeterson: .@KathrynBrownell Ethics of entertainment and history? Conveying essence/ idea of history rather than full truth/hard f…</t>
  </si>
  <si>
    <t>Final convo of the evening btwn @JulieThePH and @edward_l_ayers on #histcomm in education</t>
  </si>
  <si>
    <t>.@SciencEric: There's an art of using nuance when tweeting science to know what to omit &amp; still maintain meaning #histcomm</t>
  </si>
  <si>
    <t>RT @allisonhorrocks: How can entertainment be a tool for communicating academic history? #histcomm learning and entertainment need not be m…</t>
  </si>
  <si>
    <t>RT @defactofecteau: @amanda_lyons is the master of communication with incredible art! #histcomm</t>
  </si>
  <si>
    <t>.@edward_l_ayers: We already talk to a public in places like museum. So how do new technologies allow us to reach those audiences? #histcomm</t>
  </si>
  <si>
    <t>Last pair: @JulieThePH and @edward_l_ayers talking about education. #histcomm</t>
  </si>
  <si>
    <t>.@JulieThePH talks about her impressive work at @brooklynhistory #histcomm</t>
  </si>
  <si>
    <t>RT @rebekkahrubin: There's an art to losing nuance &amp; to knowing what to omit when communicating science.- @SciencEric #histcomm</t>
  </si>
  <si>
    <t>.@JulieThePH Museum setting/archives as "laboratory" of history #histcomm</t>
  </si>
  <si>
    <t>.@edward_l_ayers asks if museums really are our most trusted conveyors of history. @JulieThePH says, yeah, that’s right. #histcomm</t>
  </si>
  <si>
    <t>RT @juliegpeterson: .@JulieThePH Museum setting/archives as "laboratory" of history #histcomm</t>
  </si>
  <si>
    <t>RT @pastpunditry: .@edward_l_ayers: We already talk to a public in places like museum. So how do new technologies allow us to reach those a…</t>
  </si>
  <si>
    <t>Discussing statistics that history institutions are the most trusted among public institutions. #histcomm</t>
  </si>
  <si>
    <t>@JulieThePH Museum as "ground zero of education."Students learn how historical thinking happens and how history is built. #histcomm</t>
  </si>
  <si>
    <t>Making vs. Ingesting history #histcomm</t>
  </si>
  <si>
    <t>.@JulieThePH says the challenge is to show visitors that they’re “not just ingesting history but making history.” #histcomm</t>
  </si>
  <si>
    <t>RT @JimGrossmanAHA: @JulieThePH Museum as "ground zero of education."Students learn how historical thinking happens and how history is buil…</t>
  </si>
  <si>
    <t>Christopher Nichols</t>
  </si>
  <si>
    <t>RT @pastpunditry: .@edward_l_ayers asks if museums really are our most trusted conveyors of history. @JulieThePH says, yeah, that’s right. …</t>
  </si>
  <si>
    <t>Corvallis, OR</t>
  </si>
  <si>
    <t>Historian @ Oregon State University. Author of Promise and Peril: America at the Dawn of a Global Age. Co-editor/Co-Author of Prophesies of Godlessness. OEAMDH.</t>
  </si>
  <si>
    <t>.@JulieThePH wants to shake up what students think about history. Make them aware that they are making history. #histcomm</t>
  </si>
  <si>
    <t>RT @pastpunditry: .@JulieThePH says the challenge is to show visitors that they’re “not just ingesting history but making history.” #histco…</t>
  </si>
  <si>
    <t>When students who visit historic institutions can feel empathy it is groundbreaking-@JulieThePH #histcomm</t>
  </si>
  <si>
    <t>RT @rebekkahrubin: Last pair: @JulieThePH and @edward_l_ayers talking about education. #histcomm</t>
  </si>
  <si>
    <t>RT @jamiaw: When students who visit historic institutions can feel empathy it is groundbreaking-@JulieThePH #histcomm</t>
  </si>
  <si>
    <t>RT @jamiaw: .@SciencEric: There's an art of using nuance when tweeting science to know what to omit &amp; still maintain meaning #histcomm</t>
  </si>
  <si>
    <t>.@JulieThePH points to a quality-v-quantity challenge: who are we trying to reach? Everyone? Or particular audiences? #histcomm</t>
  </si>
  <si>
    <t>Fort Plain Museum</t>
  </si>
  <si>
    <t>Mohawk Valley NY</t>
  </si>
  <si>
    <t>The Fort Plain Museum is a not-for-profit Museum dedicated to the History of Revolutionary War Fort Rensselear later named Fort Plain.</t>
  </si>
  <si>
    <t>Amelia T. Grabowski</t>
  </si>
  <si>
    <t>Baltimore, MD</t>
  </si>
  <si>
    <t>What are stories people should know, but don’t? How can those stories be shared? What makes those stories matter? Educator at @clarabartonmso &amp; @civilwarmed</t>
  </si>
  <si>
    <t>.@JulieThePH says that history can be presented as something you are making rather than something to ingest. #histcomm</t>
  </si>
  <si>
    <t>Do you think you can create a personal experience across vast audiences? @edward_l_ayers asks. #histcomm</t>
  </si>
  <si>
    <t>.@JulieThePH notes quality vs quantity issue--quality experience for small number of visitors or trying to reach broader audiences.#histcomm</t>
  </si>
  <si>
    <t>Had to leave early but had a GREAT time at the #histcomm lightning sessions!!</t>
  </si>
  <si>
    <t>.@edward_l_ayers people can be touched by history in different ways. #histcomm</t>
  </si>
  <si>
    <t>.@edward_l_ayers points to the “audience bagel problem”: we reach very young &amp; very old, but not middle (the history donut hole) #histcomm</t>
  </si>
  <si>
    <t>RT @sheishistoric: Had to leave early but had a GREAT time at the #histcomm lightning sessions!!</t>
  </si>
  <si>
    <t>. @JulieThePH "an intimate history engages students more than a sweeping history" #histcomm</t>
  </si>
  <si>
    <t>RT @erfagen: .@edward_l_ayers people can be touched by history in different ways. #histcomm</t>
  </si>
  <si>
    <t>RT @MedeaCulpa: . @JulieThePH "an intimate history engages students more than a sweeping history" #histcomm</t>
  </si>
  <si>
    <t>Small- and mid-sized institutions are doing terrific work reaching specific audiences, @JulieThePH argues. #histcomm</t>
  </si>
  <si>
    <t>RT @pastpunditry: Small- and mid-sized institutions are doing terrific work reaching specific audiences, @JulieThePH argues. #histcomm</t>
  </si>
  <si>
    <t>.@pastpunditry So glad you articulated the history donut comment for the twitterverse #twitterstorians #histcomm https://t.co/pOTZ1pJjd4</t>
  </si>
  <si>
    <t>.@JulieThePH when students visit sites and understand it, it can lead to the democratization of archives. #histcomm</t>
  </si>
  <si>
    <t>Museums &amp; great teachers are what fills @edward_l_ayers classes. That’s where early inspiration comes from. #histcomm</t>
  </si>
  <si>
    <t>RT @erfagen: .@JulieThePH when students visit sites and understand it, it can lead to the democratization of archives. #histcomm</t>
  </si>
  <si>
    <t>Bringing schoolchildren into archives is a way to remind young people that history is theirs to take command of #histcomm</t>
  </si>
  <si>
    <t>RT @juliegpeterson: .@pastpunditry So glad you articulated the history donut comment for the twitterverse #twitterstorians #histcomm https:…</t>
  </si>
  <si>
    <t>Bryan Craig</t>
  </si>
  <si>
    <t>RT @pastpunditry: .@edward_l_ayers points to the “audience bagel problem”: we reach very young &amp; very old, but not middle (the history donu…</t>
  </si>
  <si>
    <t>Researching presidential history @Miller_Center; Saving political history one day at a time. Person behind @POTUStudies | Tweets are mine, all mine</t>
  </si>
  <si>
    <t>.@JulieThePH talks about the “one-off” problem — one visit to a museum, one history experience. Need to scaffold into education. #histcomm</t>
  </si>
  <si>
    <t>Jo McCutcheon</t>
  </si>
  <si>
    <t>Ottawa/National Capital Region</t>
  </si>
  <si>
    <t>Teaching #uottawahist #CdnHist #DH NA | Indigenous histories/ methods/ gender/ clothing/ hair/ children/ youth #twitterstorians #digidiction</t>
  </si>
  <si>
    <t>RT @allisonhorrocks: Bringing schoolchildren into archives is a way to remind young people that history is theirs to take command of #histc…</t>
  </si>
  <si>
    <t>#histcomm @edward_l_ayers asks why is it that history is the subject in schools that's understood the least?</t>
  </si>
  <si>
    <t>RT @juliegpeterson: #histcomm @edward_l_ayers asks why is it that history is the subject in schools that's understood the least?</t>
  </si>
  <si>
    <t>RT @pastpunditry: .@JulieThePH talks about the “one-off” problem — one visit to a museum, one history experience. Need to scaffold into edu…</t>
  </si>
  <si>
    <t>Ayers: Refers to "studies that show that history is subject our students understand least well." How can we do better? #histcomm</t>
  </si>
  <si>
    <t>We don't let students see history most of the time until we take them to institutions like @brooklynhistory. -@edward_l_ayers #histcomm</t>
  </si>
  <si>
    <t>RT @rebekkahrubin: We don't let students see history most of the time until we take them to institutions like @brooklynhistory. -@edward_l_…</t>
  </si>
  <si>
    <t>We do a lot of hand wringing around STEM but @edward_l_ayers says history is actually the subject students understand the least. #histcomm</t>
  </si>
  <si>
    <t>Spotted at #histcomm. @BoneRoomsBook @samueljredman https://t.co/vnPtIi8fCp</t>
  </si>
  <si>
    <t>Don’t forget the publics of the classroom, @edward_l_ayers reminds us. AMEN. #histcomm</t>
  </si>
  <si>
    <t>Institutions and universities have to be assets for teachers, in terms of support, advocacy &amp; supplying real tools. -@JulieThePH #histcomm</t>
  </si>
  <si>
    <t>And there we go. The lightning convos are dunzo. #histcomm</t>
  </si>
  <si>
    <t>RT @rebekkahrubin: Institutions and universities have to be assets for teachers, in terms of support, advocacy &amp; supplying real tools. -@Ju…</t>
  </si>
  <si>
    <t>.@edward_l_ayers young inspired by #historic sites; lecture audience age old: Is this a kind of donut--or bagel--w missing center?#histcomm</t>
  </si>
  <si>
    <t>RT @magmidd: We do a lot of hand wringing around STEM but @edward_l_ayers says history is actually the subject students understand the leas…</t>
  </si>
  <si>
    <t>Norma Hall</t>
  </si>
  <si>
    <t>Métis historian centred in the margin(s) (Aboriginal neuro-atypical). Mostly using this Adverto-scape to get news. And the occasional factoid.</t>
  </si>
  <si>
    <t>.@mille24c returning to her artistic roots w/ @amanda_lyons #histcomm https://t.co/Ii6SW25uV8</t>
  </si>
  <si>
    <t>RT @juliegpeterson: .@mille24c returning to her artistic roots w/ @amanda_lyons #histcomm https://t.co/Ii6SW25uV8</t>
  </si>
  <si>
    <t>Jamie J. Hagen</t>
  </si>
  <si>
    <t>RT @magmidd: Our stories have been edited out. I'm editing our stories back in, says filmmaker and curator @sholalynch #histcomm</t>
  </si>
  <si>
    <t>BOSTON</t>
  </si>
  <si>
    <t>Queering every margin I meet. Generally on the up swing. Proud Planned Parenthood clinic escort. Researching security &amp; gender. Pronouns: she/her #FemSecSt</t>
  </si>
  <si>
    <t>RT @JimGrossmanAHA: Ayers: Refers to "studies that show that history is subject our students understand least well." How can we do better? …</t>
  </si>
  <si>
    <t>.@radiosue People crave conversation, and we were all LISTENING- so important #histcomm</t>
  </si>
  <si>
    <t>Amy</t>
  </si>
  <si>
    <t>Loving the conversations around #histcomm this evening! Wondering how I can bring this into my classroom. https://t.co/lyKpEOEJvN</t>
  </si>
  <si>
    <t>History PhD Candidate interested in early America, book history, cooking, hockey, &amp; all things nerdy!</t>
  </si>
  <si>
    <t>RT @juliegpeterson: .@radiosue People crave conversation, and we were all LISTENING- so important #histcomm</t>
  </si>
  <si>
    <t>#histcomm @JasonSteinhauer to students- your history degree is valuable and worthwhile</t>
  </si>
  <si>
    <t>RT @abreimaier: Loving the conversations around #histcomm this evening! Wondering how I can bring this into my classroom. https://t.co/lyKp…</t>
  </si>
  <si>
    <t>Don't let anyone tell you there are no jobs in history because there are 1000s, says @JasonSteinhauer #histcomm</t>
  </si>
  <si>
    <t>Susan Kaplan re: radio, listening: many ppl wld B fascinated 2 hear these conversations. #histcomm So, yeah: why not broadcast/record this?</t>
  </si>
  <si>
    <t>Your history degree is valuable and don't let anyone tell you there aren't any history jobs.-@JasonSteinhauer #histcomm</t>
  </si>
  <si>
    <t>@GHAUmass conference participant asks for advice about how to find out about careers in #histcomm</t>
  </si>
  <si>
    <t>RT @rebekkahrubin: Your history degree is valuable and don't let anyone tell you there aren't any history jobs.-@JasonSteinhauer #histcomm</t>
  </si>
  <si>
    <t>Jill</t>
  </si>
  <si>
    <t>.@cathystanton: Museums have always been about the visual, which is the key to digital communication. #histcomm</t>
  </si>
  <si>
    <t>Editor &amp; Public Historian</t>
  </si>
  <si>
    <t>RT @jilldwiggins: .@cathystanton: Museums have always been about the visual, which is the key to digital communication. #histcomm</t>
  </si>
  <si>
    <t>.@JimGrossmanAHA a major problem=many grad students afraid to tell their professors they're contemplating career outside academe #histcomm</t>
  </si>
  <si>
    <t>.@JimGrossmanAHA acknowledges bias toward academic careers, @JulieThePH saysGO MEET PEOPLE, heartily backed up by @samueljredman #histcomm</t>
  </si>
  <si>
    <t>Enjoyed @JulioCapoJr talking insider/outsider as a historian #histcomm</t>
  </si>
  <si>
    <t>RT @rebekkahrubin: .@JulieThePH wants to shake up what students think about history. Make them aware that they are making history. #histcomm</t>
  </si>
  <si>
    <t>Fernando Ortiz Jr.</t>
  </si>
  <si>
    <t>San Antonio, Texas</t>
  </si>
  <si>
    <t>Handsome gentleman scholar, Civil War historian, unpretentious intellectual, world traveler, successful writer.</t>
  </si>
  <si>
    <t>RT @pastpunditry: .@JulieThePH points to a quality-v-quantity challenge: who are we trying to reach? Everyone? Or particular audiences? #hi…</t>
  </si>
  <si>
    <t>.@edward_l_ayers : if your advisor can't imagine you having a non-academic career, then you need to look for another advisor #histcomm</t>
  </si>
  <si>
    <t>Question from the audience: what degree (if any) qualifies one to be an historian? #histcomm</t>
  </si>
  <si>
    <t>Audience question w/ lots of audience response: Do you need a PhD to be "a historian"? #histcomm</t>
  </si>
  <si>
    <t>RT @magmidd: Don't let anyone tell you there are no jobs in history because there are 1000s, says @JasonSteinhauer #histcomm</t>
  </si>
  <si>
    <t>Science is to know. Everyone is curious &amp; a scientist until it is beaten out of them-@SciencEric #histcomm</t>
  </si>
  <si>
    <t>RT @juliegpeterson: .@JimGrossmanAHA acknowledges bias toward academic careers, @JulieThePH saysGO MEET PEOPLE, heartily backed up by @samu…</t>
  </si>
  <si>
    <t>AHA annual meeting:sessions on "How can I be a historian in this job" and many others. Also career fair. #histcomm https://t.co/PAbMVBtkxE</t>
  </si>
  <si>
    <t>RT @juliegpeterson: Audience question w/ lots of audience response: Do you need a PhD to be "a historian"? #histcomm</t>
  </si>
  <si>
    <t>RT @abreimaier: Question from the audience: what degree (if any) qualifies one to be an historian? #histcomm</t>
  </si>
  <si>
    <t>Important thing is to have academic preparation adequate to the job that is on the table. #histcomm https://t.co/gVsHtPxZYL</t>
  </si>
  <si>
    <t>RT @JimGrossmanAHA: AHA annual meeting:sessions on "How can I be a historian in this job" and many others. Also career fair. #histcomm htt…</t>
  </si>
  <si>
    <t>Rick Woten</t>
  </si>
  <si>
    <t>Historian, educator, and ex-bike racer. Manuscript in development, The Outlaw Wheelmen: Sport, Athlete, Celebrity, and Union in American Cycling's Golden Age.</t>
  </si>
  <si>
    <t>RT @JimGrossmanAHA: Important thing is to have academic preparation adequate to the job that is on the table. #histcomm https://t.co/gVsHt…</t>
  </si>
  <si>
    <t>Confession: As a non-PhD I struggle with this *a lot*, which is part of what drew me to the #histcomm label. https://t.co/8HSLu1GTqH</t>
  </si>
  <si>
    <t>Are there ways to have ed standards for specific positions + at the same time value what history pros w/o ed cred have to offer? #histcomm</t>
  </si>
  <si>
    <t>So true. + I think, related 2 our observation that bad #history classes in school also turn students off #histcomm https://t.co/ZHE8KadPt7</t>
  </si>
  <si>
    <t>Great audience discussion right now concerning the role of collections in museums #histcomm</t>
  </si>
  <si>
    <t>Question dear to my heart: is there tension between #preservation of #collections, actual use or access by public #histcomm</t>
  </si>
  <si>
    <t>Malori Stevenson</t>
  </si>
  <si>
    <t>Ligonier, PA</t>
  </si>
  <si>
    <t>Public historian, museum educator, volunteer manager, and forever a teacher.</t>
  </si>
  <si>
    <t>RT @CitizenWald: Question dear to my heart: is there tension between #preservation of #collections, actual use or access by public #histcomm</t>
  </si>
  <si>
    <t>RT @CitizenWald: So true. + I think, related 2 our observation that bad #history classes in school also turn students off #histcomm https:/…</t>
  </si>
  <si>
    <t>Is it fetishistic to desire contact with authentic objects? Or is there a real value there? #histcomm</t>
  </si>
  <si>
    <t>Great question by @UMassHistory PhD student @cherylharned: how do make our students passionate like we are about #histcomm?</t>
  </si>
  <si>
    <t>RT @erfagen: Great question by @UMassHistory PhD student @cherylharned: how do make our students passionate like we are about #histcomm?</t>
  </si>
  <si>
    <t>.@JimGrossmanAHA danger of "double fetishization": institutions too closely guarding objects/users who demand but do not need #histcomm</t>
  </si>
  <si>
    <t>Great question from @cherylharned concerning student interests in history. How do we engage them? My constant struggle #histcomm</t>
  </si>
  <si>
    <t>RT @juliegpeterson: @GHAUmass conference participant asks for advice about how to find out about careers in #histcomm</t>
  </si>
  <si>
    <t>RT @rebekkahrubin: .@JulieThePH notes quality vs quantity issue--quality experience for small number of visitors or trying to reach broader…</t>
  </si>
  <si>
    <t>RT @pastpunditry: The importance is to shed some nuance while retaining the essential truth, argues @SciencEric #histcomm</t>
  </si>
  <si>
    <t>Consider scholarship on teaching &amp; learning in history. How students learn history; how they engage it. #histcomm https://t.co/Ap7UnJYM9m</t>
  </si>
  <si>
    <t>So grateful for the #histcomm conversations tonight! Looking forward to the @GHAUmass conference tomorrow!</t>
  </si>
  <si>
    <t>Lizz Thrasher</t>
  </si>
  <si>
    <t>RT @magmidd: .@JulieThePH says that history can be presented as something you are making rather than something to ingest. #histcomm</t>
  </si>
  <si>
    <t>Ottawa, Ontario</t>
  </si>
  <si>
    <t>Conservation tech: Industrial objects and modern materials. Maker, Thinker, Renaissance Woman.</t>
  </si>
  <si>
    <t>B. D. Flynt</t>
  </si>
  <si>
    <t>Author</t>
  </si>
  <si>
    <t>Rumtucket Diaries</t>
  </si>
  <si>
    <t>Rumtucket, RI</t>
  </si>
  <si>
    <t>Historian, Rhode Island Fanatic, Museum Muser</t>
  </si>
  <si>
    <t>ty to all who livetweeted the #histcomm talks for those of us who couldn't be there! Everyone else: I will now stop the constant RTs.</t>
  </si>
  <si>
    <t>Appreciated there was beer at #histcomm talks tonite 🍻 Would've loved to stay + share another w yall but after a day of lectures I'm zonked.</t>
  </si>
  <si>
    <t>Claire Blaylock</t>
  </si>
  <si>
    <t>I'm just a girl, standing in front of the internet asking you to retweet her. All opinions are my own..</t>
  </si>
  <si>
    <t>Frank Henzen</t>
  </si>
  <si>
    <t>NL</t>
  </si>
  <si>
    <t>nature &amp; culture | law | IM | history | travel</t>
  </si>
  <si>
    <t>Past Is Prologue</t>
  </si>
  <si>
    <t>Fredericksburg, Virginia USA</t>
  </si>
  <si>
    <t>History bits, mostly. RT ≠ endorsements.</t>
  </si>
  <si>
    <t>RT @CitizenWald: .@edward_l_ayers young inspired by #historic sites; lecture audience age old: Is this a kind of donut--or bagel--w missing…</t>
  </si>
  <si>
    <t>RT @pastpunditry: Don’t forget the publics of the classroom, @edward_l_ayers reminds us. AMEN. #histcomm</t>
  </si>
  <si>
    <t>RT @defactofecteau: Making vs. Ingesting history #histcomm</t>
  </si>
  <si>
    <t>Social media disaster. I left my phone at home and missed so much tweeting! #histcomm</t>
  </si>
  <si>
    <t>RT @GHAUmass: Spotted at #histcomm. @BoneRoomsBook @samueljredman https://t.co/vnPtIi8fCp</t>
  </si>
  <si>
    <t>RT @JimGrossmanAHA: Consider scholarship on teaching &amp; learning in history. How students learn history; how they engage it. #histcomm https…</t>
  </si>
  <si>
    <t>RT @CitizenWald: .@JimGrossmanAHA a major problem=many grad students afraid to tell their professors they're contemplating career outside a…</t>
  </si>
  <si>
    <t>David Kieran</t>
  </si>
  <si>
    <t>The Wild, Wild West</t>
  </si>
  <si>
    <t>Fellow @Tannerhumcenter, Asst. Prof. @WJCollege, @GWUAMST PhD &amp; @conncollege BA. Wrote Forever Vietnam (@Umasspress) &amp; wrtng @ 21st C wars &amp; #mentalhealth.</t>
  </si>
  <si>
    <t>Mary Mahoney</t>
  </si>
  <si>
    <t>University of Connecticut</t>
  </si>
  <si>
    <t>Ph.D Candidate in History. I study reading, its history, and the enduring belief in its power to heal. Love books, DH, Film and Pop Culture.</t>
  </si>
  <si>
    <t>RT @samueljredman: Social media disaster. I left my phone at home and missed so much tweeting! #histcomm</t>
  </si>
  <si>
    <t>RT @abreimaier: So grateful for the #histcomm conversations tonight! Looking forward to the @GHAUmass conference tomorrow!</t>
  </si>
  <si>
    <t>RT @CitizenWald: .@edward_l_ayers : if your advisor can't imagine you having a non-academic career, then you need to look for another advis…</t>
  </si>
  <si>
    <t>@CitizenWald Thanks for coming, and shameless plug, check out https://t.co/nqa4L6KILS on archives/teaching/student engagement! #histcomm</t>
  </si>
  <si>
    <t>@pastpunditry @KathrynBrownell Yes. We should / will. #histcomm</t>
  </si>
  <si>
    <t>Jeanni Floyd</t>
  </si>
  <si>
    <t>Greater St. Louis Area</t>
  </si>
  <si>
    <t>Some girls just wanna watch the world learn. Library Staff. Historian. YouTuber. Phi Sigma Pi and American U alumna. Slytherin. Leo. Compulsive List Maker.</t>
  </si>
  <si>
    <t>#histcomm lightning conversations beautifully illustrated today at @UMassHistory @GHAUmass https://t.co/pIuRBF8UaM</t>
  </si>
  <si>
    <t>Tweeted tonight as @GHAUmass. Head over to that account to engage with a fascinating discussion about communicating #History. #histcomm</t>
  </si>
  <si>
    <t>Always an amazing conference! Be sure to follow along! #twitterstorians #histcomm https://t.co/bs70q2WkPH</t>
  </si>
  <si>
    <t>An amazing day of #histcomm conversations. The movement is alive and growing.</t>
  </si>
  <si>
    <t>Mary M.</t>
  </si>
  <si>
    <t>RT @historycampaign: Use unique ways to deliver scholarship that may live outside the academic norm. #histcomm #historyrelevance https://t…</t>
  </si>
  <si>
    <t>Cleveland, OH</t>
  </si>
  <si>
    <t>AmeriCorps Member - Ohio History Service Corps, art historian, Francophile, baseball aficionado, Bill Murray worshipper, 30 Rock quoter. All views are my own.</t>
  </si>
  <si>
    <t>R.M. Gallenberger</t>
  </si>
  <si>
    <t>It is important to differentiate between insiders and outsiders during the study and dissemination of history. #histcomm</t>
  </si>
  <si>
    <t>Masters student and aspiring professional of early American living history and material culture with a special interest in clothing</t>
  </si>
  <si>
    <t>Karen S Wilson</t>
  </si>
  <si>
    <t>RT @JasonSteinhauer: An amazing day of #histcomm conversations. The movement is alive and growing.</t>
  </si>
  <si>
    <t>Nicole Belolan</t>
  </si>
  <si>
    <t>Delaware</t>
  </si>
  <si>
    <t>History of American Civilization PhD Candidate @udhistory - #materialculture &amp; #disability in early America | museum professional | public historian | antiquer</t>
  </si>
  <si>
    <t>Kathleen Mahoney</t>
  </si>
  <si>
    <t>"We have an appetite for uncertainty." Rebecca Onion talkin' the history talk #histcomm #slate #swoon @rebeccaonion https://t.co/mj7WeFmHi0</t>
  </si>
  <si>
    <t>Jamaica Plain, MA</t>
  </si>
  <si>
    <t>Lots of discussion on what historians have to offer--there's also so much to learn from listening to the public in public hist #histcomm</t>
  </si>
  <si>
    <t>Megan Kate Nelson</t>
  </si>
  <si>
    <t>Lincoln, Mass.</t>
  </si>
  <si>
    <t>Writer. Historian. Cultural critic. Newbie blogger. Author of *Ruin Nation: Destruction and the American Civil War,* among other things.</t>
  </si>
  <si>
    <t>@samueljredman As an outsider presenter @GHAUmass this is really helpful! Thanks for helping me get my bearings. #histcomm #twitterstorians</t>
  </si>
  <si>
    <t>RT @aglassofhistory: @samueljredman As an outsider presenter @GHAUmass this is really helpful! Thanks for helping me get my bearings. #hist…</t>
  </si>
  <si>
    <t>erikarappaport</t>
  </si>
  <si>
    <t>Santa Barbara, CA</t>
  </si>
  <si>
    <t>Professor of History at the University of California. I am interested in the history of gender, consumer culture, tea and food in Britain and its empire.</t>
  </si>
  <si>
    <t>Danielle Reed</t>
  </si>
  <si>
    <t>RT @sholalynch: I confess, I love @drunkhistory. It has just enough right to be so deliciously wrong. #histcomm https://t.co/tILJER6TnK</t>
  </si>
  <si>
    <t>New York City</t>
  </si>
  <si>
    <t>Research writer at Moody's. Also worked at Debtwire, Financial Planning Magazine, Wall Street Journal, Dow Jones, NY Daily News, NY Observer. Views are my own.</t>
  </si>
  <si>
    <t>Jean-Pierre Morin</t>
  </si>
  <si>
    <t>Great question! But what was the panel's response? #histcomm #publichistory https://t.co/ZqRuFZrHtW</t>
  </si>
  <si>
    <t>Ottawa Canada</t>
  </si>
  <si>
    <t>Public historian, civil servant, runner . These opinions are mine and mine alone...</t>
  </si>
  <si>
    <t>Anita Lucchesi</t>
  </si>
  <si>
    <t>RT @jp5morin: Great question! But what was the panel's response? #histcomm #publichistory https://t.co/ZqRuFZrHtW</t>
  </si>
  <si>
    <t>Luxembourg</t>
  </si>
  <si>
    <t>Historian, PhD Candidate at University of Luxembourg @uni_lu | Interests: #digitalhistory #publichistory #oralhistory #migrationhistory</t>
  </si>
  <si>
    <t>RT @JimGrossmanAHA: Wherever we work we have to work. One earns an audience #histcomm https://t.co/vaW8SxjrmV</t>
  </si>
  <si>
    <t>RT @JulieThePH: @CitizenWald Thanks for coming, and shameless plug, check out https://t.co/nqa4L6KILS on archives/teaching/student engageme…</t>
  </si>
  <si>
    <t>.@CitizenWald Yep, The event was recorded; audio will be on local npr website &amp; video on the dept's YouTube channel. More soon! #histcomm</t>
  </si>
  <si>
    <t>RT @MarlaAtUmass: .@CitizenWald Yep, The event was recorded; audio will be on local npr website &amp; video on the dept's YouTube channel. More…</t>
  </si>
  <si>
    <t>Elizabeth Faue</t>
  </si>
  <si>
    <t>Michigan</t>
  </si>
  <si>
    <t>Writer, historian, poet, professor, and department chair, communicates on gender, labor, politics, and public history</t>
  </si>
  <si>
    <t>Day 2 of #histcomm is about to begin! https://t.co/1aQXY3zSVD</t>
  </si>
  <si>
    <t>Up early for #histcomm @GHAUmass conference!</t>
  </si>
  <si>
    <t>Julio Capó, Jr.</t>
  </si>
  <si>
    <t>I'm a journalist-turned-historian teaching at UMass Amherst.</t>
  </si>
  <si>
    <t>#histcomm @GHAUmass day 2 vamos!!! https://t.co/mef3MylwmP</t>
  </si>
  <si>
    <t>#HIS366AC Public History students: check out #histcomm @umassph for lots of great stuff. https://t.co/wHlzEbuoq4</t>
  </si>
  <si>
    <t>RT @fefenifi: #histcomm @GHAUmass day 2 vamos!!! https://t.co/mef3MylwmP</t>
  </si>
  <si>
    <t>RT @MedeaCulpa: Up early for #histcomm @GHAUmass conference!</t>
  </si>
  <si>
    <t>cheryl harned</t>
  </si>
  <si>
    <t>great question. Was wondering the same thing #histcomm https://t.co/y9vnX8pj31</t>
  </si>
  <si>
    <t>aspiring history PhD@UMass searching for meaning in matter-from book things to museum things to everyday things-in the present. about the past. for the future</t>
  </si>
  <si>
    <t>Day 2 of #histcomm is underway!</t>
  </si>
  <si>
    <t>So true. Would love a bigger convo re how to bring this into classrooms #histcomm https://t.co/fdIF4IsJ2Q</t>
  </si>
  <si>
    <t>RT @pastpunditry: Food as storytelling radically alters our attachments to text and visuals. #histcomm</t>
  </si>
  <si>
    <t>Marlin Barber</t>
  </si>
  <si>
    <t>Springfield, MO</t>
  </si>
  <si>
    <t>African American and 19th century US hist prof, Mizzou PhD grad, UHCL grad, Murray State grad.</t>
  </si>
  <si>
    <t>RT @pastpunditry: Day 2 of #histcomm is underway!</t>
  </si>
  <si>
    <t>.@amanda_lyons kicks off #histcomm day 2 w/ task to imagine audiovisual communication of hist scholarship in future https://t.co/f14cY79ixw</t>
  </si>
  <si>
    <t>Nick Brown</t>
  </si>
  <si>
    <t>Mandrocles is now on Salamis awaiting the Persian fleet @GGWorld @HistFicteBooks @histnovsoc #fiction #histcomm https://t.co/kvdAUpkUNJ</t>
  </si>
  <si>
    <t>Manchester, UK</t>
  </si>
  <si>
    <t>Archaeologist, ex-teacher and author of historical fiction.</t>
  </si>
  <si>
    <t>exciting communication happened last night - #histcomm @UMassHistory https://t.co/rTcYCbishW</t>
  </si>
  <si>
    <t>Good example- this article describes trans history as "forgotten" "overlooked" "unnoticed": https://t.co/w0jL3c9FNQ @sholalynch #histcomm</t>
  </si>
  <si>
    <t>. @erfagen "notion that visitors come to visit Auschwitz with 'assumed knowledge of history' is false" #histcomm</t>
  </si>
  <si>
    <t>My #histcomm livetweets are getting eaten up by the internet :(</t>
  </si>
  <si>
    <t>Maia Campbell</t>
  </si>
  <si>
    <t>RT @TradeCardCarl: #HIS366AC Public History students: check out #histcomm @umassph for lots of great stuff. https://t.co/wHlzEbuoq4</t>
  </si>
  <si>
    <t>Freshman History Major @ Assumption College; Excited about Worcester and NE History, Enthusiastic about the culture surrounding the 1920s to the 1960s, HIS366</t>
  </si>
  <si>
    <t>Phrase "lost to history" is used. How do all you historians feel about that? Makes history sound like a natural disaster to me. #histcomm</t>
  </si>
  <si>
    <t>. @erfagen "if you type in Auschwitz on Instagram you'll get 100,000 results" #histcomm</t>
  </si>
  <si>
    <t>. @erfagen's "Narrating the Holocaust on Social Media", deals with visitor's sm engagement @ historic sites &amp; historical memory #histcomm</t>
  </si>
  <si>
    <t>. @erfagen's paper is part of a panel on digital platforms &amp; audience participation #histcomm</t>
  </si>
  <si>
    <t>*like the bird*</t>
  </si>
  <si>
    <t>District of Columbia</t>
  </si>
  <si>
    <t>Prefer to be ratchet in institutional spaces. #museumbaddies #museblack • digital blkness + diasporas + museums • 1/2 of @2brwngirls • IG: @afroxmericana</t>
  </si>
  <si>
    <t>Jillian Foley of U Chicago says when we think of digitization we think of Google books. "Digitization opens up access" #histcomm</t>
  </si>
  <si>
    <t>BGMB!</t>
  </si>
  <si>
    <t>Two brown girls blogging about museums. A space for emerging thinkers. By @akfigueroa @Ravon_Ashley • IG: @brwngirlsmuseblog • #BGMBfindyourspace</t>
  </si>
  <si>
    <t>Melanie Kiechle</t>
  </si>
  <si>
    <t>Roanoke, VA</t>
  </si>
  <si>
    <t>Historian of 19C US: culture, environment, cities, health, science and smells. Lots of smells. Asst Prof at Virginia Tech.</t>
  </si>
  <si>
    <t>#histcomm Poster exercise on possible futures: Scratch/Sniff "past pods" @edward_l_ayers @mathhistory @lilyrothman https://t.co/HH6rOiWme0</t>
  </si>
  <si>
    <t>In thinking of #publichistory work in 21st century, digitization Q is how do we engage off-site, popular audience? #histcomm</t>
  </si>
  <si>
    <t>"We all use computers, so in some sense we're all digital historians" Jillian Foley #histcomm</t>
  </si>
  <si>
    <t>@JimGrossmanAHA - think we need #histcomm summits in the classroom</t>
  </si>
  <si>
    <t>All teams so far have imagined futures that involve experiential, multisensory learning, focus on empathy. #histcomm</t>
  </si>
  <si>
    <t>Pablo Guzmán</t>
  </si>
  <si>
    <t>RT @MedeaCulpa: "We all use computers, so in some sense we're all digital historians" Jillian Foley #histcomm</t>
  </si>
  <si>
    <t>El Barrio Nuevo</t>
  </si>
  <si>
    <t>Barrio. Bx Science. Westbury. Yoruba Young Lords. Fania Print: V Voice C'daddy LatinNY. Radio: 'BAI 'BLS 'LIB TV: WCBS Salsero. Debbie's lover. DadSonBrother.</t>
  </si>
  <si>
    <t>Elena Rippel</t>
  </si>
  <si>
    <t>Enjoying catching up on #histcomm (thanks live tweeters!) Are there plans for recapping/continuing these conversations at #ncph2016?</t>
  </si>
  <si>
    <t>Boston/Pittsburgh</t>
  </si>
  <si>
    <t>Public historian interested in art, music, the environment, urban life, social justice &amp; cultural exchange</t>
  </si>
  <si>
    <t>Discussion abt the future of audio/visual history #histcomm. Debates about dystopian future, immersivity vs. text. Also, historians drawing.</t>
  </si>
  <si>
    <t>RT @MarlaAtUmass: All teams so far have imagined futures that involve experiential, multisensory learning, focus on empathy. #histcomm</t>
  </si>
  <si>
    <t>RT @MarlaAtUmass: #histcomm Poster exercise on possible futures: Scratch/Sniff "past pods" @edward_l_ayers @mathhistory @lilyrothman https:…</t>
  </si>
  <si>
    <t>RT @cherylharned: So true. Would love a bigger convo re how to bring this into classrooms #histcomm https://t.co/fdIF4IsJ2Q</t>
  </si>
  <si>
    <t>In imagining futures of #histcomm, we focused on capturing immersion &amp; memory, less than idea, politics &amp;amp; structures, Vince Bronwn notes.</t>
  </si>
  <si>
    <t>Amazing. #histcomm #publichistory #StopTheSham https://t.co/axyspzotPF</t>
  </si>
  <si>
    <t>What is role of imagination in learning/experiencing history? #histcomm</t>
  </si>
  <si>
    <t>RT @JulieThePH: What is role of imagination in learning/experiencing history? #histcomm</t>
  </si>
  <si>
    <t>Imagination opens up people’s awareness of historical processes, @AmandaMoniz1 says; @smrobertson3 argues the opposite. #histcomm</t>
  </si>
  <si>
    <t>There has been a change among many history teachers from don't use Wikipedia to don't stop at Wikipedia #histcomm #UMassgha16</t>
  </si>
  <si>
    <t>Immersion might mean sacrificing critical perspective, says @smrobertson3; @sholalynch argues it sparks imagination/interest. #histcomm</t>
  </si>
  <si>
    <t>These may not be at odds: the immersion can be the doorway; the critical thinking the work done once inside. #histcomm</t>
  </si>
  <si>
    <t>RT @pastpunditry: These may not be at odds: the immersion can be the doorway; the critical thinking the work done once inside. #histcomm</t>
  </si>
  <si>
    <t>.@smrobertson3 points out the individualization that immersion can create, which I would note also has a politics. #histcomm</t>
  </si>
  <si>
    <t>.@mathhistory notes the danger of conflating historical analysis &amp; Truth; immersion as a way to reality thus truth is a problem #histcomm</t>
  </si>
  <si>
    <t>.@YAppelbaum brings up the economics of all this: text &amp; visuals are less expensive, more accessible #histcomm</t>
  </si>
  <si>
    <t>@samueljredman thinking @nicolebelolan is right - but info not really part of PhD teacher training #histcomm #lostintranslation</t>
  </si>
  <si>
    <t>The problem of the archives: the memories &amp; sources of the wealthy &amp;amp; connected are more likely to be captured than others. #histcomm</t>
  </si>
  <si>
    <t>RT @pastpunditry: .@YAppelbaum brings up the economics of all this: text &amp; visuals are less expensive, more accessible #histcomm</t>
  </si>
  <si>
    <t>Do we need more @rebeccaonion s, @JasonSteinhauer asks. RESOUNDING YES. #histcomm</t>
  </si>
  <si>
    <t>.@cathystanton points out that in imagining future #histcomm we’ve basically recreated a worse version of living history.</t>
  </si>
  <si>
    <t>Selena Moon</t>
  </si>
  <si>
    <t>Everything from queer culture in Greenwich to bronze wax cats to Shakespeare in Catalan at 1st panel at #histcomm</t>
  </si>
  <si>
    <t>Smith Coll '09, #PublicHistory student @umassamherst; Japanese-American historian, Anc. Egypt, Tudor and Salem witch trial enthusiast, genealogist, bibliophile</t>
  </si>
  <si>
    <t>All our ideas about tech-heavy immersive history are probably not as good as what came first: living history, says @cathystanton #histcomm</t>
  </si>
  <si>
    <t>RT @JulieThePH: All our ideas about tech-heavy immersive history are probably not as good as what came first: living history, says @cathyst…</t>
  </si>
  <si>
    <t>Holly Solis</t>
  </si>
  <si>
    <t>Public History MA. Sun Devil. Bookworm. Abraham Lincoln Enthusiast. Intergalactic Hitchhiker.</t>
  </si>
  <si>
    <t>Robert Schlesinger</t>
  </si>
  <si>
    <t>RT @pastpunditry: The problem of the archives: the memories &amp; sources of the wealthy &amp;amp; connected are more likely to be captured than others…</t>
  </si>
  <si>
    <t>Managing Editor at @USNewsOpinion (so bias is a feature, not a bug); author of White House Ghosts: Presidents and Their Speechwriters. Views are my own.</t>
  </si>
  <si>
    <t>.@JasonSteinhauer asks what skills folks need to integrate to push into frontiers of #histcomm</t>
  </si>
  <si>
    <t>Adventurstorian</t>
  </si>
  <si>
    <t>drive-by humanism.</t>
  </si>
  <si>
    <t>RT @pastpunditry: .@mathhistory notes the danger of conflating historical analysis &amp; Truth; immersion as a way to reality thus truth is a p…</t>
  </si>
  <si>
    <t>RT @pastpunditry: Immersion might mean sacrificing critical perspective, says @smrobertson3; @sholalynch argues it sparks imagination/inter…</t>
  </si>
  <si>
    <t>.@JimGrossmanAHA argues you would need Big Data skills, as well as training in synthetic analysis. #histcomm</t>
  </si>
  <si>
    <t>RT @pastpunditry: In imagining futures of #histcomm, we focused on capturing immersion &amp; memory, less than idea, politics &amp;amp; structures, Vin…</t>
  </si>
  <si>
    <t>.@jdichtl asks what the role for historians will be in a tech-heavy immersive #histcomm future</t>
  </si>
  <si>
    <t>.@jdichtl says the skills of public historians are in demand now more than ever. #histcomm</t>
  </si>
  <si>
    <t>Public historians, @jdichtl reminds us, play essential role of mediator between tech platforms and historical content/analysis #histcomm</t>
  </si>
  <si>
    <t>RT @JulieThePH: Public historians, @jdichtl reminds us, play essential role of mediator between tech platforms and historical content/analy…</t>
  </si>
  <si>
    <t>Michael J. Kramer</t>
  </si>
  <si>
    <t>Chicago/Evanston, IL</t>
  </si>
  <si>
    <t>Historian writer critic teacher dramaturg editor digitalist. Visiting Prof, Northwestern. The Republic of Rock: Music &amp; Citizenship in the 60s Counterculture.</t>
  </si>
  <si>
    <t>.@KathrynBrownell talks about the democratization of history through #histcomm, but also points to how #histcomm can reshape scholarship</t>
  </si>
  <si>
    <t>.@edward_l_ayers comes out strongly for jet packs. But also points to our anxiety over tech in our discussions of #histcomm</t>
  </si>
  <si>
    <t>Will always need people to translate past for audiences in the present, says @edward_l_ayers #histcomm</t>
  </si>
  <si>
    <t>The human genome project has served historians in so many ways, says @JimGrossmanAHA, emphasizing how tech revolutionizes history #histcomm</t>
  </si>
  <si>
    <t>“As a geneticist”: @SciencEric utters phrase seldom heard at history conferences. #histcomm</t>
  </si>
  <si>
    <t>Sarah Uthoff</t>
  </si>
  <si>
    <t>RT @pastpunditry: Will always need people to translate past for audiences in the present, says @edward_l_ayers #histcomm</t>
  </si>
  <si>
    <t>Solon, Iowa</t>
  </si>
  <si>
    <t>I’m an authority on Laura Ingalls Wilder, one-room schools, and historic foodways. I'm a reference librarian.</t>
  </si>
  <si>
    <t>RT @pastpunditry: The human genome project has served historians in so many ways, says @JimGrossmanAHA, emphasizing how tech revolutionizes…</t>
  </si>
  <si>
    <t>.@JulieThePH points out we are focused on the intimacy and humanity of history as its strength, something #histcomm might emphasize.</t>
  </si>
  <si>
    <t>.@lilyrothman asks whether we want to do history by sneak attack or make people want to seek out history. #histcomm</t>
  </si>
  <si>
    <t>RT @pastpunditry: .@lilyrothman asks whether we want to do history by sneak attack or make people want to seek out history. #histcomm</t>
  </si>
  <si>
    <t>Still thinking about @AmandaMoniz1's comments last night regarding how we should be telling stories through food and recipes. #histcomm</t>
  </si>
  <si>
    <t>RT @MedeaCulpa: . @erfagen "if you type in Auschwitz on Instagram you'll get 100,000 results" #histcomm</t>
  </si>
  <si>
    <t>NewTech PDX</t>
  </si>
  <si>
    <t>PDX Portland, Oregon</t>
  </si>
  <si>
    <t>Portland technology demonstrations, quality networking, edibles and libations 3rd Mondays.</t>
  </si>
  <si>
    <t>RT @cherylharned: exciting communication happened last night - #histcomm @UMassHistory https://t.co/rTcYCbishW</t>
  </si>
  <si>
    <t>RT @MedeaCulpa: . @erfagen "notion that visitors come to visit Auschwitz with 'assumed knowledge of history' is false" #histcomm</t>
  </si>
  <si>
    <t>RT @MedeaCulpa: My #histcomm livetweets are getting eaten up by the internet :(</t>
  </si>
  <si>
    <t>RT @MedeaCulpa: . @erfagen's "Narrating the Holocaust on Social Media", deals with visitor's sm engagement @ historic sites &amp; historical me…</t>
  </si>
  <si>
    <t>RT @MedeaCulpa: . @erfagen's paper is part of a panel on digital platforms &amp; audience participation #histcomm</t>
  </si>
  <si>
    <t>RT @MedeaCulpa: Jillian Foley of U Chicago says when we think of digitization we think of Google books. "Digitization opens up access" #his…</t>
  </si>
  <si>
    <t>RT @MedeaCulpa: In thinking of #publichistory work in 21st century, digitization Q is how do we engage off-site, popular audience? #histcomm</t>
  </si>
  <si>
    <t>RT @allisonhorrocks: There has been a change among many history teachers from don't use Wikipedia to don't stop at Wikipedia #histcomm #UMa…</t>
  </si>
  <si>
    <t>@jamiaw I'm looking forward to discussing your work in greater detail in @MarlaAtUmass's class on Monday! #histcomm</t>
  </si>
  <si>
    <t>RT @rebekkahrubin: @jamiaw I'm looking forward to discussing your work in greater detail in @MarlaAtUmass's class on Monday! #histcomm</t>
  </si>
  <si>
    <t>Jillian Foley</t>
  </si>
  <si>
    <t>Meant to tweet last night, but yest's #histcomm lightning talks were fantastic--met some great communicators &amp; left feeling very inspired!</t>
  </si>
  <si>
    <t>Grad student at U Chicago studying history of computer science. In my spare time, I bake.</t>
  </si>
  <si>
    <t>RT @pastpunditry: Do we need more @rebeccaonion s, @JasonSteinhauer asks. RESOUNDING YES. #histcomm</t>
  </si>
  <si>
    <t>But what can we do to ensure there are these kinds of jobs? &amp; how do we prep for them?@pastpunditry @rebeccaonion @JasonSteinhauer #histcomm</t>
  </si>
  <si>
    <t>Mairin Odle</t>
  </si>
  <si>
    <t>Jim Moske</t>
  </si>
  <si>
    <t>nyc</t>
  </si>
  <si>
    <t>Managing Archivist @metmuseum. Tweets = art history, Met history &amp; archives. Instagram jim.moske = pixels for no purpose</t>
  </si>
  <si>
    <t>#histcomm on mobile tech: including the beyoncé effect @ University of Massachusetts Amherst https://t.co/2ZozJspjBT</t>
  </si>
  <si>
    <t>Instagram</t>
  </si>
  <si>
    <t>Markus Hilgert</t>
  </si>
  <si>
    <t>Berlin, Germany</t>
  </si>
  <si>
    <t>Director, Vorderasiatisches Museum im Pergamonmuseum - Staatliche Museen zu Berlin, SPK // private Twitter account, views are my own</t>
  </si>
  <si>
    <t>When experts only talk to experts, they forget how inaccessible their subjects can be to the rest of us. #histcomm</t>
  </si>
  <si>
    <t>.@SciencEric compares to advanced base camp at Everest; we’re acclimated to conditions &amp; trying to reach ppl not on the mountain. #histcomm</t>
  </si>
  <si>
    <t>People who ignored word counts and journal formats in NSF grants tend to be better understood (in part bc using smaller words) #histcomm</t>
  </si>
  <si>
    <t>.@SciencEric: As profes'l historians, you're at basecamp. Everest doable. Have to bring publics to summit from other continents. #histcomm</t>
  </si>
  <si>
    <t>RT @pastpunditry: .@SciencEric compares to advanced base camp at Everest; we’re acclimated to conditions &amp; trying to reach ppl not on the m…</t>
  </si>
  <si>
    <t>.@SciencEric points to the importance of avoiding jargon &amp; acronyms; using communicative titles. Clarity over efficiency. #histcomm</t>
  </si>
  <si>
    <t>RT @JulieThePH: .@SciencEric: As profes'l historians, you're at basecamp. Everest doable. Have to bring publics to summit from other contin…</t>
  </si>
  <si>
    <t>On sci comm: People who avoid jargon, people who use their titles as full on sentences are better understood-@SciencEric #histcomm</t>
  </si>
  <si>
    <t>Discussion now turns to communicating historical processes. #histcomm</t>
  </si>
  <si>
    <t>Science writing offers a few easy, major rules for public communication: avoid jargon, acronyms.Historians should do even better.#histcomm</t>
  </si>
  <si>
    <t>Rob Shapard</t>
  </si>
  <si>
    <t>RT @JimGrossmanAHA: Science writing offers a few easy, major rules for public communication: avoid jargon, acronyms.Historians should do ev…</t>
  </si>
  <si>
    <t>Chapel Hill NC</t>
  </si>
  <si>
    <t>Geek for family, U.S. history, nature, and the Dawgs. Learning to like jogging.</t>
  </si>
  <si>
    <t>RT @pastpunditry: People who ignored word counts and journal formats in NSF grants tend to be better understood (in part bc using smaller w…</t>
  </si>
  <si>
    <t>RT @jamiaw: On sci comm: People who avoid jargon, people who use their titles as full on sentences are better understood-@SciencEric #histc…</t>
  </si>
  <si>
    <t>RT @pastpunditry: When experts only talk to experts, they forget how inaccessible their subjects can be to the rest of us. #histcomm</t>
  </si>
  <si>
    <t>.@SciencEric talks about how inference is more reliable than direct observation, &amp; the science of why we (don’t) believe science. #histcomm</t>
  </si>
  <si>
    <t>Convo shifts to motivated reasoning. See good explanation of it here: https://t.co/c8sENkl5dC #histcomm</t>
  </si>
  <si>
    <t>.@SciencEric: The worst way to get someone to believe science is to talk about science. More objective info = less belief #histcomm</t>
  </si>
  <si>
    <t>.@SciencEric stresses the importance of storytelling over factuality. #histcomm</t>
  </si>
  <si>
    <t>RT @pastpunditry: .@SciencEric stresses the importance of storytelling over factuality. #histcomm</t>
  </si>
  <si>
    <t>RT @pastpunditry: .@SciencEric: The worst way to get someone to believe science is to talk about science. More objective info = less belief…</t>
  </si>
  <si>
    <t>.@MarlaAtUmass talks about study that asks what kinds of information are likeliest to prompt action on part of recipient? #histcomm</t>
  </si>
  <si>
    <t>We retreat to evidence, when that isn’t the most effective form of persuasion, says @MarlaAtUmass #histcomm</t>
  </si>
  <si>
    <t>No evidence is unbranded — it all has an interpretive framework, says @SciencEric (referencing Chris Mooney) #histcomm</t>
  </si>
  <si>
    <t>Sheila K. Hoffman</t>
  </si>
  <si>
    <t>Montréal et Paris</t>
  </si>
  <si>
    <t>Iconologist | techno futurist | theoretical museologist</t>
  </si>
  <si>
    <t>.@SciencEric on diff btwn “cells that can cure your grandma’s Alzheimer’s” vs “human embryonic stem cells” &amp; ethics of language #histcomm</t>
  </si>
  <si>
    <t>Monica H Green</t>
  </si>
  <si>
    <t>MedHist=medical history; MedHist=medieval history. Child of Civil Rights movement; educator concerned for global health.</t>
  </si>
  <si>
    <t>.@jamiaw brings the questions of ethics to the fore again. I’m super interested in an “ethics of history” course, btw. #histcomm</t>
  </si>
  <si>
    <t>Lots of great things are happening. Join the conversations at #UMassGHA16 and #histcomm</t>
  </si>
  <si>
    <t>Lucy</t>
  </si>
  <si>
    <t>itinerant scholar</t>
  </si>
  <si>
    <t>Apprentice medievalist and history instructor. #Histmed nerd. Opera aficionado and blogger. Traveler, reader, and drinker of tea.</t>
  </si>
  <si>
    <t>David Taylor</t>
  </si>
  <si>
    <t>Author &amp; filmmaker blends love of food, culture, history &amp; travel. My blog: https://t.co/b85tWiS8gW My books: https://t.co/6SoP7CoxuC</t>
  </si>
  <si>
    <t>.@YAppelbaum refers to @BrendanNyhan’s study of vaccine info &amp; the way more info can cause ppl to hold firm to mis-information #histcomm</t>
  </si>
  <si>
    <t>Here’s the @BrendanNyhan study: https://t.co/J8pQoY9ruQ #histcomm</t>
  </si>
  <si>
    <t>Importance of engagement that creates persuasive openness rather than firm conclusions. #histcomm</t>
  </si>
  <si>
    <t>.@edward_l_ayers asks whether history is an inherently narrative form. Notes “the market” prefers story to analysis. #histcomm</t>
  </si>
  <si>
    <t>.@rebeccaonion notes that on the web, argument does better than narrative in many ways. #histcomm</t>
  </si>
  <si>
    <t>.@edward_l_ayers: New media tend to foreground argument over narrative, in a way popular history book market may not. #histcomm</t>
  </si>
  <si>
    <t>Changing tech has changed how we value argument. Can risk turning some % of ppl off if you can engage a big % at same time #histcomm</t>
  </si>
  <si>
    <t>How do you present info in a way that does more than reinforce hard lines — that opens the door to persuasion? #histcomm</t>
  </si>
  <si>
    <t>.@jdichtl asks what happens to the authoritative expert voice in new media environment where ppl can choose own facts/interps #histcomm</t>
  </si>
  <si>
    <t>.@sholalynch sings the praises of the Mismeasure of Man as a book that found adventure &amp; intrigue in process. #histcomm</t>
  </si>
  <si>
    <t>.@AmandaMoniz1 raises question of policymakers as audience. Do policymakers want to see process? Do they value it? #histcomm</t>
  </si>
  <si>
    <t>Much more important than claiming expertise, says @sholalynch, is revealing the process and letting audience assess themselves #histcomm</t>
  </si>
  <si>
    <t>RT @JulieThePH: Much more important than claiming expertise, says @sholalynch, is revealing the process and letting audience assess themsel…</t>
  </si>
  <si>
    <t>RT @pastpunditry: .@jamiaw brings the questions of ethics to the fore again. I’m super interested in an “ethics of history” course, btw. #h…</t>
  </si>
  <si>
    <t>They have me attached to an sugar-water tube. #histcomm https://t.co/4Y7U8AZrIn</t>
  </si>
  <si>
    <t>.@JasonSteinhauer says members of Congress love seeing behind-the-scenes sausage-making at @librarycongress #histcomm</t>
  </si>
  <si>
    <t>RT @pastpunditry: .@JasonSteinhauer says members of Congress love seeing behind-the-scenes sausage-making at @librarycongress #histcomm</t>
  </si>
  <si>
    <t>RT @pastpunditry: No evidence is unbranded — it all has an interpretive framework, says @SciencEric (referencing Chris Mooney) #histcomm</t>
  </si>
  <si>
    <t>.@lilyrothman says yes, we’re already at base camp, but our audiences are capable climbers. Can let them draw conclusions #histcomm</t>
  </si>
  <si>
    <t>.@jdichtl pushes back, saying that various audiences have a wider diversity of capabilities &amp; desire to do work. #histcomm</t>
  </si>
  <si>
    <t>RT @pastpunditry: .@lilyrothman says yes, we’re already at base camp, but our audiences are capable climbers. Can let them draw conclusions…</t>
  </si>
  <si>
    <t>.@JimGrossmanAHA points to AHA professional standards, that require us not to omit contrary evidence. #histcomm</t>
  </si>
  <si>
    <t>RT @pastpunditry: .@edward_l_ayers asks whether history is an inherently narrative form. Notes “the market” prefers story to analysis. #his…</t>
  </si>
  <si>
    <t>RT @pastpunditry: .@JimGrossmanAHA points to AHA professional standards, that require us not to omit contrary evidence. #histcomm</t>
  </si>
  <si>
    <t>.@smrobertson3 argues historians have an opportunity to make their sources transparent, &amp; don’t do it nearly enough. #histcomm</t>
  </si>
  <si>
    <t>Length is now relative says @smrobertson3. We're not taking advantage of links/hypertext as way of making docs/process accessible. #histcomm</t>
  </si>
  <si>
    <t>RT @UMassHistory: Lots of great things are happening. Join the conversations at #UMassGHA16 and #histcomm</t>
  </si>
  <si>
    <t>Digitization replicates the institutional structure of the physical archives, @edward_l_ayers says, tho some trying to change #histcomm</t>
  </si>
  <si>
    <t>robocct</t>
  </si>
  <si>
    <t>somewhere, my love</t>
  </si>
  <si>
    <t>“Sanity lies somewhere between the inhibitions of conventional morality and the looseness of the extreme impulse”</t>
  </si>
  <si>
    <t>History Harvest: students going out to where ppl are &amp; digitizing their papers. https://t.co/PbiBu6PAEP #histcomm</t>
  </si>
  <si>
    <t>Steven Schwinghamer</t>
  </si>
  <si>
    <t>Halifax, NS</t>
  </si>
  <si>
    <t>Immigration / public / oral history. May also include cats, humour, gung fu, and other bits. Tweets here are my own!</t>
  </si>
  <si>
    <t>Matt Becker discussing the key differences between one's dissertation and book. Very useful information to know!! #Umassgha16 #histcomm</t>
  </si>
  <si>
    <t>Sarah Zarrow</t>
  </si>
  <si>
    <t>Historian, dancer, schemer. Managing Editor at @ingeveb.</t>
  </si>
  <si>
    <t>RT @pastpunditry: .@smrobertson3 argues historians have an opportunity to make their sources transparent, &amp; don’t do it nearly enough. #his…</t>
  </si>
  <si>
    <t>Rainy Saturday morning; following #histcomm, making German pancakes, French press coffee, hanging with Baby, and good music.</t>
  </si>
  <si>
    <t>Tweetbot for Mac</t>
  </si>
  <si>
    <t>Speaking of, is anyone archiving all the tweets from #histcomm?</t>
  </si>
  <si>
    <t>RT @erfagen: Matt Becker discussing the key differences between one's dissertation and book. Very useful information to know!! #Umassgha1…</t>
  </si>
  <si>
    <t>RT @pastpunditry: .@edward_l_ayers comes out strongly for jet packs. But also points to our anxiety over tech in our discussions of #histco…</t>
  </si>
  <si>
    <t>RT @pastpunditry: .@JulieThePH points out we are focused on the intimacy and humanity of history as its strength, something #histcomm might…</t>
  </si>
  <si>
    <t>RT @rebekkahrubin: Still thinking about @AmandaMoniz1's comments last night regarding how we should be telling stories through food and rec…</t>
  </si>
  <si>
    <t>RT @pastpunditry: .@SciencEric points to the importance of avoiding jargon &amp; acronyms; using communicative titles. Clarity over efficiency.…</t>
  </si>
  <si>
    <t>RT @JulieThePH: Convo shifts to motivated reasoning. See good explanation of it here: https://t.co/c8sENkl5dC #histcomm</t>
  </si>
  <si>
    <t>RT @pastpunditry: .@rebeccaonion notes that on the web, argument does better than narrative in many ways. #histcomm</t>
  </si>
  <si>
    <t>I’ll storify them tomorrow, if that’s of use. #histcomm https://t.co/NH0w5o6Nz4</t>
  </si>
  <si>
    <t>Kathryn Edney</t>
  </si>
  <si>
    <t>Finally tenure track.</t>
  </si>
  <si>
    <t>Global Dealmaking</t>
  </si>
  <si>
    <t>UPenn-Annenberg, DC/Philly</t>
  </si>
  <si>
    <t>Will teach class on politics, media &amp; public diplomacy. Spring 2015</t>
  </si>
  <si>
    <t>RT @pastpunditry: .@sholalynch sings the praises of the Mismeasure of Man as a book that found adventure &amp; intrigue in process. #histcomm</t>
  </si>
  <si>
    <t>.@JimGrossmanAHA notes we haven’t talked enough about our publics, the def of scholarship, &amp; the idea of historical thinking #histcomm</t>
  </si>
  <si>
    <t>.@mathhistory reminds us that as historians, we are constantly doing the work of translation. #histcomm</t>
  </si>
  <si>
    <t>.@samueljredman notes how flat the #histcomm conversation was at its start (op-eds, talking heads) &amp; how rapidly it broadened.</t>
  </si>
  <si>
    <t>RT @pastpunditry: .@samueljredman notes how flat the #histcomm conversation was at its start (op-eds, talking heads) &amp; how rapidly it broad…</t>
  </si>
  <si>
    <t>RT @pastpunditry: .@mathhistory reminds us that as historians, we are constantly doing the work of translation. #histcomm</t>
  </si>
  <si>
    <t>Couldn't live tweet this morning but getting back to it (with lots of retweets) following #histcomm and #UMassGHA16</t>
  </si>
  <si>
    <t>.@lilyrothman asks about a set of questions, like a scientific method, that would allow us to check our own disciplinary stds. #histcomm</t>
  </si>
  <si>
    <t>.@SciencEric suggests a set of best practices for both history communicators &amp; historian communicators. #histcomm</t>
  </si>
  <si>
    <t>Love the new term coined by @lilyrothman: History Adjacent #histcomm</t>
  </si>
  <si>
    <t>RT @JulieThePH: Love the new term coined by @lilyrothman: History Adjacent #histcomm</t>
  </si>
  <si>
    <t>Can we draft a scientific method for history communicators? Do we need more history police? #histcomm</t>
  </si>
  <si>
    <t>TEAR DOWN THAT WALL. #histcomm</t>
  </si>
  <si>
    <t>.@JasonSteinhauer meditates on walls: language, access, gatekeepers — walls as barriers as well as walls as protective standards. #histcomm</t>
  </si>
  <si>
    <t>RT @mathhistory: Can we draft a scientific method for history communicators? Do we need more history police? #histcomm</t>
  </si>
  <si>
    <t>RT @pastpunditry: .@SciencEric suggests a set of best practices for both history communicators &amp; historian communicators. #histcomm</t>
  </si>
  <si>
    <t>RT @juliegpeterson: Couldn't live tweet this morning but getting back to it (with lots of retweets) following #histcomm and #UMassGHA16</t>
  </si>
  <si>
    <t>.@JulieThePH asks about the distinctions btwn public history and #histcomm</t>
  </si>
  <si>
    <t>.@smrobertson3 suggests we have too casually dismantled the wall btwn history &amp; public history in our #histcomm discussions</t>
  </si>
  <si>
    <t>A PhD that is all things to all people is something that has no value to anyone, @smrobertson3 argues. #histcomm</t>
  </si>
  <si>
    <t>UPDATE: we shouldn't tear down that wall!!! #histcomm</t>
  </si>
  <si>
    <t>.@JulieThePH abhors the snobbery that requires a PhD to be a historian, but believes training as a PhD offers skills vital to #histcomm</t>
  </si>
  <si>
    <t>Diversifying makes sense, but where do you draw the line in the PhD #histcomm process? @smrobertson3 asks.</t>
  </si>
  <si>
    <t>Wesley Jackson Wade</t>
  </si>
  <si>
    <t>North Carolina</t>
  </si>
  <si>
    <t>#MentalHealth #Career &amp; #Addiction Counselor in Training. #NBCC &amp; #SAMHSA Fellow. #Faith &amp; #SocialJustice. #NCCU #Wolfpack &amp; #Ravens. #Comic &amp; #SciFi Nerd.</t>
  </si>
  <si>
    <t>RT @mathhistory: TEAR DOWN THAT WALL. #histcomm</t>
  </si>
  <si>
    <t>RT @mathhistory: UPDATE: we shouldn't tear down that wall!!! #histcomm</t>
  </si>
  <si>
    <t>.@sholalynch notes that training is essential to communicating to the public, be it through documentary film, museum exhibits, etc #histcomm</t>
  </si>
  <si>
    <t>.@sholalynch reminds us that there are economic realities attached to "the letters" re MA/PhD #histcomm</t>
  </si>
  <si>
    <t>.@KathrynBrownell: You don’t have to have a PhD to be a teacher or filmmaker — gets to central Q of what are we training ppl for? #histcomm</t>
  </si>
  <si>
    <t>RT @juliegpeterson: .@sholalynch reminds us that there are economic realities attached to "the letters" re MA/PhD #histcomm</t>
  </si>
  <si>
    <t>There are 1000s of historians producing fascinating research that isn’t being communicated to the public. #histcomm</t>
  </si>
  <si>
    <t>Some academic historians can learn to #histcomm, but most #histcomm will likely be done by others.</t>
  </si>
  <si>
    <t>.@YAppelbaum raises the question of lowering the barriers to access, particularly to journal articles, databases, etc. #histcomm</t>
  </si>
  <si>
    <t>RT @pastpunditry: .@YAppelbaum raises the question of lowering the barriers to access, particularly to journal articles, databases, etc. #h…</t>
  </si>
  <si>
    <t>What would be the most productive, most cost-effective way to make resources open to a broader set of #histcomm people?</t>
  </si>
  <si>
    <t>.@YAppelbaum calls for removing barriers to access to historical journals, etc to journalists/ other potential hist communicators #histcomm</t>
  </si>
  <si>
    <t>But despite challenges of #livinghistory interpretation, it engages visitors in a way that no other #histcomm can. #umassgha16</t>
  </si>
  <si>
    <t>RT @pastpunditry: What would be the most productive, most cost-effective way to make resources open to a broader set of #histcomm people?</t>
  </si>
  <si>
    <t>Liz Covart</t>
  </si>
  <si>
    <t>RT @pastpunditry: .@JulieThePH abhors the snobbery that requires a PhD to be a historian, but believes training as a PhD offers skills vita…</t>
  </si>
  <si>
    <t>Boston, MA, USA</t>
  </si>
  <si>
    <t>Historian of Early America with a practical history blog &amp; a podcast about early American history. Loves Yoga, Dogs, Mint Chip &amp; the Red Sox.</t>
  </si>
  <si>
    <t>RT @rebekkahrubin: But despite challenges of #livinghistory interpretation, it engages visitors in a way that no other #histcomm can. #umas…</t>
  </si>
  <si>
    <t>RT @juliegpeterson: .@YAppelbaum calls for removing barriers to access to historical journals, etc to journalists/ other potential hist com…</t>
  </si>
  <si>
    <t>Fav #histcomm Q - "Americans love history. There is no sociology channel." @UMassHistory @JimGrossmanAHA @rebeccaonion</t>
  </si>
  <si>
    <t>I'm just going to go ahead and favorite all the #histcomm tweets, 'k?</t>
  </si>
  <si>
    <t>RT @pastpunditry: There are 1000s of historians producing fascinating research that isn’t being communicated to the public. #histcomm</t>
  </si>
  <si>
    <t>.@JasonSteinhauer works at @KlugeCtr connecting scholars to a non-expert public; his training didn’t prepare him for this. #histcomm</t>
  </si>
  <si>
    <t>Ed Baptist</t>
  </si>
  <si>
    <t>@pastpunditry well....is #histcomm universally respected by academic historians as a goal of research and writing?</t>
  </si>
  <si>
    <t>Ithaca, NY</t>
  </si>
  <si>
    <t>Pronounced Baptist, like John The. RTs don't=endorsement. I'm from Durm. If you don't know, you're not from there. Here's my book: http://t.co/Isa5ulWlzt</t>
  </si>
  <si>
    <t>RT @cherylharned: Fav #histcomm Q - "Americans love history. There is no sociology channel." @UMassHistory @JimGrossmanAHA @rebeccaonion</t>
  </si>
  <si>
    <t>I’d argue it’s undervalued by most academic historians. And some value it but haven’t learned to do it. #histcomm https://t.co/lXto4jKLLs</t>
  </si>
  <si>
    <t>Question @erfagen and I had last night after the lightening rounds #histcomm https://t.co/3dyikOXU8T</t>
  </si>
  <si>
    <t>RT @abreimaier: Question @erfagen and I had last night after the lightening rounds #histcomm https://t.co/3dyikOXU8T</t>
  </si>
  <si>
    <t>Alli Rico</t>
  </si>
  <si>
    <t>staff @harvardmuseum | PAG co-chair @nemanet | intern advocate | volunteer | grad student | walk tall, wear all the hats | views: my own | photo by @shyphotog</t>
  </si>
  <si>
    <t>RT @pastpunditry: I’d argue it’s undervalued by most academic historians. And some value it but haven’t learned to do it. #histcomm https:…</t>
  </si>
  <si>
    <t>@abreimaier Yes, absolutely a great point. #histcomm</t>
  </si>
  <si>
    <t>.@JimGrossmanAHA argues “tracking” is a bad idea. The PhD is not a vocational degree. Also: PhDs are not produced, they are earned #histcomm</t>
  </si>
  <si>
    <t>Really like what @JimGrossmanAHA just said: PhDs are not produced, they are earned. #histcomm</t>
  </si>
  <si>
    <t>RT @JulieThePH: Really like what @JimGrossmanAHA just said: PhDs are not produced, they are earned. #histcomm</t>
  </si>
  <si>
    <t>.@JimGrossmanAHA distinguishes btwn literacy &amp; proficiency in #histcomm skills. Don’t need to be proficient in all, but need literacy.</t>
  </si>
  <si>
    <t>RT @pastpunditry: .@JimGrossmanAHA argues “tracking” is a bad idea. The PhD is not a vocational degree. Also: PhDs are not produced, they a…</t>
  </si>
  <si>
    <t>Christian Ostermann talks about how vital networks are, something I found when shifting my own career toward public engagement. #histcomm</t>
  </si>
  <si>
    <t>All credit on that to my colleague Julia Brookins #histcomm #AHAcareerdiversity https://t.co/QdEalhJCoK</t>
  </si>
  <si>
    <t>RT @JimGrossmanAHA: All credit on that to my colleague Julia Brookins #histcomm #AHAcareerdiversity https://t.co/QdEalhJCoK</t>
  </si>
  <si>
    <t>#histcomm I’m capturing ya’lls tweets into a Google Spreadsheet. I’ll release the data onto Github once the summit wraps up.</t>
  </si>
  <si>
    <t>Networks crucial &amp; changing in mode &amp;amp; range. AHA can arrange various kinds, virtual &amp;amp; face-2-face. #histcomm https://t.co/cSuAQkaRKd</t>
  </si>
  <si>
    <t>There are institutions who want to spend money on #histcomm, so there is economic viability, @JasonSteinhauer says.</t>
  </si>
  <si>
    <t>RT @JimGrossmanAHA: Networks crucial &amp; changing in mode &amp;amp; range. AHA can arrange various kinds, virtual &amp;amp; face-2-face. #histcomm https://t.…</t>
  </si>
  <si>
    <t>David McKenzie</t>
  </si>
  <si>
    <t>Agreed. Thanks to all who are tweeting for those of us not there. #histcomm https://t.co/5Et4lqKnLB</t>
  </si>
  <si>
    <t>Arlington, Virginia, USA</t>
  </si>
  <si>
    <t>FT public/digital historian: Assoc Dir for Digital Resources @fordsedu @fordstheatre. PT GMU history (US &amp; LatAm) PhD student. #twitterstorians (Views my own)</t>
  </si>
  <si>
    <t>RT @pastpunditry: There are institutions who want to spend money on #histcomm, so there is economic viability, @JasonSteinhauer says.</t>
  </si>
  <si>
    <t>Hillary Sparks</t>
  </si>
  <si>
    <t>Oakland, California</t>
  </si>
  <si>
    <t>PhD Candidate American History, Sometimes Futurist, #nanowrimo enthusiast, #Twitterstorians</t>
  </si>
  <si>
    <t>There are certain things that are relatively easy to teach, others that are much more difficult. We’ll disagree on what those are. #histcomm</t>
  </si>
  <si>
    <t>.@samueljredman lists skills (teachable) but also personality traits/characteristics (less so) that have emerged as important to #histcomm</t>
  </si>
  <si>
    <t>RT @juliegpeterson: .@samueljredman lists skills (teachable) but also personality traits/characteristics (less so) that have emerged as imp…</t>
  </si>
  <si>
    <t>.@samueljredman Passion is one of the most important #histcomm</t>
  </si>
  <si>
    <t>RT @juliegpeterson: .@samueljredman Passion is one of the most important #histcomm</t>
  </si>
  <si>
    <t>Jessica Knapp</t>
  </si>
  <si>
    <t>Twitter for BlackBerry</t>
  </si>
  <si>
    <t xml:space="preserve">Winnipeg </t>
  </si>
  <si>
    <t>Public Historian.Writer.Researcher.Editor. Caffeine Consumer.Canada's History's Online Engagement Coordinator. *Above all else I am passionate about what I do*</t>
  </si>
  <si>
    <t>#histcomm This is not solely about academia, says @JasonSteinhauer</t>
  </si>
  <si>
    <t>RT @dpmckenzie: Agreed. Thanks to all who are tweeting for those of us not there. #histcomm https://t.co/5Et4lqKnLB</t>
  </si>
  <si>
    <t>RT @samueljredman: Do we have to sacrifice economically to reach a certain standard for history? #histcomm</t>
  </si>
  <si>
    <t>RT @pastpunditry: History Channel does military docs &amp; non-documentary work bc of cost to license footage, says @sholalynch #histcomm</t>
  </si>
  <si>
    <t>.@edward_l_ayers notes that #histcomm anxiety comes from the reorientation of our careers to align with all the new opportunities.</t>
  </si>
  <si>
    <t>#histcomm @JimGrossmanAHA says questions about film/tv have replaced those about history books for popular audiences</t>
  </si>
  <si>
    <t>.@JimGrossmanAHA: 20 yrs ago, ppl who heard he was a historian asked about accuracy of book they read. Now it’s film/show they saw #histcomm</t>
  </si>
  <si>
    <t>RT @juliegpeterson: #histcomm @JimGrossmanAHA says questions about film/tv have replaced those about history books for popular audiences</t>
  </si>
  <si>
    <t>RT @samueljredman: Cost of making historical documentaries is extremely high. This is a huge problem for public historians and oral histori…</t>
  </si>
  <si>
    <t>RT @JimGrossmanAHA: Ayers:"There are lots of new, cool things you can do" w/a history PhD. New ways to connect people w/ the past. #histcom…</t>
  </si>
  <si>
    <t>Actually it's both. But before, was only books #histcomm https://t.co/jBIw5CnS8t</t>
  </si>
  <si>
    <t>RT @JimGrossmanAHA: Actually it's both. But before, was only books #histcomm https://t.co/jBIw5CnS8t</t>
  </si>
  <si>
    <t>RT @pastpunditry: .@JimGrossmanAHA: 20 yrs ago, ppl who heard he was a historian asked about accuracy of book they read. Now it’s film/show…</t>
  </si>
  <si>
    <t>#histcomm @jamiaw Says op-eds can be any kind of content now, referenced @TheOpEdProject, learned how to make a strong argument</t>
  </si>
  <si>
    <t>.@jamiaw talks about work teaching academics to speak/write for public, appear on television. #histcomm</t>
  </si>
  <si>
    <t>RT @juliegpeterson: #histcomm @jamiaw Says op-eds can be any kind of content now, referenced @TheOpEdProject, learned how to make a strong …</t>
  </si>
  <si>
    <t>Academic life: run to restroom during 2nd day of conference. Ran into a colleague, &amp; then a student. #saturdayhistorians #histcomm</t>
  </si>
  <si>
    <t>RT @pastpunditry: .@jamiaw talks about work teaching academics to speak/write for public, appear on television. #histcomm</t>
  </si>
  <si>
    <t>Strategic partnerships may be a work-around to upending curriculum around #histcomm, says @jamiaw</t>
  </si>
  <si>
    <t>.@jamiaw Rhetoric can be taught, everyone can be trained to speak well #histcomm</t>
  </si>
  <si>
    <t>RT @juliegpeterson: .@jamiaw Rhetoric can be taught, everyone can be trained to speak well #histcomm</t>
  </si>
  <si>
    <t>In most universities students can learn this on campus,in other departments or as interns w/ professionals #histcomm https://t.co/IB8HguNEze</t>
  </si>
  <si>
    <t>RT @JimGrossmanAHA: In most universities students can learn this on campus,in other departments or as interns w/ professionals #histcomm ht…</t>
  </si>
  <si>
    <t>#histcomm @JulieThePH asks how to implement next steps to teach the kinds of skills @jamiaw brought up</t>
  </si>
  <si>
    <t>.@jdichtl notes strength of public history prgms: they introduce students to wide range of literacy: grant-writing, oral hist, etc #histcomm</t>
  </si>
  <si>
    <t>.@mathhistory suggests changing syllabi to include blog posts, YouTube videos, etc. so students can practice #histcomm skills</t>
  </si>
  <si>
    <t>RT @juliegpeterson: #histcomm @JulieThePH asks how to implement next steps to teach the kinds of skills @jamiaw brought up</t>
  </si>
  <si>
    <t>RT @juliegpeterson: .@mathhistory suggests changing syllabi to include blog posts, YouTube videos, etc. so students can practice #histcomm …</t>
  </si>
  <si>
    <t>RT @pastpunditry: .@jdichtl notes strength of public history prgms: they introduce students to wide range of literacy: grant-writing, oral …</t>
  </si>
  <si>
    <t>Something that @MarlaAtUmass is already implementing at @umassph! #histcomm https://t.co/NcimTplLaC</t>
  </si>
  <si>
    <t>RT @rebekkahrubin: Something that @MarlaAtUmass is already implementing at @umassph! #histcomm https://t.co/NcimTplLaC</t>
  </si>
  <si>
    <t>.@JasonSteinhauer sees #histcomm as docked w/i traditional programs, rather than a wholly separate training system.</t>
  </si>
  <si>
    <t>.@JasonSteinhauer gives a shoutout to @umassph and @Purdue for the #histcomm work they're already doing!</t>
  </si>
  <si>
    <t>.@MarlaAtUmass emphasizes the importance of partnerships in other departments &amp; across campus to train students in #histcomm skills</t>
  </si>
  <si>
    <t>RT @juliegpeterson: .@JasonSteinhauer gives a shoutout to @umassph and @Purdue for the #histcomm work they're already doing!</t>
  </si>
  <si>
    <t>.@MarlaAtUmass: partnerships between history depts &amp; other institutions, people, programs essential. Draw on external expertise. #histcomm</t>
  </si>
  <si>
    <t>RT @pastpunditry: .@MarlaAtUmass emphasizes the importance of partnerships in other departments &amp; across campus to train students in #histc…</t>
  </si>
  <si>
    <t>#histcomm training doesn’t need to be courses, @MarlaAtUmass says. Can be seminars, workshops, &amp; other programs.</t>
  </si>
  <si>
    <t>RT @JulieThePH: .@MarlaAtUmass: partnerships between history depts &amp; other institutions, people, programs essential. Draw on external exper…</t>
  </si>
  <si>
    <t>#histcomm @cathystanton says we have to think beyond the training level</t>
  </si>
  <si>
    <t>Katie Fleeman</t>
  </si>
  <si>
    <t>Los Angeles, CA</t>
  </si>
  <si>
    <t>audience at @attn | formerly marketing at @PLOS &amp; piccolo at @calband | #gobears</t>
  </si>
  <si>
    <t>RT @juliegpeterson: #histcomm @cathystanton says we have to think beyond the training level</t>
  </si>
  <si>
    <t>Focus on literacy and cultivation of skills, rather than "training" when talking about #histcomm education. @JasonSteinhauer</t>
  </si>
  <si>
    <t>Amber N Mitchell</t>
  </si>
  <si>
    <t>Public History Grad student at IUPUI. Interested in race and gender in memory and pop culture. Feminist. Adventurer. Detroit vs Everybody | Defend NOLA</t>
  </si>
  <si>
    <t>RT @pastpunditry: Strategic partnerships may be a work-around to upending curriculum around #histcomm, says @jamiaw</t>
  </si>
  <si>
    <t>Training should focus more on discerning where their aptitude is, rather than mastering every skill, says @YAppelbaum #histcomm</t>
  </si>
  <si>
    <t>RT @mathhistory: Focus on literacy and cultivation of skills, rather than "training" when talking about #histcomm education. @JasonSteinhau…</t>
  </si>
  <si>
    <t>First communication we need to work on is between history communicators, says @pastpunditry #histcomm</t>
  </si>
  <si>
    <t>RT @pastpunditry: Training should focus more on discerning where their aptitude is, rather than mastering every skill, says @YAppelbaum #hi…</t>
  </si>
  <si>
    <t>RT @juliegpeterson: First communication we need to work on is between history communicators, says @pastpunditry #histcomm</t>
  </si>
  <si>
    <t>Allows grad students to make choices later.To test acad job market if they want &amp; still have other options #histcomm https://t.co/Iqt8PGwYMt</t>
  </si>
  <si>
    <t>RT @JimGrossmanAHA: Allows grad students to make choices later.To test acad job market if they want &amp; still have other options #histcomm ht…</t>
  </si>
  <si>
    <t>.@pastpunditry points out that one area where we can improve is working on communication *between* history communicators. #histcomm</t>
  </si>
  <si>
    <t>.@lilyrothman likens #histcomm training to J-school: introduced to wide set of skills &amp; then concentrate on what you vibe with.</t>
  </si>
  <si>
    <t>RT @samueljredman: .@pastpunditry points out that one area where we can improve is working on communication *between* history communicators…</t>
  </si>
  <si>
    <t>.@JeannePickering says history communicators should work in the same way science communicators do &amp; take public along on journeys. #histcomm</t>
  </si>
  <si>
    <t>.@lilyrothman says that in journalism school, req'd to take audio, photog, writing etc. before choosing a track #histcomm</t>
  </si>
  <si>
    <t>David Glassberg now commenting on how this #publichistory panel addresses some issues that were brought up at #histcomm panel. #umassgha16</t>
  </si>
  <si>
    <t>Historians should explain and defend our methods and research journeys, says Jeanne Pickering. Love this call for #histcomm at #umassgha16</t>
  </si>
  <si>
    <t>Still impressed with the amazingly hard task that @amanda_lyons took on: visually recording the #histcomm convo https://t.co/jvMhoXSOER</t>
  </si>
  <si>
    <t>RT @j3foley: Historians should explain and defend our methods and research journeys, says Jeanne Pickering. Love this call for #histcomm at…</t>
  </si>
  <si>
    <t>.@JulieThePH reminds us of the centrality of content training — not just skills. Am having traumatic orals flashbacks. #histcomm</t>
  </si>
  <si>
    <t>Anne Senecal</t>
  </si>
  <si>
    <t>As a rhetoric/comm scholar studying women in labor mvmt watching #histcomm</t>
  </si>
  <si>
    <t>Boston</t>
  </si>
  <si>
    <t>rhetoric &amp; public address; women's labor history; gender &amp; politics. Boston sports. #teamrhetoric</t>
  </si>
  <si>
    <t>RT @juliegpeterson: Still impressed with the amazingly hard task that @amanda_lyons took on: visually recording the #histcomm convo https:/…</t>
  </si>
  <si>
    <t>RT @rebekkahrubin: .@JeannePickering says history communicators should work in the same way science communicators do &amp; take public along on…</t>
  </si>
  <si>
    <t>RT @rebekkahrubin: David Glassberg now commenting on how this #publichistory panel addresses some issues that were brought up at #histcomm …</t>
  </si>
  <si>
    <t>J Dym</t>
  </si>
  <si>
    <t>Globetrotting</t>
  </si>
  <si>
    <t>I'm a scholar interested in the intersection of maps, history, visual storytelling, &amp; digital humanities.</t>
  </si>
  <si>
    <t>#umassgha16 #histcomm -Glassberg: museum/living history often slow-multi sensory-embodied learning import &amp; place based</t>
  </si>
  <si>
    <t>RT @cherylharned: #umassgha16 #histcomm -Glassberg: museum/living history often slow-multi sensory-embodied learning import &amp; place based</t>
  </si>
  <si>
    <t>Jennifer Seaman Cook</t>
  </si>
  <si>
    <t>Buffalo, Toronto, New York</t>
  </si>
  <si>
    <t>#amstudies Scholar, Writer, Maker, Space Witch @SUNY #art #tech #media #intersectional #culturalhistory #public &amp; #visualculture #doc #DH Opinions Business-DADA</t>
  </si>
  <si>
    <t>UMass CP</t>
  </si>
  <si>
    <t>Amherst, Massachusetts, USA</t>
  </si>
  <si>
    <t>Creating a culture of planning at UMass Amherst.</t>
  </si>
  <si>
    <t>Historian of 20c North American West, #envhist, #dighist, #publichistory | @StanfordHistory and @CESTA_Stanford. Co-host, @firstdraftcast and @_overanalyze.</t>
  </si>
  <si>
    <t>Daniel S. Soucier</t>
  </si>
  <si>
    <t>Maine</t>
  </si>
  <si>
    <t>Daniel Soucier is a PhD candidate of #envhist at #UMaine focusing on the #AmRev also #editor of academic journal Maine History #twitterstorians</t>
  </si>
  <si>
    <t>@amanda_lyons #histcomm https://t.co/V3DhWVX3Ir</t>
  </si>
  <si>
    <t>@amanda_lyons #histsci #histcomm https://t.co/MOFF43dSi7</t>
  </si>
  <si>
    <t>#umassgha16 - Breen-Institution still has its hands all over their own story &amp; what they want to disseminate #histcomm</t>
  </si>
  <si>
    <t>Depression, brought to you by #histcomm ;) https://t.co/Af6WNw9LyQ</t>
  </si>
  <si>
    <t>You can find me here. #histcomm https://t.co/qa8z9EaRVp</t>
  </si>
  <si>
    <t>RT @pastpunditry: .@JulieThePH reminds us of the centrality of content training — not just skills. Am having traumatic orals flashbacks. #h…</t>
  </si>
  <si>
    <t>RT @mathhistory: @amanda_lyons #histsci #histcomm https://t.co/MOFF43dSi7</t>
  </si>
  <si>
    <t>RT @mathhistory: Depression, brought to you by #histcomm ;) https://t.co/Af6WNw9LyQ</t>
  </si>
  <si>
    <t>RT @mathhistory: You can find me here. #histcomm https://t.co/qa8z9EaRVp</t>
  </si>
  <si>
    <t>Historical ethics at #histcomm https://t.co/8prDA1c4SV</t>
  </si>
  <si>
    <t>Geitner Simmons</t>
  </si>
  <si>
    <t>Senior editorial writer, Omaha World-Herald; Plainsman, Southerner, regionalist, film fan</t>
  </si>
  <si>
    <t>History in the web at #histcomm https://t.co/WzJi1gMYDj</t>
  </si>
  <si>
    <t>Visuals for Change kept a record of our #histcomm conference. Thanks to @amanda_lyons for tremendous work.</t>
  </si>
  <si>
    <t>A great add to a conference on re-imagining the ways we communicate. #histcomm</t>
  </si>
  <si>
    <t>Wrapping up with @amanda_lyons talking abt Visuals for Change. "Gallery walk" thru the room and very appreciative of her work #histcomm</t>
  </si>
  <si>
    <t>RT @juliegpeterson: Wrapping up with @amanda_lyons talking abt Visuals for Change. "Gallery walk" thru the room and very appreciative of he…</t>
  </si>
  <si>
    <t>Alison Atkin</t>
  </si>
  <si>
    <t>I am planning to read through #histcomm tweets tomorrow, they look very interesting as someone on the fringes of #scicomm. #archaeology</t>
  </si>
  <si>
    <t>Warrington, UK</t>
  </si>
  <si>
    <t>Osteoarchaeologist. PhD candidate, palaeodemography and the plague. Awkwardly keen about the past. Quite into science. I doodle. Bees.</t>
  </si>
  <si>
    <t>Kathryn Brownell</t>
  </si>
  <si>
    <t>Assistant professor at Purdue University in American history with a focus on intersections of media and politics.</t>
  </si>
  <si>
    <t>Final thoughts with some fantastic #histcomm folks in the room https://t.co/brneE1mOnF</t>
  </si>
  <si>
    <t>Something to look at later: https://t.co/qm3llcPsLG #histcomm</t>
  </si>
  <si>
    <t>RT @juliegpeterson: Final thoughts with some fantastic #histcomm folks in the room https://t.co/brneE1mOnF</t>
  </si>
  <si>
    <t>RT @JulieThePH: Something to look at later: https://t.co/qm3llcPsLG #histcomm</t>
  </si>
  <si>
    <t>Twitter wouldn't let me tag all the #histcomm folks! Also here, @JulieThePH @SciencEric @smrobertson3 @pastpunditry @cathystanton @teafield</t>
  </si>
  <si>
    <t>@edward_l_ayers just officially Brought It. #histcomm</t>
  </si>
  <si>
    <t>Collaboration triggers both a sense of excitement and a touch of fear in #histcomm</t>
  </si>
  <si>
    <t>.@amanda_lyons thanks group for acknowledging the desire to connect and embracing the fear in creating those partnerships #histcomm</t>
  </si>
  <si>
    <t>Makes me optimistic #histcomm https://t.co/UaKO71wbSk</t>
  </si>
  <si>
    <t>Btw, Zika was discovered in Uganda in 1947. #histcomm #scicomm #mosquitoplaceholder</t>
  </si>
  <si>
    <t>This workshop has been so fun and thought provoking. I'm honored to be a part of this discussion. #histcomm</t>
  </si>
  <si>
    <t>RT @samueljredman: This workshop has been so fun and thought provoking. I'm honored to be a part of this discussion. #histcomm</t>
  </si>
  <si>
    <t>The AHA can help students find departments that are most geared toward #histcomm type training, says @JimGrossmanAHA</t>
  </si>
  <si>
    <t>What would a ranking of the top #histcomm departments look like, asks @samueljredman</t>
  </si>
  <si>
    <t>And what qualities would be included in a #histcomm ranking system?</t>
  </si>
  <si>
    <t>RT @pastpunditry: What would a ranking of the top #histcomm departments look like, asks @samueljredman</t>
  </si>
  <si>
    <t>What does an undergrad #histcomm class look like? What do institutional reforms, grad classes, j-school training in #histcomm look like?</t>
  </si>
  <si>
    <t>RT @pastpunditry: What does an undergrad #histcomm class look like? What do institutional reforms, grad classes, j-school training in #hist…</t>
  </si>
  <si>
    <t>There’s still so much to define in #histcomm as well, which is something that we can pursue, too. Knowing where language builds wall.</t>
  </si>
  <si>
    <t>Manisha Sinha</t>
  </si>
  <si>
    <t>Sturbridge, MA</t>
  </si>
  <si>
    <t>Historian of Slavery, Abolition, Civil War and Reconstruction, Author of The Slave's Cause and The Counterrevolution of Slavery, Professor at UMass, Amherst</t>
  </si>
  <si>
    <t>.@SciencEric: “I don’t know what a public historian is.” We don’t either, yo. #histcomm</t>
  </si>
  <si>
    <t>.@JulieThePH argues we know what public history is, but not really what a public historian is. #histcomm</t>
  </si>
  <si>
    <t>I love this "where are on the mountain are you" analogy for teaching history to non-experts. #histcomm</t>
  </si>
  <si>
    <t>RT @samueljredman: I love this "where are on the mountain are you" analogy for teaching history to non-experts. #histcomm</t>
  </si>
  <si>
    <t>This has been an amazing meeting, but sorry, I am now too tired to leave base camp. #exhausted #yetinvigorated #histcomm</t>
  </si>
  <si>
    <t>RT @mathhistory: This has been an amazing meeting, but sorry, I am now too tired to leave base camp. #exhausted #yetinvigorated #histcomm</t>
  </si>
  <si>
    <t>RT @pastpunditry: And what qualities would be included in a #histcomm ranking system?</t>
  </si>
  <si>
    <t>And now we dive into the public historian/public intellectual divide. #histcomm</t>
  </si>
  <si>
    <t>RT @pastpunditry: .@JulieThePH argues we know what public history is, but not really what a public historian is. #histcomm</t>
  </si>
  <si>
    <t>Christian Ostermann points out how America-focused the #histcomm conversation has been.</t>
  </si>
  <si>
    <t>.@mathhistory tries to pull the classroom back into #histcomm</t>
  </si>
  <si>
    <t>RT @pastpunditry: And now we dive into the public historian/public intellectual divide. #histcomm</t>
  </si>
  <si>
    <t>RT @pastpunditry: .@mathhistory tries to pull the classroom back into #histcomm</t>
  </si>
  <si>
    <t>Seems there is something of a consensus articulated by @mathhistory that #histcomm is larger than public history.</t>
  </si>
  <si>
    <t>RT @JulieThePH: Seems there is something of a consensus articulated by @mathhistory that #histcomm is larger than public history.</t>
  </si>
  <si>
    <t>Sorry meant "where are you on the mountain." In other words, it's hard to go higher altitude successfully w/o getting acclimated. #histcomm</t>
  </si>
  <si>
    <t>.@Crown_Dan says he'll be discussing some differences in his experiences writing for academic and popular audiences. #histcomm #umassgha16</t>
  </si>
  <si>
    <t>Dylan Ames</t>
  </si>
  <si>
    <t xml:space="preserve">Haligonia </t>
  </si>
  <si>
    <t>Halifax. Community Design. Heritage. Sustainability. Community. Also trying not to snark the local decision-makers too much. Terrible opinions are mine alone.</t>
  </si>
  <si>
    <t>Interesting in light of #histcomm convo we've been having over the past few days https://t.co/PYREVx4vg7</t>
  </si>
  <si>
    <t>RT @rebekkahrubin: .@Crown_Dan says he'll be discussing some differences in his experiences writing for academic and popular audiences. #hi…</t>
  </si>
  <si>
    <t>Melissa Julian-Jones</t>
  </si>
  <si>
    <t>Cardiff University</t>
  </si>
  <si>
    <t>Network Facilitator for @VoicesofLaw, researching 13thC Welsh March. Working on Public Engagement, Widening Access &amp; Curriculum Support projects.</t>
  </si>
  <si>
    <t>.@Crown_Dan now reading aloud some comments from his editor for a popular piece: "'aforementioned' is a death word." #umassgha16 #histcomm</t>
  </si>
  <si>
    <t>RT @rebekkahrubin: .@Crown_Dan now reading aloud some comments from his editor for a popular piece: "'aforementioned' is a death word." #um…</t>
  </si>
  <si>
    <t>A big, big thanks to all the folks at UMass Amherst History Department for a wonderful #histcomm conference.</t>
  </si>
  <si>
    <t>RT @pastpunditry: A big, big thanks to all the folks at UMass Amherst History Department for a wonderful #histcomm conference.</t>
  </si>
  <si>
    <t>RT @pastpunditry: .@SciencEric: “I don’t know what a public historian is.” We don’t either, yo. #histcomm</t>
  </si>
  <si>
    <t>RT @juliegpeterson: Twitter wouldn't let me tag all the #histcomm folks! Also here, @JulieThePH @SciencEric @smrobertson3 @pastpunditry @ca…</t>
  </si>
  <si>
    <t>That’s a wrap! Will storify the #histcomm madness for all those who are interested.</t>
  </si>
  <si>
    <t>Thank you! #histcomm https://t.co/OSr5B40LKv</t>
  </si>
  <si>
    <t>Eds love hist pieces submitted, but don't use the word "aforementioned." #histcomm #instantdeath https://t.co/NoDYrUljSH</t>
  </si>
  <si>
    <t>Kayla Altland</t>
  </si>
  <si>
    <t>RT @magmidd: Good example- this article describes trans history as "forgotten" "overlooked" "unnoticed": https://t.co/w0jL3c9FNQ @sholalync…</t>
  </si>
  <si>
    <t>learning facilitator with a passion for using history and cultural organizations to build community focusing on youth as leaders</t>
  </si>
  <si>
    <t>Patrick Stewart</t>
  </si>
  <si>
    <t>Nova Scotia</t>
  </si>
  <si>
    <t>Adjective verber of nouns</t>
  </si>
  <si>
    <t>On the way to #histcomm summit, listened to seasoned history communicators David Rosner, Jerry Markowitz on @nprfreshair /1</t>
  </si>
  <si>
    <t>On way home from #histcomm summit, listening to TED talk radio hour on how ideas spread. Appropriate! /2</t>
  </si>
  <si>
    <t>Last event at #umassgha16: capstone #histcomm panel w/ @rebeccaonion, @cathystanton, @JasonSteinhauer &amp; @jamiaw, moderated by @mathhistory.</t>
  </si>
  <si>
    <t>RT @rebekkahrubin: Last event at #umassgha16: capstone #histcomm panel w/ @rebeccaonion, @cathystanton, @JasonSteinhauer &amp; @jamiaw, moderat…</t>
  </si>
  <si>
    <t>.@rebeccaonion is starting off telling us what the #histcomm workshop has been up to this weekend. #umassgha16</t>
  </si>
  <si>
    <t>RT @rebekkahrubin: .@rebeccaonion is starting off telling us what the #histcomm workshop has been up to this weekend. #umassgha16</t>
  </si>
  <si>
    <t>What did they think the future of #histcomm might be? Recording of memories, emotions. Utopian/dystopian implications of technology.</t>
  </si>
  <si>
    <t>RT @rebekkahrubin: What did they think the future of #histcomm might be? Recording of memories, emotions. Utopian/dystopian implications of…</t>
  </si>
  <si>
    <t>History as a brand implies a lot of things that don't necessarily apply to @rebeccaonion as a history writer. #histcomm #umassgha16</t>
  </si>
  <si>
    <t>RT @rebekkahrubin: History as a brand implies a lot of things that don't necessarily apply to @rebeccaonion as a history writer. #histcomm …</t>
  </si>
  <si>
    <t>.@rebeccaonion thinking about what it means when people make comparisons between history and today instead of trying to stop it. #histcomm</t>
  </si>
  <si>
    <t>RT @rebekkahrubin: .@rebeccaonion thinking about what it means when people make comparisons between history and today instead of trying to …</t>
  </si>
  <si>
    <t>Midwest Movie Maven©</t>
  </si>
  <si>
    <t>RT @sholalynch: Yes, worth a read! #histcomm @SchomburgCenter https://t.co/pO3K8JEv5z</t>
  </si>
  <si>
    <t>Midwest&amp;MindfulBlissSEEKer</t>
  </si>
  <si>
    <t>ArtsADVOCATE,WOC+POC+ WomenFilmAdvocacy+Docs DigitalRingHER.BackOftheHouse Midwest&amp;UnderEst.Outlier *IntuitiveMedia! #WheninFightofLifeDocthatLife</t>
  </si>
  <si>
    <t>.@JasonSteinhauer discussing how his undergraduate and graduate training has not trained him for the job he has now. #histcomm</t>
  </si>
  <si>
    <t>RT @rebekkahrubin: .@JasonSteinhauer discussing how his undergraduate and graduate training has not trained him for the job he has now. #hi…</t>
  </si>
  <si>
    <t>My big @rebeccaonion takeaway - appropriately appropriated #umassgha16 #histcomm https://t.co/B76mZuc8qE</t>
  </si>
  <si>
    <t>Who trains people to communicate historical scholarship to all of the audiences who might want to consume it?- @JasonSteinhauer #histcomm</t>
  </si>
  <si>
    <t>.@JasonSteinhauer argues for communicating history with many different "non-expert" fields, not some unified "public" #umassgha16 #histcomm</t>
  </si>
  <si>
    <t>RT @j3foley: .@JasonSteinhauer argues for communicating history with many different "non-expert" fields, not some unified "public" #umassgh…</t>
  </si>
  <si>
    <t>RT @rebekkahrubin: Who trains people to communicate historical scholarship to all of the audiences who might want to consume it?- @JasonSte…</t>
  </si>
  <si>
    <t>But the profession does not prepare people to do work like this.- @JasonSteinhauer #histcomm</t>
  </si>
  <si>
    <t>RT @rebekkahrubin: But the profession does not prepare people to do work like this.- @JasonSteinhauer #histcomm</t>
  </si>
  <si>
    <t>Peter A Porter Jr</t>
  </si>
  <si>
    <t>.@JasonSteinhauer suggests @rebeccaonion does work like this and does it in a sly way, incorporating historiography. #histcomm #umassgha16</t>
  </si>
  <si>
    <t>.@JasonSteinhauer is optimistic to hear from so many people that this is work they want to be doing. #histcomm</t>
  </si>
  <si>
    <t>RT @rebekkahrubin: .@JasonSteinhauer suggests @rebeccaonion does work like this and does it in a sly way, incorporating historiography. #hi…</t>
  </si>
  <si>
    <t>RT @rebekkahrubin: .@JasonSteinhauer is optimistic to hear from so many people that this is work they want to be doing. #histcomm</t>
  </si>
  <si>
    <t>Great insight from #umassgha16 capstone. Speakers include @rebeccaonion, @JasonSteinhauer, @cathystanton, @jamiaw, &amp; @mathhistory #histcomm</t>
  </si>
  <si>
    <t>.@cathystanton speaking about the concept of #histcomm. "It has a lot of traction." #umassgha16 #histcomm</t>
  </si>
  <si>
    <t>One moment I think that #histcomm is the greatest thing ever and the next moment, I think, is this even a thing?- @cathystanton #umassgha16</t>
  </si>
  <si>
    <t>RT @erfagen: Great insight from #umassgha16 capstone. Speakers include @rebeccaonion, @JasonSteinhauer, @cathystanton, @jamiaw, &amp; @mathhist…</t>
  </si>
  <si>
    <t>RT @rebekkahrubin: One moment I think that #histcomm is the greatest thing ever and the next moment, I think, is this even a thing?- @cathy…</t>
  </si>
  <si>
    <t>.@cathystanton asks whether #histcomm is different than #publichistory; #histcomm should be a strand of #publichistory. #umassgha16</t>
  </si>
  <si>
    <t>RT @rebekkahrubin: .@cathystanton asks whether #histcomm is different than #publichistory; #histcomm should be a strand of #publichistory. …</t>
  </si>
  <si>
    <t>Jackie Peterson</t>
  </si>
  <si>
    <t>Seattle, WA</t>
  </si>
  <si>
    <t>Seattle-based freelance content + exhibits developer. Co-chair of @SeaEmp. Museum geek. Conference fanatic. Food &amp; beverage aficionado. Let's tell some stories.</t>
  </si>
  <si>
    <t>"@jamiaw and @rebeccaonion hang out in the wild frontiers of the internet."- @cathystanton #histcomm</t>
  </si>
  <si>
    <t>RT @rebekkahrubin: "@jamiaw and @rebeccaonion hang out in the wild frontiers of the internet."- @cathystanton #histcomm</t>
  </si>
  <si>
    <t>RT @j3foley: Meant to tweet last night, but yest's #histcomm lightning talks were fantastic--met some great communicators &amp; left feeling ve…</t>
  </si>
  <si>
    <t>Have to be clear about what #histcomm training can do &amp; when and where training happens.- @cathystanton</t>
  </si>
  <si>
    <t>RT @rebekkahrubin: Have to be clear about what #histcomm training can do &amp; when and where training happens.- @cathystanton</t>
  </si>
  <si>
    <t>.@jamiaw was thinking about her political agenda when thinking about #histcomm. #umassgha16</t>
  </si>
  <si>
    <t>.@jamiaw came up against some historians who thought that might be problematic-- history should speak for itself. #histcomm</t>
  </si>
  <si>
    <t>History evolving along with rapidly changing media, whether people like it or not.- @jamiaw #histcomm #umassgha16</t>
  </si>
  <si>
    <t>Can history *not* be political when it is communicated?- @jamiaw #histcomm</t>
  </si>
  <si>
    <t>All of us are being dragged along with the rapidly changing media landscape.- @jamiaw #histcomm #umassgha16</t>
  </si>
  <si>
    <t>People accessing history is a good thing, even if their experience is not as full as we would like.-@jamiaw #histcomm #umassgha16</t>
  </si>
  <si>
    <t>RT @rebekkahrubin: People accessing history is a good thing, even if their experience is not as full as we would like.-@jamiaw #histcomm #u…</t>
  </si>
  <si>
    <t>@jamiaw "positive inner turmoil leads to change." A million times yes. #histcomm</t>
  </si>
  <si>
    <t>Bias imbued in all our work-intended or not. We have various vantage points @jamiaw #histcomm #umassgha16</t>
  </si>
  <si>
    <t>RT @GHAUmass: .@cathystanton speaking about the concept of #histcomm. "It has a lot of traction." #umassgha16 #histcomm</t>
  </si>
  <si>
    <t>RT @mathhistory: @jamiaw "positive inner turmoil leads to change." A million times yes. #histcomm</t>
  </si>
  <si>
    <t>.@JasonSteinhauer we don't want to be history police, but history ethicists. Great approach re talking abt history to the public. #histcomm</t>
  </si>
  <si>
    <t>RT @erfagen: .@JasonSteinhauer we don't want to be history police, but history ethicists. Great approach re talking abt history to the publ…</t>
  </si>
  <si>
    <t>@lizl_genealogy #histcomm should be part of all history specialties. The work is too important to be embroiled in prof divisions/rivalries.</t>
  </si>
  <si>
    <t>.@jamiaw notes importance of using archival material to create empathy. #histcomm</t>
  </si>
  <si>
    <t>.@jamiaw speaks on values of empathy while looking through archives. Some great insight on confederate flag debate too. #histcomm</t>
  </si>
  <si>
    <t>#histcomm #umassgha16 -history communicators need ethics, empathy, not history police -#nonviolentcomm? https://t.co/hWxJR1ynnx</t>
  </si>
  <si>
    <t>A question that .@jamiaw gets: how do I become a professional online feminist? Yes, I'd like to know that too! #histcomm #umassgha16</t>
  </si>
  <si>
    <t>Adam Powley</t>
  </si>
  <si>
    <t>.@pastpunditry try get my HS students to do public history. Your #histcomm thread is great but what conference is this and is there a site?</t>
  </si>
  <si>
    <t>Husband, Father, Historian, Teacher, Gamified Educator, National Board Certified, 2013 National History Day Teacher of the Year for South Carolina.</t>
  </si>
  <si>
    <t>RT @erfagen: A question that .@jamiaw gets: how do I become a professional online feminist? Yes, I'd like to know that too! #histcomm #umas…</t>
  </si>
  <si>
    <t>Podcasts offer historians a potentially exciting way to bring their work to a general audience https://t.co/GBVuJD11z1 #histcomm</t>
  </si>
  <si>
    <t>RT @JimGrossmanAHA: Podcasts offer historians a potentially exciting way to bring their work to a general audience https://t.co/GBVuJD11z1 …</t>
  </si>
  <si>
    <t>Event Log</t>
  </si>
  <si>
    <t>This sheet will capture the program logs. Please do not edit or rename this sheet.</t>
  </si>
  <si>
    <t>Log sheet created for Twitter Archiver</t>
  </si>
  <si>
    <t>[Save] Rule #histcomm</t>
  </si>
  <si>
    <t>Trigger created for saving tweets</t>
  </si>
  <si>
    <t>[Rule] #histcomm 1492 tweets</t>
  </si>
  <si>
    <t>[Rule] #histcomm 17 tweets</t>
  </si>
  <si>
    <t>[Rule] #histcomm 98 tweets</t>
  </si>
  <si>
    <t>[Rule] #histcomm 100 tweets</t>
  </si>
  <si>
    <t>[Rule] #histcomm 79 tweets</t>
  </si>
  <si>
    <t>[Rule] #histcomm 4 tweets</t>
  </si>
  <si>
    <t>[Rule] #histcomm 45 tweets</t>
  </si>
  <si>
    <t>[Rule] #histcomm 26 tweets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</si>
</sst>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 h:mm:ss"/>
    <numFmt numFmtId="166" formatCode="dd/MM/yyyy HH:mm:ss"/>
  </numFmts>
  <fonts count="11">
    <font>
      <sz val="10.0"/>
      <color rgb="FF000000"/>
      <name val="Arial"/>
    </font>
    <font>
      <sz val="9.0"/>
      <color rgb="FFFFFFFF"/>
    </font>
    <font>
      <sz val="8.0"/>
      <color rgb="FFFFFFFF"/>
    </font>
    <font>
      <sz val="8.0"/>
    </font>
    <font>
      <b/>
      <sz val="8.0"/>
      <color rgb="FFFFFFFF"/>
      <name val="Trebuchet MS"/>
    </font>
    <font>
      <u/>
      <sz val="8.0"/>
      <color rgb="FF0000FF"/>
    </font>
    <font>
      <u/>
      <sz val="8.0"/>
      <color rgb="FF0000FF"/>
    </font>
    <font>
      <u/>
      <sz val="8.0"/>
      <color rgb="FF0000FF"/>
    </font>
    <font>
      <sz val="9.0"/>
      <color rgb="FFFFFFFF"/>
      <name val="Arial"/>
    </font>
    <font/>
    <font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4A86E8"/>
        <bgColor rgb="FF4A86E8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3" numFmtId="164" xfId="0" applyAlignment="1" applyFont="1" applyNumberFormat="1">
      <alignment horizontal="center"/>
    </xf>
    <xf borderId="1" fillId="3" fontId="4" numFmtId="164" xfId="0" applyAlignment="1" applyBorder="1" applyFill="1" applyFont="1" applyNumberForma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0" fillId="0" fontId="3" numFmtId="14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7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2" fillId="2" fontId="8" numFmtId="0" xfId="0" applyAlignment="1" applyBorder="1" applyFont="1">
      <alignment horizontal="center" vertical="center"/>
    </xf>
    <xf borderId="2" fillId="2" fontId="8" numFmtId="0" xfId="0" applyAlignment="1" applyBorder="1" applyFont="1">
      <alignment horizontal="center" vertical="center"/>
    </xf>
    <xf borderId="3" fillId="2" fontId="8" numFmtId="0" xfId="0" applyAlignment="1" applyBorder="1" applyFont="1">
      <alignment horizontal="center" vertical="center"/>
    </xf>
    <xf borderId="4" fillId="0" fontId="9" numFmtId="0" xfId="0" applyBorder="1" applyFont="1"/>
    <xf borderId="5" fillId="0" fontId="9" numFmtId="0" xfId="0" applyBorder="1" applyFont="1"/>
    <xf borderId="0" fillId="0" fontId="10" numFmtId="165" xfId="0" applyAlignment="1" applyFont="1" applyNumberForma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0" numFmtId="166" xfId="0" applyAlignment="1" applyFont="1" applyNumberFormat="1">
      <alignment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pbs.twimg.com/profile_images/704873222802636800/7aFEMOY5_normal.jpg" TargetMode="External"/><Relationship Id="rId5252" Type="http://schemas.openxmlformats.org/officeDocument/2006/relationships/hyperlink" Target="https://twitter.com/pastpunditry" TargetMode="External"/><Relationship Id="rId5250" Type="http://schemas.openxmlformats.org/officeDocument/2006/relationships/hyperlink" Target="https://twitter.com/pastpunditry/status/706212683658485760" TargetMode="External"/><Relationship Id="rId5255" Type="http://schemas.openxmlformats.org/officeDocument/2006/relationships/hyperlink" Target="https://twitter.com/samueljredman" TargetMode="External"/><Relationship Id="rId5256" Type="http://schemas.openxmlformats.org/officeDocument/2006/relationships/hyperlink" Target="https://twitter.com/samueljredman/status/706212850340143104" TargetMode="External"/><Relationship Id="rId5253" Type="http://schemas.openxmlformats.org/officeDocument/2006/relationships/hyperlink" Target="https://twitter.com/pastpunditry/status/706212833638354944" TargetMode="External"/><Relationship Id="rId5254" Type="http://schemas.openxmlformats.org/officeDocument/2006/relationships/hyperlink" Target="https://pbs.twimg.com/profile_images/704873222802636800/7aFEMOY5_normal.jpg" TargetMode="External"/><Relationship Id="rId5259" Type="http://schemas.openxmlformats.org/officeDocument/2006/relationships/hyperlink" Target="https://twitter.com/pastpunditry/status/706212927615987713" TargetMode="External"/><Relationship Id="rId5257" Type="http://schemas.openxmlformats.org/officeDocument/2006/relationships/hyperlink" Target="https://pbs.twimg.com/profile_images/548193870278688768/8Dq7gW3U_normal.png" TargetMode="External"/><Relationship Id="rId5258" Type="http://schemas.openxmlformats.org/officeDocument/2006/relationships/hyperlink" Target="https://twitter.com/pastpunditry" TargetMode="External"/><Relationship Id="rId5240" Type="http://schemas.openxmlformats.org/officeDocument/2006/relationships/hyperlink" Target="https://twitter.com/juliegpeterson" TargetMode="External"/><Relationship Id="rId5241" Type="http://schemas.openxmlformats.org/officeDocument/2006/relationships/hyperlink" Target="https://twitter.com/juliegpeterson/status/706211896479715328" TargetMode="External"/><Relationship Id="rId5244" Type="http://schemas.openxmlformats.org/officeDocument/2006/relationships/hyperlink" Target="https://twitter.com/pastpunditry/status/706212330099580928" TargetMode="External"/><Relationship Id="rId5245" Type="http://schemas.openxmlformats.org/officeDocument/2006/relationships/hyperlink" Target="https://pbs.twimg.com/profile_images/704873222802636800/7aFEMOY5_normal.jpg" TargetMode="External"/><Relationship Id="rId5242" Type="http://schemas.openxmlformats.org/officeDocument/2006/relationships/hyperlink" Target="https://pbs.twimg.com/profile_images/609765839051452416/GNW0wSt0_normal.jpg" TargetMode="External"/><Relationship Id="rId5243" Type="http://schemas.openxmlformats.org/officeDocument/2006/relationships/hyperlink" Target="https://twitter.com/pastpunditry" TargetMode="External"/><Relationship Id="rId5248" Type="http://schemas.openxmlformats.org/officeDocument/2006/relationships/hyperlink" Target="https://pbs.twimg.com/profile_images/641814924495298560/11_Xf8E3_normal.jpg" TargetMode="External"/><Relationship Id="rId5249" Type="http://schemas.openxmlformats.org/officeDocument/2006/relationships/hyperlink" Target="https://twitter.com/pastpunditry" TargetMode="External"/><Relationship Id="rId5246" Type="http://schemas.openxmlformats.org/officeDocument/2006/relationships/hyperlink" Target="https://twitter.com/ProfMSinha" TargetMode="External"/><Relationship Id="rId5247" Type="http://schemas.openxmlformats.org/officeDocument/2006/relationships/hyperlink" Target="https://twitter.com/ProfMSinha/status/706212458084622340" TargetMode="External"/><Relationship Id="rId5270" Type="http://schemas.openxmlformats.org/officeDocument/2006/relationships/hyperlink" Target="https://twitter.com/femrhetprof" TargetMode="External"/><Relationship Id="rId5273" Type="http://schemas.openxmlformats.org/officeDocument/2006/relationships/hyperlink" Target="https://twitter.com/jamiaw" TargetMode="External"/><Relationship Id="rId5274" Type="http://schemas.openxmlformats.org/officeDocument/2006/relationships/hyperlink" Target="https://twitter.com/jamiaw/status/706213043844288512" TargetMode="External"/><Relationship Id="rId5271" Type="http://schemas.openxmlformats.org/officeDocument/2006/relationships/hyperlink" Target="https://twitter.com/femrhetprof/status/706213038706302976" TargetMode="External"/><Relationship Id="rId5272" Type="http://schemas.openxmlformats.org/officeDocument/2006/relationships/hyperlink" Target="https://pbs.twimg.com/profile_images/666088649121906688/le8su106_normal.jpg" TargetMode="External"/><Relationship Id="rId5277" Type="http://schemas.openxmlformats.org/officeDocument/2006/relationships/hyperlink" Target="https://twitter.com/pastpunditry/status/706213252989108224" TargetMode="External"/><Relationship Id="rId5278" Type="http://schemas.openxmlformats.org/officeDocument/2006/relationships/hyperlink" Target="https://pbs.twimg.com/profile_images/704873222802636800/7aFEMOY5_normal.jpg" TargetMode="External"/><Relationship Id="rId5275" Type="http://schemas.openxmlformats.org/officeDocument/2006/relationships/hyperlink" Target="https://pbs.twimg.com/profile_images/701102020061753344/5zH70uem_normal.jpg" TargetMode="External"/><Relationship Id="rId5276" Type="http://schemas.openxmlformats.org/officeDocument/2006/relationships/hyperlink" Target="https://twitter.com/pastpunditry" TargetMode="External"/><Relationship Id="rId5279" Type="http://schemas.openxmlformats.org/officeDocument/2006/relationships/hyperlink" Target="https://twitter.com/aglassofhistory" TargetMode="External"/><Relationship Id="rId5262" Type="http://schemas.openxmlformats.org/officeDocument/2006/relationships/hyperlink" Target="https://twitter.com/jamiaw/status/706212965083648000" TargetMode="External"/><Relationship Id="rId5263" Type="http://schemas.openxmlformats.org/officeDocument/2006/relationships/hyperlink" Target="https://pbs.twimg.com/profile_images/701102020061753344/5zH70uem_normal.jpg" TargetMode="External"/><Relationship Id="rId5260" Type="http://schemas.openxmlformats.org/officeDocument/2006/relationships/hyperlink" Target="https://pbs.twimg.com/profile_images/704873222802636800/7aFEMOY5_normal.jpg" TargetMode="External"/><Relationship Id="rId5261" Type="http://schemas.openxmlformats.org/officeDocument/2006/relationships/hyperlink" Target="https://twitter.com/jamiaw" TargetMode="External"/><Relationship Id="rId5266" Type="http://schemas.openxmlformats.org/officeDocument/2006/relationships/hyperlink" Target="https://pbs.twimg.com/profile_images/3034769023/09adfcbebccfeef2a42e39aaac64ede5_normal.jpeg" TargetMode="External"/><Relationship Id="rId5267" Type="http://schemas.openxmlformats.org/officeDocument/2006/relationships/hyperlink" Target="https://twitter.com/pastpunditry" TargetMode="External"/><Relationship Id="rId5264" Type="http://schemas.openxmlformats.org/officeDocument/2006/relationships/hyperlink" Target="https://twitter.com/mathhistory" TargetMode="External"/><Relationship Id="rId5265" Type="http://schemas.openxmlformats.org/officeDocument/2006/relationships/hyperlink" Target="https://twitter.com/mathhistory/status/706212967210217473" TargetMode="External"/><Relationship Id="rId5268" Type="http://schemas.openxmlformats.org/officeDocument/2006/relationships/hyperlink" Target="https://twitter.com/pastpunditry/status/706213015050436608" TargetMode="External"/><Relationship Id="rId5269" Type="http://schemas.openxmlformats.org/officeDocument/2006/relationships/hyperlink" Target="https://pbs.twimg.com/profile_images/704873222802636800/7aFEMOY5_normal.jpg" TargetMode="External"/><Relationship Id="rId5219" Type="http://schemas.openxmlformats.org/officeDocument/2006/relationships/hyperlink" Target="https://twitter.com/mathhistory" TargetMode="External"/><Relationship Id="rId5217" Type="http://schemas.openxmlformats.org/officeDocument/2006/relationships/hyperlink" Target="https://twitter.com/samueljredman/status/706210408420548608" TargetMode="External"/><Relationship Id="rId5218" Type="http://schemas.openxmlformats.org/officeDocument/2006/relationships/hyperlink" Target="https://pbs.twimg.com/profile_images/548193870278688768/8Dq7gW3U_normal.png" TargetMode="External"/><Relationship Id="rId392" Type="http://schemas.openxmlformats.org/officeDocument/2006/relationships/hyperlink" Target="https://pbs.twimg.com/profile_images/378800000149111881/7969acf9cec4197748b502a6a6c3d921_normal.jpeg" TargetMode="External"/><Relationship Id="rId391" Type="http://schemas.openxmlformats.org/officeDocument/2006/relationships/hyperlink" Target="https://twitter.com/AmandaMoniz1/status/705768703779082240" TargetMode="External"/><Relationship Id="rId390" Type="http://schemas.openxmlformats.org/officeDocument/2006/relationships/hyperlink" Target="https://twitter.com/AmandaMoniz1" TargetMode="External"/><Relationship Id="rId2180" Type="http://schemas.openxmlformats.org/officeDocument/2006/relationships/hyperlink" Target="https://pbs.twimg.com/profile_images/378800000450415007/82bcc7d0cab85e8d5920dbf5ded6715e_normal.jpeg" TargetMode="External"/><Relationship Id="rId2181" Type="http://schemas.openxmlformats.org/officeDocument/2006/relationships/hyperlink" Target="https://twitter.com/GHAUmass" TargetMode="External"/><Relationship Id="rId2182" Type="http://schemas.openxmlformats.org/officeDocument/2006/relationships/hyperlink" Target="https://twitter.com/GHAUmass/status/705923368495796224" TargetMode="External"/><Relationship Id="rId2183" Type="http://schemas.openxmlformats.org/officeDocument/2006/relationships/hyperlink" Target="https://pbs.twimg.com/profile_images/604060333590855682/Fk6r1D7d_normal.jpg" TargetMode="External"/><Relationship Id="rId385" Type="http://schemas.openxmlformats.org/officeDocument/2006/relationships/hyperlink" Target="https://twitter.com/historycampaign/status/705767529281687553" TargetMode="External"/><Relationship Id="rId2184" Type="http://schemas.openxmlformats.org/officeDocument/2006/relationships/hyperlink" Target="https://twitter.com/lizl_genealogy" TargetMode="External"/><Relationship Id="rId5211" Type="http://schemas.openxmlformats.org/officeDocument/2006/relationships/hyperlink" Target="https://twitter.com/pastpunditry/status/706210077787746304" TargetMode="External"/><Relationship Id="rId384" Type="http://schemas.openxmlformats.org/officeDocument/2006/relationships/hyperlink" Target="https://twitter.com/historycampaign" TargetMode="External"/><Relationship Id="rId2185" Type="http://schemas.openxmlformats.org/officeDocument/2006/relationships/hyperlink" Target="https://twitter.com/lizl_genealogy/status/705923474196455425" TargetMode="External"/><Relationship Id="rId5212" Type="http://schemas.openxmlformats.org/officeDocument/2006/relationships/hyperlink" Target="https://pbs.twimg.com/profile_images/704873222802636800/7aFEMOY5_normal.jpg" TargetMode="External"/><Relationship Id="rId383" Type="http://schemas.openxmlformats.org/officeDocument/2006/relationships/hyperlink" Target="https://pbs.twimg.com/profile_images/596509974005686273/AqBblwMR_normal.jpg" TargetMode="External"/><Relationship Id="rId2186" Type="http://schemas.openxmlformats.org/officeDocument/2006/relationships/hyperlink" Target="https://pbs.twimg.com/profile_images/2700002859/1f2d610ddaf1f03ac7d033dd83847b45_normal.jpeg" TargetMode="External"/><Relationship Id="rId382" Type="http://schemas.openxmlformats.org/officeDocument/2006/relationships/hyperlink" Target="https://twitter.com/JulieThePH/status/705767510147203076" TargetMode="External"/><Relationship Id="rId2187" Type="http://schemas.openxmlformats.org/officeDocument/2006/relationships/hyperlink" Target="https://twitter.com/cameshascruggs" TargetMode="External"/><Relationship Id="rId5210" Type="http://schemas.openxmlformats.org/officeDocument/2006/relationships/hyperlink" Target="https://twitter.com/pastpunditry" TargetMode="External"/><Relationship Id="rId389" Type="http://schemas.openxmlformats.org/officeDocument/2006/relationships/hyperlink" Target="https://pbs.twimg.com/profile_images/1723802853/AD_Avatar_normal.png" TargetMode="External"/><Relationship Id="rId2188" Type="http://schemas.openxmlformats.org/officeDocument/2006/relationships/hyperlink" Target="https://twitter.com/cameshascruggs/status/705923478692745218" TargetMode="External"/><Relationship Id="rId5215" Type="http://schemas.openxmlformats.org/officeDocument/2006/relationships/hyperlink" Target="https://pbs.twimg.com/profile_images/3034769023/09adfcbebccfeef2a42e39aaac64ede5_normal.jpeg" TargetMode="External"/><Relationship Id="rId388" Type="http://schemas.openxmlformats.org/officeDocument/2006/relationships/hyperlink" Target="https://twitter.com/szvan/status/705768502313897984" TargetMode="External"/><Relationship Id="rId2189" Type="http://schemas.openxmlformats.org/officeDocument/2006/relationships/hyperlink" Target="https://pbs.twimg.com/profile_images/187613030/me_in_panel_mode_normal.jpg" TargetMode="External"/><Relationship Id="rId5216" Type="http://schemas.openxmlformats.org/officeDocument/2006/relationships/hyperlink" Target="https://twitter.com/samueljredman" TargetMode="External"/><Relationship Id="rId387" Type="http://schemas.openxmlformats.org/officeDocument/2006/relationships/hyperlink" Target="https://twitter.com/szvan" TargetMode="External"/><Relationship Id="rId5213" Type="http://schemas.openxmlformats.org/officeDocument/2006/relationships/hyperlink" Target="https://twitter.com/mathhistory" TargetMode="External"/><Relationship Id="rId386" Type="http://schemas.openxmlformats.org/officeDocument/2006/relationships/hyperlink" Target="https://pbs.twimg.com/profile_images/673691030139609088/8v7ab61D_normal.jpg" TargetMode="External"/><Relationship Id="rId5214" Type="http://schemas.openxmlformats.org/officeDocument/2006/relationships/hyperlink" Target="https://twitter.com/mathhistory/status/706210086067298304" TargetMode="External"/><Relationship Id="rId5208" Type="http://schemas.openxmlformats.org/officeDocument/2006/relationships/hyperlink" Target="https://twitter.com/mathhistory/status/706209954881998848" TargetMode="External"/><Relationship Id="rId5209" Type="http://schemas.openxmlformats.org/officeDocument/2006/relationships/hyperlink" Target="https://pbs.twimg.com/profile_images/3034769023/09adfcbebccfeef2a42e39aaac64ede5_normal.jpeg" TargetMode="External"/><Relationship Id="rId5206" Type="http://schemas.openxmlformats.org/officeDocument/2006/relationships/hyperlink" Target="https://pbs.twimg.com/profile_images/596509974005686273/AqBblwMR_normal.jpg" TargetMode="External"/><Relationship Id="rId5207" Type="http://schemas.openxmlformats.org/officeDocument/2006/relationships/hyperlink" Target="https://twitter.com/mathhistory" TargetMode="External"/><Relationship Id="rId381" Type="http://schemas.openxmlformats.org/officeDocument/2006/relationships/hyperlink" Target="https://twitter.com/JulieThePH" TargetMode="External"/><Relationship Id="rId380" Type="http://schemas.openxmlformats.org/officeDocument/2006/relationships/hyperlink" Target="https://pbs.twimg.com/profile_images/608092277970341888/r9_R8PJP_normal.jpg" TargetMode="External"/><Relationship Id="rId379" Type="http://schemas.openxmlformats.org/officeDocument/2006/relationships/hyperlink" Target="https://twitter.com/t_lacy/status/705767207050059776" TargetMode="External"/><Relationship Id="rId2170" Type="http://schemas.openxmlformats.org/officeDocument/2006/relationships/hyperlink" Target="https://twitter.com/defactofecteau/status/705923242771554304" TargetMode="External"/><Relationship Id="rId2171" Type="http://schemas.openxmlformats.org/officeDocument/2006/relationships/hyperlink" Target="https://pbs.twimg.com/profile_images/434404729263648768/vsAZLFtj_normal.jpeg" TargetMode="External"/><Relationship Id="rId2172" Type="http://schemas.openxmlformats.org/officeDocument/2006/relationships/hyperlink" Target="https://twitter.com/rebekkahrubin" TargetMode="External"/><Relationship Id="rId374" Type="http://schemas.openxmlformats.org/officeDocument/2006/relationships/hyperlink" Target="https://pbs.twimg.com/profile_images/704873222802636800/7aFEMOY5_normal.jpg" TargetMode="External"/><Relationship Id="rId2173" Type="http://schemas.openxmlformats.org/officeDocument/2006/relationships/hyperlink" Target="https://twitter.com/rebekkahrubin/status/705923267324977152" TargetMode="External"/><Relationship Id="rId5200" Type="http://schemas.openxmlformats.org/officeDocument/2006/relationships/hyperlink" Target="https://pbs.twimg.com/profile_images/704873222802636800/7aFEMOY5_normal.jpg" TargetMode="External"/><Relationship Id="rId373" Type="http://schemas.openxmlformats.org/officeDocument/2006/relationships/hyperlink" Target="https://twitter.com/pastpunditry/status/705767086145015809" TargetMode="External"/><Relationship Id="rId2174" Type="http://schemas.openxmlformats.org/officeDocument/2006/relationships/hyperlink" Target="https://pbs.twimg.com/profile_images/700317732588408832/Ym_-neUi_normal.jpg" TargetMode="External"/><Relationship Id="rId5201" Type="http://schemas.openxmlformats.org/officeDocument/2006/relationships/hyperlink" Target="https://twitter.com/juliegpeterson" TargetMode="External"/><Relationship Id="rId372" Type="http://schemas.openxmlformats.org/officeDocument/2006/relationships/hyperlink" Target="https://twitter.com/pastpunditry" TargetMode="External"/><Relationship Id="rId2175" Type="http://schemas.openxmlformats.org/officeDocument/2006/relationships/hyperlink" Target="https://twitter.com/MedeaCulpa" TargetMode="External"/><Relationship Id="rId371" Type="http://schemas.openxmlformats.org/officeDocument/2006/relationships/hyperlink" Target="https://pbs.twimg.com/profile_images/378800000149111881/7969acf9cec4197748b502a6a6c3d921_normal.jpeg" TargetMode="External"/><Relationship Id="rId2176" Type="http://schemas.openxmlformats.org/officeDocument/2006/relationships/hyperlink" Target="https://twitter.com/MedeaCulpa/status/705923279098417153" TargetMode="External"/><Relationship Id="rId378" Type="http://schemas.openxmlformats.org/officeDocument/2006/relationships/hyperlink" Target="https://twitter.com/t_lacy" TargetMode="External"/><Relationship Id="rId2177" Type="http://schemas.openxmlformats.org/officeDocument/2006/relationships/hyperlink" Target="https://pbs.twimg.com/profile_images/702272676837068800/xO5D7apz_normal.jpg" TargetMode="External"/><Relationship Id="rId5204" Type="http://schemas.openxmlformats.org/officeDocument/2006/relationships/hyperlink" Target="https://twitter.com/JulieThePH" TargetMode="External"/><Relationship Id="rId377" Type="http://schemas.openxmlformats.org/officeDocument/2006/relationships/hyperlink" Target="https://pbs.twimg.com/profile_images/704873222802636800/7aFEMOY5_normal.jpg" TargetMode="External"/><Relationship Id="rId2178" Type="http://schemas.openxmlformats.org/officeDocument/2006/relationships/hyperlink" Target="https://twitter.com/magmidd" TargetMode="External"/><Relationship Id="rId5205" Type="http://schemas.openxmlformats.org/officeDocument/2006/relationships/hyperlink" Target="https://twitter.com/JulieThePH/status/706209714376478723" TargetMode="External"/><Relationship Id="rId376" Type="http://schemas.openxmlformats.org/officeDocument/2006/relationships/hyperlink" Target="https://twitter.com/pastpunditry/status/705767142692667392" TargetMode="External"/><Relationship Id="rId2179" Type="http://schemas.openxmlformats.org/officeDocument/2006/relationships/hyperlink" Target="https://twitter.com/magmidd/status/705923322219880449" TargetMode="External"/><Relationship Id="rId5202" Type="http://schemas.openxmlformats.org/officeDocument/2006/relationships/hyperlink" Target="https://twitter.com/juliegpeterson/status/706209706142994437" TargetMode="External"/><Relationship Id="rId375" Type="http://schemas.openxmlformats.org/officeDocument/2006/relationships/hyperlink" Target="https://twitter.com/pastpunditry" TargetMode="External"/><Relationship Id="rId5203" Type="http://schemas.openxmlformats.org/officeDocument/2006/relationships/hyperlink" Target="https://pbs.twimg.com/profile_images/609765839051452416/GNW0wSt0_normal.jpg" TargetMode="External"/><Relationship Id="rId5239" Type="http://schemas.openxmlformats.org/officeDocument/2006/relationships/hyperlink" Target="https://pbs.twimg.com/profile_images/704873222802636800/7aFEMOY5_normal.jpg" TargetMode="External"/><Relationship Id="rId5230" Type="http://schemas.openxmlformats.org/officeDocument/2006/relationships/hyperlink" Target="https://pbs.twimg.com/profile_images/704873222802636800/7aFEMOY5_normal.jpg" TargetMode="External"/><Relationship Id="rId5233" Type="http://schemas.openxmlformats.org/officeDocument/2006/relationships/hyperlink" Target="https://pbs.twimg.com/profile_images/704873222802636800/7aFEMOY5_normal.jpg" TargetMode="External"/><Relationship Id="rId5234" Type="http://schemas.openxmlformats.org/officeDocument/2006/relationships/hyperlink" Target="https://twitter.com/samueljredman" TargetMode="External"/><Relationship Id="rId5231" Type="http://schemas.openxmlformats.org/officeDocument/2006/relationships/hyperlink" Target="https://twitter.com/pastpunditry" TargetMode="External"/><Relationship Id="rId5232" Type="http://schemas.openxmlformats.org/officeDocument/2006/relationships/hyperlink" Target="https://twitter.com/pastpunditry/status/706211127437500418" TargetMode="External"/><Relationship Id="rId5237" Type="http://schemas.openxmlformats.org/officeDocument/2006/relationships/hyperlink" Target="https://twitter.com/pastpunditry" TargetMode="External"/><Relationship Id="rId5238" Type="http://schemas.openxmlformats.org/officeDocument/2006/relationships/hyperlink" Target="https://twitter.com/pastpunditry/status/706211847540756480" TargetMode="External"/><Relationship Id="rId5235" Type="http://schemas.openxmlformats.org/officeDocument/2006/relationships/hyperlink" Target="https://twitter.com/samueljredman/status/706211642279895040" TargetMode="External"/><Relationship Id="rId5236" Type="http://schemas.openxmlformats.org/officeDocument/2006/relationships/hyperlink" Target="https://pbs.twimg.com/profile_images/548193870278688768/8Dq7gW3U_normal.png" TargetMode="External"/><Relationship Id="rId5228" Type="http://schemas.openxmlformats.org/officeDocument/2006/relationships/hyperlink" Target="https://twitter.com/pastpunditry" TargetMode="External"/><Relationship Id="rId5229" Type="http://schemas.openxmlformats.org/officeDocument/2006/relationships/hyperlink" Target="https://twitter.com/pastpunditry/status/706211024186253313" TargetMode="External"/><Relationship Id="rId2190" Type="http://schemas.openxmlformats.org/officeDocument/2006/relationships/hyperlink" Target="https://twitter.com/pastpunditry" TargetMode="External"/><Relationship Id="rId2191" Type="http://schemas.openxmlformats.org/officeDocument/2006/relationships/hyperlink" Target="https://twitter.com/pastpunditry/status/705923485927870468" TargetMode="External"/><Relationship Id="rId2192" Type="http://schemas.openxmlformats.org/officeDocument/2006/relationships/hyperlink" Target="https://pbs.twimg.com/profile_images/704873222802636800/7aFEMOY5_normal.jpg" TargetMode="External"/><Relationship Id="rId2193" Type="http://schemas.openxmlformats.org/officeDocument/2006/relationships/hyperlink" Target="https://twitter.com/sheishistoric" TargetMode="External"/><Relationship Id="rId2194" Type="http://schemas.openxmlformats.org/officeDocument/2006/relationships/hyperlink" Target="https://twitter.com/sheishistoric/status/705923496032002048" TargetMode="External"/><Relationship Id="rId396" Type="http://schemas.openxmlformats.org/officeDocument/2006/relationships/hyperlink" Target="https://twitter.com/pastpunditry" TargetMode="External"/><Relationship Id="rId2195" Type="http://schemas.openxmlformats.org/officeDocument/2006/relationships/hyperlink" Target="https://pbs.twimg.com/profile_images/650419150620377089/bJxBf---_normal.jpg" TargetMode="External"/><Relationship Id="rId5222" Type="http://schemas.openxmlformats.org/officeDocument/2006/relationships/hyperlink" Target="https://twitter.com/pastpunditry" TargetMode="External"/><Relationship Id="rId395" Type="http://schemas.openxmlformats.org/officeDocument/2006/relationships/hyperlink" Target="https://pbs.twimg.com/profile_images/596509974005686273/AqBblwMR_normal.jpg" TargetMode="External"/><Relationship Id="rId2196" Type="http://schemas.openxmlformats.org/officeDocument/2006/relationships/hyperlink" Target="https://twitter.com/erfagen" TargetMode="External"/><Relationship Id="rId5223" Type="http://schemas.openxmlformats.org/officeDocument/2006/relationships/hyperlink" Target="https://twitter.com/pastpunditry/status/706210555762188288" TargetMode="External"/><Relationship Id="rId394" Type="http://schemas.openxmlformats.org/officeDocument/2006/relationships/hyperlink" Target="https://twitter.com/JulieThePH/status/705768977713209344" TargetMode="External"/><Relationship Id="rId2197" Type="http://schemas.openxmlformats.org/officeDocument/2006/relationships/hyperlink" Target="https://twitter.com/erfagen/status/705923513916530688" TargetMode="External"/><Relationship Id="rId5220" Type="http://schemas.openxmlformats.org/officeDocument/2006/relationships/hyperlink" Target="https://twitter.com/mathhistory/status/706210512040755201" TargetMode="External"/><Relationship Id="rId393" Type="http://schemas.openxmlformats.org/officeDocument/2006/relationships/hyperlink" Target="https://twitter.com/JulieThePH" TargetMode="External"/><Relationship Id="rId2198" Type="http://schemas.openxmlformats.org/officeDocument/2006/relationships/hyperlink" Target="https://pbs.twimg.com/profile_images/638086945722249217/mid_S_BQ_normal.jpg" TargetMode="External"/><Relationship Id="rId5221" Type="http://schemas.openxmlformats.org/officeDocument/2006/relationships/hyperlink" Target="https://pbs.twimg.com/profile_images/3034769023/09adfcbebccfeef2a42e39aaac64ede5_normal.jpeg" TargetMode="External"/><Relationship Id="rId2199" Type="http://schemas.openxmlformats.org/officeDocument/2006/relationships/hyperlink" Target="https://twitter.com/jamiaw" TargetMode="External"/><Relationship Id="rId5226" Type="http://schemas.openxmlformats.org/officeDocument/2006/relationships/hyperlink" Target="https://twitter.com/pastpunditry/status/706210705721200640" TargetMode="External"/><Relationship Id="rId399" Type="http://schemas.openxmlformats.org/officeDocument/2006/relationships/hyperlink" Target="https://twitter.com/JulieThePH" TargetMode="External"/><Relationship Id="rId5227" Type="http://schemas.openxmlformats.org/officeDocument/2006/relationships/hyperlink" Target="https://pbs.twimg.com/profile_images/704873222802636800/7aFEMOY5_normal.jpg" TargetMode="External"/><Relationship Id="rId398" Type="http://schemas.openxmlformats.org/officeDocument/2006/relationships/hyperlink" Target="https://pbs.twimg.com/profile_images/704873222802636800/7aFEMOY5_normal.jpg" TargetMode="External"/><Relationship Id="rId5224" Type="http://schemas.openxmlformats.org/officeDocument/2006/relationships/hyperlink" Target="https://pbs.twimg.com/profile_images/704873222802636800/7aFEMOY5_normal.jpg" TargetMode="External"/><Relationship Id="rId397" Type="http://schemas.openxmlformats.org/officeDocument/2006/relationships/hyperlink" Target="https://twitter.com/pastpunditry/status/705769010269450240" TargetMode="External"/><Relationship Id="rId5225" Type="http://schemas.openxmlformats.org/officeDocument/2006/relationships/hyperlink" Target="https://twitter.com/pastpunditry" TargetMode="External"/><Relationship Id="rId1730" Type="http://schemas.openxmlformats.org/officeDocument/2006/relationships/hyperlink" Target="https://pbs.twimg.com/profile_images/701102020061753344/5zH70uem_normal.jpg" TargetMode="External"/><Relationship Id="rId1731" Type="http://schemas.openxmlformats.org/officeDocument/2006/relationships/hyperlink" Target="https://twitter.com/GHAUmass" TargetMode="External"/><Relationship Id="rId1732" Type="http://schemas.openxmlformats.org/officeDocument/2006/relationships/hyperlink" Target="https://twitter.com/GHAUmass/status/705917816877219841" TargetMode="External"/><Relationship Id="rId1733" Type="http://schemas.openxmlformats.org/officeDocument/2006/relationships/hyperlink" Target="https://pbs.twimg.com/profile_images/604060333590855682/Fk6r1D7d_normal.jpg" TargetMode="External"/><Relationship Id="rId1734" Type="http://schemas.openxmlformats.org/officeDocument/2006/relationships/hyperlink" Target="https://twitter.com/GHAUmass" TargetMode="External"/><Relationship Id="rId1735" Type="http://schemas.openxmlformats.org/officeDocument/2006/relationships/hyperlink" Target="https://twitter.com/GHAUmass/status/705917849890635776" TargetMode="External"/><Relationship Id="rId1736" Type="http://schemas.openxmlformats.org/officeDocument/2006/relationships/hyperlink" Target="https://pbs.twimg.com/profile_images/604060333590855682/Fk6r1D7d_normal.jpg" TargetMode="External"/><Relationship Id="rId1737" Type="http://schemas.openxmlformats.org/officeDocument/2006/relationships/hyperlink" Target="https://twitter.com/GHAUmass" TargetMode="External"/><Relationship Id="rId1738" Type="http://schemas.openxmlformats.org/officeDocument/2006/relationships/hyperlink" Target="https://twitter.com/GHAUmass/status/705917862603530241" TargetMode="External"/><Relationship Id="rId1739" Type="http://schemas.openxmlformats.org/officeDocument/2006/relationships/hyperlink" Target="https://pbs.twimg.com/profile_images/604060333590855682/Fk6r1D7d_normal.jpg" TargetMode="External"/><Relationship Id="rId1720" Type="http://schemas.openxmlformats.org/officeDocument/2006/relationships/hyperlink" Target="https://twitter.com/pastpunditry/status/705917747423797248" TargetMode="External"/><Relationship Id="rId1721" Type="http://schemas.openxmlformats.org/officeDocument/2006/relationships/hyperlink" Target="https://pbs.twimg.com/profile_images/704873222802636800/7aFEMOY5_normal.jpg" TargetMode="External"/><Relationship Id="rId1722" Type="http://schemas.openxmlformats.org/officeDocument/2006/relationships/hyperlink" Target="https://twitter.com/JulieThePH" TargetMode="External"/><Relationship Id="rId1723" Type="http://schemas.openxmlformats.org/officeDocument/2006/relationships/hyperlink" Target="https://twitter.com/JulieThePH/status/705917779237576704" TargetMode="External"/><Relationship Id="rId1724" Type="http://schemas.openxmlformats.org/officeDocument/2006/relationships/hyperlink" Target="https://pbs.twimg.com/profile_images/596509974005686273/AqBblwMR_normal.jpg" TargetMode="External"/><Relationship Id="rId1725" Type="http://schemas.openxmlformats.org/officeDocument/2006/relationships/hyperlink" Target="https://twitter.com/umassph" TargetMode="External"/><Relationship Id="rId1726" Type="http://schemas.openxmlformats.org/officeDocument/2006/relationships/hyperlink" Target="https://twitter.com/umassph/status/705917804650881024" TargetMode="External"/><Relationship Id="rId1727" Type="http://schemas.openxmlformats.org/officeDocument/2006/relationships/hyperlink" Target="https://pbs.twimg.com/profile_images/3583165575/54f0bc87a29b2ae8587193829ce07299_normal.jpeg" TargetMode="External"/><Relationship Id="rId1728" Type="http://schemas.openxmlformats.org/officeDocument/2006/relationships/hyperlink" Target="https://twitter.com/jamiaw" TargetMode="External"/><Relationship Id="rId1729" Type="http://schemas.openxmlformats.org/officeDocument/2006/relationships/hyperlink" Target="https://twitter.com/jamiaw/status/705917812477403139" TargetMode="External"/><Relationship Id="rId1752" Type="http://schemas.openxmlformats.org/officeDocument/2006/relationships/hyperlink" Target="https://twitter.com/rebekkahrubin" TargetMode="External"/><Relationship Id="rId1753" Type="http://schemas.openxmlformats.org/officeDocument/2006/relationships/hyperlink" Target="https://twitter.com/rebekkahrubin/status/705917959437467648" TargetMode="External"/><Relationship Id="rId1754" Type="http://schemas.openxmlformats.org/officeDocument/2006/relationships/hyperlink" Target="https://pbs.twimg.com/profile_images/700317732588408832/Ym_-neUi_normal.jpg" TargetMode="External"/><Relationship Id="rId1755" Type="http://schemas.openxmlformats.org/officeDocument/2006/relationships/hyperlink" Target="https://twitter.com/JulieThePH" TargetMode="External"/><Relationship Id="rId1756" Type="http://schemas.openxmlformats.org/officeDocument/2006/relationships/hyperlink" Target="https://twitter.com/JulieThePH/status/705918081588142080" TargetMode="External"/><Relationship Id="rId1757" Type="http://schemas.openxmlformats.org/officeDocument/2006/relationships/hyperlink" Target="https://pbs.twimg.com/profile_images/596509974005686273/AqBblwMR_normal.jpg" TargetMode="External"/><Relationship Id="rId1758" Type="http://schemas.openxmlformats.org/officeDocument/2006/relationships/hyperlink" Target="https://twitter.com/pastpunditry" TargetMode="External"/><Relationship Id="rId1759" Type="http://schemas.openxmlformats.org/officeDocument/2006/relationships/hyperlink" Target="https://twitter.com/pastpunditry/status/705918169622421504" TargetMode="External"/><Relationship Id="rId1750" Type="http://schemas.openxmlformats.org/officeDocument/2006/relationships/hyperlink" Target="https://twitter.com/erfagen/status/705917946451910656" TargetMode="External"/><Relationship Id="rId1751" Type="http://schemas.openxmlformats.org/officeDocument/2006/relationships/hyperlink" Target="https://pbs.twimg.com/profile_images/638086945722249217/mid_S_BQ_normal.jpg" TargetMode="External"/><Relationship Id="rId1741" Type="http://schemas.openxmlformats.org/officeDocument/2006/relationships/hyperlink" Target="https://twitter.com/defactofecteau/status/705917868433645569" TargetMode="External"/><Relationship Id="rId1742" Type="http://schemas.openxmlformats.org/officeDocument/2006/relationships/hyperlink" Target="https://pbs.twimg.com/profile_images/434404729263648768/vsAZLFtj_normal.jpeg" TargetMode="External"/><Relationship Id="rId1743" Type="http://schemas.openxmlformats.org/officeDocument/2006/relationships/hyperlink" Target="https://twitter.com/juliegpeterson" TargetMode="External"/><Relationship Id="rId1744" Type="http://schemas.openxmlformats.org/officeDocument/2006/relationships/hyperlink" Target="https://twitter.com/juliegpeterson/status/705917907134504960" TargetMode="External"/><Relationship Id="rId1745" Type="http://schemas.openxmlformats.org/officeDocument/2006/relationships/hyperlink" Target="https://pbs.twimg.com/profile_images/609765839051452416/GNW0wSt0_normal.jpg" TargetMode="External"/><Relationship Id="rId1746" Type="http://schemas.openxmlformats.org/officeDocument/2006/relationships/hyperlink" Target="https://twitter.com/pastpunditry" TargetMode="External"/><Relationship Id="rId1747" Type="http://schemas.openxmlformats.org/officeDocument/2006/relationships/hyperlink" Target="https://twitter.com/pastpunditry/status/705917943943733248" TargetMode="External"/><Relationship Id="rId1748" Type="http://schemas.openxmlformats.org/officeDocument/2006/relationships/hyperlink" Target="https://pbs.twimg.com/profile_images/704873222802636800/7aFEMOY5_normal.jpg" TargetMode="External"/><Relationship Id="rId1749" Type="http://schemas.openxmlformats.org/officeDocument/2006/relationships/hyperlink" Target="https://twitter.com/erfagen" TargetMode="External"/><Relationship Id="rId1740" Type="http://schemas.openxmlformats.org/officeDocument/2006/relationships/hyperlink" Target="https://twitter.com/defactofecteau" TargetMode="External"/><Relationship Id="rId5291" Type="http://schemas.openxmlformats.org/officeDocument/2006/relationships/hyperlink" Target="https://twitter.com/samueljredman" TargetMode="External"/><Relationship Id="rId5292" Type="http://schemas.openxmlformats.org/officeDocument/2006/relationships/hyperlink" Target="https://twitter.com/samueljredman/status/706213849654026240" TargetMode="External"/><Relationship Id="rId5290" Type="http://schemas.openxmlformats.org/officeDocument/2006/relationships/hyperlink" Target="https://pbs.twimg.com/profile_images/704873222802636800/7aFEMOY5_normal.jpg" TargetMode="External"/><Relationship Id="rId5295" Type="http://schemas.openxmlformats.org/officeDocument/2006/relationships/hyperlink" Target="https://twitter.com/samueljredman/status/706213882185064454" TargetMode="External"/><Relationship Id="rId5296" Type="http://schemas.openxmlformats.org/officeDocument/2006/relationships/hyperlink" Target="https://pbs.twimg.com/profile_images/548193870278688768/8Dq7gW3U_normal.png" TargetMode="External"/><Relationship Id="rId5293" Type="http://schemas.openxmlformats.org/officeDocument/2006/relationships/hyperlink" Target="https://pbs.twimg.com/profile_images/548193870278688768/8Dq7gW3U_normal.png" TargetMode="External"/><Relationship Id="rId5294" Type="http://schemas.openxmlformats.org/officeDocument/2006/relationships/hyperlink" Target="https://twitter.com/samueljredman" TargetMode="External"/><Relationship Id="rId5299" Type="http://schemas.openxmlformats.org/officeDocument/2006/relationships/hyperlink" Target="https://pbs.twimg.com/profile_images/596509974005686273/AqBblwMR_normal.jpg" TargetMode="External"/><Relationship Id="rId5297" Type="http://schemas.openxmlformats.org/officeDocument/2006/relationships/hyperlink" Target="https://twitter.com/JulieThePH" TargetMode="External"/><Relationship Id="rId5298" Type="http://schemas.openxmlformats.org/officeDocument/2006/relationships/hyperlink" Target="https://twitter.com/JulieThePH/status/706213915798147072" TargetMode="External"/><Relationship Id="rId5280" Type="http://schemas.openxmlformats.org/officeDocument/2006/relationships/hyperlink" Target="https://twitter.com/aglassofhistory/status/706213257493790720" TargetMode="External"/><Relationship Id="rId5281" Type="http://schemas.openxmlformats.org/officeDocument/2006/relationships/hyperlink" Target="https://pbs.twimg.com/profile_images/611592888816898048/cGMlIfmz_normal.jpg" TargetMode="External"/><Relationship Id="rId5284" Type="http://schemas.openxmlformats.org/officeDocument/2006/relationships/hyperlink" Target="https://pbs.twimg.com/profile_images/704873222802636800/7aFEMOY5_normal.jpg" TargetMode="External"/><Relationship Id="rId5285" Type="http://schemas.openxmlformats.org/officeDocument/2006/relationships/hyperlink" Target="https://twitter.com/samueljredman" TargetMode="External"/><Relationship Id="rId5282" Type="http://schemas.openxmlformats.org/officeDocument/2006/relationships/hyperlink" Target="https://twitter.com/pastpunditry" TargetMode="External"/><Relationship Id="rId5283" Type="http://schemas.openxmlformats.org/officeDocument/2006/relationships/hyperlink" Target="https://twitter.com/pastpunditry/status/706213354982002688" TargetMode="External"/><Relationship Id="rId5288" Type="http://schemas.openxmlformats.org/officeDocument/2006/relationships/hyperlink" Target="https://twitter.com/pastpunditry" TargetMode="External"/><Relationship Id="rId5289" Type="http://schemas.openxmlformats.org/officeDocument/2006/relationships/hyperlink" Target="https://twitter.com/pastpunditry/status/706213719169171456" TargetMode="External"/><Relationship Id="rId5286" Type="http://schemas.openxmlformats.org/officeDocument/2006/relationships/hyperlink" Target="https://twitter.com/samueljredman/status/706213673803640832" TargetMode="External"/><Relationship Id="rId5287" Type="http://schemas.openxmlformats.org/officeDocument/2006/relationships/hyperlink" Target="https://pbs.twimg.com/profile_images/548193870278688768/8Dq7gW3U_normal.png" TargetMode="External"/><Relationship Id="rId1710" Type="http://schemas.openxmlformats.org/officeDocument/2006/relationships/hyperlink" Target="https://twitter.com/mil_historicus" TargetMode="External"/><Relationship Id="rId1711" Type="http://schemas.openxmlformats.org/officeDocument/2006/relationships/hyperlink" Target="https://twitter.com/mil_historicus/status/705917708118990848" TargetMode="External"/><Relationship Id="rId1712" Type="http://schemas.openxmlformats.org/officeDocument/2006/relationships/hyperlink" Target="https://pbs.twimg.com/profile_images/703404668714684417/SjKO5beN_normal.jpg" TargetMode="External"/><Relationship Id="rId1713" Type="http://schemas.openxmlformats.org/officeDocument/2006/relationships/hyperlink" Target="https://twitter.com/erfagen" TargetMode="External"/><Relationship Id="rId1714" Type="http://schemas.openxmlformats.org/officeDocument/2006/relationships/hyperlink" Target="https://twitter.com/erfagen/status/705917733335142400" TargetMode="External"/><Relationship Id="rId1715" Type="http://schemas.openxmlformats.org/officeDocument/2006/relationships/hyperlink" Target="https://pbs.twimg.com/profile_images/638086945722249217/mid_S_BQ_normal.jpg" TargetMode="External"/><Relationship Id="rId1716" Type="http://schemas.openxmlformats.org/officeDocument/2006/relationships/hyperlink" Target="https://twitter.com/GHAUmass" TargetMode="External"/><Relationship Id="rId1717" Type="http://schemas.openxmlformats.org/officeDocument/2006/relationships/hyperlink" Target="https://twitter.com/GHAUmass/status/705917736078147584" TargetMode="External"/><Relationship Id="rId1718" Type="http://schemas.openxmlformats.org/officeDocument/2006/relationships/hyperlink" Target="https://pbs.twimg.com/profile_images/604060333590855682/Fk6r1D7d_normal.jpg" TargetMode="External"/><Relationship Id="rId1719" Type="http://schemas.openxmlformats.org/officeDocument/2006/relationships/hyperlink" Target="https://twitter.com/pastpunditry" TargetMode="External"/><Relationship Id="rId1700" Type="http://schemas.openxmlformats.org/officeDocument/2006/relationships/hyperlink" Target="https://pbs.twimg.com/profile_images/704873222802636800/7aFEMOY5_normal.jpg" TargetMode="External"/><Relationship Id="rId1701" Type="http://schemas.openxmlformats.org/officeDocument/2006/relationships/hyperlink" Target="https://twitter.com/MarlaAtUmass" TargetMode="External"/><Relationship Id="rId1702" Type="http://schemas.openxmlformats.org/officeDocument/2006/relationships/hyperlink" Target="https://twitter.com/MarlaAtUmass/status/705917567827886080" TargetMode="External"/><Relationship Id="rId1703" Type="http://schemas.openxmlformats.org/officeDocument/2006/relationships/hyperlink" Target="https://pbs.twimg.com/profile_images/565429960/Betsy_Twitter_normal.jpg" TargetMode="External"/><Relationship Id="rId1704" Type="http://schemas.openxmlformats.org/officeDocument/2006/relationships/hyperlink" Target="https://twitter.com/juliegpeterson" TargetMode="External"/><Relationship Id="rId1705" Type="http://schemas.openxmlformats.org/officeDocument/2006/relationships/hyperlink" Target="https://twitter.com/juliegpeterson/status/705917592700100608" TargetMode="External"/><Relationship Id="rId1706" Type="http://schemas.openxmlformats.org/officeDocument/2006/relationships/hyperlink" Target="https://pbs.twimg.com/profile_images/609765839051452416/GNW0wSt0_normal.jpg" TargetMode="External"/><Relationship Id="rId1707" Type="http://schemas.openxmlformats.org/officeDocument/2006/relationships/hyperlink" Target="https://twitter.com/rebekkahrubin" TargetMode="External"/><Relationship Id="rId1708" Type="http://schemas.openxmlformats.org/officeDocument/2006/relationships/hyperlink" Target="https://twitter.com/rebekkahrubin/status/705917674073812993" TargetMode="External"/><Relationship Id="rId1709" Type="http://schemas.openxmlformats.org/officeDocument/2006/relationships/hyperlink" Target="https://pbs.twimg.com/profile_images/700317732588408832/Ym_-neUi_normal.jpg" TargetMode="External"/><Relationship Id="rId40" Type="http://schemas.openxmlformats.org/officeDocument/2006/relationships/hyperlink" Target="https://twitter.com/GHAUmass" TargetMode="External"/><Relationship Id="rId3513" Type="http://schemas.openxmlformats.org/officeDocument/2006/relationships/hyperlink" Target="https://pbs.twimg.com/profile_images/673691030139609088/8v7ab61D_normal.jpg" TargetMode="External"/><Relationship Id="rId4844" Type="http://schemas.openxmlformats.org/officeDocument/2006/relationships/hyperlink" Target="https://twitter.com/juliegpeterson" TargetMode="External"/><Relationship Id="rId3512" Type="http://schemas.openxmlformats.org/officeDocument/2006/relationships/hyperlink" Target="https://twitter.com/historycampaign/status/705939547360595968" TargetMode="External"/><Relationship Id="rId4843" Type="http://schemas.openxmlformats.org/officeDocument/2006/relationships/hyperlink" Target="https://pbs.twimg.com/profile_images/675360673388367872/TCCGiJc1_normal.jpg" TargetMode="External"/><Relationship Id="rId42" Type="http://schemas.openxmlformats.org/officeDocument/2006/relationships/hyperlink" Target="https://pbs.twimg.com/profile_images/604060333590855682/Fk6r1D7d_normal.jpg" TargetMode="External"/><Relationship Id="rId3515" Type="http://schemas.openxmlformats.org/officeDocument/2006/relationships/hyperlink" Target="https://twitter.com/jilldwiggins/status/705939569707974657" TargetMode="External"/><Relationship Id="rId4846" Type="http://schemas.openxmlformats.org/officeDocument/2006/relationships/hyperlink" Target="https://pbs.twimg.com/profile_images/609765839051452416/GNW0wSt0_normal.jpg" TargetMode="External"/><Relationship Id="rId41" Type="http://schemas.openxmlformats.org/officeDocument/2006/relationships/hyperlink" Target="https://twitter.com/GHAUmass/status/704469041004548099" TargetMode="External"/><Relationship Id="rId3514" Type="http://schemas.openxmlformats.org/officeDocument/2006/relationships/hyperlink" Target="https://twitter.com/jilldwiggins" TargetMode="External"/><Relationship Id="rId4845" Type="http://schemas.openxmlformats.org/officeDocument/2006/relationships/hyperlink" Target="https://twitter.com/juliegpeterson/status/706192492794945536" TargetMode="External"/><Relationship Id="rId44" Type="http://schemas.openxmlformats.org/officeDocument/2006/relationships/hyperlink" Target="https://twitter.com/GHAUmass/status/704469187683549184" TargetMode="External"/><Relationship Id="rId3517" Type="http://schemas.openxmlformats.org/officeDocument/2006/relationships/hyperlink" Target="https://twitter.com/abreimaier" TargetMode="External"/><Relationship Id="rId4848" Type="http://schemas.openxmlformats.org/officeDocument/2006/relationships/hyperlink" Target="https://twitter.com/pastpunditry/status/706192504899690498" TargetMode="External"/><Relationship Id="rId43" Type="http://schemas.openxmlformats.org/officeDocument/2006/relationships/hyperlink" Target="https://twitter.com/GHAUmass" TargetMode="External"/><Relationship Id="rId3516" Type="http://schemas.openxmlformats.org/officeDocument/2006/relationships/hyperlink" Target="https://pbs.twimg.com/profile_images/597386357628108800/cK-Do15v_normal.jpg" TargetMode="External"/><Relationship Id="rId4847" Type="http://schemas.openxmlformats.org/officeDocument/2006/relationships/hyperlink" Target="https://twitter.com/pastpunditry" TargetMode="External"/><Relationship Id="rId46" Type="http://schemas.openxmlformats.org/officeDocument/2006/relationships/hyperlink" Target="https://twitter.com/justinokc" TargetMode="External"/><Relationship Id="rId3519" Type="http://schemas.openxmlformats.org/officeDocument/2006/relationships/hyperlink" Target="https://pbs.twimg.com/profile_images/3357790300/e80f72cc154c4bfa4bc8dc718fbc525b_normal.jpeg" TargetMode="External"/><Relationship Id="rId45" Type="http://schemas.openxmlformats.org/officeDocument/2006/relationships/hyperlink" Target="https://pbs.twimg.com/profile_images/604060333590855682/Fk6r1D7d_normal.jpg" TargetMode="External"/><Relationship Id="rId3518" Type="http://schemas.openxmlformats.org/officeDocument/2006/relationships/hyperlink" Target="https://twitter.com/abreimaier/status/705939623667695616" TargetMode="External"/><Relationship Id="rId4849" Type="http://schemas.openxmlformats.org/officeDocument/2006/relationships/hyperlink" Target="https://pbs.twimg.com/profile_images/704873222802636800/7aFEMOY5_normal.jpg" TargetMode="External"/><Relationship Id="rId48" Type="http://schemas.openxmlformats.org/officeDocument/2006/relationships/hyperlink" Target="https://pbs.twimg.com/profile_images/423134042364858369/GukeR_9H_normal.jpeg" TargetMode="External"/><Relationship Id="rId47" Type="http://schemas.openxmlformats.org/officeDocument/2006/relationships/hyperlink" Target="https://twitter.com/justinokc/status/704469955639640064" TargetMode="External"/><Relationship Id="rId49" Type="http://schemas.openxmlformats.org/officeDocument/2006/relationships/hyperlink" Target="https://twitter.com/justinokc" TargetMode="External"/><Relationship Id="rId4840" Type="http://schemas.openxmlformats.org/officeDocument/2006/relationships/hyperlink" Target="https://pbs.twimg.com/profile_images/609765839051452416/GNW0wSt0_normal.jpg" TargetMode="External"/><Relationship Id="rId3511" Type="http://schemas.openxmlformats.org/officeDocument/2006/relationships/hyperlink" Target="https://twitter.com/historycampaign" TargetMode="External"/><Relationship Id="rId4842" Type="http://schemas.openxmlformats.org/officeDocument/2006/relationships/hyperlink" Target="https://twitter.com/musepolsci/status/706192150640263168" TargetMode="External"/><Relationship Id="rId3510" Type="http://schemas.openxmlformats.org/officeDocument/2006/relationships/hyperlink" Target="https://pbs.twimg.com/profile_images/700317732588408832/Ym_-neUi_normal.jpg" TargetMode="External"/><Relationship Id="rId4841" Type="http://schemas.openxmlformats.org/officeDocument/2006/relationships/hyperlink" Target="https://twitter.com/musepolsci" TargetMode="External"/><Relationship Id="rId3502" Type="http://schemas.openxmlformats.org/officeDocument/2006/relationships/hyperlink" Target="https://twitter.com/rebekkahrubin" TargetMode="External"/><Relationship Id="rId4833" Type="http://schemas.openxmlformats.org/officeDocument/2006/relationships/hyperlink" Target="https://twitter.com/GHAUmass/status/706192006540824576" TargetMode="External"/><Relationship Id="rId3501" Type="http://schemas.openxmlformats.org/officeDocument/2006/relationships/hyperlink" Target="https://pbs.twimg.com/profile_images/661220280564486144/ZxUrdRVS_normal.jpg" TargetMode="External"/><Relationship Id="rId4832" Type="http://schemas.openxmlformats.org/officeDocument/2006/relationships/hyperlink" Target="https://twitter.com/GHAUmass" TargetMode="External"/><Relationship Id="rId31" Type="http://schemas.openxmlformats.org/officeDocument/2006/relationships/hyperlink" Target="https://twitter.com/ncph" TargetMode="External"/><Relationship Id="rId3504" Type="http://schemas.openxmlformats.org/officeDocument/2006/relationships/hyperlink" Target="https://pbs.twimg.com/profile_images/700317732588408832/Ym_-neUi_normal.jpg" TargetMode="External"/><Relationship Id="rId4835" Type="http://schemas.openxmlformats.org/officeDocument/2006/relationships/hyperlink" Target="https://twitter.com/pastpunditry" TargetMode="External"/><Relationship Id="rId30" Type="http://schemas.openxmlformats.org/officeDocument/2006/relationships/hyperlink" Target="https://pbs.twimg.com/profile_images/531574951107518465/AvUhkliP_normal.jpeg" TargetMode="External"/><Relationship Id="rId3503" Type="http://schemas.openxmlformats.org/officeDocument/2006/relationships/hyperlink" Target="https://twitter.com/rebekkahrubin/status/705939263293153280" TargetMode="External"/><Relationship Id="rId4834" Type="http://schemas.openxmlformats.org/officeDocument/2006/relationships/hyperlink" Target="https://pbs.twimg.com/profile_images/604060333590855682/Fk6r1D7d_normal.jpg" TargetMode="External"/><Relationship Id="rId33" Type="http://schemas.openxmlformats.org/officeDocument/2006/relationships/hyperlink" Target="https://pbs.twimg.com/profile_images/692044482284490752/cl6DSLkD_normal.jpg" TargetMode="External"/><Relationship Id="rId3506" Type="http://schemas.openxmlformats.org/officeDocument/2006/relationships/hyperlink" Target="https://twitter.com/juliegpeterson/status/705939356511559680" TargetMode="External"/><Relationship Id="rId4837" Type="http://schemas.openxmlformats.org/officeDocument/2006/relationships/hyperlink" Target="https://pbs.twimg.com/profile_images/704873222802636800/7aFEMOY5_normal.jpg" TargetMode="External"/><Relationship Id="rId32" Type="http://schemas.openxmlformats.org/officeDocument/2006/relationships/hyperlink" Target="https://twitter.com/ncph/status/704400161670307840" TargetMode="External"/><Relationship Id="rId3505" Type="http://schemas.openxmlformats.org/officeDocument/2006/relationships/hyperlink" Target="https://twitter.com/juliegpeterson" TargetMode="External"/><Relationship Id="rId4836" Type="http://schemas.openxmlformats.org/officeDocument/2006/relationships/hyperlink" Target="https://twitter.com/pastpunditry/status/706192018020634624" TargetMode="External"/><Relationship Id="rId35" Type="http://schemas.openxmlformats.org/officeDocument/2006/relationships/hyperlink" Target="https://twitter.com/aglassofhistory/status/704408941950799872" TargetMode="External"/><Relationship Id="rId3508" Type="http://schemas.openxmlformats.org/officeDocument/2006/relationships/hyperlink" Target="https://twitter.com/rebekkahrubin" TargetMode="External"/><Relationship Id="rId4839" Type="http://schemas.openxmlformats.org/officeDocument/2006/relationships/hyperlink" Target="https://twitter.com/juliegpeterson/status/706192046147637249" TargetMode="External"/><Relationship Id="rId34" Type="http://schemas.openxmlformats.org/officeDocument/2006/relationships/hyperlink" Target="https://twitter.com/aglassofhistory" TargetMode="External"/><Relationship Id="rId3507" Type="http://schemas.openxmlformats.org/officeDocument/2006/relationships/hyperlink" Target="https://pbs.twimg.com/profile_images/609765839051452416/GNW0wSt0_normal.jpg" TargetMode="External"/><Relationship Id="rId4838" Type="http://schemas.openxmlformats.org/officeDocument/2006/relationships/hyperlink" Target="https://twitter.com/juliegpeterson" TargetMode="External"/><Relationship Id="rId3509" Type="http://schemas.openxmlformats.org/officeDocument/2006/relationships/hyperlink" Target="https://twitter.com/rebekkahrubin/status/705939385271902208" TargetMode="External"/><Relationship Id="rId37" Type="http://schemas.openxmlformats.org/officeDocument/2006/relationships/hyperlink" Target="https://twitter.com/GHAUmass" TargetMode="External"/><Relationship Id="rId36" Type="http://schemas.openxmlformats.org/officeDocument/2006/relationships/hyperlink" Target="https://pbs.twimg.com/profile_images/611592888816898048/cGMlIfmz_normal.jpg" TargetMode="External"/><Relationship Id="rId39" Type="http://schemas.openxmlformats.org/officeDocument/2006/relationships/hyperlink" Target="https://pbs.twimg.com/profile_images/604060333590855682/Fk6r1D7d_normal.jpg" TargetMode="External"/><Relationship Id="rId38" Type="http://schemas.openxmlformats.org/officeDocument/2006/relationships/hyperlink" Target="https://twitter.com/GHAUmass/status/704468856140595200" TargetMode="External"/><Relationship Id="rId3500" Type="http://schemas.openxmlformats.org/officeDocument/2006/relationships/hyperlink" Target="https://twitter.com/CitizenWald/status/705939212479176704" TargetMode="External"/><Relationship Id="rId4831" Type="http://schemas.openxmlformats.org/officeDocument/2006/relationships/hyperlink" Target="https://pbs.twimg.com/profile_images/604060333590855682/Fk6r1D7d_normal.jpg" TargetMode="External"/><Relationship Id="rId4830" Type="http://schemas.openxmlformats.org/officeDocument/2006/relationships/hyperlink" Target="https://twitter.com/GHAUmass/status/706191948177121281" TargetMode="External"/><Relationship Id="rId2203" Type="http://schemas.openxmlformats.org/officeDocument/2006/relationships/hyperlink" Target="https://twitter.com/historein/status/705923571042791424" TargetMode="External"/><Relationship Id="rId3535" Type="http://schemas.openxmlformats.org/officeDocument/2006/relationships/hyperlink" Target="https://twitter.com/JulieThePH" TargetMode="External"/><Relationship Id="rId4866" Type="http://schemas.openxmlformats.org/officeDocument/2006/relationships/hyperlink" Target="https://twitter.com/GHAUmass/status/706192997810106369" TargetMode="External"/><Relationship Id="rId2204" Type="http://schemas.openxmlformats.org/officeDocument/2006/relationships/hyperlink" Target="https://pbs.twimg.com/profile_images/636901483401904128/cxbavncr_normal.jpg" TargetMode="External"/><Relationship Id="rId3534" Type="http://schemas.openxmlformats.org/officeDocument/2006/relationships/hyperlink" Target="https://pbs.twimg.com/profile_images/187613030/me_in_panel_mode_normal.jpg" TargetMode="External"/><Relationship Id="rId4865" Type="http://schemas.openxmlformats.org/officeDocument/2006/relationships/hyperlink" Target="https://twitter.com/GHAUmass" TargetMode="External"/><Relationship Id="rId20" Type="http://schemas.openxmlformats.org/officeDocument/2006/relationships/hyperlink" Target="https://twitter.com/UMassHistory/status/704371804773740544" TargetMode="External"/><Relationship Id="rId2205" Type="http://schemas.openxmlformats.org/officeDocument/2006/relationships/hyperlink" Target="https://twitter.com/pastpunditry" TargetMode="External"/><Relationship Id="rId3537" Type="http://schemas.openxmlformats.org/officeDocument/2006/relationships/hyperlink" Target="https://pbs.twimg.com/profile_images/596509974005686273/AqBblwMR_normal.jpg" TargetMode="External"/><Relationship Id="rId4868" Type="http://schemas.openxmlformats.org/officeDocument/2006/relationships/hyperlink" Target="https://twitter.com/GHAUmass" TargetMode="External"/><Relationship Id="rId2206" Type="http://schemas.openxmlformats.org/officeDocument/2006/relationships/hyperlink" Target="https://twitter.com/pastpunditry/status/705923632078442496" TargetMode="External"/><Relationship Id="rId3536" Type="http://schemas.openxmlformats.org/officeDocument/2006/relationships/hyperlink" Target="https://twitter.com/JulieThePH/status/705940332484100096" TargetMode="External"/><Relationship Id="rId4867" Type="http://schemas.openxmlformats.org/officeDocument/2006/relationships/hyperlink" Target="https://pbs.twimg.com/profile_images/604060333590855682/Fk6r1D7d_normal.jpg" TargetMode="External"/><Relationship Id="rId22" Type="http://schemas.openxmlformats.org/officeDocument/2006/relationships/hyperlink" Target="https://twitter.com/NixoNARA" TargetMode="External"/><Relationship Id="rId2207" Type="http://schemas.openxmlformats.org/officeDocument/2006/relationships/hyperlink" Target="https://pbs.twimg.com/profile_images/704873222802636800/7aFEMOY5_normal.jpg" TargetMode="External"/><Relationship Id="rId3539" Type="http://schemas.openxmlformats.org/officeDocument/2006/relationships/hyperlink" Target="https://twitter.com/TheHistoryList/status/705940347390554112" TargetMode="External"/><Relationship Id="rId21" Type="http://schemas.openxmlformats.org/officeDocument/2006/relationships/hyperlink" Target="https://pbs.twimg.com/profile_images/3586356040/2875fe2e13ecc978a7c19bbf515b7847_normal.png" TargetMode="External"/><Relationship Id="rId2208" Type="http://schemas.openxmlformats.org/officeDocument/2006/relationships/hyperlink" Target="https://twitter.com/JulieThePH" TargetMode="External"/><Relationship Id="rId3538" Type="http://schemas.openxmlformats.org/officeDocument/2006/relationships/hyperlink" Target="https://twitter.com/TheHistoryList" TargetMode="External"/><Relationship Id="rId4869" Type="http://schemas.openxmlformats.org/officeDocument/2006/relationships/hyperlink" Target="https://twitter.com/GHAUmass/status/706193173744369664" TargetMode="External"/><Relationship Id="rId24" Type="http://schemas.openxmlformats.org/officeDocument/2006/relationships/hyperlink" Target="https://pbs.twimg.com/profile_images/1185970366/Twitter_NixoNARA_normal.jpg" TargetMode="External"/><Relationship Id="rId2209" Type="http://schemas.openxmlformats.org/officeDocument/2006/relationships/hyperlink" Target="https://twitter.com/JulieThePH/status/705923662382243840" TargetMode="External"/><Relationship Id="rId23" Type="http://schemas.openxmlformats.org/officeDocument/2006/relationships/hyperlink" Target="https://twitter.com/NixoNARA/status/704373636292067329" TargetMode="External"/><Relationship Id="rId26" Type="http://schemas.openxmlformats.org/officeDocument/2006/relationships/hyperlink" Target="https://twitter.com/MarlaAtUmass/status/704377840058441728" TargetMode="External"/><Relationship Id="rId25" Type="http://schemas.openxmlformats.org/officeDocument/2006/relationships/hyperlink" Target="https://twitter.com/MarlaAtUmass" TargetMode="External"/><Relationship Id="rId28" Type="http://schemas.openxmlformats.org/officeDocument/2006/relationships/hyperlink" Target="https://twitter.com/JasonSteinhauer" TargetMode="External"/><Relationship Id="rId4860" Type="http://schemas.openxmlformats.org/officeDocument/2006/relationships/hyperlink" Target="https://twitter.com/JimGrossmanAHA/status/706192735838052354" TargetMode="External"/><Relationship Id="rId27" Type="http://schemas.openxmlformats.org/officeDocument/2006/relationships/hyperlink" Target="https://pbs.twimg.com/profile_images/565429960/Betsy_Twitter_normal.jpg" TargetMode="External"/><Relationship Id="rId3531" Type="http://schemas.openxmlformats.org/officeDocument/2006/relationships/hyperlink" Target="https://pbs.twimg.com/profile_images/609765839051452416/GNW0wSt0_normal.jpg" TargetMode="External"/><Relationship Id="rId4862" Type="http://schemas.openxmlformats.org/officeDocument/2006/relationships/hyperlink" Target="https://twitter.com/pastpunditry" TargetMode="External"/><Relationship Id="rId29" Type="http://schemas.openxmlformats.org/officeDocument/2006/relationships/hyperlink" Target="https://twitter.com/JasonSteinhauer/status/704399624430292992" TargetMode="External"/><Relationship Id="rId2200" Type="http://schemas.openxmlformats.org/officeDocument/2006/relationships/hyperlink" Target="https://twitter.com/jamiaw/status/705923534699286528" TargetMode="External"/><Relationship Id="rId3530" Type="http://schemas.openxmlformats.org/officeDocument/2006/relationships/hyperlink" Target="https://twitter.com/juliegpeterson/status/705940136006164480" TargetMode="External"/><Relationship Id="rId4861" Type="http://schemas.openxmlformats.org/officeDocument/2006/relationships/hyperlink" Target="https://pbs.twimg.com/profile_images/378800000667891782/44d7b181c077bf16ab07b242f7ad81b9_normal.png" TargetMode="External"/><Relationship Id="rId2201" Type="http://schemas.openxmlformats.org/officeDocument/2006/relationships/hyperlink" Target="https://pbs.twimg.com/profile_images/701102020061753344/5zH70uem_normal.jpg" TargetMode="External"/><Relationship Id="rId3533" Type="http://schemas.openxmlformats.org/officeDocument/2006/relationships/hyperlink" Target="https://twitter.com/cameshascruggs/status/705940203958050816" TargetMode="External"/><Relationship Id="rId4864" Type="http://schemas.openxmlformats.org/officeDocument/2006/relationships/hyperlink" Target="https://pbs.twimg.com/profile_images/704873222802636800/7aFEMOY5_normal.jpg" TargetMode="External"/><Relationship Id="rId2202" Type="http://schemas.openxmlformats.org/officeDocument/2006/relationships/hyperlink" Target="https://twitter.com/historein" TargetMode="External"/><Relationship Id="rId3532" Type="http://schemas.openxmlformats.org/officeDocument/2006/relationships/hyperlink" Target="https://twitter.com/cameshascruggs" TargetMode="External"/><Relationship Id="rId4863" Type="http://schemas.openxmlformats.org/officeDocument/2006/relationships/hyperlink" Target="https://twitter.com/pastpunditry/status/706192803244728320" TargetMode="External"/><Relationship Id="rId3524" Type="http://schemas.openxmlformats.org/officeDocument/2006/relationships/hyperlink" Target="https://twitter.com/jmadelman/status/705939740877570049" TargetMode="External"/><Relationship Id="rId4855" Type="http://schemas.openxmlformats.org/officeDocument/2006/relationships/hyperlink" Target="https://pbs.twimg.com/profile_images/604060333590855682/Fk6r1D7d_normal.jpg" TargetMode="External"/><Relationship Id="rId3523" Type="http://schemas.openxmlformats.org/officeDocument/2006/relationships/hyperlink" Target="https://twitter.com/jmadelman" TargetMode="External"/><Relationship Id="rId4854" Type="http://schemas.openxmlformats.org/officeDocument/2006/relationships/hyperlink" Target="https://twitter.com/GHAUmass/status/706192538642862087" TargetMode="External"/><Relationship Id="rId3526" Type="http://schemas.openxmlformats.org/officeDocument/2006/relationships/hyperlink" Target="https://twitter.com/CitizenWald" TargetMode="External"/><Relationship Id="rId4857" Type="http://schemas.openxmlformats.org/officeDocument/2006/relationships/hyperlink" Target="https://twitter.com/GHAUmass/status/706192667336638464" TargetMode="External"/><Relationship Id="rId3525" Type="http://schemas.openxmlformats.org/officeDocument/2006/relationships/hyperlink" Target="https://pbs.twimg.com/profile_images/633292774570201089/pdNFZfya_normal.jpg" TargetMode="External"/><Relationship Id="rId4856" Type="http://schemas.openxmlformats.org/officeDocument/2006/relationships/hyperlink" Target="https://twitter.com/GHAUmass" TargetMode="External"/><Relationship Id="rId11" Type="http://schemas.openxmlformats.org/officeDocument/2006/relationships/hyperlink" Target="https://twitter.com/GHAUmass/status/704313778880565248" TargetMode="External"/><Relationship Id="rId3528" Type="http://schemas.openxmlformats.org/officeDocument/2006/relationships/hyperlink" Target="https://pbs.twimg.com/profile_images/661220280564486144/ZxUrdRVS_normal.jpg" TargetMode="External"/><Relationship Id="rId4859" Type="http://schemas.openxmlformats.org/officeDocument/2006/relationships/hyperlink" Target="https://twitter.com/JimGrossmanAHA" TargetMode="External"/><Relationship Id="rId10" Type="http://schemas.openxmlformats.org/officeDocument/2006/relationships/hyperlink" Target="https://twitter.com/GHAUmass" TargetMode="External"/><Relationship Id="rId3527" Type="http://schemas.openxmlformats.org/officeDocument/2006/relationships/hyperlink" Target="https://twitter.com/CitizenWald/status/705939751719858176" TargetMode="External"/><Relationship Id="rId4858" Type="http://schemas.openxmlformats.org/officeDocument/2006/relationships/hyperlink" Target="https://pbs.twimg.com/profile_images/604060333590855682/Fk6r1D7d_normal.jpg" TargetMode="External"/><Relationship Id="rId13" Type="http://schemas.openxmlformats.org/officeDocument/2006/relationships/hyperlink" Target="https://twitter.com/monicalmercado" TargetMode="External"/><Relationship Id="rId12" Type="http://schemas.openxmlformats.org/officeDocument/2006/relationships/hyperlink" Target="https://pbs.twimg.com/profile_images/604060333590855682/Fk6r1D7d_normal.jpg" TargetMode="External"/><Relationship Id="rId3529" Type="http://schemas.openxmlformats.org/officeDocument/2006/relationships/hyperlink" Target="https://twitter.com/juliegpeterson" TargetMode="External"/><Relationship Id="rId15" Type="http://schemas.openxmlformats.org/officeDocument/2006/relationships/hyperlink" Target="https://pbs.twimg.com/profile_images/649760595999334400/cvNB478i_normal.jpg" TargetMode="External"/><Relationship Id="rId14" Type="http://schemas.openxmlformats.org/officeDocument/2006/relationships/hyperlink" Target="https://twitter.com/monicalmercado/status/704319415291138048" TargetMode="External"/><Relationship Id="rId17" Type="http://schemas.openxmlformats.org/officeDocument/2006/relationships/hyperlink" Target="https://twitter.com/JasonSteinhauer/status/704371191071576066" TargetMode="External"/><Relationship Id="rId16" Type="http://schemas.openxmlformats.org/officeDocument/2006/relationships/hyperlink" Target="https://twitter.com/JasonSteinhauer" TargetMode="External"/><Relationship Id="rId19" Type="http://schemas.openxmlformats.org/officeDocument/2006/relationships/hyperlink" Target="https://twitter.com/UMassHistory" TargetMode="External"/><Relationship Id="rId3520" Type="http://schemas.openxmlformats.org/officeDocument/2006/relationships/hyperlink" Target="https://twitter.com/magmidd" TargetMode="External"/><Relationship Id="rId4851" Type="http://schemas.openxmlformats.org/officeDocument/2006/relationships/hyperlink" Target="https://twitter.com/pastpunditry/status/706192521186156549" TargetMode="External"/><Relationship Id="rId18" Type="http://schemas.openxmlformats.org/officeDocument/2006/relationships/hyperlink" Target="https://pbs.twimg.com/profile_images/531574951107518465/AvUhkliP_normal.jpeg" TargetMode="External"/><Relationship Id="rId4850" Type="http://schemas.openxmlformats.org/officeDocument/2006/relationships/hyperlink" Target="https://twitter.com/pastpunditry" TargetMode="External"/><Relationship Id="rId3522" Type="http://schemas.openxmlformats.org/officeDocument/2006/relationships/hyperlink" Target="https://pbs.twimg.com/profile_images/378800000450415007/82bcc7d0cab85e8d5920dbf5ded6715e_normal.jpeg" TargetMode="External"/><Relationship Id="rId4853" Type="http://schemas.openxmlformats.org/officeDocument/2006/relationships/hyperlink" Target="https://twitter.com/GHAUmass" TargetMode="External"/><Relationship Id="rId3521" Type="http://schemas.openxmlformats.org/officeDocument/2006/relationships/hyperlink" Target="https://twitter.com/magmidd/status/705939696736571392" TargetMode="External"/><Relationship Id="rId4852" Type="http://schemas.openxmlformats.org/officeDocument/2006/relationships/hyperlink" Target="https://pbs.twimg.com/profile_images/704873222802636800/7aFEMOY5_normal.jpg" TargetMode="External"/><Relationship Id="rId84" Type="http://schemas.openxmlformats.org/officeDocument/2006/relationships/hyperlink" Target="https://pbs.twimg.com/profile_images/526060856870969344/oUqx-Zk__normal.jpeg" TargetMode="External"/><Relationship Id="rId1774" Type="http://schemas.openxmlformats.org/officeDocument/2006/relationships/hyperlink" Target="https://twitter.com/rebekkahrubin/status/705918451794223105" TargetMode="External"/><Relationship Id="rId4800" Type="http://schemas.openxmlformats.org/officeDocument/2006/relationships/hyperlink" Target="https://twitter.com/pastpunditry/status/706189319304830976" TargetMode="External"/><Relationship Id="rId83" Type="http://schemas.openxmlformats.org/officeDocument/2006/relationships/hyperlink" Target="https://twitter.com/benoitkate/status/705111444358979585" TargetMode="External"/><Relationship Id="rId1775" Type="http://schemas.openxmlformats.org/officeDocument/2006/relationships/hyperlink" Target="https://pbs.twimg.com/profile_images/700317732588408832/Ym_-neUi_normal.jpg" TargetMode="External"/><Relationship Id="rId86" Type="http://schemas.openxmlformats.org/officeDocument/2006/relationships/hyperlink" Target="https://twitter.com/juliegpeterson/status/705147868663959556" TargetMode="External"/><Relationship Id="rId1776" Type="http://schemas.openxmlformats.org/officeDocument/2006/relationships/hyperlink" Target="https://twitter.com/pastpunditry" TargetMode="External"/><Relationship Id="rId4802" Type="http://schemas.openxmlformats.org/officeDocument/2006/relationships/hyperlink" Target="https://twitter.com/juliegpeterson" TargetMode="External"/><Relationship Id="rId85" Type="http://schemas.openxmlformats.org/officeDocument/2006/relationships/hyperlink" Target="https://twitter.com/juliegpeterson" TargetMode="External"/><Relationship Id="rId1777" Type="http://schemas.openxmlformats.org/officeDocument/2006/relationships/hyperlink" Target="https://twitter.com/pastpunditry/status/705918459142610944" TargetMode="External"/><Relationship Id="rId4801" Type="http://schemas.openxmlformats.org/officeDocument/2006/relationships/hyperlink" Target="https://pbs.twimg.com/profile_images/704873222802636800/7aFEMOY5_normal.jpg" TargetMode="External"/><Relationship Id="rId88" Type="http://schemas.openxmlformats.org/officeDocument/2006/relationships/hyperlink" Target="https://twitter.com/GHAUmass" TargetMode="External"/><Relationship Id="rId1778" Type="http://schemas.openxmlformats.org/officeDocument/2006/relationships/hyperlink" Target="https://pbs.twimg.com/profile_images/704873222802636800/7aFEMOY5_normal.jpg" TargetMode="External"/><Relationship Id="rId4804" Type="http://schemas.openxmlformats.org/officeDocument/2006/relationships/hyperlink" Target="https://pbs.twimg.com/profile_images/609765839051452416/GNW0wSt0_normal.jpg" TargetMode="External"/><Relationship Id="rId87" Type="http://schemas.openxmlformats.org/officeDocument/2006/relationships/hyperlink" Target="https://pbs.twimg.com/profile_images/609765839051452416/GNW0wSt0_normal.jpg" TargetMode="External"/><Relationship Id="rId1779" Type="http://schemas.openxmlformats.org/officeDocument/2006/relationships/hyperlink" Target="https://twitter.com/sheishistoric" TargetMode="External"/><Relationship Id="rId4803" Type="http://schemas.openxmlformats.org/officeDocument/2006/relationships/hyperlink" Target="https://twitter.com/juliegpeterson/status/706189453149261824" TargetMode="External"/><Relationship Id="rId4806" Type="http://schemas.openxmlformats.org/officeDocument/2006/relationships/hyperlink" Target="https://twitter.com/GHAUmass/status/706189577019658240" TargetMode="External"/><Relationship Id="rId89" Type="http://schemas.openxmlformats.org/officeDocument/2006/relationships/hyperlink" Target="https://twitter.com/GHAUmass/status/705148119290388480" TargetMode="External"/><Relationship Id="rId4805" Type="http://schemas.openxmlformats.org/officeDocument/2006/relationships/hyperlink" Target="https://twitter.com/GHAUmass" TargetMode="External"/><Relationship Id="rId4808" Type="http://schemas.openxmlformats.org/officeDocument/2006/relationships/hyperlink" Target="https://twitter.com/pastpunditry" TargetMode="External"/><Relationship Id="rId4807" Type="http://schemas.openxmlformats.org/officeDocument/2006/relationships/hyperlink" Target="https://pbs.twimg.com/profile_images/604060333590855682/Fk6r1D7d_normal.jpg" TargetMode="External"/><Relationship Id="rId4809" Type="http://schemas.openxmlformats.org/officeDocument/2006/relationships/hyperlink" Target="https://twitter.com/pastpunditry/status/706189611157090305" TargetMode="External"/><Relationship Id="rId80" Type="http://schemas.openxmlformats.org/officeDocument/2006/relationships/hyperlink" Target="https://twitter.com/UMassHistory/status/705109317905752066" TargetMode="External"/><Relationship Id="rId82" Type="http://schemas.openxmlformats.org/officeDocument/2006/relationships/hyperlink" Target="https://twitter.com/benoitkate" TargetMode="External"/><Relationship Id="rId81" Type="http://schemas.openxmlformats.org/officeDocument/2006/relationships/hyperlink" Target="https://pbs.twimg.com/profile_images/3586356040/2875fe2e13ecc978a7c19bbf515b7847_normal.png" TargetMode="External"/><Relationship Id="rId1770" Type="http://schemas.openxmlformats.org/officeDocument/2006/relationships/hyperlink" Target="https://twitter.com/juliegpeterson" TargetMode="External"/><Relationship Id="rId1771" Type="http://schemas.openxmlformats.org/officeDocument/2006/relationships/hyperlink" Target="https://twitter.com/juliegpeterson/status/705918393656987648" TargetMode="External"/><Relationship Id="rId1772" Type="http://schemas.openxmlformats.org/officeDocument/2006/relationships/hyperlink" Target="https://pbs.twimg.com/profile_images/609765839051452416/GNW0wSt0_normal.jpg" TargetMode="External"/><Relationship Id="rId1773" Type="http://schemas.openxmlformats.org/officeDocument/2006/relationships/hyperlink" Target="https://twitter.com/rebekkahrubin" TargetMode="External"/><Relationship Id="rId73" Type="http://schemas.openxmlformats.org/officeDocument/2006/relationships/hyperlink" Target="https://twitter.com/JasonSteinhauer" TargetMode="External"/><Relationship Id="rId1763" Type="http://schemas.openxmlformats.org/officeDocument/2006/relationships/hyperlink" Target="https://pbs.twimg.com/profile_images/700317732588408832/Ym_-neUi_normal.jpg" TargetMode="External"/><Relationship Id="rId72" Type="http://schemas.openxmlformats.org/officeDocument/2006/relationships/hyperlink" Target="https://pbs.twimg.com/profile_images/378800000607315092/0ca5f9663f005da03fc39fa9b17092ad_normal.jpeg" TargetMode="External"/><Relationship Id="rId1764" Type="http://schemas.openxmlformats.org/officeDocument/2006/relationships/hyperlink" Target="https://twitter.com/AmandaMoniz1" TargetMode="External"/><Relationship Id="rId75" Type="http://schemas.openxmlformats.org/officeDocument/2006/relationships/hyperlink" Target="https://pbs.twimg.com/profile_images/531574951107518465/AvUhkliP_normal.jpeg" TargetMode="External"/><Relationship Id="rId1765" Type="http://schemas.openxmlformats.org/officeDocument/2006/relationships/hyperlink" Target="https://twitter.com/AmandaMoniz1/status/705918225754824704" TargetMode="External"/><Relationship Id="rId74" Type="http://schemas.openxmlformats.org/officeDocument/2006/relationships/hyperlink" Target="https://twitter.com/JasonSteinhauer/status/704784250910937088" TargetMode="External"/><Relationship Id="rId1766" Type="http://schemas.openxmlformats.org/officeDocument/2006/relationships/hyperlink" Target="https://pbs.twimg.com/profile_images/378800000149111881/7969acf9cec4197748b502a6a6c3d921_normal.jpeg" TargetMode="External"/><Relationship Id="rId77" Type="http://schemas.openxmlformats.org/officeDocument/2006/relationships/hyperlink" Target="https://twitter.com/HistoryCtr/status/705037287961337856" TargetMode="External"/><Relationship Id="rId1767" Type="http://schemas.openxmlformats.org/officeDocument/2006/relationships/hyperlink" Target="https://twitter.com/magmidd" TargetMode="External"/><Relationship Id="rId76" Type="http://schemas.openxmlformats.org/officeDocument/2006/relationships/hyperlink" Target="https://twitter.com/HistoryCtr" TargetMode="External"/><Relationship Id="rId1768" Type="http://schemas.openxmlformats.org/officeDocument/2006/relationships/hyperlink" Target="https://twitter.com/magmidd/status/705918325272907776" TargetMode="External"/><Relationship Id="rId79" Type="http://schemas.openxmlformats.org/officeDocument/2006/relationships/hyperlink" Target="https://twitter.com/UMassHistory" TargetMode="External"/><Relationship Id="rId1769" Type="http://schemas.openxmlformats.org/officeDocument/2006/relationships/hyperlink" Target="https://pbs.twimg.com/profile_images/378800000450415007/82bcc7d0cab85e8d5920dbf5ded6715e_normal.jpeg" TargetMode="External"/><Relationship Id="rId78" Type="http://schemas.openxmlformats.org/officeDocument/2006/relationships/hyperlink" Target="https://pbs.twimg.com/profile_images/3608762633/172233bf2e82856fd9c89c9123981930_normal.jpeg" TargetMode="External"/><Relationship Id="rId71" Type="http://schemas.openxmlformats.org/officeDocument/2006/relationships/hyperlink" Target="https://twitter.com/AHAhistorians/status/704783764338171905" TargetMode="External"/><Relationship Id="rId70" Type="http://schemas.openxmlformats.org/officeDocument/2006/relationships/hyperlink" Target="https://twitter.com/AHAhistorians" TargetMode="External"/><Relationship Id="rId1760" Type="http://schemas.openxmlformats.org/officeDocument/2006/relationships/hyperlink" Target="https://pbs.twimg.com/profile_images/704873222802636800/7aFEMOY5_normal.jpg" TargetMode="External"/><Relationship Id="rId1761" Type="http://schemas.openxmlformats.org/officeDocument/2006/relationships/hyperlink" Target="https://twitter.com/rebekkahrubin" TargetMode="External"/><Relationship Id="rId1762" Type="http://schemas.openxmlformats.org/officeDocument/2006/relationships/hyperlink" Target="https://twitter.com/rebekkahrubin/status/705918173489590273" TargetMode="External"/><Relationship Id="rId62" Type="http://schemas.openxmlformats.org/officeDocument/2006/relationships/hyperlink" Target="https://twitter.com/JasonSteinhauer/status/704692901129949184" TargetMode="External"/><Relationship Id="rId1796" Type="http://schemas.openxmlformats.org/officeDocument/2006/relationships/hyperlink" Target="https://pbs.twimg.com/profile_images/378800000149111881/7969acf9cec4197748b502a6a6c3d921_normal.jpeg" TargetMode="External"/><Relationship Id="rId4822" Type="http://schemas.openxmlformats.org/officeDocument/2006/relationships/hyperlink" Target="https://pbs.twimg.com/profile_images/609765839051452416/GNW0wSt0_normal.jpg" TargetMode="External"/><Relationship Id="rId61" Type="http://schemas.openxmlformats.org/officeDocument/2006/relationships/hyperlink" Target="https://twitter.com/JasonSteinhauer" TargetMode="External"/><Relationship Id="rId1797" Type="http://schemas.openxmlformats.org/officeDocument/2006/relationships/hyperlink" Target="https://twitter.com/defactofecteau" TargetMode="External"/><Relationship Id="rId4821" Type="http://schemas.openxmlformats.org/officeDocument/2006/relationships/hyperlink" Target="https://twitter.com/juliegpeterson/status/706189928758165504" TargetMode="External"/><Relationship Id="rId64" Type="http://schemas.openxmlformats.org/officeDocument/2006/relationships/hyperlink" Target="https://twitter.com/MarlaAtUmass" TargetMode="External"/><Relationship Id="rId1798" Type="http://schemas.openxmlformats.org/officeDocument/2006/relationships/hyperlink" Target="https://twitter.com/defactofecteau/status/705918766455115781" TargetMode="External"/><Relationship Id="rId4824" Type="http://schemas.openxmlformats.org/officeDocument/2006/relationships/hyperlink" Target="https://twitter.com/jessmknapp/status/706190035167608832" TargetMode="External"/><Relationship Id="rId63" Type="http://schemas.openxmlformats.org/officeDocument/2006/relationships/hyperlink" Target="https://pbs.twimg.com/profile_images/531574951107518465/AvUhkliP_normal.jpeg" TargetMode="External"/><Relationship Id="rId1799" Type="http://schemas.openxmlformats.org/officeDocument/2006/relationships/hyperlink" Target="https://pbs.twimg.com/profile_images/434404729263648768/vsAZLFtj_normal.jpeg" TargetMode="External"/><Relationship Id="rId4823" Type="http://schemas.openxmlformats.org/officeDocument/2006/relationships/hyperlink" Target="https://twitter.com/jessmknapp" TargetMode="External"/><Relationship Id="rId66" Type="http://schemas.openxmlformats.org/officeDocument/2006/relationships/hyperlink" Target="https://pbs.twimg.com/profile_images/565429960/Betsy_Twitter_normal.jpg" TargetMode="External"/><Relationship Id="rId4826" Type="http://schemas.openxmlformats.org/officeDocument/2006/relationships/hyperlink" Target="https://twitter.com/jnthnwwlsn" TargetMode="External"/><Relationship Id="rId65" Type="http://schemas.openxmlformats.org/officeDocument/2006/relationships/hyperlink" Target="https://twitter.com/MarlaAtUmass/status/704700250448068608" TargetMode="External"/><Relationship Id="rId4825" Type="http://schemas.openxmlformats.org/officeDocument/2006/relationships/hyperlink" Target="https://pbs.twimg.com/profile_images/378800000190677540/2e5e34bc21523d9e58b9f45d1cf38135_normal.jpeg" TargetMode="External"/><Relationship Id="rId68" Type="http://schemas.openxmlformats.org/officeDocument/2006/relationships/hyperlink" Target="https://twitter.com/jbjhistory/status/704713682190737408" TargetMode="External"/><Relationship Id="rId4828" Type="http://schemas.openxmlformats.org/officeDocument/2006/relationships/hyperlink" Target="https://pbs.twimg.com/profile_images/660922102632026113/oOp4nhy__normal.jpg" TargetMode="External"/><Relationship Id="rId67" Type="http://schemas.openxmlformats.org/officeDocument/2006/relationships/hyperlink" Target="https://twitter.com/jbjhistory" TargetMode="External"/><Relationship Id="rId4827" Type="http://schemas.openxmlformats.org/officeDocument/2006/relationships/hyperlink" Target="https://twitter.com/jnthnwwlsn/status/706190181964107776" TargetMode="External"/><Relationship Id="rId4829" Type="http://schemas.openxmlformats.org/officeDocument/2006/relationships/hyperlink" Target="https://twitter.com/GHAUmass" TargetMode="External"/><Relationship Id="rId60" Type="http://schemas.openxmlformats.org/officeDocument/2006/relationships/hyperlink" Target="https://pbs.twimg.com/profile_images/378800000149111881/7969acf9cec4197748b502a6a6c3d921_normal.jpeg" TargetMode="External"/><Relationship Id="rId69" Type="http://schemas.openxmlformats.org/officeDocument/2006/relationships/hyperlink" Target="https://pbs.twimg.com/profile_images/572584579542691840/6QE8hkeK_normal.jpeg" TargetMode="External"/><Relationship Id="rId1790" Type="http://schemas.openxmlformats.org/officeDocument/2006/relationships/hyperlink" Target="https://pbs.twimg.com/profile_images/638086945722249217/mid_S_BQ_normal.jpg" TargetMode="External"/><Relationship Id="rId1791" Type="http://schemas.openxmlformats.org/officeDocument/2006/relationships/hyperlink" Target="https://twitter.com/GHAUmass" TargetMode="External"/><Relationship Id="rId1792" Type="http://schemas.openxmlformats.org/officeDocument/2006/relationships/hyperlink" Target="https://twitter.com/GHAUmass/status/705918699941838852" TargetMode="External"/><Relationship Id="rId1793" Type="http://schemas.openxmlformats.org/officeDocument/2006/relationships/hyperlink" Target="https://pbs.twimg.com/profile_images/604060333590855682/Fk6r1D7d_normal.jpg" TargetMode="External"/><Relationship Id="rId1794" Type="http://schemas.openxmlformats.org/officeDocument/2006/relationships/hyperlink" Target="https://twitter.com/AmandaMoniz1" TargetMode="External"/><Relationship Id="rId4820" Type="http://schemas.openxmlformats.org/officeDocument/2006/relationships/hyperlink" Target="https://twitter.com/juliegpeterson" TargetMode="External"/><Relationship Id="rId1795" Type="http://schemas.openxmlformats.org/officeDocument/2006/relationships/hyperlink" Target="https://twitter.com/AmandaMoniz1/status/705918735593426944" TargetMode="External"/><Relationship Id="rId51" Type="http://schemas.openxmlformats.org/officeDocument/2006/relationships/hyperlink" Target="https://pbs.twimg.com/profile_images/423134042364858369/GukeR_9H_normal.jpeg" TargetMode="External"/><Relationship Id="rId1785" Type="http://schemas.openxmlformats.org/officeDocument/2006/relationships/hyperlink" Target="https://twitter.com/magmidd" TargetMode="External"/><Relationship Id="rId4811" Type="http://schemas.openxmlformats.org/officeDocument/2006/relationships/hyperlink" Target="https://twitter.com/juliegpeterson" TargetMode="External"/><Relationship Id="rId50" Type="http://schemas.openxmlformats.org/officeDocument/2006/relationships/hyperlink" Target="https://twitter.com/justinokc/status/704469976258842624" TargetMode="External"/><Relationship Id="rId1786" Type="http://schemas.openxmlformats.org/officeDocument/2006/relationships/hyperlink" Target="https://twitter.com/magmidd/status/705918572569108480" TargetMode="External"/><Relationship Id="rId4810" Type="http://schemas.openxmlformats.org/officeDocument/2006/relationships/hyperlink" Target="https://pbs.twimg.com/profile_images/704873222802636800/7aFEMOY5_normal.jpg" TargetMode="External"/><Relationship Id="rId53" Type="http://schemas.openxmlformats.org/officeDocument/2006/relationships/hyperlink" Target="https://twitter.com/justinokc/status/704469993983967232" TargetMode="External"/><Relationship Id="rId1787" Type="http://schemas.openxmlformats.org/officeDocument/2006/relationships/hyperlink" Target="https://pbs.twimg.com/profile_images/378800000450415007/82bcc7d0cab85e8d5920dbf5ded6715e_normal.jpeg" TargetMode="External"/><Relationship Id="rId4813" Type="http://schemas.openxmlformats.org/officeDocument/2006/relationships/hyperlink" Target="https://pbs.twimg.com/profile_images/609765839051452416/GNW0wSt0_normal.jpg" TargetMode="External"/><Relationship Id="rId52" Type="http://schemas.openxmlformats.org/officeDocument/2006/relationships/hyperlink" Target="https://twitter.com/justinokc" TargetMode="External"/><Relationship Id="rId1788" Type="http://schemas.openxmlformats.org/officeDocument/2006/relationships/hyperlink" Target="https://twitter.com/erfagen" TargetMode="External"/><Relationship Id="rId4812" Type="http://schemas.openxmlformats.org/officeDocument/2006/relationships/hyperlink" Target="https://twitter.com/juliegpeterson/status/706189674457534464" TargetMode="External"/><Relationship Id="rId55" Type="http://schemas.openxmlformats.org/officeDocument/2006/relationships/hyperlink" Target="https://twitter.com/AdamMatthewGrp" TargetMode="External"/><Relationship Id="rId1789" Type="http://schemas.openxmlformats.org/officeDocument/2006/relationships/hyperlink" Target="https://twitter.com/erfagen/status/705918673417015296" TargetMode="External"/><Relationship Id="rId4815" Type="http://schemas.openxmlformats.org/officeDocument/2006/relationships/hyperlink" Target="https://twitter.com/pastpunditry/status/706189696771231744" TargetMode="External"/><Relationship Id="rId54" Type="http://schemas.openxmlformats.org/officeDocument/2006/relationships/hyperlink" Target="https://pbs.twimg.com/profile_images/423134042364858369/GukeR_9H_normal.jpeg" TargetMode="External"/><Relationship Id="rId4814" Type="http://schemas.openxmlformats.org/officeDocument/2006/relationships/hyperlink" Target="https://twitter.com/pastpunditry" TargetMode="External"/><Relationship Id="rId57" Type="http://schemas.openxmlformats.org/officeDocument/2006/relationships/hyperlink" Target="https://pbs.twimg.com/profile_images/2885112332/7c6e4265b4d5db53096d9e07c1b716b4_normal.png" TargetMode="External"/><Relationship Id="rId4817" Type="http://schemas.openxmlformats.org/officeDocument/2006/relationships/hyperlink" Target="https://twitter.com/jessmknapp" TargetMode="External"/><Relationship Id="rId56" Type="http://schemas.openxmlformats.org/officeDocument/2006/relationships/hyperlink" Target="https://twitter.com/AdamMatthewGrp/status/704651237136994304" TargetMode="External"/><Relationship Id="rId4816" Type="http://schemas.openxmlformats.org/officeDocument/2006/relationships/hyperlink" Target="https://pbs.twimg.com/profile_images/704873222802636800/7aFEMOY5_normal.jpg" TargetMode="External"/><Relationship Id="rId4819" Type="http://schemas.openxmlformats.org/officeDocument/2006/relationships/hyperlink" Target="https://pbs.twimg.com/profile_images/378800000190677540/2e5e34bc21523d9e58b9f45d1cf38135_normal.jpeg" TargetMode="External"/><Relationship Id="rId4818" Type="http://schemas.openxmlformats.org/officeDocument/2006/relationships/hyperlink" Target="https://twitter.com/jessmknapp/status/706189878371942400" TargetMode="External"/><Relationship Id="rId59" Type="http://schemas.openxmlformats.org/officeDocument/2006/relationships/hyperlink" Target="https://twitter.com/AmandaMoniz1/status/704679767363227648" TargetMode="External"/><Relationship Id="rId58" Type="http://schemas.openxmlformats.org/officeDocument/2006/relationships/hyperlink" Target="https://twitter.com/AmandaMoniz1" TargetMode="External"/><Relationship Id="rId1780" Type="http://schemas.openxmlformats.org/officeDocument/2006/relationships/hyperlink" Target="https://twitter.com/sheishistoric/status/705918503220596736" TargetMode="External"/><Relationship Id="rId1781" Type="http://schemas.openxmlformats.org/officeDocument/2006/relationships/hyperlink" Target="https://pbs.twimg.com/profile_images/650419150620377089/bJxBf---_normal.jpg" TargetMode="External"/><Relationship Id="rId1782" Type="http://schemas.openxmlformats.org/officeDocument/2006/relationships/hyperlink" Target="https://twitter.com/JulieThePH" TargetMode="External"/><Relationship Id="rId1783" Type="http://schemas.openxmlformats.org/officeDocument/2006/relationships/hyperlink" Target="https://twitter.com/JulieThePH/status/705918546363224065" TargetMode="External"/><Relationship Id="rId1784" Type="http://schemas.openxmlformats.org/officeDocument/2006/relationships/hyperlink" Target="https://pbs.twimg.com/profile_images/596509974005686273/AqBblwMR_normal.jpg" TargetMode="External"/><Relationship Id="rId2269" Type="http://schemas.openxmlformats.org/officeDocument/2006/relationships/hyperlink" Target="https://twitter.com/jamiaw/status/705923996362088448" TargetMode="External"/><Relationship Id="rId349" Type="http://schemas.openxmlformats.org/officeDocument/2006/relationships/hyperlink" Target="https://twitter.com/JulieThePH/status/705766130045034499" TargetMode="External"/><Relationship Id="rId348" Type="http://schemas.openxmlformats.org/officeDocument/2006/relationships/hyperlink" Target="https://twitter.com/JulieThePH" TargetMode="External"/><Relationship Id="rId347" Type="http://schemas.openxmlformats.org/officeDocument/2006/relationships/hyperlink" Target="https://pbs.twimg.com/profile_images/596509974005686273/AqBblwMR_normal.jpg" TargetMode="External"/><Relationship Id="rId346" Type="http://schemas.openxmlformats.org/officeDocument/2006/relationships/hyperlink" Target="https://twitter.com/JulieThePH/status/705765972557303808" TargetMode="External"/><Relationship Id="rId3591" Type="http://schemas.openxmlformats.org/officeDocument/2006/relationships/hyperlink" Target="https://pbs.twimg.com/profile_images/378800000667891782/44d7b181c077bf16ab07b242f7ad81b9_normal.png" TargetMode="External"/><Relationship Id="rId2260" Type="http://schemas.openxmlformats.org/officeDocument/2006/relationships/hyperlink" Target="https://twitter.com/jamiaw/status/705923966263816192" TargetMode="External"/><Relationship Id="rId3590" Type="http://schemas.openxmlformats.org/officeDocument/2006/relationships/hyperlink" Target="https://twitter.com/JimGrossmanAHA/status/705940878670618624" TargetMode="External"/><Relationship Id="rId341" Type="http://schemas.openxmlformats.org/officeDocument/2006/relationships/hyperlink" Target="https://pbs.twimg.com/profile_images/704873222802636800/7aFEMOY5_normal.jpg" TargetMode="External"/><Relationship Id="rId2261" Type="http://schemas.openxmlformats.org/officeDocument/2006/relationships/hyperlink" Target="https://pbs.twimg.com/profile_images/701102020061753344/5zH70uem_normal.jpg" TargetMode="External"/><Relationship Id="rId3593" Type="http://schemas.openxmlformats.org/officeDocument/2006/relationships/hyperlink" Target="https://twitter.com/CitizenWald/status/705941051668881408" TargetMode="External"/><Relationship Id="rId340" Type="http://schemas.openxmlformats.org/officeDocument/2006/relationships/hyperlink" Target="https://twitter.com/pastpunditry/status/705765935278379008" TargetMode="External"/><Relationship Id="rId2262" Type="http://schemas.openxmlformats.org/officeDocument/2006/relationships/hyperlink" Target="https://twitter.com/CitizenWald" TargetMode="External"/><Relationship Id="rId3592" Type="http://schemas.openxmlformats.org/officeDocument/2006/relationships/hyperlink" Target="https://twitter.com/CitizenWald" TargetMode="External"/><Relationship Id="rId2263" Type="http://schemas.openxmlformats.org/officeDocument/2006/relationships/hyperlink" Target="https://twitter.com/CitizenWald/status/705923970474893314" TargetMode="External"/><Relationship Id="rId3595" Type="http://schemas.openxmlformats.org/officeDocument/2006/relationships/hyperlink" Target="https://twitter.com/jamiaw" TargetMode="External"/><Relationship Id="rId2264" Type="http://schemas.openxmlformats.org/officeDocument/2006/relationships/hyperlink" Target="https://pbs.twimg.com/profile_images/661220280564486144/ZxUrdRVS_normal.jpg" TargetMode="External"/><Relationship Id="rId3594" Type="http://schemas.openxmlformats.org/officeDocument/2006/relationships/hyperlink" Target="https://pbs.twimg.com/profile_images/661220280564486144/ZxUrdRVS_normal.jpg" TargetMode="External"/><Relationship Id="rId345" Type="http://schemas.openxmlformats.org/officeDocument/2006/relationships/hyperlink" Target="https://twitter.com/JulieThePH" TargetMode="External"/><Relationship Id="rId2265" Type="http://schemas.openxmlformats.org/officeDocument/2006/relationships/hyperlink" Target="https://twitter.com/jamiaw" TargetMode="External"/><Relationship Id="rId3597" Type="http://schemas.openxmlformats.org/officeDocument/2006/relationships/hyperlink" Target="https://pbs.twimg.com/profile_images/701102020061753344/5zH70uem_normal.jpg" TargetMode="External"/><Relationship Id="rId344" Type="http://schemas.openxmlformats.org/officeDocument/2006/relationships/hyperlink" Target="https://pbs.twimg.com/profile_images/378800000149111881/7969acf9cec4197748b502a6a6c3d921_normal.jpeg" TargetMode="External"/><Relationship Id="rId2266" Type="http://schemas.openxmlformats.org/officeDocument/2006/relationships/hyperlink" Target="https://twitter.com/jamiaw/status/705923977345146880" TargetMode="External"/><Relationship Id="rId3596" Type="http://schemas.openxmlformats.org/officeDocument/2006/relationships/hyperlink" Target="https://twitter.com/jamiaw/status/705941061915570177" TargetMode="External"/><Relationship Id="rId343" Type="http://schemas.openxmlformats.org/officeDocument/2006/relationships/hyperlink" Target="https://twitter.com/AmandaMoniz1/status/705765945223077889" TargetMode="External"/><Relationship Id="rId2267" Type="http://schemas.openxmlformats.org/officeDocument/2006/relationships/hyperlink" Target="https://pbs.twimg.com/profile_images/701102020061753344/5zH70uem_normal.jpg" TargetMode="External"/><Relationship Id="rId3599" Type="http://schemas.openxmlformats.org/officeDocument/2006/relationships/hyperlink" Target="https://twitter.com/erfagen/status/705941099161001984" TargetMode="External"/><Relationship Id="rId342" Type="http://schemas.openxmlformats.org/officeDocument/2006/relationships/hyperlink" Target="https://twitter.com/AmandaMoniz1" TargetMode="External"/><Relationship Id="rId2268" Type="http://schemas.openxmlformats.org/officeDocument/2006/relationships/hyperlink" Target="https://twitter.com/jamiaw" TargetMode="External"/><Relationship Id="rId3598" Type="http://schemas.openxmlformats.org/officeDocument/2006/relationships/hyperlink" Target="https://twitter.com/erfagen" TargetMode="External"/><Relationship Id="rId2258" Type="http://schemas.openxmlformats.org/officeDocument/2006/relationships/hyperlink" Target="https://pbs.twimg.com/profile_images/701102020061753344/5zH70uem_normal.jpg" TargetMode="External"/><Relationship Id="rId2259" Type="http://schemas.openxmlformats.org/officeDocument/2006/relationships/hyperlink" Target="https://twitter.com/jamiaw" TargetMode="External"/><Relationship Id="rId3589" Type="http://schemas.openxmlformats.org/officeDocument/2006/relationships/hyperlink" Target="https://twitter.com/JimGrossmanAHA" TargetMode="External"/><Relationship Id="rId338" Type="http://schemas.openxmlformats.org/officeDocument/2006/relationships/hyperlink" Target="https://pbs.twimg.com/profile_images/704873222802636800/7aFEMOY5_normal.jpg" TargetMode="External"/><Relationship Id="rId337" Type="http://schemas.openxmlformats.org/officeDocument/2006/relationships/hyperlink" Target="https://twitter.com/pastpunditry/status/705765871084511232" TargetMode="External"/><Relationship Id="rId336" Type="http://schemas.openxmlformats.org/officeDocument/2006/relationships/hyperlink" Target="https://twitter.com/pastpunditry" TargetMode="External"/><Relationship Id="rId335" Type="http://schemas.openxmlformats.org/officeDocument/2006/relationships/hyperlink" Target="https://pbs.twimg.com/profile_images/596509974005686273/AqBblwMR_normal.jpg" TargetMode="External"/><Relationship Id="rId3580" Type="http://schemas.openxmlformats.org/officeDocument/2006/relationships/hyperlink" Target="https://twitter.com/JulieThePH" TargetMode="External"/><Relationship Id="rId339" Type="http://schemas.openxmlformats.org/officeDocument/2006/relationships/hyperlink" Target="https://twitter.com/pastpunditry" TargetMode="External"/><Relationship Id="rId330" Type="http://schemas.openxmlformats.org/officeDocument/2006/relationships/hyperlink" Target="https://twitter.com/pastpunditry" TargetMode="External"/><Relationship Id="rId2250" Type="http://schemas.openxmlformats.org/officeDocument/2006/relationships/hyperlink" Target="https://twitter.com/jamiaw" TargetMode="External"/><Relationship Id="rId3582" Type="http://schemas.openxmlformats.org/officeDocument/2006/relationships/hyperlink" Target="https://pbs.twimg.com/profile_images/596509974005686273/AqBblwMR_normal.jpg" TargetMode="External"/><Relationship Id="rId2251" Type="http://schemas.openxmlformats.org/officeDocument/2006/relationships/hyperlink" Target="https://twitter.com/jamiaw/status/705923877856268288" TargetMode="External"/><Relationship Id="rId3581" Type="http://schemas.openxmlformats.org/officeDocument/2006/relationships/hyperlink" Target="https://twitter.com/JulieThePH/status/705940745841221632" TargetMode="External"/><Relationship Id="rId2252" Type="http://schemas.openxmlformats.org/officeDocument/2006/relationships/hyperlink" Target="https://pbs.twimg.com/profile_images/701102020061753344/5zH70uem_normal.jpg" TargetMode="External"/><Relationship Id="rId3584" Type="http://schemas.openxmlformats.org/officeDocument/2006/relationships/hyperlink" Target="https://twitter.com/jamiaw/status/705940806989967360" TargetMode="External"/><Relationship Id="rId2253" Type="http://schemas.openxmlformats.org/officeDocument/2006/relationships/hyperlink" Target="https://twitter.com/jamiaw" TargetMode="External"/><Relationship Id="rId3583" Type="http://schemas.openxmlformats.org/officeDocument/2006/relationships/hyperlink" Target="https://twitter.com/jamiaw" TargetMode="External"/><Relationship Id="rId334" Type="http://schemas.openxmlformats.org/officeDocument/2006/relationships/hyperlink" Target="https://twitter.com/JulieThePH/status/705765771901796352" TargetMode="External"/><Relationship Id="rId2254" Type="http://schemas.openxmlformats.org/officeDocument/2006/relationships/hyperlink" Target="https://twitter.com/jamiaw/status/705923901394698240" TargetMode="External"/><Relationship Id="rId3586" Type="http://schemas.openxmlformats.org/officeDocument/2006/relationships/hyperlink" Target="https://twitter.com/JulieThePH" TargetMode="External"/><Relationship Id="rId333" Type="http://schemas.openxmlformats.org/officeDocument/2006/relationships/hyperlink" Target="https://twitter.com/JulieThePH" TargetMode="External"/><Relationship Id="rId2255" Type="http://schemas.openxmlformats.org/officeDocument/2006/relationships/hyperlink" Target="https://pbs.twimg.com/profile_images/701102020061753344/5zH70uem_normal.jpg" TargetMode="External"/><Relationship Id="rId3585" Type="http://schemas.openxmlformats.org/officeDocument/2006/relationships/hyperlink" Target="https://pbs.twimg.com/profile_images/701102020061753344/5zH70uem_normal.jpg" TargetMode="External"/><Relationship Id="rId332" Type="http://schemas.openxmlformats.org/officeDocument/2006/relationships/hyperlink" Target="https://pbs.twimg.com/profile_images/704873222802636800/7aFEMOY5_normal.jpg" TargetMode="External"/><Relationship Id="rId2256" Type="http://schemas.openxmlformats.org/officeDocument/2006/relationships/hyperlink" Target="https://twitter.com/jamiaw" TargetMode="External"/><Relationship Id="rId3588" Type="http://schemas.openxmlformats.org/officeDocument/2006/relationships/hyperlink" Target="https://pbs.twimg.com/profile_images/596509974005686273/AqBblwMR_normal.jpg" TargetMode="External"/><Relationship Id="rId331" Type="http://schemas.openxmlformats.org/officeDocument/2006/relationships/hyperlink" Target="https://twitter.com/pastpunditry/status/705765492187860992" TargetMode="External"/><Relationship Id="rId2257" Type="http://schemas.openxmlformats.org/officeDocument/2006/relationships/hyperlink" Target="https://twitter.com/jamiaw/status/705923920847900672" TargetMode="External"/><Relationship Id="rId3587" Type="http://schemas.openxmlformats.org/officeDocument/2006/relationships/hyperlink" Target="https://twitter.com/JulieThePH/status/705940844243787777" TargetMode="External"/><Relationship Id="rId5318" Type="http://schemas.openxmlformats.org/officeDocument/2006/relationships/hyperlink" Target="https://twitter.com/MedievalMJJ" TargetMode="External"/><Relationship Id="rId5319" Type="http://schemas.openxmlformats.org/officeDocument/2006/relationships/hyperlink" Target="https://twitter.com/MedievalMJJ/status/706215512456491008" TargetMode="External"/><Relationship Id="rId5316" Type="http://schemas.openxmlformats.org/officeDocument/2006/relationships/hyperlink" Target="https://twitter.com/erfagen/status/706215082250932224" TargetMode="External"/><Relationship Id="rId5317" Type="http://schemas.openxmlformats.org/officeDocument/2006/relationships/hyperlink" Target="https://pbs.twimg.com/profile_images/638086945722249217/mid_S_BQ_normal.jpg" TargetMode="External"/><Relationship Id="rId370" Type="http://schemas.openxmlformats.org/officeDocument/2006/relationships/hyperlink" Target="https://twitter.com/AmandaMoniz1/status/705766869152763904" TargetMode="External"/><Relationship Id="rId369" Type="http://schemas.openxmlformats.org/officeDocument/2006/relationships/hyperlink" Target="https://twitter.com/AmandaMoniz1" TargetMode="External"/><Relationship Id="rId368" Type="http://schemas.openxmlformats.org/officeDocument/2006/relationships/hyperlink" Target="https://pbs.twimg.com/profile_images/596509974005686273/AqBblwMR_normal.jpg" TargetMode="External"/><Relationship Id="rId2280" Type="http://schemas.openxmlformats.org/officeDocument/2006/relationships/hyperlink" Target="https://twitter.com/GHAUmass" TargetMode="External"/><Relationship Id="rId2281" Type="http://schemas.openxmlformats.org/officeDocument/2006/relationships/hyperlink" Target="https://twitter.com/GHAUmass/status/705924045963927552" TargetMode="External"/><Relationship Id="rId2282" Type="http://schemas.openxmlformats.org/officeDocument/2006/relationships/hyperlink" Target="https://pbs.twimg.com/profile_images/604060333590855682/Fk6r1D7d_normal.jpg" TargetMode="External"/><Relationship Id="rId363" Type="http://schemas.openxmlformats.org/officeDocument/2006/relationships/hyperlink" Target="https://twitter.com/pastpunditry" TargetMode="External"/><Relationship Id="rId2283" Type="http://schemas.openxmlformats.org/officeDocument/2006/relationships/hyperlink" Target="https://twitter.com/rebekkahrubin" TargetMode="External"/><Relationship Id="rId5310" Type="http://schemas.openxmlformats.org/officeDocument/2006/relationships/hyperlink" Target="https://twitter.com/LDTG117/status/706214882828533761" TargetMode="External"/><Relationship Id="rId362" Type="http://schemas.openxmlformats.org/officeDocument/2006/relationships/hyperlink" Target="https://pbs.twimg.com/profile_images/378800000149111881/7969acf9cec4197748b502a6a6c3d921_normal.jpeg" TargetMode="External"/><Relationship Id="rId2284" Type="http://schemas.openxmlformats.org/officeDocument/2006/relationships/hyperlink" Target="https://twitter.com/rebekkahrubin/status/705924055669592069" TargetMode="External"/><Relationship Id="rId5311" Type="http://schemas.openxmlformats.org/officeDocument/2006/relationships/hyperlink" Target="https://pbs.twimg.com/profile_images/1131899468/Dylan_normal.jpg" TargetMode="External"/><Relationship Id="rId361" Type="http://schemas.openxmlformats.org/officeDocument/2006/relationships/hyperlink" Target="https://twitter.com/AmandaMoniz1/status/705766656279187456" TargetMode="External"/><Relationship Id="rId2285" Type="http://schemas.openxmlformats.org/officeDocument/2006/relationships/hyperlink" Target="https://pbs.twimg.com/profile_images/700317732588408832/Ym_-neUi_normal.jpg" TargetMode="External"/><Relationship Id="rId360" Type="http://schemas.openxmlformats.org/officeDocument/2006/relationships/hyperlink" Target="https://twitter.com/AmandaMoniz1" TargetMode="External"/><Relationship Id="rId2286" Type="http://schemas.openxmlformats.org/officeDocument/2006/relationships/hyperlink" Target="https://twitter.com/MedeaCulpa" TargetMode="External"/><Relationship Id="rId367" Type="http://schemas.openxmlformats.org/officeDocument/2006/relationships/hyperlink" Target="https://twitter.com/JulieThePH/status/705766782079004672" TargetMode="External"/><Relationship Id="rId2287" Type="http://schemas.openxmlformats.org/officeDocument/2006/relationships/hyperlink" Target="https://twitter.com/MedeaCulpa/status/705924071389843457" TargetMode="External"/><Relationship Id="rId5314" Type="http://schemas.openxmlformats.org/officeDocument/2006/relationships/hyperlink" Target="https://pbs.twimg.com/profile_images/609765839051452416/GNW0wSt0_normal.jpg" TargetMode="External"/><Relationship Id="rId366" Type="http://schemas.openxmlformats.org/officeDocument/2006/relationships/hyperlink" Target="https://twitter.com/JulieThePH" TargetMode="External"/><Relationship Id="rId2288" Type="http://schemas.openxmlformats.org/officeDocument/2006/relationships/hyperlink" Target="https://pbs.twimg.com/profile_images/702272676837068800/xO5D7apz_normal.jpg" TargetMode="External"/><Relationship Id="rId5315" Type="http://schemas.openxmlformats.org/officeDocument/2006/relationships/hyperlink" Target="https://twitter.com/erfagen" TargetMode="External"/><Relationship Id="rId365" Type="http://schemas.openxmlformats.org/officeDocument/2006/relationships/hyperlink" Target="https://pbs.twimg.com/profile_images/704873222802636800/7aFEMOY5_normal.jpg" TargetMode="External"/><Relationship Id="rId2289" Type="http://schemas.openxmlformats.org/officeDocument/2006/relationships/hyperlink" Target="https://twitter.com/sheishistoric" TargetMode="External"/><Relationship Id="rId5312" Type="http://schemas.openxmlformats.org/officeDocument/2006/relationships/hyperlink" Target="https://twitter.com/juliegpeterson" TargetMode="External"/><Relationship Id="rId364" Type="http://schemas.openxmlformats.org/officeDocument/2006/relationships/hyperlink" Target="https://twitter.com/pastpunditry/status/705766686587285504" TargetMode="External"/><Relationship Id="rId5313" Type="http://schemas.openxmlformats.org/officeDocument/2006/relationships/hyperlink" Target="https://twitter.com/juliegpeterson/status/706214984624312321" TargetMode="External"/><Relationship Id="rId95" Type="http://schemas.openxmlformats.org/officeDocument/2006/relationships/hyperlink" Target="https://twitter.com/pastpunditry/status/705206403414118400" TargetMode="External"/><Relationship Id="rId5307" Type="http://schemas.openxmlformats.org/officeDocument/2006/relationships/hyperlink" Target="https://twitter.com/rebekkahrubin/status/706214810422222850" TargetMode="External"/><Relationship Id="rId94" Type="http://schemas.openxmlformats.org/officeDocument/2006/relationships/hyperlink" Target="https://twitter.com/pastpunditry" TargetMode="External"/><Relationship Id="rId5308" Type="http://schemas.openxmlformats.org/officeDocument/2006/relationships/hyperlink" Target="https://pbs.twimg.com/profile_images/700317732588408832/Ym_-neUi_normal.jpg" TargetMode="External"/><Relationship Id="rId97" Type="http://schemas.openxmlformats.org/officeDocument/2006/relationships/hyperlink" Target="https://twitter.com/aglassofhistory" TargetMode="External"/><Relationship Id="rId5305" Type="http://schemas.openxmlformats.org/officeDocument/2006/relationships/hyperlink" Target="https://pbs.twimg.com/profile_images/548193870278688768/8Dq7gW3U_normal.png" TargetMode="External"/><Relationship Id="rId96" Type="http://schemas.openxmlformats.org/officeDocument/2006/relationships/hyperlink" Target="https://pbs.twimg.com/profile_images/704873222802636800/7aFEMOY5_normal.jpg" TargetMode="External"/><Relationship Id="rId5306" Type="http://schemas.openxmlformats.org/officeDocument/2006/relationships/hyperlink" Target="https://twitter.com/rebekkahrubin" TargetMode="External"/><Relationship Id="rId99" Type="http://schemas.openxmlformats.org/officeDocument/2006/relationships/hyperlink" Target="https://pbs.twimg.com/profile_images/611592888816898048/cGMlIfmz_normal.jpg" TargetMode="External"/><Relationship Id="rId98" Type="http://schemas.openxmlformats.org/officeDocument/2006/relationships/hyperlink" Target="https://twitter.com/aglassofhistory/status/705206475241693184" TargetMode="External"/><Relationship Id="rId5309" Type="http://schemas.openxmlformats.org/officeDocument/2006/relationships/hyperlink" Target="https://twitter.com/LDTG117" TargetMode="External"/><Relationship Id="rId91" Type="http://schemas.openxmlformats.org/officeDocument/2006/relationships/hyperlink" Target="https://twitter.com/lizl_genealogy" TargetMode="External"/><Relationship Id="rId90" Type="http://schemas.openxmlformats.org/officeDocument/2006/relationships/hyperlink" Target="https://pbs.twimg.com/profile_images/604060333590855682/Fk6r1D7d_normal.jpg" TargetMode="External"/><Relationship Id="rId93" Type="http://schemas.openxmlformats.org/officeDocument/2006/relationships/hyperlink" Target="https://pbs.twimg.com/profile_images/2700002859/1f2d610ddaf1f03ac7d033dd83847b45_normal.jpeg" TargetMode="External"/><Relationship Id="rId92" Type="http://schemas.openxmlformats.org/officeDocument/2006/relationships/hyperlink" Target="https://twitter.com/lizl_genealogy/status/705148171991670784" TargetMode="External"/><Relationship Id="rId359" Type="http://schemas.openxmlformats.org/officeDocument/2006/relationships/hyperlink" Target="https://pbs.twimg.com/profile_images/704873222802636800/7aFEMOY5_normal.jpg" TargetMode="External"/><Relationship Id="rId358" Type="http://schemas.openxmlformats.org/officeDocument/2006/relationships/hyperlink" Target="https://twitter.com/pastpunditry/status/705766498078486528" TargetMode="External"/><Relationship Id="rId357" Type="http://schemas.openxmlformats.org/officeDocument/2006/relationships/hyperlink" Target="https://twitter.com/pastpunditry" TargetMode="External"/><Relationship Id="rId2270" Type="http://schemas.openxmlformats.org/officeDocument/2006/relationships/hyperlink" Target="https://pbs.twimg.com/profile_images/701102020061753344/5zH70uem_normal.jpg" TargetMode="External"/><Relationship Id="rId2271" Type="http://schemas.openxmlformats.org/officeDocument/2006/relationships/hyperlink" Target="https://twitter.com/jamiaw" TargetMode="External"/><Relationship Id="rId352" Type="http://schemas.openxmlformats.org/officeDocument/2006/relationships/hyperlink" Target="https://twitter.com/pastpunditry/status/705766454948438016" TargetMode="External"/><Relationship Id="rId2272" Type="http://schemas.openxmlformats.org/officeDocument/2006/relationships/hyperlink" Target="https://twitter.com/jamiaw/status/705924012573138945" TargetMode="External"/><Relationship Id="rId351" Type="http://schemas.openxmlformats.org/officeDocument/2006/relationships/hyperlink" Target="https://twitter.com/pastpunditry" TargetMode="External"/><Relationship Id="rId2273" Type="http://schemas.openxmlformats.org/officeDocument/2006/relationships/hyperlink" Target="https://pbs.twimg.com/profile_images/701102020061753344/5zH70uem_normal.jpg" TargetMode="External"/><Relationship Id="rId5300" Type="http://schemas.openxmlformats.org/officeDocument/2006/relationships/hyperlink" Target="https://twitter.com/aglassofhistory" TargetMode="External"/><Relationship Id="rId350" Type="http://schemas.openxmlformats.org/officeDocument/2006/relationships/hyperlink" Target="https://pbs.twimg.com/profile_images/596509974005686273/AqBblwMR_normal.jpg" TargetMode="External"/><Relationship Id="rId2274" Type="http://schemas.openxmlformats.org/officeDocument/2006/relationships/hyperlink" Target="https://twitter.com/jamiaw" TargetMode="External"/><Relationship Id="rId2275" Type="http://schemas.openxmlformats.org/officeDocument/2006/relationships/hyperlink" Target="https://twitter.com/jamiaw/status/705924041325068289" TargetMode="External"/><Relationship Id="rId356" Type="http://schemas.openxmlformats.org/officeDocument/2006/relationships/hyperlink" Target="https://pbs.twimg.com/profile_images/596509974005686273/AqBblwMR_normal.jpg" TargetMode="External"/><Relationship Id="rId2276" Type="http://schemas.openxmlformats.org/officeDocument/2006/relationships/hyperlink" Target="https://pbs.twimg.com/profile_images/701102020061753344/5zH70uem_normal.jpg" TargetMode="External"/><Relationship Id="rId5303" Type="http://schemas.openxmlformats.org/officeDocument/2006/relationships/hyperlink" Target="https://twitter.com/samueljredman" TargetMode="External"/><Relationship Id="rId355" Type="http://schemas.openxmlformats.org/officeDocument/2006/relationships/hyperlink" Target="https://twitter.com/JulieThePH/status/705766468030500864" TargetMode="External"/><Relationship Id="rId2277" Type="http://schemas.openxmlformats.org/officeDocument/2006/relationships/hyperlink" Target="https://twitter.com/allisonhorrocks" TargetMode="External"/><Relationship Id="rId5304" Type="http://schemas.openxmlformats.org/officeDocument/2006/relationships/hyperlink" Target="https://twitter.com/samueljredman/status/706214732181716994" TargetMode="External"/><Relationship Id="rId354" Type="http://schemas.openxmlformats.org/officeDocument/2006/relationships/hyperlink" Target="https://twitter.com/JulieThePH" TargetMode="External"/><Relationship Id="rId2278" Type="http://schemas.openxmlformats.org/officeDocument/2006/relationships/hyperlink" Target="https://twitter.com/allisonhorrocks/status/705924042423984129" TargetMode="External"/><Relationship Id="rId5301" Type="http://schemas.openxmlformats.org/officeDocument/2006/relationships/hyperlink" Target="https://twitter.com/aglassofhistory/status/706214315091697665" TargetMode="External"/><Relationship Id="rId353" Type="http://schemas.openxmlformats.org/officeDocument/2006/relationships/hyperlink" Target="https://pbs.twimg.com/profile_images/704873222802636800/7aFEMOY5_normal.jpg" TargetMode="External"/><Relationship Id="rId2279" Type="http://schemas.openxmlformats.org/officeDocument/2006/relationships/hyperlink" Target="https://pbs.twimg.com/profile_images/562279222522032128/-phaZgxO_normal.jpeg" TargetMode="External"/><Relationship Id="rId5302" Type="http://schemas.openxmlformats.org/officeDocument/2006/relationships/hyperlink" Target="https://pbs.twimg.com/profile_images/611592888816898048/cGMlIfmz_normal.jpg" TargetMode="External"/><Relationship Id="rId2225" Type="http://schemas.openxmlformats.org/officeDocument/2006/relationships/hyperlink" Target="https://pbs.twimg.com/profile_images/701102020061753344/5zH70uem_normal.jpg" TargetMode="External"/><Relationship Id="rId3557" Type="http://schemas.openxmlformats.org/officeDocument/2006/relationships/hyperlink" Target="https://twitter.com/CitizenWald/status/705940555210039296" TargetMode="External"/><Relationship Id="rId4888" Type="http://schemas.openxmlformats.org/officeDocument/2006/relationships/hyperlink" Target="https://pbs.twimg.com/profile_images/704873222802636800/7aFEMOY5_normal.jpg" TargetMode="External"/><Relationship Id="rId2226" Type="http://schemas.openxmlformats.org/officeDocument/2006/relationships/hyperlink" Target="https://twitter.com/jamiaw" TargetMode="External"/><Relationship Id="rId3556" Type="http://schemas.openxmlformats.org/officeDocument/2006/relationships/hyperlink" Target="https://twitter.com/CitizenWald" TargetMode="External"/><Relationship Id="rId4887" Type="http://schemas.openxmlformats.org/officeDocument/2006/relationships/hyperlink" Target="https://twitter.com/pastpunditry/status/706193526854426624" TargetMode="External"/><Relationship Id="rId2227" Type="http://schemas.openxmlformats.org/officeDocument/2006/relationships/hyperlink" Target="https://twitter.com/jamiaw/status/705923730103468036" TargetMode="External"/><Relationship Id="rId3559" Type="http://schemas.openxmlformats.org/officeDocument/2006/relationships/hyperlink" Target="https://twitter.com/abreimaier" TargetMode="External"/><Relationship Id="rId2228" Type="http://schemas.openxmlformats.org/officeDocument/2006/relationships/hyperlink" Target="https://pbs.twimg.com/profile_images/701102020061753344/5zH70uem_normal.jpg" TargetMode="External"/><Relationship Id="rId3558" Type="http://schemas.openxmlformats.org/officeDocument/2006/relationships/hyperlink" Target="https://pbs.twimg.com/profile_images/661220280564486144/ZxUrdRVS_normal.jpg" TargetMode="External"/><Relationship Id="rId4889" Type="http://schemas.openxmlformats.org/officeDocument/2006/relationships/hyperlink" Target="https://twitter.com/juliegpeterson" TargetMode="External"/><Relationship Id="rId2229" Type="http://schemas.openxmlformats.org/officeDocument/2006/relationships/hyperlink" Target="https://twitter.com/GHAUmass" TargetMode="External"/><Relationship Id="rId305" Type="http://schemas.openxmlformats.org/officeDocument/2006/relationships/hyperlink" Target="https://twitter.com/AmandaMoniz1" TargetMode="External"/><Relationship Id="rId304" Type="http://schemas.openxmlformats.org/officeDocument/2006/relationships/hyperlink" Target="https://pbs.twimg.com/profile_images/596509974005686273/AqBblwMR_normal.jpg" TargetMode="External"/><Relationship Id="rId303" Type="http://schemas.openxmlformats.org/officeDocument/2006/relationships/hyperlink" Target="https://twitter.com/JulieThePH/status/705764572544761856" TargetMode="External"/><Relationship Id="rId302" Type="http://schemas.openxmlformats.org/officeDocument/2006/relationships/hyperlink" Target="https://twitter.com/JulieThePH" TargetMode="External"/><Relationship Id="rId309" Type="http://schemas.openxmlformats.org/officeDocument/2006/relationships/hyperlink" Target="https://twitter.com/pastpunditry/status/705765040033558532" TargetMode="External"/><Relationship Id="rId308" Type="http://schemas.openxmlformats.org/officeDocument/2006/relationships/hyperlink" Target="https://twitter.com/pastpunditry" TargetMode="External"/><Relationship Id="rId307" Type="http://schemas.openxmlformats.org/officeDocument/2006/relationships/hyperlink" Target="https://pbs.twimg.com/profile_images/378800000149111881/7969acf9cec4197748b502a6a6c3d921_normal.jpeg" TargetMode="External"/><Relationship Id="rId306" Type="http://schemas.openxmlformats.org/officeDocument/2006/relationships/hyperlink" Target="https://twitter.com/AmandaMoniz1/status/705764790443089920" TargetMode="External"/><Relationship Id="rId4880" Type="http://schemas.openxmlformats.org/officeDocument/2006/relationships/hyperlink" Target="https://twitter.com/mathhistory" TargetMode="External"/><Relationship Id="rId3551" Type="http://schemas.openxmlformats.org/officeDocument/2006/relationships/hyperlink" Target="https://twitter.com/JulieThePH/status/705940457960906752" TargetMode="External"/><Relationship Id="rId4882" Type="http://schemas.openxmlformats.org/officeDocument/2006/relationships/hyperlink" Target="https://pbs.twimg.com/profile_images/3034769023/09adfcbebccfeef2a42e39aaac64ede5_normal.jpeg" TargetMode="External"/><Relationship Id="rId2220" Type="http://schemas.openxmlformats.org/officeDocument/2006/relationships/hyperlink" Target="https://twitter.com/pastpunditry" TargetMode="External"/><Relationship Id="rId3550" Type="http://schemas.openxmlformats.org/officeDocument/2006/relationships/hyperlink" Target="https://twitter.com/JulieThePH" TargetMode="External"/><Relationship Id="rId4881" Type="http://schemas.openxmlformats.org/officeDocument/2006/relationships/hyperlink" Target="https://twitter.com/mathhistory/status/706193385971949568" TargetMode="External"/><Relationship Id="rId301" Type="http://schemas.openxmlformats.org/officeDocument/2006/relationships/hyperlink" Target="https://pbs.twimg.com/profile_images/629489328272592896/BDQ7tdkf_normal.jpg" TargetMode="External"/><Relationship Id="rId2221" Type="http://schemas.openxmlformats.org/officeDocument/2006/relationships/hyperlink" Target="https://twitter.com/pastpunditry/status/705923687917232132" TargetMode="External"/><Relationship Id="rId3553" Type="http://schemas.openxmlformats.org/officeDocument/2006/relationships/hyperlink" Target="https://twitter.com/JulieThePH" TargetMode="External"/><Relationship Id="rId4884" Type="http://schemas.openxmlformats.org/officeDocument/2006/relationships/hyperlink" Target="https://twitter.com/juliegpeterson/status/706193459644919809" TargetMode="External"/><Relationship Id="rId300" Type="http://schemas.openxmlformats.org/officeDocument/2006/relationships/hyperlink" Target="https://twitter.com/brianleechphd/status/705764351496556545" TargetMode="External"/><Relationship Id="rId2222" Type="http://schemas.openxmlformats.org/officeDocument/2006/relationships/hyperlink" Target="https://pbs.twimg.com/profile_images/704873222802636800/7aFEMOY5_normal.jpg" TargetMode="External"/><Relationship Id="rId3552" Type="http://schemas.openxmlformats.org/officeDocument/2006/relationships/hyperlink" Target="https://pbs.twimg.com/profile_images/596509974005686273/AqBblwMR_normal.jpg" TargetMode="External"/><Relationship Id="rId4883" Type="http://schemas.openxmlformats.org/officeDocument/2006/relationships/hyperlink" Target="https://twitter.com/juliegpeterson" TargetMode="External"/><Relationship Id="rId2223" Type="http://schemas.openxmlformats.org/officeDocument/2006/relationships/hyperlink" Target="https://twitter.com/jamiaw" TargetMode="External"/><Relationship Id="rId3555" Type="http://schemas.openxmlformats.org/officeDocument/2006/relationships/hyperlink" Target="https://pbs.twimg.com/profile_images/596509974005686273/AqBblwMR_normal.jpg" TargetMode="External"/><Relationship Id="rId4886" Type="http://schemas.openxmlformats.org/officeDocument/2006/relationships/hyperlink" Target="https://twitter.com/pastpunditry" TargetMode="External"/><Relationship Id="rId2224" Type="http://schemas.openxmlformats.org/officeDocument/2006/relationships/hyperlink" Target="https://twitter.com/jamiaw/status/705923693638258689" TargetMode="External"/><Relationship Id="rId3554" Type="http://schemas.openxmlformats.org/officeDocument/2006/relationships/hyperlink" Target="https://twitter.com/JulieThePH/status/705940501770407937" TargetMode="External"/><Relationship Id="rId4885" Type="http://schemas.openxmlformats.org/officeDocument/2006/relationships/hyperlink" Target="https://pbs.twimg.com/profile_images/609765839051452416/GNW0wSt0_normal.jpg" TargetMode="External"/><Relationship Id="rId2214" Type="http://schemas.openxmlformats.org/officeDocument/2006/relationships/hyperlink" Target="https://twitter.com/GHAUmass" TargetMode="External"/><Relationship Id="rId3546" Type="http://schemas.openxmlformats.org/officeDocument/2006/relationships/hyperlink" Target="https://pbs.twimg.com/profile_images/596509974005686273/AqBblwMR_normal.jpg" TargetMode="External"/><Relationship Id="rId4877" Type="http://schemas.openxmlformats.org/officeDocument/2006/relationships/hyperlink" Target="https://twitter.com/pastpunditry" TargetMode="External"/><Relationship Id="rId2215" Type="http://schemas.openxmlformats.org/officeDocument/2006/relationships/hyperlink" Target="https://twitter.com/GHAUmass/status/705923684406525953" TargetMode="External"/><Relationship Id="rId3545" Type="http://schemas.openxmlformats.org/officeDocument/2006/relationships/hyperlink" Target="https://twitter.com/JulieThePH/status/705940409705488385" TargetMode="External"/><Relationship Id="rId4876" Type="http://schemas.openxmlformats.org/officeDocument/2006/relationships/hyperlink" Target="https://pbs.twimg.com/profile_images/704873222802636800/7aFEMOY5_normal.jpg" TargetMode="External"/><Relationship Id="rId2216" Type="http://schemas.openxmlformats.org/officeDocument/2006/relationships/hyperlink" Target="https://pbs.twimg.com/profile_images/604060333590855682/Fk6r1D7d_normal.jpg" TargetMode="External"/><Relationship Id="rId3548" Type="http://schemas.openxmlformats.org/officeDocument/2006/relationships/hyperlink" Target="https://twitter.com/remembrance/status/705940450725613569" TargetMode="External"/><Relationship Id="rId4879" Type="http://schemas.openxmlformats.org/officeDocument/2006/relationships/hyperlink" Target="https://pbs.twimg.com/profile_images/704873222802636800/7aFEMOY5_normal.jpg" TargetMode="External"/><Relationship Id="rId2217" Type="http://schemas.openxmlformats.org/officeDocument/2006/relationships/hyperlink" Target="https://twitter.com/magmidd" TargetMode="External"/><Relationship Id="rId3547" Type="http://schemas.openxmlformats.org/officeDocument/2006/relationships/hyperlink" Target="https://twitter.com/remembrance" TargetMode="External"/><Relationship Id="rId4878" Type="http://schemas.openxmlformats.org/officeDocument/2006/relationships/hyperlink" Target="https://twitter.com/pastpunditry/status/706193317231501316" TargetMode="External"/><Relationship Id="rId2218" Type="http://schemas.openxmlformats.org/officeDocument/2006/relationships/hyperlink" Target="https://twitter.com/magmidd/status/705923687044636673" TargetMode="External"/><Relationship Id="rId2219" Type="http://schemas.openxmlformats.org/officeDocument/2006/relationships/hyperlink" Target="https://pbs.twimg.com/profile_images/378800000450415007/82bcc7d0cab85e8d5920dbf5ded6715e_normal.jpeg" TargetMode="External"/><Relationship Id="rId3549" Type="http://schemas.openxmlformats.org/officeDocument/2006/relationships/hyperlink" Target="https://pbs.twimg.com/profile_images/430213776730628096/Pic5ZJJW_normal.jpeg" TargetMode="External"/><Relationship Id="rId3540" Type="http://schemas.openxmlformats.org/officeDocument/2006/relationships/hyperlink" Target="https://pbs.twimg.com/profile_images/2232523539/Screen_Shot_2012-05-19_at_1.51.23_PM_normal.png" TargetMode="External"/><Relationship Id="rId4871" Type="http://schemas.openxmlformats.org/officeDocument/2006/relationships/hyperlink" Target="https://twitter.com/juliegpeterson" TargetMode="External"/><Relationship Id="rId4870" Type="http://schemas.openxmlformats.org/officeDocument/2006/relationships/hyperlink" Target="https://pbs.twimg.com/profile_images/604060333590855682/Fk6r1D7d_normal.jpg" TargetMode="External"/><Relationship Id="rId2210" Type="http://schemas.openxmlformats.org/officeDocument/2006/relationships/hyperlink" Target="https://pbs.twimg.com/profile_images/596509974005686273/AqBblwMR_normal.jpg" TargetMode="External"/><Relationship Id="rId3542" Type="http://schemas.openxmlformats.org/officeDocument/2006/relationships/hyperlink" Target="https://twitter.com/JulieThePH/status/705940357884878853" TargetMode="External"/><Relationship Id="rId4873" Type="http://schemas.openxmlformats.org/officeDocument/2006/relationships/hyperlink" Target="https://pbs.twimg.com/profile_images/609765839051452416/GNW0wSt0_normal.jpg" TargetMode="External"/><Relationship Id="rId2211" Type="http://schemas.openxmlformats.org/officeDocument/2006/relationships/hyperlink" Target="https://twitter.com/rebekkahrubin" TargetMode="External"/><Relationship Id="rId3541" Type="http://schemas.openxmlformats.org/officeDocument/2006/relationships/hyperlink" Target="https://twitter.com/JulieThePH" TargetMode="External"/><Relationship Id="rId4872" Type="http://schemas.openxmlformats.org/officeDocument/2006/relationships/hyperlink" Target="https://twitter.com/juliegpeterson/status/706193297212121088" TargetMode="External"/><Relationship Id="rId2212" Type="http://schemas.openxmlformats.org/officeDocument/2006/relationships/hyperlink" Target="https://twitter.com/rebekkahrubin/status/705923665263783936" TargetMode="External"/><Relationship Id="rId3544" Type="http://schemas.openxmlformats.org/officeDocument/2006/relationships/hyperlink" Target="https://twitter.com/JulieThePH" TargetMode="External"/><Relationship Id="rId4875" Type="http://schemas.openxmlformats.org/officeDocument/2006/relationships/hyperlink" Target="https://twitter.com/pastpunditry/status/706193302241067009" TargetMode="External"/><Relationship Id="rId2213" Type="http://schemas.openxmlformats.org/officeDocument/2006/relationships/hyperlink" Target="https://pbs.twimg.com/profile_images/700317732588408832/Ym_-neUi_normal.jpg" TargetMode="External"/><Relationship Id="rId3543" Type="http://schemas.openxmlformats.org/officeDocument/2006/relationships/hyperlink" Target="https://pbs.twimg.com/profile_images/596509974005686273/AqBblwMR_normal.jpg" TargetMode="External"/><Relationship Id="rId4874" Type="http://schemas.openxmlformats.org/officeDocument/2006/relationships/hyperlink" Target="https://twitter.com/pastpunditry" TargetMode="External"/><Relationship Id="rId2247" Type="http://schemas.openxmlformats.org/officeDocument/2006/relationships/hyperlink" Target="https://twitter.com/pastpunditry" TargetMode="External"/><Relationship Id="rId3579" Type="http://schemas.openxmlformats.org/officeDocument/2006/relationships/hyperlink" Target="https://pbs.twimg.com/profile_images/636594907730214912/W77i_f0Q_normal.png" TargetMode="External"/><Relationship Id="rId2248" Type="http://schemas.openxmlformats.org/officeDocument/2006/relationships/hyperlink" Target="https://twitter.com/pastpunditry/status/705923869270515713" TargetMode="External"/><Relationship Id="rId3578" Type="http://schemas.openxmlformats.org/officeDocument/2006/relationships/hyperlink" Target="https://twitter.com/thecliodotcom/status/705940737704259586" TargetMode="External"/><Relationship Id="rId2249" Type="http://schemas.openxmlformats.org/officeDocument/2006/relationships/hyperlink" Target="https://pbs.twimg.com/profile_images/704873222802636800/7aFEMOY5_normal.jpg" TargetMode="External"/><Relationship Id="rId327" Type="http://schemas.openxmlformats.org/officeDocument/2006/relationships/hyperlink" Target="https://twitter.com/JulieThePH" TargetMode="External"/><Relationship Id="rId326" Type="http://schemas.openxmlformats.org/officeDocument/2006/relationships/hyperlink" Target="https://pbs.twimg.com/profile_images/629489328272592896/BDQ7tdkf_normal.jpg" TargetMode="External"/><Relationship Id="rId325" Type="http://schemas.openxmlformats.org/officeDocument/2006/relationships/hyperlink" Target="https://twitter.com/brianleechphd/status/705765420926705664" TargetMode="External"/><Relationship Id="rId324" Type="http://schemas.openxmlformats.org/officeDocument/2006/relationships/hyperlink" Target="https://twitter.com/brianleechphd" TargetMode="External"/><Relationship Id="rId329" Type="http://schemas.openxmlformats.org/officeDocument/2006/relationships/hyperlink" Target="https://pbs.twimg.com/profile_images/596509974005686273/AqBblwMR_normal.jpg" TargetMode="External"/><Relationship Id="rId328" Type="http://schemas.openxmlformats.org/officeDocument/2006/relationships/hyperlink" Target="https://twitter.com/JulieThePH/status/705765456767016960" TargetMode="External"/><Relationship Id="rId3571" Type="http://schemas.openxmlformats.org/officeDocument/2006/relationships/hyperlink" Target="https://twitter.com/JulieThePH" TargetMode="External"/><Relationship Id="rId2240" Type="http://schemas.openxmlformats.org/officeDocument/2006/relationships/hyperlink" Target="https://pbs.twimg.com/profile_images/609765839051452416/GNW0wSt0_normal.jpg" TargetMode="External"/><Relationship Id="rId3570" Type="http://schemas.openxmlformats.org/officeDocument/2006/relationships/hyperlink" Target="https://pbs.twimg.com/profile_images/596509974005686273/AqBblwMR_normal.jpg" TargetMode="External"/><Relationship Id="rId2241" Type="http://schemas.openxmlformats.org/officeDocument/2006/relationships/hyperlink" Target="https://twitter.com/GHAUmass" TargetMode="External"/><Relationship Id="rId3573" Type="http://schemas.openxmlformats.org/officeDocument/2006/relationships/hyperlink" Target="https://pbs.twimg.com/profile_images/596509974005686273/AqBblwMR_normal.jpg" TargetMode="External"/><Relationship Id="rId2242" Type="http://schemas.openxmlformats.org/officeDocument/2006/relationships/hyperlink" Target="https://twitter.com/GHAUmass/status/705923814392258564" TargetMode="External"/><Relationship Id="rId3572" Type="http://schemas.openxmlformats.org/officeDocument/2006/relationships/hyperlink" Target="https://twitter.com/JulieThePH/status/705940687355822080" TargetMode="External"/><Relationship Id="rId323" Type="http://schemas.openxmlformats.org/officeDocument/2006/relationships/hyperlink" Target="https://pbs.twimg.com/profile_images/704873222802636800/7aFEMOY5_normal.jpg" TargetMode="External"/><Relationship Id="rId2243" Type="http://schemas.openxmlformats.org/officeDocument/2006/relationships/hyperlink" Target="https://pbs.twimg.com/profile_images/604060333590855682/Fk6r1D7d_normal.jpg" TargetMode="External"/><Relationship Id="rId3575" Type="http://schemas.openxmlformats.org/officeDocument/2006/relationships/hyperlink" Target="https://twitter.com/JulieThePH/status/705940712425168896" TargetMode="External"/><Relationship Id="rId322" Type="http://schemas.openxmlformats.org/officeDocument/2006/relationships/hyperlink" Target="https://twitter.com/pastpunditry/status/705765260565880835" TargetMode="External"/><Relationship Id="rId2244" Type="http://schemas.openxmlformats.org/officeDocument/2006/relationships/hyperlink" Target="https://twitter.com/jamiaw" TargetMode="External"/><Relationship Id="rId3574" Type="http://schemas.openxmlformats.org/officeDocument/2006/relationships/hyperlink" Target="https://twitter.com/JulieThePH" TargetMode="External"/><Relationship Id="rId321" Type="http://schemas.openxmlformats.org/officeDocument/2006/relationships/hyperlink" Target="https://twitter.com/pastpunditry" TargetMode="External"/><Relationship Id="rId2245" Type="http://schemas.openxmlformats.org/officeDocument/2006/relationships/hyperlink" Target="https://twitter.com/jamiaw/status/705923857933344768" TargetMode="External"/><Relationship Id="rId3577" Type="http://schemas.openxmlformats.org/officeDocument/2006/relationships/hyperlink" Target="https://twitter.com/thecliodotcom" TargetMode="External"/><Relationship Id="rId320" Type="http://schemas.openxmlformats.org/officeDocument/2006/relationships/hyperlink" Target="https://pbs.twimg.com/profile_images/704873222802636800/7aFEMOY5_normal.jpg" TargetMode="External"/><Relationship Id="rId2246" Type="http://schemas.openxmlformats.org/officeDocument/2006/relationships/hyperlink" Target="https://pbs.twimg.com/profile_images/701102020061753344/5zH70uem_normal.jpg" TargetMode="External"/><Relationship Id="rId3576" Type="http://schemas.openxmlformats.org/officeDocument/2006/relationships/hyperlink" Target="https://pbs.twimg.com/profile_images/596509974005686273/AqBblwMR_normal.jpg" TargetMode="External"/><Relationship Id="rId2236" Type="http://schemas.openxmlformats.org/officeDocument/2006/relationships/hyperlink" Target="https://twitter.com/GHAUmass/status/705923801792552960" TargetMode="External"/><Relationship Id="rId3568" Type="http://schemas.openxmlformats.org/officeDocument/2006/relationships/hyperlink" Target="https://twitter.com/JulieThePH" TargetMode="External"/><Relationship Id="rId4899" Type="http://schemas.openxmlformats.org/officeDocument/2006/relationships/hyperlink" Target="https://twitter.com/pastpunditry/status/706194250829062144" TargetMode="External"/><Relationship Id="rId2237" Type="http://schemas.openxmlformats.org/officeDocument/2006/relationships/hyperlink" Target="https://pbs.twimg.com/profile_images/604060333590855682/Fk6r1D7d_normal.jpg" TargetMode="External"/><Relationship Id="rId3567" Type="http://schemas.openxmlformats.org/officeDocument/2006/relationships/hyperlink" Target="https://pbs.twimg.com/profile_images/609765839051452416/GNW0wSt0_normal.jpg" TargetMode="External"/><Relationship Id="rId4898" Type="http://schemas.openxmlformats.org/officeDocument/2006/relationships/hyperlink" Target="https://twitter.com/pastpunditry" TargetMode="External"/><Relationship Id="rId2238" Type="http://schemas.openxmlformats.org/officeDocument/2006/relationships/hyperlink" Target="https://twitter.com/juliegpeterson" TargetMode="External"/><Relationship Id="rId2239" Type="http://schemas.openxmlformats.org/officeDocument/2006/relationships/hyperlink" Target="https://twitter.com/juliegpeterson/status/705923809086406656" TargetMode="External"/><Relationship Id="rId3569" Type="http://schemas.openxmlformats.org/officeDocument/2006/relationships/hyperlink" Target="https://twitter.com/JulieThePH/status/705940652815732738" TargetMode="External"/><Relationship Id="rId316" Type="http://schemas.openxmlformats.org/officeDocument/2006/relationships/hyperlink" Target="https://twitter.com/brianleechphd/status/705765155225866240" TargetMode="External"/><Relationship Id="rId315" Type="http://schemas.openxmlformats.org/officeDocument/2006/relationships/hyperlink" Target="https://twitter.com/brianleechphd" TargetMode="External"/><Relationship Id="rId314" Type="http://schemas.openxmlformats.org/officeDocument/2006/relationships/hyperlink" Target="http://ctrlq.org/maps/address/" TargetMode="External"/><Relationship Id="rId313" Type="http://schemas.openxmlformats.org/officeDocument/2006/relationships/hyperlink" Target="https://pbs.twimg.com/profile_images/676362182020481024/P0kyLli1_normal.jpg" TargetMode="External"/><Relationship Id="rId319" Type="http://schemas.openxmlformats.org/officeDocument/2006/relationships/hyperlink" Target="https://twitter.com/pastpunditry/status/705765238730260481" TargetMode="External"/><Relationship Id="rId318" Type="http://schemas.openxmlformats.org/officeDocument/2006/relationships/hyperlink" Target="https://twitter.com/pastpunditry" TargetMode="External"/><Relationship Id="rId317" Type="http://schemas.openxmlformats.org/officeDocument/2006/relationships/hyperlink" Target="https://pbs.twimg.com/profile_images/629489328272592896/BDQ7tdkf_normal.jpg" TargetMode="External"/><Relationship Id="rId3560" Type="http://schemas.openxmlformats.org/officeDocument/2006/relationships/hyperlink" Target="https://twitter.com/abreimaier/status/705940617512222720" TargetMode="External"/><Relationship Id="rId4891" Type="http://schemas.openxmlformats.org/officeDocument/2006/relationships/hyperlink" Target="https://pbs.twimg.com/profile_images/609765839051452416/GNW0wSt0_normal.jpg" TargetMode="External"/><Relationship Id="rId4890" Type="http://schemas.openxmlformats.org/officeDocument/2006/relationships/hyperlink" Target="https://twitter.com/juliegpeterson/status/706193849081831424" TargetMode="External"/><Relationship Id="rId2230" Type="http://schemas.openxmlformats.org/officeDocument/2006/relationships/hyperlink" Target="https://twitter.com/GHAUmass/status/705923738177503233" TargetMode="External"/><Relationship Id="rId3562" Type="http://schemas.openxmlformats.org/officeDocument/2006/relationships/hyperlink" Target="https://twitter.com/JulieThePH" TargetMode="External"/><Relationship Id="rId4893" Type="http://schemas.openxmlformats.org/officeDocument/2006/relationships/hyperlink" Target="https://twitter.com/pastpunditry/status/706193876726509568" TargetMode="External"/><Relationship Id="rId2231" Type="http://schemas.openxmlformats.org/officeDocument/2006/relationships/hyperlink" Target="https://pbs.twimg.com/profile_images/604060333590855682/Fk6r1D7d_normal.jpg" TargetMode="External"/><Relationship Id="rId3561" Type="http://schemas.openxmlformats.org/officeDocument/2006/relationships/hyperlink" Target="https://pbs.twimg.com/profile_images/3357790300/e80f72cc154c4bfa4bc8dc718fbc525b_normal.jpeg" TargetMode="External"/><Relationship Id="rId4892" Type="http://schemas.openxmlformats.org/officeDocument/2006/relationships/hyperlink" Target="https://twitter.com/pastpunditry" TargetMode="External"/><Relationship Id="rId312" Type="http://schemas.openxmlformats.org/officeDocument/2006/relationships/hyperlink" Target="https://twitter.com/mille24c/status/705765123458207745" TargetMode="External"/><Relationship Id="rId2232" Type="http://schemas.openxmlformats.org/officeDocument/2006/relationships/hyperlink" Target="https://twitter.com/jamiaw" TargetMode="External"/><Relationship Id="rId3564" Type="http://schemas.openxmlformats.org/officeDocument/2006/relationships/hyperlink" Target="https://pbs.twimg.com/profile_images/596509974005686273/AqBblwMR_normal.jpg" TargetMode="External"/><Relationship Id="rId4895" Type="http://schemas.openxmlformats.org/officeDocument/2006/relationships/hyperlink" Target="https://twitter.com/JimGrossmanAHA" TargetMode="External"/><Relationship Id="rId311" Type="http://schemas.openxmlformats.org/officeDocument/2006/relationships/hyperlink" Target="https://twitter.com/mille24c" TargetMode="External"/><Relationship Id="rId2233" Type="http://schemas.openxmlformats.org/officeDocument/2006/relationships/hyperlink" Target="https://twitter.com/jamiaw/status/705923742074060800" TargetMode="External"/><Relationship Id="rId3563" Type="http://schemas.openxmlformats.org/officeDocument/2006/relationships/hyperlink" Target="https://twitter.com/JulieThePH/status/705940618221121537" TargetMode="External"/><Relationship Id="rId4894" Type="http://schemas.openxmlformats.org/officeDocument/2006/relationships/hyperlink" Target="https://pbs.twimg.com/profile_images/704873222802636800/7aFEMOY5_normal.jpg" TargetMode="External"/><Relationship Id="rId310" Type="http://schemas.openxmlformats.org/officeDocument/2006/relationships/hyperlink" Target="https://pbs.twimg.com/profile_images/704873222802636800/7aFEMOY5_normal.jpg" TargetMode="External"/><Relationship Id="rId2234" Type="http://schemas.openxmlformats.org/officeDocument/2006/relationships/hyperlink" Target="https://pbs.twimg.com/profile_images/701102020061753344/5zH70uem_normal.jpg" TargetMode="External"/><Relationship Id="rId3566" Type="http://schemas.openxmlformats.org/officeDocument/2006/relationships/hyperlink" Target="https://twitter.com/juliegpeterson/status/705940631663808512" TargetMode="External"/><Relationship Id="rId4897" Type="http://schemas.openxmlformats.org/officeDocument/2006/relationships/hyperlink" Target="https://pbs.twimg.com/profile_images/378800000667891782/44d7b181c077bf16ab07b242f7ad81b9_normal.png" TargetMode="External"/><Relationship Id="rId2235" Type="http://schemas.openxmlformats.org/officeDocument/2006/relationships/hyperlink" Target="https://twitter.com/GHAUmass" TargetMode="External"/><Relationship Id="rId3565" Type="http://schemas.openxmlformats.org/officeDocument/2006/relationships/hyperlink" Target="https://twitter.com/juliegpeterson" TargetMode="External"/><Relationship Id="rId4896" Type="http://schemas.openxmlformats.org/officeDocument/2006/relationships/hyperlink" Target="https://twitter.com/JimGrossmanAHA/status/706194157220601856" TargetMode="External"/><Relationship Id="rId4040" Type="http://schemas.openxmlformats.org/officeDocument/2006/relationships/hyperlink" Target="https://twitter.com/pastpunditry/status/706133787344834560" TargetMode="External"/><Relationship Id="rId5372" Type="http://schemas.openxmlformats.org/officeDocument/2006/relationships/hyperlink" Target="https://twitter.com/JulieThePH" TargetMode="External"/><Relationship Id="rId5373" Type="http://schemas.openxmlformats.org/officeDocument/2006/relationships/hyperlink" Target="https://twitter.com/JulieThePH/status/706234968591212545" TargetMode="External"/><Relationship Id="rId4042" Type="http://schemas.openxmlformats.org/officeDocument/2006/relationships/hyperlink" Target="https://twitter.com/allisonhorrocks" TargetMode="External"/><Relationship Id="rId5370" Type="http://schemas.openxmlformats.org/officeDocument/2006/relationships/hyperlink" Target="https://twitter.com/pcstewart/status/706231394586927104" TargetMode="External"/><Relationship Id="rId4041" Type="http://schemas.openxmlformats.org/officeDocument/2006/relationships/hyperlink" Target="https://pbs.twimg.com/profile_images/704873222802636800/7aFEMOY5_normal.jpg" TargetMode="External"/><Relationship Id="rId5371" Type="http://schemas.openxmlformats.org/officeDocument/2006/relationships/hyperlink" Target="https://abs.twimg.com/sticky/default_profile_images/default_profile_4_normal.png" TargetMode="External"/><Relationship Id="rId4044" Type="http://schemas.openxmlformats.org/officeDocument/2006/relationships/hyperlink" Target="https://pbs.twimg.com/profile_images/562279222522032128/-phaZgxO_normal.jpeg" TargetMode="External"/><Relationship Id="rId5376" Type="http://schemas.openxmlformats.org/officeDocument/2006/relationships/hyperlink" Target="https://twitter.com/JulieThePH/status/706235283113709572" TargetMode="External"/><Relationship Id="rId4043" Type="http://schemas.openxmlformats.org/officeDocument/2006/relationships/hyperlink" Target="https://twitter.com/allisonhorrocks/status/706133806248534016" TargetMode="External"/><Relationship Id="rId5377" Type="http://schemas.openxmlformats.org/officeDocument/2006/relationships/hyperlink" Target="https://pbs.twimg.com/profile_images/596509974005686273/AqBblwMR_normal.jpg" TargetMode="External"/><Relationship Id="rId4046" Type="http://schemas.openxmlformats.org/officeDocument/2006/relationships/hyperlink" Target="https://twitter.com/pastpunditry/status/706133991213146112" TargetMode="External"/><Relationship Id="rId5374" Type="http://schemas.openxmlformats.org/officeDocument/2006/relationships/hyperlink" Target="https://pbs.twimg.com/profile_images/596509974005686273/AqBblwMR_normal.jpg" TargetMode="External"/><Relationship Id="rId4045" Type="http://schemas.openxmlformats.org/officeDocument/2006/relationships/hyperlink" Target="https://twitter.com/pastpunditry" TargetMode="External"/><Relationship Id="rId5375" Type="http://schemas.openxmlformats.org/officeDocument/2006/relationships/hyperlink" Target="https://twitter.com/JulieThePH" TargetMode="External"/><Relationship Id="rId4048" Type="http://schemas.openxmlformats.org/officeDocument/2006/relationships/hyperlink" Target="https://twitter.com/pastpunditry" TargetMode="External"/><Relationship Id="rId4047" Type="http://schemas.openxmlformats.org/officeDocument/2006/relationships/hyperlink" Target="https://pbs.twimg.com/profile_images/704873222802636800/7aFEMOY5_normal.jpg" TargetMode="External"/><Relationship Id="rId5378" Type="http://schemas.openxmlformats.org/officeDocument/2006/relationships/hyperlink" Target="https://twitter.com/rebekkahrubin" TargetMode="External"/><Relationship Id="rId4049" Type="http://schemas.openxmlformats.org/officeDocument/2006/relationships/hyperlink" Target="https://twitter.com/pastpunditry/status/706134200596963328" TargetMode="External"/><Relationship Id="rId5379" Type="http://schemas.openxmlformats.org/officeDocument/2006/relationships/hyperlink" Target="https://twitter.com/rebekkahrubin/status/706241991361892353" TargetMode="External"/><Relationship Id="rId5361" Type="http://schemas.openxmlformats.org/officeDocument/2006/relationships/hyperlink" Target="https://twitter.com/dpmckenzie/status/706218358320996352" TargetMode="External"/><Relationship Id="rId5362" Type="http://schemas.openxmlformats.org/officeDocument/2006/relationships/hyperlink" Target="https://pbs.twimg.com/profile_images/2594130457/E22305FD-AC31-4127-92D9-F0C08A2E52F2_normal" TargetMode="External"/><Relationship Id="rId4031" Type="http://schemas.openxmlformats.org/officeDocument/2006/relationships/hyperlink" Target="https://twitter.com/jbjhistory/status/706133536491880449" TargetMode="External"/><Relationship Id="rId4030" Type="http://schemas.openxmlformats.org/officeDocument/2006/relationships/hyperlink" Target="https://twitter.com/jbjhistory" TargetMode="External"/><Relationship Id="rId5360" Type="http://schemas.openxmlformats.org/officeDocument/2006/relationships/hyperlink" Target="https://twitter.com/dpmckenzie" TargetMode="External"/><Relationship Id="rId297" Type="http://schemas.openxmlformats.org/officeDocument/2006/relationships/hyperlink" Target="https://twitter.com/pastpunditry/status/705763419656474624" TargetMode="External"/><Relationship Id="rId4033" Type="http://schemas.openxmlformats.org/officeDocument/2006/relationships/hyperlink" Target="https://twitter.com/JulieThePH" TargetMode="External"/><Relationship Id="rId5365" Type="http://schemas.openxmlformats.org/officeDocument/2006/relationships/hyperlink" Target="https://pbs.twimg.com/profile_images/535167858204893184/DNz9ruRN_normal.jpeg" TargetMode="External"/><Relationship Id="rId296" Type="http://schemas.openxmlformats.org/officeDocument/2006/relationships/hyperlink" Target="https://twitter.com/pastpunditry" TargetMode="External"/><Relationship Id="rId4032" Type="http://schemas.openxmlformats.org/officeDocument/2006/relationships/hyperlink" Target="https://pbs.twimg.com/profile_images/572584579542691840/6QE8hkeK_normal.jpeg" TargetMode="External"/><Relationship Id="rId5366" Type="http://schemas.openxmlformats.org/officeDocument/2006/relationships/hyperlink" Target="https://twitter.com/kaylamaria311" TargetMode="External"/><Relationship Id="rId295" Type="http://schemas.openxmlformats.org/officeDocument/2006/relationships/hyperlink" Target="https://pbs.twimg.com/profile_images/596509974005686273/AqBblwMR_normal.jpg" TargetMode="External"/><Relationship Id="rId4035" Type="http://schemas.openxmlformats.org/officeDocument/2006/relationships/hyperlink" Target="https://pbs.twimg.com/profile_images/596509974005686273/AqBblwMR_normal.jpg" TargetMode="External"/><Relationship Id="rId5363" Type="http://schemas.openxmlformats.org/officeDocument/2006/relationships/hyperlink" Target="https://twitter.com/cherylharned" TargetMode="External"/><Relationship Id="rId294" Type="http://schemas.openxmlformats.org/officeDocument/2006/relationships/hyperlink" Target="https://twitter.com/JulieThePH/status/705763386194325504" TargetMode="External"/><Relationship Id="rId4034" Type="http://schemas.openxmlformats.org/officeDocument/2006/relationships/hyperlink" Target="https://twitter.com/JulieThePH/status/706133580049682433" TargetMode="External"/><Relationship Id="rId5364" Type="http://schemas.openxmlformats.org/officeDocument/2006/relationships/hyperlink" Target="https://twitter.com/cherylharned/status/706218913957322753" TargetMode="External"/><Relationship Id="rId4037" Type="http://schemas.openxmlformats.org/officeDocument/2006/relationships/hyperlink" Target="https://twitter.com/pastpunditry/status/706133598886367232" TargetMode="External"/><Relationship Id="rId5369" Type="http://schemas.openxmlformats.org/officeDocument/2006/relationships/hyperlink" Target="https://twitter.com/pcstewart" TargetMode="External"/><Relationship Id="rId4036" Type="http://schemas.openxmlformats.org/officeDocument/2006/relationships/hyperlink" Target="https://twitter.com/pastpunditry" TargetMode="External"/><Relationship Id="rId299" Type="http://schemas.openxmlformats.org/officeDocument/2006/relationships/hyperlink" Target="https://twitter.com/brianleechphd" TargetMode="External"/><Relationship Id="rId4039" Type="http://schemas.openxmlformats.org/officeDocument/2006/relationships/hyperlink" Target="https://twitter.com/pastpunditry" TargetMode="External"/><Relationship Id="rId5367" Type="http://schemas.openxmlformats.org/officeDocument/2006/relationships/hyperlink" Target="https://twitter.com/kaylamaria311/status/706220635094003712" TargetMode="External"/><Relationship Id="rId298" Type="http://schemas.openxmlformats.org/officeDocument/2006/relationships/hyperlink" Target="https://pbs.twimg.com/profile_images/704873222802636800/7aFEMOY5_normal.jpg" TargetMode="External"/><Relationship Id="rId4038" Type="http://schemas.openxmlformats.org/officeDocument/2006/relationships/hyperlink" Target="https://pbs.twimg.com/profile_images/704873222802636800/7aFEMOY5_normal.jpg" TargetMode="External"/><Relationship Id="rId5368" Type="http://schemas.openxmlformats.org/officeDocument/2006/relationships/hyperlink" Target="https://pbs.twimg.com/profile_images/2621242537/e4f3dyjkytufqwe63ms1_normal.jpeg" TargetMode="External"/><Relationship Id="rId5390" Type="http://schemas.openxmlformats.org/officeDocument/2006/relationships/hyperlink" Target="https://twitter.com/rebekkahrubin" TargetMode="External"/><Relationship Id="rId5391" Type="http://schemas.openxmlformats.org/officeDocument/2006/relationships/hyperlink" Target="https://twitter.com/rebekkahrubin/status/706243200399310848" TargetMode="External"/><Relationship Id="rId4060" Type="http://schemas.openxmlformats.org/officeDocument/2006/relationships/hyperlink" Target="https://twitter.com/pastpunditry" TargetMode="External"/><Relationship Id="rId4062" Type="http://schemas.openxmlformats.org/officeDocument/2006/relationships/hyperlink" Target="https://pbs.twimg.com/profile_images/704873222802636800/7aFEMOY5_normal.jpg" TargetMode="External"/><Relationship Id="rId5394" Type="http://schemas.openxmlformats.org/officeDocument/2006/relationships/hyperlink" Target="https://twitter.com/GHAUmass/status/706243437385945088" TargetMode="External"/><Relationship Id="rId4061" Type="http://schemas.openxmlformats.org/officeDocument/2006/relationships/hyperlink" Target="https://twitter.com/pastpunditry/status/706135105518112769" TargetMode="External"/><Relationship Id="rId5395" Type="http://schemas.openxmlformats.org/officeDocument/2006/relationships/hyperlink" Target="https://pbs.twimg.com/profile_images/604060333590855682/Fk6r1D7d_normal.jpg" TargetMode="External"/><Relationship Id="rId4064" Type="http://schemas.openxmlformats.org/officeDocument/2006/relationships/hyperlink" Target="https://twitter.com/pastpunditry/status/706135348733157380" TargetMode="External"/><Relationship Id="rId5392" Type="http://schemas.openxmlformats.org/officeDocument/2006/relationships/hyperlink" Target="https://pbs.twimg.com/profile_images/700317732588408832/Ym_-neUi_normal.jpg" TargetMode="External"/><Relationship Id="rId4063" Type="http://schemas.openxmlformats.org/officeDocument/2006/relationships/hyperlink" Target="https://twitter.com/pastpunditry" TargetMode="External"/><Relationship Id="rId5393" Type="http://schemas.openxmlformats.org/officeDocument/2006/relationships/hyperlink" Target="https://twitter.com/GHAUmass" TargetMode="External"/><Relationship Id="rId4066" Type="http://schemas.openxmlformats.org/officeDocument/2006/relationships/hyperlink" Target="https://twitter.com/cherylharned" TargetMode="External"/><Relationship Id="rId5398" Type="http://schemas.openxmlformats.org/officeDocument/2006/relationships/hyperlink" Target="https://pbs.twimg.com/profile_images/700317732588408832/Ym_-neUi_normal.jpg" TargetMode="External"/><Relationship Id="rId4065" Type="http://schemas.openxmlformats.org/officeDocument/2006/relationships/hyperlink" Target="https://pbs.twimg.com/profile_images/704873222802636800/7aFEMOY5_normal.jpg" TargetMode="External"/><Relationship Id="rId5399" Type="http://schemas.openxmlformats.org/officeDocument/2006/relationships/hyperlink" Target="https://twitter.com/GHAUmass" TargetMode="External"/><Relationship Id="rId4068" Type="http://schemas.openxmlformats.org/officeDocument/2006/relationships/hyperlink" Target="https://pbs.twimg.com/profile_images/535167858204893184/DNz9ruRN_normal.jpeg" TargetMode="External"/><Relationship Id="rId5396" Type="http://schemas.openxmlformats.org/officeDocument/2006/relationships/hyperlink" Target="https://twitter.com/rebekkahrubin" TargetMode="External"/><Relationship Id="rId4067" Type="http://schemas.openxmlformats.org/officeDocument/2006/relationships/hyperlink" Target="https://twitter.com/cherylharned/status/706135514387255300" TargetMode="External"/><Relationship Id="rId5397" Type="http://schemas.openxmlformats.org/officeDocument/2006/relationships/hyperlink" Target="https://twitter.com/rebekkahrubin/status/706243622216318976" TargetMode="External"/><Relationship Id="rId4069" Type="http://schemas.openxmlformats.org/officeDocument/2006/relationships/hyperlink" Target="https://twitter.com/pastpunditry" TargetMode="External"/><Relationship Id="rId5380" Type="http://schemas.openxmlformats.org/officeDocument/2006/relationships/hyperlink" Target="https://pbs.twimg.com/profile_images/700317732588408832/Ym_-neUi_normal.jpg" TargetMode="External"/><Relationship Id="rId4051" Type="http://schemas.openxmlformats.org/officeDocument/2006/relationships/hyperlink" Target="https://twitter.com/JulieThePH" TargetMode="External"/><Relationship Id="rId5383" Type="http://schemas.openxmlformats.org/officeDocument/2006/relationships/hyperlink" Target="https://pbs.twimg.com/profile_images/604060333590855682/Fk6r1D7d_normal.jpg" TargetMode="External"/><Relationship Id="rId4050" Type="http://schemas.openxmlformats.org/officeDocument/2006/relationships/hyperlink" Target="https://pbs.twimg.com/profile_images/704873222802636800/7aFEMOY5_normal.jpg" TargetMode="External"/><Relationship Id="rId5384" Type="http://schemas.openxmlformats.org/officeDocument/2006/relationships/hyperlink" Target="https://twitter.com/rebekkahrubin" TargetMode="External"/><Relationship Id="rId4053" Type="http://schemas.openxmlformats.org/officeDocument/2006/relationships/hyperlink" Target="https://pbs.twimg.com/profile_images/596509974005686273/AqBblwMR_normal.jpg" TargetMode="External"/><Relationship Id="rId5381" Type="http://schemas.openxmlformats.org/officeDocument/2006/relationships/hyperlink" Target="https://twitter.com/GHAUmass" TargetMode="External"/><Relationship Id="rId4052" Type="http://schemas.openxmlformats.org/officeDocument/2006/relationships/hyperlink" Target="https://twitter.com/JulieThePH/status/706134340531527680" TargetMode="External"/><Relationship Id="rId5382" Type="http://schemas.openxmlformats.org/officeDocument/2006/relationships/hyperlink" Target="https://twitter.com/GHAUmass/status/706242162455744512" TargetMode="External"/><Relationship Id="rId4055" Type="http://schemas.openxmlformats.org/officeDocument/2006/relationships/hyperlink" Target="https://twitter.com/pastpunditry/status/706134412094742533" TargetMode="External"/><Relationship Id="rId5387" Type="http://schemas.openxmlformats.org/officeDocument/2006/relationships/hyperlink" Target="https://twitter.com/GHAUmass" TargetMode="External"/><Relationship Id="rId4054" Type="http://schemas.openxmlformats.org/officeDocument/2006/relationships/hyperlink" Target="https://twitter.com/pastpunditry" TargetMode="External"/><Relationship Id="rId5388" Type="http://schemas.openxmlformats.org/officeDocument/2006/relationships/hyperlink" Target="https://twitter.com/GHAUmass/status/706243153775480836" TargetMode="External"/><Relationship Id="rId4057" Type="http://schemas.openxmlformats.org/officeDocument/2006/relationships/hyperlink" Target="https://twitter.com/magmidd" TargetMode="External"/><Relationship Id="rId5385" Type="http://schemas.openxmlformats.org/officeDocument/2006/relationships/hyperlink" Target="https://twitter.com/rebekkahrubin/status/706242878788542466" TargetMode="External"/><Relationship Id="rId4056" Type="http://schemas.openxmlformats.org/officeDocument/2006/relationships/hyperlink" Target="https://pbs.twimg.com/profile_images/704873222802636800/7aFEMOY5_normal.jpg" TargetMode="External"/><Relationship Id="rId5386" Type="http://schemas.openxmlformats.org/officeDocument/2006/relationships/hyperlink" Target="https://pbs.twimg.com/profile_images/700317732588408832/Ym_-neUi_normal.jpg" TargetMode="External"/><Relationship Id="rId4059" Type="http://schemas.openxmlformats.org/officeDocument/2006/relationships/hyperlink" Target="https://pbs.twimg.com/profile_images/378800000450415007/82bcc7d0cab85e8d5920dbf5ded6715e_normal.jpeg" TargetMode="External"/><Relationship Id="rId4058" Type="http://schemas.openxmlformats.org/officeDocument/2006/relationships/hyperlink" Target="https://twitter.com/magmidd/status/706134935338422272" TargetMode="External"/><Relationship Id="rId5389" Type="http://schemas.openxmlformats.org/officeDocument/2006/relationships/hyperlink" Target="https://pbs.twimg.com/profile_images/604060333590855682/Fk6r1D7d_normal.jpg" TargetMode="External"/><Relationship Id="rId4008" Type="http://schemas.openxmlformats.org/officeDocument/2006/relationships/hyperlink" Target="https://pbs.twimg.com/profile_images/622453632278089728/laexYIBB_normal.jpg" TargetMode="External"/><Relationship Id="rId4007" Type="http://schemas.openxmlformats.org/officeDocument/2006/relationships/hyperlink" Target="https://twitter.com/yoruba69/status/706132351559065600" TargetMode="External"/><Relationship Id="rId5338" Type="http://schemas.openxmlformats.org/officeDocument/2006/relationships/hyperlink" Target="https://pbs.twimg.com/profile_images/3583165575/54f0bc87a29b2ae8587193829ce07299_normal.jpeg" TargetMode="External"/><Relationship Id="rId4009" Type="http://schemas.openxmlformats.org/officeDocument/2006/relationships/hyperlink" Target="https://twitter.com/erippel8" TargetMode="External"/><Relationship Id="rId5339" Type="http://schemas.openxmlformats.org/officeDocument/2006/relationships/hyperlink" Target="https://twitter.com/lizl_genealogy" TargetMode="External"/><Relationship Id="rId271" Type="http://schemas.openxmlformats.org/officeDocument/2006/relationships/hyperlink" Target="https://pbs.twimg.com/profile_images/704873222802636800/7aFEMOY5_normal.jpg" TargetMode="External"/><Relationship Id="rId270" Type="http://schemas.openxmlformats.org/officeDocument/2006/relationships/hyperlink" Target="https://twitter.com/pastpunditry/status/705760832131567616" TargetMode="External"/><Relationship Id="rId269" Type="http://schemas.openxmlformats.org/officeDocument/2006/relationships/hyperlink" Target="https://twitter.com/pastpunditry" TargetMode="External"/><Relationship Id="rId264" Type="http://schemas.openxmlformats.org/officeDocument/2006/relationships/hyperlink" Target="https://pbs.twimg.com/profile_images/596509974005686273/AqBblwMR_normal.jpg" TargetMode="External"/><Relationship Id="rId4000" Type="http://schemas.openxmlformats.org/officeDocument/2006/relationships/hyperlink" Target="https://twitter.com/cherylharned" TargetMode="External"/><Relationship Id="rId5332" Type="http://schemas.openxmlformats.org/officeDocument/2006/relationships/hyperlink" Target="https://pbs.twimg.com/profile_images/3583165575/54f0bc87a29b2ae8587193829ce07299_normal.jpeg" TargetMode="External"/><Relationship Id="rId263" Type="http://schemas.openxmlformats.org/officeDocument/2006/relationships/hyperlink" Target="https://twitter.com/JulieThePH/status/705759893152776192" TargetMode="External"/><Relationship Id="rId5333" Type="http://schemas.openxmlformats.org/officeDocument/2006/relationships/hyperlink" Target="https://twitter.com/umassph" TargetMode="External"/><Relationship Id="rId262" Type="http://schemas.openxmlformats.org/officeDocument/2006/relationships/hyperlink" Target="https://twitter.com/JulieThePH" TargetMode="External"/><Relationship Id="rId4002" Type="http://schemas.openxmlformats.org/officeDocument/2006/relationships/hyperlink" Target="https://pbs.twimg.com/profile_images/535167858204893184/DNz9ruRN_normal.jpeg" TargetMode="External"/><Relationship Id="rId5330" Type="http://schemas.openxmlformats.org/officeDocument/2006/relationships/hyperlink" Target="https://twitter.com/umassph" TargetMode="External"/><Relationship Id="rId261" Type="http://schemas.openxmlformats.org/officeDocument/2006/relationships/hyperlink" Target="https://pbs.twimg.com/profile_images/704873222802636800/7aFEMOY5_normal.jpg" TargetMode="External"/><Relationship Id="rId4001" Type="http://schemas.openxmlformats.org/officeDocument/2006/relationships/hyperlink" Target="https://twitter.com/cherylharned/status/706130757106929664" TargetMode="External"/><Relationship Id="rId5331" Type="http://schemas.openxmlformats.org/officeDocument/2006/relationships/hyperlink" Target="https://twitter.com/umassph/status/706215874450071553" TargetMode="External"/><Relationship Id="rId268" Type="http://schemas.openxmlformats.org/officeDocument/2006/relationships/hyperlink" Target="http://ctrlq.org/maps/address/" TargetMode="External"/><Relationship Id="rId4004" Type="http://schemas.openxmlformats.org/officeDocument/2006/relationships/hyperlink" Target="https://twitter.com/MarlaAtUmass/status/706131152118136832" TargetMode="External"/><Relationship Id="rId5336" Type="http://schemas.openxmlformats.org/officeDocument/2006/relationships/hyperlink" Target="https://twitter.com/umassph" TargetMode="External"/><Relationship Id="rId267" Type="http://schemas.openxmlformats.org/officeDocument/2006/relationships/hyperlink" Target="https://pbs.twimg.com/profile_images/676362182020481024/P0kyLli1_normal.jpg" TargetMode="External"/><Relationship Id="rId4003" Type="http://schemas.openxmlformats.org/officeDocument/2006/relationships/hyperlink" Target="https://twitter.com/MarlaAtUmass" TargetMode="External"/><Relationship Id="rId5337" Type="http://schemas.openxmlformats.org/officeDocument/2006/relationships/hyperlink" Target="https://twitter.com/umassph/status/706216130344591360" TargetMode="External"/><Relationship Id="rId266" Type="http://schemas.openxmlformats.org/officeDocument/2006/relationships/hyperlink" Target="https://twitter.com/mille24c/status/705760745447936000" TargetMode="External"/><Relationship Id="rId4006" Type="http://schemas.openxmlformats.org/officeDocument/2006/relationships/hyperlink" Target="https://twitter.com/yoruba69" TargetMode="External"/><Relationship Id="rId5334" Type="http://schemas.openxmlformats.org/officeDocument/2006/relationships/hyperlink" Target="https://twitter.com/umassph/status/706215980050092032" TargetMode="External"/><Relationship Id="rId265" Type="http://schemas.openxmlformats.org/officeDocument/2006/relationships/hyperlink" Target="https://twitter.com/mille24c" TargetMode="External"/><Relationship Id="rId4005" Type="http://schemas.openxmlformats.org/officeDocument/2006/relationships/hyperlink" Target="https://pbs.twimg.com/profile_images/565429960/Betsy_Twitter_normal.jpg" TargetMode="External"/><Relationship Id="rId5335" Type="http://schemas.openxmlformats.org/officeDocument/2006/relationships/hyperlink" Target="https://pbs.twimg.com/profile_images/3583165575/54f0bc87a29b2ae8587193829ce07299_normal.jpeg" TargetMode="External"/><Relationship Id="rId5329" Type="http://schemas.openxmlformats.org/officeDocument/2006/relationships/hyperlink" Target="https://pbs.twimg.com/profile_images/704873222802636800/7aFEMOY5_normal.jpg" TargetMode="External"/><Relationship Id="rId5327" Type="http://schemas.openxmlformats.org/officeDocument/2006/relationships/hyperlink" Target="https://twitter.com/pastpunditry" TargetMode="External"/><Relationship Id="rId5328" Type="http://schemas.openxmlformats.org/officeDocument/2006/relationships/hyperlink" Target="https://twitter.com/pastpunditry/status/706215568785993728" TargetMode="External"/><Relationship Id="rId260" Type="http://schemas.openxmlformats.org/officeDocument/2006/relationships/hyperlink" Target="https://twitter.com/pastpunditry/status/705759499844505600" TargetMode="External"/><Relationship Id="rId259" Type="http://schemas.openxmlformats.org/officeDocument/2006/relationships/hyperlink" Target="https://twitter.com/pastpunditry" TargetMode="External"/><Relationship Id="rId258" Type="http://schemas.openxmlformats.org/officeDocument/2006/relationships/hyperlink" Target="https://pbs.twimg.com/profile_images/660922102632026113/oOp4nhy__normal.jpg" TargetMode="External"/><Relationship Id="rId2290" Type="http://schemas.openxmlformats.org/officeDocument/2006/relationships/hyperlink" Target="https://twitter.com/sheishistoric/status/705924075701575680" TargetMode="External"/><Relationship Id="rId2291" Type="http://schemas.openxmlformats.org/officeDocument/2006/relationships/hyperlink" Target="https://pbs.twimg.com/profile_images/650419150620377089/bJxBf---_normal.jpg" TargetMode="External"/><Relationship Id="rId2292" Type="http://schemas.openxmlformats.org/officeDocument/2006/relationships/hyperlink" Target="https://twitter.com/CitizenWald" TargetMode="External"/><Relationship Id="rId2293" Type="http://schemas.openxmlformats.org/officeDocument/2006/relationships/hyperlink" Target="https://twitter.com/CitizenWald/status/705924144286867462" TargetMode="External"/><Relationship Id="rId253" Type="http://schemas.openxmlformats.org/officeDocument/2006/relationships/hyperlink" Target="https://twitter.com/AmandaMoniz1" TargetMode="External"/><Relationship Id="rId2294" Type="http://schemas.openxmlformats.org/officeDocument/2006/relationships/hyperlink" Target="https://pbs.twimg.com/profile_images/661220280564486144/ZxUrdRVS_normal.jpg" TargetMode="External"/><Relationship Id="rId5321" Type="http://schemas.openxmlformats.org/officeDocument/2006/relationships/hyperlink" Target="https://twitter.com/rebekkahrubin" TargetMode="External"/><Relationship Id="rId252" Type="http://schemas.openxmlformats.org/officeDocument/2006/relationships/hyperlink" Target="https://pbs.twimg.com/profile_images/600462420176465920/qndxv6Yu_normal.jpg" TargetMode="External"/><Relationship Id="rId2295" Type="http://schemas.openxmlformats.org/officeDocument/2006/relationships/hyperlink" Target="https://twitter.com/jamiaw" TargetMode="External"/><Relationship Id="rId5322" Type="http://schemas.openxmlformats.org/officeDocument/2006/relationships/hyperlink" Target="https://twitter.com/rebekkahrubin/status/706215518714392576" TargetMode="External"/><Relationship Id="rId251" Type="http://schemas.openxmlformats.org/officeDocument/2006/relationships/hyperlink" Target="https://twitter.com/FatalPolitics/status/705743310179082241" TargetMode="External"/><Relationship Id="rId2296" Type="http://schemas.openxmlformats.org/officeDocument/2006/relationships/hyperlink" Target="https://twitter.com/jamiaw/status/705924159709302784" TargetMode="External"/><Relationship Id="rId250" Type="http://schemas.openxmlformats.org/officeDocument/2006/relationships/hyperlink" Target="https://twitter.com/FatalPolitics" TargetMode="External"/><Relationship Id="rId2297" Type="http://schemas.openxmlformats.org/officeDocument/2006/relationships/hyperlink" Target="https://pbs.twimg.com/profile_images/701102020061753344/5zH70uem_normal.jpg" TargetMode="External"/><Relationship Id="rId5320" Type="http://schemas.openxmlformats.org/officeDocument/2006/relationships/hyperlink" Target="https://pbs.twimg.com/profile_images/684729090453188609/TZjVAtbP_normal.jpg" TargetMode="External"/><Relationship Id="rId257" Type="http://schemas.openxmlformats.org/officeDocument/2006/relationships/hyperlink" Target="https://twitter.com/jnthnwwlsn/status/705747509579268096" TargetMode="External"/><Relationship Id="rId2298" Type="http://schemas.openxmlformats.org/officeDocument/2006/relationships/hyperlink" Target="https://twitter.com/pastpunditry" TargetMode="External"/><Relationship Id="rId5325" Type="http://schemas.openxmlformats.org/officeDocument/2006/relationships/hyperlink" Target="https://twitter.com/aglassofhistory/status/706215554156273664" TargetMode="External"/><Relationship Id="rId256" Type="http://schemas.openxmlformats.org/officeDocument/2006/relationships/hyperlink" Target="https://twitter.com/jnthnwwlsn" TargetMode="External"/><Relationship Id="rId2299" Type="http://schemas.openxmlformats.org/officeDocument/2006/relationships/hyperlink" Target="https://twitter.com/pastpunditry/status/705924222359572481" TargetMode="External"/><Relationship Id="rId5326" Type="http://schemas.openxmlformats.org/officeDocument/2006/relationships/hyperlink" Target="https://pbs.twimg.com/profile_images/611592888816898048/cGMlIfmz_normal.jpg" TargetMode="External"/><Relationship Id="rId255" Type="http://schemas.openxmlformats.org/officeDocument/2006/relationships/hyperlink" Target="https://pbs.twimg.com/profile_images/378800000149111881/7969acf9cec4197748b502a6a6c3d921_normal.jpeg" TargetMode="External"/><Relationship Id="rId5323" Type="http://schemas.openxmlformats.org/officeDocument/2006/relationships/hyperlink" Target="https://pbs.twimg.com/profile_images/700317732588408832/Ym_-neUi_normal.jpg" TargetMode="External"/><Relationship Id="rId254" Type="http://schemas.openxmlformats.org/officeDocument/2006/relationships/hyperlink" Target="https://twitter.com/AmandaMoniz1/status/705743683891687424" TargetMode="External"/><Relationship Id="rId5324" Type="http://schemas.openxmlformats.org/officeDocument/2006/relationships/hyperlink" Target="https://twitter.com/aglassofhistory" TargetMode="External"/><Relationship Id="rId4029" Type="http://schemas.openxmlformats.org/officeDocument/2006/relationships/hyperlink" Target="https://pbs.twimg.com/profile_images/704873222802636800/7aFEMOY5_normal.jpg" TargetMode="External"/><Relationship Id="rId293" Type="http://schemas.openxmlformats.org/officeDocument/2006/relationships/hyperlink" Target="https://twitter.com/JulieThePH" TargetMode="External"/><Relationship Id="rId292" Type="http://schemas.openxmlformats.org/officeDocument/2006/relationships/hyperlink" Target="https://pbs.twimg.com/profile_images/378800000149111881/7969acf9cec4197748b502a6a6c3d921_normal.jpeg" TargetMode="External"/><Relationship Id="rId291" Type="http://schemas.openxmlformats.org/officeDocument/2006/relationships/hyperlink" Target="https://twitter.com/AmandaMoniz1/status/705763067028709376" TargetMode="External"/><Relationship Id="rId290" Type="http://schemas.openxmlformats.org/officeDocument/2006/relationships/hyperlink" Target="https://twitter.com/AmandaMoniz1" TargetMode="External"/><Relationship Id="rId5350" Type="http://schemas.openxmlformats.org/officeDocument/2006/relationships/hyperlink" Target="https://pbs.twimg.com/profile_images/3583165575/54f0bc87a29b2ae8587193829ce07299_normal.jpeg" TargetMode="External"/><Relationship Id="rId5351" Type="http://schemas.openxmlformats.org/officeDocument/2006/relationships/hyperlink" Target="https://twitter.com/cherylharned" TargetMode="External"/><Relationship Id="rId4020" Type="http://schemas.openxmlformats.org/officeDocument/2006/relationships/hyperlink" Target="https://pbs.twimg.com/profile_images/596509974005686273/AqBblwMR_normal.jpg" TargetMode="External"/><Relationship Id="rId286" Type="http://schemas.openxmlformats.org/officeDocument/2006/relationships/hyperlink" Target="https://pbs.twimg.com/profile_images/704873222802636800/7aFEMOY5_normal.jpg" TargetMode="External"/><Relationship Id="rId4022" Type="http://schemas.openxmlformats.org/officeDocument/2006/relationships/hyperlink" Target="https://twitter.com/JulieThePH/status/706133249219756032" TargetMode="External"/><Relationship Id="rId5354" Type="http://schemas.openxmlformats.org/officeDocument/2006/relationships/hyperlink" Target="https://twitter.com/aglassofhistory" TargetMode="External"/><Relationship Id="rId285" Type="http://schemas.openxmlformats.org/officeDocument/2006/relationships/hyperlink" Target="https://twitter.com/pastpunditry/status/705762831703089152" TargetMode="External"/><Relationship Id="rId4021" Type="http://schemas.openxmlformats.org/officeDocument/2006/relationships/hyperlink" Target="https://twitter.com/JulieThePH" TargetMode="External"/><Relationship Id="rId5355" Type="http://schemas.openxmlformats.org/officeDocument/2006/relationships/hyperlink" Target="https://twitter.com/aglassofhistory/status/706217124453289985" TargetMode="External"/><Relationship Id="rId284" Type="http://schemas.openxmlformats.org/officeDocument/2006/relationships/hyperlink" Target="https://twitter.com/pastpunditry" TargetMode="External"/><Relationship Id="rId4024" Type="http://schemas.openxmlformats.org/officeDocument/2006/relationships/hyperlink" Target="https://twitter.com/jamiaw" TargetMode="External"/><Relationship Id="rId5352" Type="http://schemas.openxmlformats.org/officeDocument/2006/relationships/hyperlink" Target="https://twitter.com/cherylharned/status/706216907700043782" TargetMode="External"/><Relationship Id="rId283" Type="http://schemas.openxmlformats.org/officeDocument/2006/relationships/hyperlink" Target="https://pbs.twimg.com/profile_images/704873222802636800/7aFEMOY5_normal.jpg" TargetMode="External"/><Relationship Id="rId4023" Type="http://schemas.openxmlformats.org/officeDocument/2006/relationships/hyperlink" Target="https://pbs.twimg.com/profile_images/596509974005686273/AqBblwMR_normal.jpg" TargetMode="External"/><Relationship Id="rId5353" Type="http://schemas.openxmlformats.org/officeDocument/2006/relationships/hyperlink" Target="https://pbs.twimg.com/profile_images/535167858204893184/DNz9ruRN_normal.jpeg" TargetMode="External"/><Relationship Id="rId4026" Type="http://schemas.openxmlformats.org/officeDocument/2006/relationships/hyperlink" Target="https://pbs.twimg.com/profile_images/701102020061753344/5zH70uem_normal.jpg" TargetMode="External"/><Relationship Id="rId5358" Type="http://schemas.openxmlformats.org/officeDocument/2006/relationships/hyperlink" Target="https://twitter.com/pastpunditry/status/706217957760897025" TargetMode="External"/><Relationship Id="rId289" Type="http://schemas.openxmlformats.org/officeDocument/2006/relationships/hyperlink" Target="https://pbs.twimg.com/profile_images/596509974005686273/AqBblwMR_normal.jpg" TargetMode="External"/><Relationship Id="rId4025" Type="http://schemas.openxmlformats.org/officeDocument/2006/relationships/hyperlink" Target="https://twitter.com/jamiaw/status/706133366089850880" TargetMode="External"/><Relationship Id="rId5359" Type="http://schemas.openxmlformats.org/officeDocument/2006/relationships/hyperlink" Target="https://pbs.twimg.com/profile_images/704873222802636800/7aFEMOY5_normal.jpg" TargetMode="External"/><Relationship Id="rId288" Type="http://schemas.openxmlformats.org/officeDocument/2006/relationships/hyperlink" Target="https://twitter.com/JulieThePH/status/705762857565200388" TargetMode="External"/><Relationship Id="rId4028" Type="http://schemas.openxmlformats.org/officeDocument/2006/relationships/hyperlink" Target="https://twitter.com/pastpunditry/status/706133508444520449" TargetMode="External"/><Relationship Id="rId5356" Type="http://schemas.openxmlformats.org/officeDocument/2006/relationships/hyperlink" Target="https://pbs.twimg.com/profile_images/611592888816898048/cGMlIfmz_normal.jpg" TargetMode="External"/><Relationship Id="rId287" Type="http://schemas.openxmlformats.org/officeDocument/2006/relationships/hyperlink" Target="https://twitter.com/JulieThePH" TargetMode="External"/><Relationship Id="rId4027" Type="http://schemas.openxmlformats.org/officeDocument/2006/relationships/hyperlink" Target="https://twitter.com/pastpunditry" TargetMode="External"/><Relationship Id="rId5357" Type="http://schemas.openxmlformats.org/officeDocument/2006/relationships/hyperlink" Target="https://twitter.com/pastpunditry" TargetMode="External"/><Relationship Id="rId4019" Type="http://schemas.openxmlformats.org/officeDocument/2006/relationships/hyperlink" Target="https://twitter.com/JulieThePH/status/706133183511838722" TargetMode="External"/><Relationship Id="rId4018" Type="http://schemas.openxmlformats.org/officeDocument/2006/relationships/hyperlink" Target="https://twitter.com/JulieThePH" TargetMode="External"/><Relationship Id="rId5349" Type="http://schemas.openxmlformats.org/officeDocument/2006/relationships/hyperlink" Target="https://twitter.com/umassph/status/706216296774541312" TargetMode="External"/><Relationship Id="rId282" Type="http://schemas.openxmlformats.org/officeDocument/2006/relationships/hyperlink" Target="https://twitter.com/pastpunditry/status/705762636592488453" TargetMode="External"/><Relationship Id="rId281" Type="http://schemas.openxmlformats.org/officeDocument/2006/relationships/hyperlink" Target="https://twitter.com/pastpunditry" TargetMode="External"/><Relationship Id="rId280" Type="http://schemas.openxmlformats.org/officeDocument/2006/relationships/hyperlink" Target="https://pbs.twimg.com/profile_images/596509974005686273/AqBblwMR_normal.jpg" TargetMode="External"/><Relationship Id="rId5340" Type="http://schemas.openxmlformats.org/officeDocument/2006/relationships/hyperlink" Target="https://twitter.com/lizl_genealogy/status/706216133469163520" TargetMode="External"/><Relationship Id="rId275" Type="http://schemas.openxmlformats.org/officeDocument/2006/relationships/hyperlink" Target="https://twitter.com/historein" TargetMode="External"/><Relationship Id="rId4011" Type="http://schemas.openxmlformats.org/officeDocument/2006/relationships/hyperlink" Target="https://pbs.twimg.com/profile_images/592498810208784385/AC1TjaTg_normal.jpg" TargetMode="External"/><Relationship Id="rId5343" Type="http://schemas.openxmlformats.org/officeDocument/2006/relationships/hyperlink" Target="https://twitter.com/rebekkahrubin/status/706216167489314816" TargetMode="External"/><Relationship Id="rId274" Type="http://schemas.openxmlformats.org/officeDocument/2006/relationships/hyperlink" Target="https://pbs.twimg.com/profile_images/676362182020481024/P0kyLli1_normal.jpg" TargetMode="External"/><Relationship Id="rId4010" Type="http://schemas.openxmlformats.org/officeDocument/2006/relationships/hyperlink" Target="https://twitter.com/erippel8/status/706132678970634240" TargetMode="External"/><Relationship Id="rId5344" Type="http://schemas.openxmlformats.org/officeDocument/2006/relationships/hyperlink" Target="https://pbs.twimg.com/profile_images/700317732588408832/Ym_-neUi_normal.jpg" TargetMode="External"/><Relationship Id="rId273" Type="http://schemas.openxmlformats.org/officeDocument/2006/relationships/hyperlink" Target="https://twitter.com/mille24c/status/705762146555187200" TargetMode="External"/><Relationship Id="rId4013" Type="http://schemas.openxmlformats.org/officeDocument/2006/relationships/hyperlink" Target="https://twitter.com/JulieThePH/status/706132956729974784" TargetMode="External"/><Relationship Id="rId5341" Type="http://schemas.openxmlformats.org/officeDocument/2006/relationships/hyperlink" Target="https://pbs.twimg.com/profile_images/2700002859/1f2d610ddaf1f03ac7d033dd83847b45_normal.jpeg" TargetMode="External"/><Relationship Id="rId272" Type="http://schemas.openxmlformats.org/officeDocument/2006/relationships/hyperlink" Target="https://twitter.com/mille24c" TargetMode="External"/><Relationship Id="rId4012" Type="http://schemas.openxmlformats.org/officeDocument/2006/relationships/hyperlink" Target="https://twitter.com/JulieThePH" TargetMode="External"/><Relationship Id="rId5342" Type="http://schemas.openxmlformats.org/officeDocument/2006/relationships/hyperlink" Target="https://twitter.com/rebekkahrubin" TargetMode="External"/><Relationship Id="rId279" Type="http://schemas.openxmlformats.org/officeDocument/2006/relationships/hyperlink" Target="https://twitter.com/JulieThePH/status/705762602824167426" TargetMode="External"/><Relationship Id="rId4015" Type="http://schemas.openxmlformats.org/officeDocument/2006/relationships/hyperlink" Target="https://twitter.com/pastpunditry" TargetMode="External"/><Relationship Id="rId5347" Type="http://schemas.openxmlformats.org/officeDocument/2006/relationships/hyperlink" Target="https://pbs.twimg.com/profile_images/446458450932150274/5bSg3mny_normal.jpeg" TargetMode="External"/><Relationship Id="rId278" Type="http://schemas.openxmlformats.org/officeDocument/2006/relationships/hyperlink" Target="https://twitter.com/JulieThePH" TargetMode="External"/><Relationship Id="rId4014" Type="http://schemas.openxmlformats.org/officeDocument/2006/relationships/hyperlink" Target="https://pbs.twimg.com/profile_images/596509974005686273/AqBblwMR_normal.jpg" TargetMode="External"/><Relationship Id="rId5348" Type="http://schemas.openxmlformats.org/officeDocument/2006/relationships/hyperlink" Target="https://twitter.com/umassph" TargetMode="External"/><Relationship Id="rId277" Type="http://schemas.openxmlformats.org/officeDocument/2006/relationships/hyperlink" Target="https://pbs.twimg.com/profile_images/636901483401904128/cxbavncr_normal.jpg" TargetMode="External"/><Relationship Id="rId4017" Type="http://schemas.openxmlformats.org/officeDocument/2006/relationships/hyperlink" Target="https://pbs.twimg.com/profile_images/704873222802636800/7aFEMOY5_normal.jpg" TargetMode="External"/><Relationship Id="rId5345" Type="http://schemas.openxmlformats.org/officeDocument/2006/relationships/hyperlink" Target="https://twitter.com/JulioCapoJr" TargetMode="External"/><Relationship Id="rId276" Type="http://schemas.openxmlformats.org/officeDocument/2006/relationships/hyperlink" Target="https://twitter.com/historein/status/705762482028191744" TargetMode="External"/><Relationship Id="rId4016" Type="http://schemas.openxmlformats.org/officeDocument/2006/relationships/hyperlink" Target="https://twitter.com/pastpunditry/status/706133132173508608" TargetMode="External"/><Relationship Id="rId5346" Type="http://schemas.openxmlformats.org/officeDocument/2006/relationships/hyperlink" Target="https://twitter.com/JulioCapoJr/status/706216178545467392" TargetMode="External"/><Relationship Id="rId1851" Type="http://schemas.openxmlformats.org/officeDocument/2006/relationships/hyperlink" Target="https://twitter.com/MarlaAtUmass" TargetMode="External"/><Relationship Id="rId1852" Type="http://schemas.openxmlformats.org/officeDocument/2006/relationships/hyperlink" Target="https://twitter.com/MarlaAtUmass/status/705919366278344704" TargetMode="External"/><Relationship Id="rId1853" Type="http://schemas.openxmlformats.org/officeDocument/2006/relationships/hyperlink" Target="https://pbs.twimg.com/profile_images/565429960/Betsy_Twitter_normal.jpg" TargetMode="External"/><Relationship Id="rId1854" Type="http://schemas.openxmlformats.org/officeDocument/2006/relationships/hyperlink" Target="https://twitter.com/sheishistoric" TargetMode="External"/><Relationship Id="rId1855" Type="http://schemas.openxmlformats.org/officeDocument/2006/relationships/hyperlink" Target="https://twitter.com/sheishistoric/status/705919368820072448" TargetMode="External"/><Relationship Id="rId1856" Type="http://schemas.openxmlformats.org/officeDocument/2006/relationships/hyperlink" Target="https://pbs.twimg.com/profile_images/650419150620377089/bJxBf---_normal.jpg" TargetMode="External"/><Relationship Id="rId1857" Type="http://schemas.openxmlformats.org/officeDocument/2006/relationships/hyperlink" Target="https://twitter.com/historein" TargetMode="External"/><Relationship Id="rId1858" Type="http://schemas.openxmlformats.org/officeDocument/2006/relationships/hyperlink" Target="https://twitter.com/historein/status/705919382065549314" TargetMode="External"/><Relationship Id="rId1859" Type="http://schemas.openxmlformats.org/officeDocument/2006/relationships/hyperlink" Target="https://pbs.twimg.com/profile_images/636901483401904128/cxbavncr_normal.jpg" TargetMode="External"/><Relationship Id="rId1850" Type="http://schemas.openxmlformats.org/officeDocument/2006/relationships/hyperlink" Target="https://pbs.twimg.com/profile_images/700317732588408832/Ym_-neUi_normal.jpg" TargetMode="External"/><Relationship Id="rId1840" Type="http://schemas.openxmlformats.org/officeDocument/2006/relationships/hyperlink" Target="https://twitter.com/foundhistory/status/705919220786323457" TargetMode="External"/><Relationship Id="rId1841" Type="http://schemas.openxmlformats.org/officeDocument/2006/relationships/hyperlink" Target="https://pbs.twimg.com/profile_images/504647141952745472/TwNbdViu_normal.jpeg" TargetMode="External"/><Relationship Id="rId1842" Type="http://schemas.openxmlformats.org/officeDocument/2006/relationships/hyperlink" Target="https://twitter.com/erfagen" TargetMode="External"/><Relationship Id="rId1843" Type="http://schemas.openxmlformats.org/officeDocument/2006/relationships/hyperlink" Target="https://twitter.com/erfagen/status/705919221792952320" TargetMode="External"/><Relationship Id="rId1844" Type="http://schemas.openxmlformats.org/officeDocument/2006/relationships/hyperlink" Target="https://pbs.twimg.com/profile_images/638086945722249217/mid_S_BQ_normal.jpg" TargetMode="External"/><Relationship Id="rId1845" Type="http://schemas.openxmlformats.org/officeDocument/2006/relationships/hyperlink" Target="https://twitter.com/MarlaAtUmass" TargetMode="External"/><Relationship Id="rId1846" Type="http://schemas.openxmlformats.org/officeDocument/2006/relationships/hyperlink" Target="https://twitter.com/MarlaAtUmass/status/705919275626840064" TargetMode="External"/><Relationship Id="rId1847" Type="http://schemas.openxmlformats.org/officeDocument/2006/relationships/hyperlink" Target="https://pbs.twimg.com/profile_images/565429960/Betsy_Twitter_normal.jpg" TargetMode="External"/><Relationship Id="rId1848" Type="http://schemas.openxmlformats.org/officeDocument/2006/relationships/hyperlink" Target="https://twitter.com/rebekkahrubin" TargetMode="External"/><Relationship Id="rId1849" Type="http://schemas.openxmlformats.org/officeDocument/2006/relationships/hyperlink" Target="https://twitter.com/rebekkahrubin/status/705919300431962112" TargetMode="External"/><Relationship Id="rId1873" Type="http://schemas.openxmlformats.org/officeDocument/2006/relationships/hyperlink" Target="https://twitter.com/sheishistoric/status/705919586735144960" TargetMode="External"/><Relationship Id="rId1874" Type="http://schemas.openxmlformats.org/officeDocument/2006/relationships/hyperlink" Target="https://pbs.twimg.com/profile_images/650419150620377089/bJxBf---_normal.jpg" TargetMode="External"/><Relationship Id="rId1875" Type="http://schemas.openxmlformats.org/officeDocument/2006/relationships/hyperlink" Target="https://twitter.com/lizl_genealogy" TargetMode="External"/><Relationship Id="rId4901" Type="http://schemas.openxmlformats.org/officeDocument/2006/relationships/hyperlink" Target="https://twitter.com/juliegpeterson" TargetMode="External"/><Relationship Id="rId1876" Type="http://schemas.openxmlformats.org/officeDocument/2006/relationships/hyperlink" Target="https://twitter.com/lizl_genealogy/status/705919615868665856" TargetMode="External"/><Relationship Id="rId4900" Type="http://schemas.openxmlformats.org/officeDocument/2006/relationships/hyperlink" Target="https://pbs.twimg.com/profile_images/704873222802636800/7aFEMOY5_normal.jpg" TargetMode="External"/><Relationship Id="rId1877" Type="http://schemas.openxmlformats.org/officeDocument/2006/relationships/hyperlink" Target="https://pbs.twimg.com/profile_images/2700002859/1f2d610ddaf1f03ac7d033dd83847b45_normal.jpeg" TargetMode="External"/><Relationship Id="rId4903" Type="http://schemas.openxmlformats.org/officeDocument/2006/relationships/hyperlink" Target="https://pbs.twimg.com/profile_images/609765839051452416/GNW0wSt0_normal.jpg" TargetMode="External"/><Relationship Id="rId1878" Type="http://schemas.openxmlformats.org/officeDocument/2006/relationships/hyperlink" Target="https://twitter.com/lizl_genealogy" TargetMode="External"/><Relationship Id="rId4902" Type="http://schemas.openxmlformats.org/officeDocument/2006/relationships/hyperlink" Target="https://twitter.com/juliegpeterson/status/706194590198603776" TargetMode="External"/><Relationship Id="rId1879" Type="http://schemas.openxmlformats.org/officeDocument/2006/relationships/hyperlink" Target="https://twitter.com/lizl_genealogy/status/705919723146326016" TargetMode="External"/><Relationship Id="rId4905" Type="http://schemas.openxmlformats.org/officeDocument/2006/relationships/hyperlink" Target="https://twitter.com/rebekkahrubin/status/706194666375528449" TargetMode="External"/><Relationship Id="rId4904" Type="http://schemas.openxmlformats.org/officeDocument/2006/relationships/hyperlink" Target="https://twitter.com/rebekkahrubin" TargetMode="External"/><Relationship Id="rId4907" Type="http://schemas.openxmlformats.org/officeDocument/2006/relationships/hyperlink" Target="https://twitter.com/pastpunditry" TargetMode="External"/><Relationship Id="rId4906" Type="http://schemas.openxmlformats.org/officeDocument/2006/relationships/hyperlink" Target="https://pbs.twimg.com/profile_images/700317732588408832/Ym_-neUi_normal.jpg" TargetMode="External"/><Relationship Id="rId4909" Type="http://schemas.openxmlformats.org/officeDocument/2006/relationships/hyperlink" Target="https://pbs.twimg.com/profile_images/704873222802636800/7aFEMOY5_normal.jpg" TargetMode="External"/><Relationship Id="rId4908" Type="http://schemas.openxmlformats.org/officeDocument/2006/relationships/hyperlink" Target="https://twitter.com/pastpunditry/status/706194836303581184" TargetMode="External"/><Relationship Id="rId1870" Type="http://schemas.openxmlformats.org/officeDocument/2006/relationships/hyperlink" Target="https://twitter.com/erfagen/status/705919582163378176" TargetMode="External"/><Relationship Id="rId1871" Type="http://schemas.openxmlformats.org/officeDocument/2006/relationships/hyperlink" Target="https://pbs.twimg.com/profile_images/638086945722249217/mid_S_BQ_normal.jpg" TargetMode="External"/><Relationship Id="rId1872" Type="http://schemas.openxmlformats.org/officeDocument/2006/relationships/hyperlink" Target="https://twitter.com/sheishistoric" TargetMode="External"/><Relationship Id="rId1862" Type="http://schemas.openxmlformats.org/officeDocument/2006/relationships/hyperlink" Target="https://pbs.twimg.com/profile_images/661220280564486144/ZxUrdRVS_normal.jpg" TargetMode="External"/><Relationship Id="rId1863" Type="http://schemas.openxmlformats.org/officeDocument/2006/relationships/hyperlink" Target="https://twitter.com/pastpunditry" TargetMode="External"/><Relationship Id="rId1864" Type="http://schemas.openxmlformats.org/officeDocument/2006/relationships/hyperlink" Target="https://twitter.com/pastpunditry/status/705919399782391808" TargetMode="External"/><Relationship Id="rId1865" Type="http://schemas.openxmlformats.org/officeDocument/2006/relationships/hyperlink" Target="https://pbs.twimg.com/profile_images/704873222802636800/7aFEMOY5_normal.jpg" TargetMode="External"/><Relationship Id="rId1866" Type="http://schemas.openxmlformats.org/officeDocument/2006/relationships/hyperlink" Target="https://twitter.com/juliegpeterson" TargetMode="External"/><Relationship Id="rId1867" Type="http://schemas.openxmlformats.org/officeDocument/2006/relationships/hyperlink" Target="https://twitter.com/juliegpeterson/status/705919537246576640" TargetMode="External"/><Relationship Id="rId1868" Type="http://schemas.openxmlformats.org/officeDocument/2006/relationships/hyperlink" Target="https://pbs.twimg.com/profile_images/609765839051452416/GNW0wSt0_normal.jpg" TargetMode="External"/><Relationship Id="rId1869" Type="http://schemas.openxmlformats.org/officeDocument/2006/relationships/hyperlink" Target="https://twitter.com/erfagen" TargetMode="External"/><Relationship Id="rId1860" Type="http://schemas.openxmlformats.org/officeDocument/2006/relationships/hyperlink" Target="https://twitter.com/CitizenWald" TargetMode="External"/><Relationship Id="rId1861" Type="http://schemas.openxmlformats.org/officeDocument/2006/relationships/hyperlink" Target="https://twitter.com/CitizenWald/status/705919385760894976" TargetMode="External"/><Relationship Id="rId1810" Type="http://schemas.openxmlformats.org/officeDocument/2006/relationships/hyperlink" Target="https://twitter.com/umassph/status/705918923871539200" TargetMode="External"/><Relationship Id="rId1811" Type="http://schemas.openxmlformats.org/officeDocument/2006/relationships/hyperlink" Target="https://pbs.twimg.com/profile_images/3583165575/54f0bc87a29b2ae8587193829ce07299_normal.jpeg" TargetMode="External"/><Relationship Id="rId1812" Type="http://schemas.openxmlformats.org/officeDocument/2006/relationships/hyperlink" Target="https://twitter.com/GHAUmass" TargetMode="External"/><Relationship Id="rId1813" Type="http://schemas.openxmlformats.org/officeDocument/2006/relationships/hyperlink" Target="https://twitter.com/GHAUmass/status/705918948764688384" TargetMode="External"/><Relationship Id="rId1814" Type="http://schemas.openxmlformats.org/officeDocument/2006/relationships/hyperlink" Target="https://pbs.twimg.com/profile_images/604060333590855682/Fk6r1D7d_normal.jpg" TargetMode="External"/><Relationship Id="rId1815" Type="http://schemas.openxmlformats.org/officeDocument/2006/relationships/hyperlink" Target="https://twitter.com/rebekkahrubin" TargetMode="External"/><Relationship Id="rId1816" Type="http://schemas.openxmlformats.org/officeDocument/2006/relationships/hyperlink" Target="https://twitter.com/rebekkahrubin/status/705918956859727872" TargetMode="External"/><Relationship Id="rId1817" Type="http://schemas.openxmlformats.org/officeDocument/2006/relationships/hyperlink" Target="https://pbs.twimg.com/profile_images/700317732588408832/Ym_-neUi_normal.jpg" TargetMode="External"/><Relationship Id="rId1818" Type="http://schemas.openxmlformats.org/officeDocument/2006/relationships/hyperlink" Target="https://twitter.com/GHAUmass" TargetMode="External"/><Relationship Id="rId1819" Type="http://schemas.openxmlformats.org/officeDocument/2006/relationships/hyperlink" Target="https://twitter.com/GHAUmass/status/705918966733078528" TargetMode="External"/><Relationship Id="rId4080" Type="http://schemas.openxmlformats.org/officeDocument/2006/relationships/hyperlink" Target="https://pbs.twimg.com/profile_images/704873222802636800/7aFEMOY5_normal.jpg" TargetMode="External"/><Relationship Id="rId4082" Type="http://schemas.openxmlformats.org/officeDocument/2006/relationships/hyperlink" Target="https://twitter.com/SelenaMMoon/status/706135954503950337" TargetMode="External"/><Relationship Id="rId4081" Type="http://schemas.openxmlformats.org/officeDocument/2006/relationships/hyperlink" Target="https://twitter.com/SelenaMMoon" TargetMode="External"/><Relationship Id="rId4084" Type="http://schemas.openxmlformats.org/officeDocument/2006/relationships/hyperlink" Target="https://twitter.com/JulieThePH" TargetMode="External"/><Relationship Id="rId4083" Type="http://schemas.openxmlformats.org/officeDocument/2006/relationships/hyperlink" Target="https://pbs.twimg.com/profile_images/675332082030280704/gQfq9RVj_normal.jpg" TargetMode="External"/><Relationship Id="rId4086" Type="http://schemas.openxmlformats.org/officeDocument/2006/relationships/hyperlink" Target="https://pbs.twimg.com/profile_images/596509974005686273/AqBblwMR_normal.jpg" TargetMode="External"/><Relationship Id="rId4085" Type="http://schemas.openxmlformats.org/officeDocument/2006/relationships/hyperlink" Target="https://twitter.com/JulieThePH/status/706136031796568064" TargetMode="External"/><Relationship Id="rId4088" Type="http://schemas.openxmlformats.org/officeDocument/2006/relationships/hyperlink" Target="https://twitter.com/pastpunditry/status/706136060326191105" TargetMode="External"/><Relationship Id="rId4087" Type="http://schemas.openxmlformats.org/officeDocument/2006/relationships/hyperlink" Target="https://twitter.com/pastpunditry" TargetMode="External"/><Relationship Id="rId4089" Type="http://schemas.openxmlformats.org/officeDocument/2006/relationships/hyperlink" Target="https://pbs.twimg.com/profile_images/704873222802636800/7aFEMOY5_normal.jpg" TargetMode="External"/><Relationship Id="rId1800" Type="http://schemas.openxmlformats.org/officeDocument/2006/relationships/hyperlink" Target="https://twitter.com/AmandaMoniz1" TargetMode="External"/><Relationship Id="rId1801" Type="http://schemas.openxmlformats.org/officeDocument/2006/relationships/hyperlink" Target="https://twitter.com/AmandaMoniz1/status/705918851163295744" TargetMode="External"/><Relationship Id="rId1802" Type="http://schemas.openxmlformats.org/officeDocument/2006/relationships/hyperlink" Target="https://pbs.twimg.com/profile_images/378800000149111881/7969acf9cec4197748b502a6a6c3d921_normal.jpeg" TargetMode="External"/><Relationship Id="rId1803" Type="http://schemas.openxmlformats.org/officeDocument/2006/relationships/hyperlink" Target="https://twitter.com/GHAUmass" TargetMode="External"/><Relationship Id="rId1804" Type="http://schemas.openxmlformats.org/officeDocument/2006/relationships/hyperlink" Target="https://twitter.com/GHAUmass/status/705918883417493504" TargetMode="External"/><Relationship Id="rId1805" Type="http://schemas.openxmlformats.org/officeDocument/2006/relationships/hyperlink" Target="https://pbs.twimg.com/profile_images/604060333590855682/Fk6r1D7d_normal.jpg" TargetMode="External"/><Relationship Id="rId1806" Type="http://schemas.openxmlformats.org/officeDocument/2006/relationships/hyperlink" Target="https://twitter.com/pastpunditry" TargetMode="External"/><Relationship Id="rId1807" Type="http://schemas.openxmlformats.org/officeDocument/2006/relationships/hyperlink" Target="https://twitter.com/pastpunditry/status/705918917978546177" TargetMode="External"/><Relationship Id="rId1808" Type="http://schemas.openxmlformats.org/officeDocument/2006/relationships/hyperlink" Target="https://pbs.twimg.com/profile_images/704873222802636800/7aFEMOY5_normal.jpg" TargetMode="External"/><Relationship Id="rId1809" Type="http://schemas.openxmlformats.org/officeDocument/2006/relationships/hyperlink" Target="https://twitter.com/umassph" TargetMode="External"/><Relationship Id="rId4071" Type="http://schemas.openxmlformats.org/officeDocument/2006/relationships/hyperlink" Target="https://pbs.twimg.com/profile_images/704873222802636800/7aFEMOY5_normal.jpg" TargetMode="External"/><Relationship Id="rId4070" Type="http://schemas.openxmlformats.org/officeDocument/2006/relationships/hyperlink" Target="https://twitter.com/pastpunditry/status/706135569374564354" TargetMode="External"/><Relationship Id="rId4073" Type="http://schemas.openxmlformats.org/officeDocument/2006/relationships/hyperlink" Target="https://twitter.com/JulieThePH/status/706135689021227008" TargetMode="External"/><Relationship Id="rId4072" Type="http://schemas.openxmlformats.org/officeDocument/2006/relationships/hyperlink" Target="https://twitter.com/JulieThePH" TargetMode="External"/><Relationship Id="rId4075" Type="http://schemas.openxmlformats.org/officeDocument/2006/relationships/hyperlink" Target="https://twitter.com/pastpunditry" TargetMode="External"/><Relationship Id="rId4074" Type="http://schemas.openxmlformats.org/officeDocument/2006/relationships/hyperlink" Target="https://pbs.twimg.com/profile_images/596509974005686273/AqBblwMR_normal.jpg" TargetMode="External"/><Relationship Id="rId4077" Type="http://schemas.openxmlformats.org/officeDocument/2006/relationships/hyperlink" Target="https://pbs.twimg.com/profile_images/704873222802636800/7aFEMOY5_normal.jpg" TargetMode="External"/><Relationship Id="rId4076" Type="http://schemas.openxmlformats.org/officeDocument/2006/relationships/hyperlink" Target="https://twitter.com/pastpunditry/status/706135801248268288" TargetMode="External"/><Relationship Id="rId4079" Type="http://schemas.openxmlformats.org/officeDocument/2006/relationships/hyperlink" Target="https://twitter.com/pastpunditry/status/706135940704681985" TargetMode="External"/><Relationship Id="rId4078" Type="http://schemas.openxmlformats.org/officeDocument/2006/relationships/hyperlink" Target="https://twitter.com/pastpunditry" TargetMode="External"/><Relationship Id="rId1830" Type="http://schemas.openxmlformats.org/officeDocument/2006/relationships/hyperlink" Target="https://twitter.com/juliegpeterson" TargetMode="External"/><Relationship Id="rId1831" Type="http://schemas.openxmlformats.org/officeDocument/2006/relationships/hyperlink" Target="https://twitter.com/juliegpeterson/status/705919166847586304" TargetMode="External"/><Relationship Id="rId1832" Type="http://schemas.openxmlformats.org/officeDocument/2006/relationships/hyperlink" Target="https://pbs.twimg.com/profile_images/609765839051452416/GNW0wSt0_normal.jpg" TargetMode="External"/><Relationship Id="rId1833" Type="http://schemas.openxmlformats.org/officeDocument/2006/relationships/hyperlink" Target="https://twitter.com/pastpunditry" TargetMode="External"/><Relationship Id="rId1834" Type="http://schemas.openxmlformats.org/officeDocument/2006/relationships/hyperlink" Target="https://twitter.com/pastpunditry/status/705919189744295936" TargetMode="External"/><Relationship Id="rId1835" Type="http://schemas.openxmlformats.org/officeDocument/2006/relationships/hyperlink" Target="https://pbs.twimg.com/profile_images/704873222802636800/7aFEMOY5_normal.jpg" TargetMode="External"/><Relationship Id="rId1836" Type="http://schemas.openxmlformats.org/officeDocument/2006/relationships/hyperlink" Target="https://twitter.com/MarlaAtUmass" TargetMode="External"/><Relationship Id="rId1837" Type="http://schemas.openxmlformats.org/officeDocument/2006/relationships/hyperlink" Target="https://twitter.com/MarlaAtUmass/status/705919206181748736" TargetMode="External"/><Relationship Id="rId1838" Type="http://schemas.openxmlformats.org/officeDocument/2006/relationships/hyperlink" Target="https://pbs.twimg.com/profile_images/565429960/Betsy_Twitter_normal.jpg" TargetMode="External"/><Relationship Id="rId1839" Type="http://schemas.openxmlformats.org/officeDocument/2006/relationships/hyperlink" Target="https://twitter.com/foundhistory" TargetMode="External"/><Relationship Id="rId1820" Type="http://schemas.openxmlformats.org/officeDocument/2006/relationships/hyperlink" Target="https://pbs.twimg.com/profile_images/604060333590855682/Fk6r1D7d_normal.jpg" TargetMode="External"/><Relationship Id="rId1821" Type="http://schemas.openxmlformats.org/officeDocument/2006/relationships/hyperlink" Target="https://twitter.com/GHAUmass" TargetMode="External"/><Relationship Id="rId1822" Type="http://schemas.openxmlformats.org/officeDocument/2006/relationships/hyperlink" Target="https://twitter.com/GHAUmass/status/705918988098871296" TargetMode="External"/><Relationship Id="rId1823" Type="http://schemas.openxmlformats.org/officeDocument/2006/relationships/hyperlink" Target="https://pbs.twimg.com/profile_images/604060333590855682/Fk6r1D7d_normal.jpg" TargetMode="External"/><Relationship Id="rId1824" Type="http://schemas.openxmlformats.org/officeDocument/2006/relationships/hyperlink" Target="https://twitter.com/GHAUmass" TargetMode="External"/><Relationship Id="rId1825" Type="http://schemas.openxmlformats.org/officeDocument/2006/relationships/hyperlink" Target="https://twitter.com/GHAUmass/status/705919019300364288" TargetMode="External"/><Relationship Id="rId1826" Type="http://schemas.openxmlformats.org/officeDocument/2006/relationships/hyperlink" Target="https://pbs.twimg.com/profile_images/604060333590855682/Fk6r1D7d_normal.jpg" TargetMode="External"/><Relationship Id="rId1827" Type="http://schemas.openxmlformats.org/officeDocument/2006/relationships/hyperlink" Target="https://twitter.com/JulieThePH" TargetMode="External"/><Relationship Id="rId1828" Type="http://schemas.openxmlformats.org/officeDocument/2006/relationships/hyperlink" Target="https://twitter.com/JulieThePH/status/705919129371410432" TargetMode="External"/><Relationship Id="rId1829" Type="http://schemas.openxmlformats.org/officeDocument/2006/relationships/hyperlink" Target="https://pbs.twimg.com/profile_images/596509974005686273/AqBblwMR_normal.jpg" TargetMode="External"/><Relationship Id="rId4091" Type="http://schemas.openxmlformats.org/officeDocument/2006/relationships/hyperlink" Target="https://twitter.com/hollymsolis/status/706136158888005634" TargetMode="External"/><Relationship Id="rId4090" Type="http://schemas.openxmlformats.org/officeDocument/2006/relationships/hyperlink" Target="https://twitter.com/hollymsolis" TargetMode="External"/><Relationship Id="rId4093" Type="http://schemas.openxmlformats.org/officeDocument/2006/relationships/hyperlink" Target="https://twitter.com/rschles" TargetMode="External"/><Relationship Id="rId4092" Type="http://schemas.openxmlformats.org/officeDocument/2006/relationships/hyperlink" Target="https://pbs.twimg.com/profile_images/563040278030712832/FIJIXZlI_normal.jpeg" TargetMode="External"/><Relationship Id="rId4095" Type="http://schemas.openxmlformats.org/officeDocument/2006/relationships/hyperlink" Target="https://pbs.twimg.com/profile_images/229153763/robert_normal.jpg" TargetMode="External"/><Relationship Id="rId4094" Type="http://schemas.openxmlformats.org/officeDocument/2006/relationships/hyperlink" Target="https://twitter.com/rschles/status/706136389805592576" TargetMode="External"/><Relationship Id="rId4097" Type="http://schemas.openxmlformats.org/officeDocument/2006/relationships/hyperlink" Target="https://twitter.com/pastpunditry/status/706136445178789892" TargetMode="External"/><Relationship Id="rId4096" Type="http://schemas.openxmlformats.org/officeDocument/2006/relationships/hyperlink" Target="https://twitter.com/pastpunditry" TargetMode="External"/><Relationship Id="rId4099" Type="http://schemas.openxmlformats.org/officeDocument/2006/relationships/hyperlink" Target="https://twitter.com/samueljredman" TargetMode="External"/><Relationship Id="rId4098" Type="http://schemas.openxmlformats.org/officeDocument/2006/relationships/hyperlink" Target="https://pbs.twimg.com/profile_images/704873222802636800/7aFEMOY5_normal.jpg" TargetMode="External"/><Relationship Id="rId2302" Type="http://schemas.openxmlformats.org/officeDocument/2006/relationships/hyperlink" Target="https://twitter.com/jamiaw/status/705924309055836160" TargetMode="External"/><Relationship Id="rId3634" Type="http://schemas.openxmlformats.org/officeDocument/2006/relationships/hyperlink" Target="https://twitter.com/HistoryMal" TargetMode="External"/><Relationship Id="rId4965" Type="http://schemas.openxmlformats.org/officeDocument/2006/relationships/hyperlink" Target="https://twitter.com/juliegpeterson/status/706196718791094273" TargetMode="External"/><Relationship Id="rId2303" Type="http://schemas.openxmlformats.org/officeDocument/2006/relationships/hyperlink" Target="https://pbs.twimg.com/profile_images/701102020061753344/5zH70uem_normal.jpg" TargetMode="External"/><Relationship Id="rId3633" Type="http://schemas.openxmlformats.org/officeDocument/2006/relationships/hyperlink" Target="https://pbs.twimg.com/profile_images/434404729263648768/vsAZLFtj_normal.jpeg" TargetMode="External"/><Relationship Id="rId4964" Type="http://schemas.openxmlformats.org/officeDocument/2006/relationships/hyperlink" Target="https://twitter.com/juliegpeterson" TargetMode="External"/><Relationship Id="rId2304" Type="http://schemas.openxmlformats.org/officeDocument/2006/relationships/hyperlink" Target="https://twitter.com/jamiaw" TargetMode="External"/><Relationship Id="rId3636" Type="http://schemas.openxmlformats.org/officeDocument/2006/relationships/hyperlink" Target="https://pbs.twimg.com/profile_images/705523267092631553/JSM6w3kp_normal.jpg" TargetMode="External"/><Relationship Id="rId4967" Type="http://schemas.openxmlformats.org/officeDocument/2006/relationships/hyperlink" Target="https://twitter.com/Fleemanator" TargetMode="External"/><Relationship Id="rId2305" Type="http://schemas.openxmlformats.org/officeDocument/2006/relationships/hyperlink" Target="https://twitter.com/jamiaw/status/705924336029401089" TargetMode="External"/><Relationship Id="rId3635" Type="http://schemas.openxmlformats.org/officeDocument/2006/relationships/hyperlink" Target="https://twitter.com/HistoryMal/status/705942380008992769" TargetMode="External"/><Relationship Id="rId4966" Type="http://schemas.openxmlformats.org/officeDocument/2006/relationships/hyperlink" Target="https://pbs.twimg.com/profile_images/609765839051452416/GNW0wSt0_normal.jpg" TargetMode="External"/><Relationship Id="rId2306" Type="http://schemas.openxmlformats.org/officeDocument/2006/relationships/hyperlink" Target="https://pbs.twimg.com/profile_images/701102020061753344/5zH70uem_normal.jpg" TargetMode="External"/><Relationship Id="rId3638" Type="http://schemas.openxmlformats.org/officeDocument/2006/relationships/hyperlink" Target="https://twitter.com/lizl_genealogy/status/705942395582480384" TargetMode="External"/><Relationship Id="rId4969" Type="http://schemas.openxmlformats.org/officeDocument/2006/relationships/hyperlink" Target="https://pbs.twimg.com/profile_images/696169446243586048/nqd2Obve_normal.jpg" TargetMode="External"/><Relationship Id="rId2307" Type="http://schemas.openxmlformats.org/officeDocument/2006/relationships/hyperlink" Target="https://twitter.com/aglassofhistory" TargetMode="External"/><Relationship Id="rId3637" Type="http://schemas.openxmlformats.org/officeDocument/2006/relationships/hyperlink" Target="https://twitter.com/lizl_genealogy" TargetMode="External"/><Relationship Id="rId4968" Type="http://schemas.openxmlformats.org/officeDocument/2006/relationships/hyperlink" Target="https://twitter.com/Fleemanator/status/706196721215254529" TargetMode="External"/><Relationship Id="rId2308" Type="http://schemas.openxmlformats.org/officeDocument/2006/relationships/hyperlink" Target="https://twitter.com/aglassofhistory/status/705924385832574978" TargetMode="External"/><Relationship Id="rId2309" Type="http://schemas.openxmlformats.org/officeDocument/2006/relationships/hyperlink" Target="https://pbs.twimg.com/profile_images/611592888816898048/cGMlIfmz_normal.jpg" TargetMode="External"/><Relationship Id="rId3639" Type="http://schemas.openxmlformats.org/officeDocument/2006/relationships/hyperlink" Target="https://pbs.twimg.com/profile_images/2700002859/1f2d610ddaf1f03ac7d033dd83847b45_normal.jpeg" TargetMode="External"/><Relationship Id="rId3630" Type="http://schemas.openxmlformats.org/officeDocument/2006/relationships/hyperlink" Target="https://pbs.twimg.com/profile_images/661220280564486144/ZxUrdRVS_normal.jpg" TargetMode="External"/><Relationship Id="rId4961" Type="http://schemas.openxmlformats.org/officeDocument/2006/relationships/hyperlink" Target="https://twitter.com/juliegpeterson" TargetMode="External"/><Relationship Id="rId4960" Type="http://schemas.openxmlformats.org/officeDocument/2006/relationships/hyperlink" Target="https://pbs.twimg.com/profile_images/548193870278688768/8Dq7gW3U_normal.png" TargetMode="External"/><Relationship Id="rId2300" Type="http://schemas.openxmlformats.org/officeDocument/2006/relationships/hyperlink" Target="https://pbs.twimg.com/profile_images/704873222802636800/7aFEMOY5_normal.jpg" TargetMode="External"/><Relationship Id="rId3632" Type="http://schemas.openxmlformats.org/officeDocument/2006/relationships/hyperlink" Target="https://twitter.com/defactofecteau/status/705942362120458241" TargetMode="External"/><Relationship Id="rId4963" Type="http://schemas.openxmlformats.org/officeDocument/2006/relationships/hyperlink" Target="https://pbs.twimg.com/profile_images/609765839051452416/GNW0wSt0_normal.jpg" TargetMode="External"/><Relationship Id="rId2301" Type="http://schemas.openxmlformats.org/officeDocument/2006/relationships/hyperlink" Target="https://twitter.com/jamiaw" TargetMode="External"/><Relationship Id="rId3631" Type="http://schemas.openxmlformats.org/officeDocument/2006/relationships/hyperlink" Target="https://twitter.com/defactofecteau" TargetMode="External"/><Relationship Id="rId4962" Type="http://schemas.openxmlformats.org/officeDocument/2006/relationships/hyperlink" Target="https://twitter.com/juliegpeterson/status/706196464519749632" TargetMode="External"/><Relationship Id="rId3623" Type="http://schemas.openxmlformats.org/officeDocument/2006/relationships/hyperlink" Target="https://twitter.com/CitizenWald/status/705941874079571968" TargetMode="External"/><Relationship Id="rId4954" Type="http://schemas.openxmlformats.org/officeDocument/2006/relationships/hyperlink" Target="https://pbs.twimg.com/profile_images/704873222802636800/7aFEMOY5_normal.jpg" TargetMode="External"/><Relationship Id="rId3622" Type="http://schemas.openxmlformats.org/officeDocument/2006/relationships/hyperlink" Target="https://twitter.com/CitizenWald" TargetMode="External"/><Relationship Id="rId4953" Type="http://schemas.openxmlformats.org/officeDocument/2006/relationships/hyperlink" Target="https://twitter.com/pastpunditry/status/706196341966434305" TargetMode="External"/><Relationship Id="rId3625" Type="http://schemas.openxmlformats.org/officeDocument/2006/relationships/hyperlink" Target="https://twitter.com/abreimaier" TargetMode="External"/><Relationship Id="rId4956" Type="http://schemas.openxmlformats.org/officeDocument/2006/relationships/hyperlink" Target="https://twitter.com/pastpunditry/status/706196360429740032" TargetMode="External"/><Relationship Id="rId3624" Type="http://schemas.openxmlformats.org/officeDocument/2006/relationships/hyperlink" Target="https://pbs.twimg.com/profile_images/661220280564486144/ZxUrdRVS_normal.jpg" TargetMode="External"/><Relationship Id="rId4955" Type="http://schemas.openxmlformats.org/officeDocument/2006/relationships/hyperlink" Target="https://twitter.com/pastpunditry" TargetMode="External"/><Relationship Id="rId3627" Type="http://schemas.openxmlformats.org/officeDocument/2006/relationships/hyperlink" Target="https://pbs.twimg.com/profile_images/3357790300/e80f72cc154c4bfa4bc8dc718fbc525b_normal.jpeg" TargetMode="External"/><Relationship Id="rId4958" Type="http://schemas.openxmlformats.org/officeDocument/2006/relationships/hyperlink" Target="https://twitter.com/samueljredman" TargetMode="External"/><Relationship Id="rId3626" Type="http://schemas.openxmlformats.org/officeDocument/2006/relationships/hyperlink" Target="https://twitter.com/abreimaier/status/705942076110798848" TargetMode="External"/><Relationship Id="rId4957" Type="http://schemas.openxmlformats.org/officeDocument/2006/relationships/hyperlink" Target="https://pbs.twimg.com/profile_images/704873222802636800/7aFEMOY5_normal.jpg" TargetMode="External"/><Relationship Id="rId3629" Type="http://schemas.openxmlformats.org/officeDocument/2006/relationships/hyperlink" Target="https://twitter.com/CitizenWald/status/705942210575998977" TargetMode="External"/><Relationship Id="rId3628" Type="http://schemas.openxmlformats.org/officeDocument/2006/relationships/hyperlink" Target="https://twitter.com/CitizenWald" TargetMode="External"/><Relationship Id="rId4959" Type="http://schemas.openxmlformats.org/officeDocument/2006/relationships/hyperlink" Target="https://twitter.com/samueljredman/status/706196378809200640" TargetMode="External"/><Relationship Id="rId4950" Type="http://schemas.openxmlformats.org/officeDocument/2006/relationships/hyperlink" Target="https://twitter.com/samueljredman/status/706196336891326464" TargetMode="External"/><Relationship Id="rId3621" Type="http://schemas.openxmlformats.org/officeDocument/2006/relationships/hyperlink" Target="https://pbs.twimg.com/profile_images/378800000450415007/82bcc7d0cab85e8d5920dbf5ded6715e_normal.jpeg" TargetMode="External"/><Relationship Id="rId4952" Type="http://schemas.openxmlformats.org/officeDocument/2006/relationships/hyperlink" Target="https://twitter.com/pastpunditry" TargetMode="External"/><Relationship Id="rId3620" Type="http://schemas.openxmlformats.org/officeDocument/2006/relationships/hyperlink" Target="https://twitter.com/magmidd/status/705941670357929984" TargetMode="External"/><Relationship Id="rId4951" Type="http://schemas.openxmlformats.org/officeDocument/2006/relationships/hyperlink" Target="https://pbs.twimg.com/profile_images/548193870278688768/8Dq7gW3U_normal.png" TargetMode="External"/><Relationship Id="rId2324" Type="http://schemas.openxmlformats.org/officeDocument/2006/relationships/hyperlink" Target="https://pbs.twimg.com/profile_images/638086945722249217/mid_S_BQ_normal.jpg" TargetMode="External"/><Relationship Id="rId3656" Type="http://schemas.openxmlformats.org/officeDocument/2006/relationships/hyperlink" Target="https://twitter.com/juliegpeterson/status/705942877629779968" TargetMode="External"/><Relationship Id="rId4987" Type="http://schemas.openxmlformats.org/officeDocument/2006/relationships/hyperlink" Target="https://pbs.twimg.com/profile_images/701102020061753344/5zH70uem_normal.jpg" TargetMode="External"/><Relationship Id="rId2325" Type="http://schemas.openxmlformats.org/officeDocument/2006/relationships/hyperlink" Target="https://twitter.com/jamiaw" TargetMode="External"/><Relationship Id="rId3655" Type="http://schemas.openxmlformats.org/officeDocument/2006/relationships/hyperlink" Target="https://twitter.com/juliegpeterson" TargetMode="External"/><Relationship Id="rId4986" Type="http://schemas.openxmlformats.org/officeDocument/2006/relationships/hyperlink" Target="https://twitter.com/jamiaw/status/706196979496460288" TargetMode="External"/><Relationship Id="rId2326" Type="http://schemas.openxmlformats.org/officeDocument/2006/relationships/hyperlink" Target="https://twitter.com/jamiaw/status/705924546398953473" TargetMode="External"/><Relationship Id="rId3658" Type="http://schemas.openxmlformats.org/officeDocument/2006/relationships/hyperlink" Target="https://twitter.com/magmidd" TargetMode="External"/><Relationship Id="rId4989" Type="http://schemas.openxmlformats.org/officeDocument/2006/relationships/hyperlink" Target="https://twitter.com/jamiaw/status/706196995418005504" TargetMode="External"/><Relationship Id="rId2327" Type="http://schemas.openxmlformats.org/officeDocument/2006/relationships/hyperlink" Target="https://pbs.twimg.com/profile_images/701102020061753344/5zH70uem_normal.jpg" TargetMode="External"/><Relationship Id="rId3657" Type="http://schemas.openxmlformats.org/officeDocument/2006/relationships/hyperlink" Target="https://pbs.twimg.com/profile_images/609765839051452416/GNW0wSt0_normal.jpg" TargetMode="External"/><Relationship Id="rId4988" Type="http://schemas.openxmlformats.org/officeDocument/2006/relationships/hyperlink" Target="https://twitter.com/jamiaw" TargetMode="External"/><Relationship Id="rId2328" Type="http://schemas.openxmlformats.org/officeDocument/2006/relationships/hyperlink" Target="https://twitter.com/aglassofhistory" TargetMode="External"/><Relationship Id="rId2329" Type="http://schemas.openxmlformats.org/officeDocument/2006/relationships/hyperlink" Target="https://twitter.com/aglassofhistory/status/705924550832295936" TargetMode="External"/><Relationship Id="rId3659" Type="http://schemas.openxmlformats.org/officeDocument/2006/relationships/hyperlink" Target="https://twitter.com/magmidd/status/705942894071275520" TargetMode="External"/><Relationship Id="rId3650" Type="http://schemas.openxmlformats.org/officeDocument/2006/relationships/hyperlink" Target="https://twitter.com/erfagen/status/705942808427945985" TargetMode="External"/><Relationship Id="rId4981" Type="http://schemas.openxmlformats.org/officeDocument/2006/relationships/hyperlink" Target="https://pbs.twimg.com/profile_images/624578614080634880/zk26M5x0_normal.jpg" TargetMode="External"/><Relationship Id="rId4980" Type="http://schemas.openxmlformats.org/officeDocument/2006/relationships/hyperlink" Target="https://twitter.com/anichellemitch/status/706196958050914304" TargetMode="External"/><Relationship Id="rId2320" Type="http://schemas.openxmlformats.org/officeDocument/2006/relationships/hyperlink" Target="https://twitter.com/erfagen/status/705924423249993728" TargetMode="External"/><Relationship Id="rId3652" Type="http://schemas.openxmlformats.org/officeDocument/2006/relationships/hyperlink" Target="https://twitter.com/erfagen" TargetMode="External"/><Relationship Id="rId4983" Type="http://schemas.openxmlformats.org/officeDocument/2006/relationships/hyperlink" Target="https://twitter.com/jamiaw/status/706196962719170560" TargetMode="External"/><Relationship Id="rId2321" Type="http://schemas.openxmlformats.org/officeDocument/2006/relationships/hyperlink" Target="https://pbs.twimg.com/profile_images/638086945722249217/mid_S_BQ_normal.jpg" TargetMode="External"/><Relationship Id="rId3651" Type="http://schemas.openxmlformats.org/officeDocument/2006/relationships/hyperlink" Target="https://pbs.twimg.com/profile_images/638086945722249217/mid_S_BQ_normal.jpg" TargetMode="External"/><Relationship Id="rId4982" Type="http://schemas.openxmlformats.org/officeDocument/2006/relationships/hyperlink" Target="https://twitter.com/jamiaw" TargetMode="External"/><Relationship Id="rId2322" Type="http://schemas.openxmlformats.org/officeDocument/2006/relationships/hyperlink" Target="https://twitter.com/erfagen" TargetMode="External"/><Relationship Id="rId3654" Type="http://schemas.openxmlformats.org/officeDocument/2006/relationships/hyperlink" Target="https://pbs.twimg.com/profile_images/638086945722249217/mid_S_BQ_normal.jpg" TargetMode="External"/><Relationship Id="rId4985" Type="http://schemas.openxmlformats.org/officeDocument/2006/relationships/hyperlink" Target="https://twitter.com/jamiaw" TargetMode="External"/><Relationship Id="rId2323" Type="http://schemas.openxmlformats.org/officeDocument/2006/relationships/hyperlink" Target="https://twitter.com/erfagen/status/705924519404412929" TargetMode="External"/><Relationship Id="rId3653" Type="http://schemas.openxmlformats.org/officeDocument/2006/relationships/hyperlink" Target="https://twitter.com/erfagen/status/705942852463943680" TargetMode="External"/><Relationship Id="rId4984" Type="http://schemas.openxmlformats.org/officeDocument/2006/relationships/hyperlink" Target="https://pbs.twimg.com/profile_images/701102020061753344/5zH70uem_normal.jpg" TargetMode="External"/><Relationship Id="rId2313" Type="http://schemas.openxmlformats.org/officeDocument/2006/relationships/hyperlink" Target="https://twitter.com/juliegpeterson" TargetMode="External"/><Relationship Id="rId3645" Type="http://schemas.openxmlformats.org/officeDocument/2006/relationships/hyperlink" Target="https://pbs.twimg.com/profile_images/378800000450415007/82bcc7d0cab85e8d5920dbf5ded6715e_normal.jpeg" TargetMode="External"/><Relationship Id="rId4976" Type="http://schemas.openxmlformats.org/officeDocument/2006/relationships/hyperlink" Target="https://twitter.com/mathhistory" TargetMode="External"/><Relationship Id="rId2314" Type="http://schemas.openxmlformats.org/officeDocument/2006/relationships/hyperlink" Target="https://twitter.com/juliegpeterson/status/705924391801131008" TargetMode="External"/><Relationship Id="rId3644" Type="http://schemas.openxmlformats.org/officeDocument/2006/relationships/hyperlink" Target="https://twitter.com/magmidd/status/705942658397515776" TargetMode="External"/><Relationship Id="rId4975" Type="http://schemas.openxmlformats.org/officeDocument/2006/relationships/hyperlink" Target="https://pbs.twimg.com/profile_images/701102020061753344/5zH70uem_normal.jpg" TargetMode="External"/><Relationship Id="rId2315" Type="http://schemas.openxmlformats.org/officeDocument/2006/relationships/hyperlink" Target="https://pbs.twimg.com/profile_images/609765839051452416/GNW0wSt0_normal.jpg" TargetMode="External"/><Relationship Id="rId3647" Type="http://schemas.openxmlformats.org/officeDocument/2006/relationships/hyperlink" Target="https://twitter.com/amanda_lyons/status/705942713368236032" TargetMode="External"/><Relationship Id="rId4978" Type="http://schemas.openxmlformats.org/officeDocument/2006/relationships/hyperlink" Target="https://pbs.twimg.com/profile_images/3034769023/09adfcbebccfeef2a42e39aaac64ede5_normal.jpeg" TargetMode="External"/><Relationship Id="rId2316" Type="http://schemas.openxmlformats.org/officeDocument/2006/relationships/hyperlink" Target="https://twitter.com/lizl_genealogy" TargetMode="External"/><Relationship Id="rId3646" Type="http://schemas.openxmlformats.org/officeDocument/2006/relationships/hyperlink" Target="https://twitter.com/amanda_lyons" TargetMode="External"/><Relationship Id="rId4977" Type="http://schemas.openxmlformats.org/officeDocument/2006/relationships/hyperlink" Target="https://twitter.com/mathhistory/status/706196936433467392" TargetMode="External"/><Relationship Id="rId2317" Type="http://schemas.openxmlformats.org/officeDocument/2006/relationships/hyperlink" Target="https://twitter.com/lizl_genealogy/status/705924416690102272" TargetMode="External"/><Relationship Id="rId3649" Type="http://schemas.openxmlformats.org/officeDocument/2006/relationships/hyperlink" Target="https://twitter.com/erfagen" TargetMode="External"/><Relationship Id="rId2318" Type="http://schemas.openxmlformats.org/officeDocument/2006/relationships/hyperlink" Target="https://pbs.twimg.com/profile_images/2700002859/1f2d610ddaf1f03ac7d033dd83847b45_normal.jpeg" TargetMode="External"/><Relationship Id="rId3648" Type="http://schemas.openxmlformats.org/officeDocument/2006/relationships/hyperlink" Target="https://pbs.twimg.com/profile_images/1246380212/manda_normal.jpg" TargetMode="External"/><Relationship Id="rId4979" Type="http://schemas.openxmlformats.org/officeDocument/2006/relationships/hyperlink" Target="https://twitter.com/anichellemitch" TargetMode="External"/><Relationship Id="rId2319" Type="http://schemas.openxmlformats.org/officeDocument/2006/relationships/hyperlink" Target="https://twitter.com/erfagen" TargetMode="External"/><Relationship Id="rId4970" Type="http://schemas.openxmlformats.org/officeDocument/2006/relationships/hyperlink" Target="https://twitter.com/pastpunditry" TargetMode="External"/><Relationship Id="rId3641" Type="http://schemas.openxmlformats.org/officeDocument/2006/relationships/hyperlink" Target="https://twitter.com/jamiaw/status/705942419469176832" TargetMode="External"/><Relationship Id="rId4972" Type="http://schemas.openxmlformats.org/officeDocument/2006/relationships/hyperlink" Target="https://pbs.twimg.com/profile_images/704873222802636800/7aFEMOY5_normal.jpg" TargetMode="External"/><Relationship Id="rId2310" Type="http://schemas.openxmlformats.org/officeDocument/2006/relationships/hyperlink" Target="https://twitter.com/historein" TargetMode="External"/><Relationship Id="rId3640" Type="http://schemas.openxmlformats.org/officeDocument/2006/relationships/hyperlink" Target="https://twitter.com/jamiaw" TargetMode="External"/><Relationship Id="rId4971" Type="http://schemas.openxmlformats.org/officeDocument/2006/relationships/hyperlink" Target="https://twitter.com/pastpunditry/status/706196767772172295" TargetMode="External"/><Relationship Id="rId2311" Type="http://schemas.openxmlformats.org/officeDocument/2006/relationships/hyperlink" Target="https://twitter.com/historein/status/705924387673763840" TargetMode="External"/><Relationship Id="rId3643" Type="http://schemas.openxmlformats.org/officeDocument/2006/relationships/hyperlink" Target="https://twitter.com/magmidd" TargetMode="External"/><Relationship Id="rId4974" Type="http://schemas.openxmlformats.org/officeDocument/2006/relationships/hyperlink" Target="https://twitter.com/jamiaw/status/706196933170348033" TargetMode="External"/><Relationship Id="rId2312" Type="http://schemas.openxmlformats.org/officeDocument/2006/relationships/hyperlink" Target="https://pbs.twimg.com/profile_images/636901483401904128/cxbavncr_normal.jpg" TargetMode="External"/><Relationship Id="rId3642" Type="http://schemas.openxmlformats.org/officeDocument/2006/relationships/hyperlink" Target="https://pbs.twimg.com/profile_images/701102020061753344/5zH70uem_normal.jpg" TargetMode="External"/><Relationship Id="rId4973" Type="http://schemas.openxmlformats.org/officeDocument/2006/relationships/hyperlink" Target="https://twitter.com/jamiaw" TargetMode="External"/><Relationship Id="rId1895" Type="http://schemas.openxmlformats.org/officeDocument/2006/relationships/hyperlink" Target="https://pbs.twimg.com/profile_images/661220280564486144/ZxUrdRVS_normal.jpg" TargetMode="External"/><Relationship Id="rId4921" Type="http://schemas.openxmlformats.org/officeDocument/2006/relationships/hyperlink" Target="https://pbs.twimg.com/profile_images/609765839051452416/GNW0wSt0_normal.jpg" TargetMode="External"/><Relationship Id="rId1896" Type="http://schemas.openxmlformats.org/officeDocument/2006/relationships/hyperlink" Target="https://twitter.com/GHAUmass" TargetMode="External"/><Relationship Id="rId4920" Type="http://schemas.openxmlformats.org/officeDocument/2006/relationships/hyperlink" Target="https://twitter.com/juliegpeterson/status/706194881442652161" TargetMode="External"/><Relationship Id="rId1897" Type="http://schemas.openxmlformats.org/officeDocument/2006/relationships/hyperlink" Target="https://twitter.com/GHAUmass/status/705919994681499648" TargetMode="External"/><Relationship Id="rId4923" Type="http://schemas.openxmlformats.org/officeDocument/2006/relationships/hyperlink" Target="https://twitter.com/samueljredman/status/706195093292773376" TargetMode="External"/><Relationship Id="rId1898" Type="http://schemas.openxmlformats.org/officeDocument/2006/relationships/hyperlink" Target="https://pbs.twimg.com/profile_images/604060333590855682/Fk6r1D7d_normal.jpg" TargetMode="External"/><Relationship Id="rId4922" Type="http://schemas.openxmlformats.org/officeDocument/2006/relationships/hyperlink" Target="https://twitter.com/samueljredman" TargetMode="External"/><Relationship Id="rId1899" Type="http://schemas.openxmlformats.org/officeDocument/2006/relationships/hyperlink" Target="https://twitter.com/lizl_genealogy" TargetMode="External"/><Relationship Id="rId4925" Type="http://schemas.openxmlformats.org/officeDocument/2006/relationships/hyperlink" Target="https://twitter.com/rebekkahrubin" TargetMode="External"/><Relationship Id="rId4924" Type="http://schemas.openxmlformats.org/officeDocument/2006/relationships/hyperlink" Target="https://pbs.twimg.com/profile_images/548193870278688768/8Dq7gW3U_normal.png" TargetMode="External"/><Relationship Id="rId4927" Type="http://schemas.openxmlformats.org/officeDocument/2006/relationships/hyperlink" Target="https://pbs.twimg.com/profile_images/700317732588408832/Ym_-neUi_normal.jpg" TargetMode="External"/><Relationship Id="rId4926" Type="http://schemas.openxmlformats.org/officeDocument/2006/relationships/hyperlink" Target="https://twitter.com/rebekkahrubin/status/706195239220985857" TargetMode="External"/><Relationship Id="rId4929" Type="http://schemas.openxmlformats.org/officeDocument/2006/relationships/hyperlink" Target="https://twitter.com/pastpunditry/status/706195308540268545" TargetMode="External"/><Relationship Id="rId4928" Type="http://schemas.openxmlformats.org/officeDocument/2006/relationships/hyperlink" Target="https://twitter.com/pastpunditry" TargetMode="External"/><Relationship Id="rId1890" Type="http://schemas.openxmlformats.org/officeDocument/2006/relationships/hyperlink" Target="https://twitter.com/JulieThePH" TargetMode="External"/><Relationship Id="rId1891" Type="http://schemas.openxmlformats.org/officeDocument/2006/relationships/hyperlink" Target="https://twitter.com/JulieThePH/status/705919933285269506" TargetMode="External"/><Relationship Id="rId1892" Type="http://schemas.openxmlformats.org/officeDocument/2006/relationships/hyperlink" Target="https://pbs.twimg.com/profile_images/596509974005686273/AqBblwMR_normal.jpg" TargetMode="External"/><Relationship Id="rId1893" Type="http://schemas.openxmlformats.org/officeDocument/2006/relationships/hyperlink" Target="https://twitter.com/CitizenWald" TargetMode="External"/><Relationship Id="rId1894" Type="http://schemas.openxmlformats.org/officeDocument/2006/relationships/hyperlink" Target="https://twitter.com/CitizenWald/status/705919974586638336" TargetMode="External"/><Relationship Id="rId1884" Type="http://schemas.openxmlformats.org/officeDocument/2006/relationships/hyperlink" Target="https://twitter.com/juliegpeterson" TargetMode="External"/><Relationship Id="rId4910" Type="http://schemas.openxmlformats.org/officeDocument/2006/relationships/hyperlink" Target="https://twitter.com/juliegpeterson" TargetMode="External"/><Relationship Id="rId1885" Type="http://schemas.openxmlformats.org/officeDocument/2006/relationships/hyperlink" Target="https://twitter.com/juliegpeterson/status/705919873487085568" TargetMode="External"/><Relationship Id="rId1886" Type="http://schemas.openxmlformats.org/officeDocument/2006/relationships/hyperlink" Target="https://pbs.twimg.com/profile_images/609765839051452416/GNW0wSt0_normal.jpg" TargetMode="External"/><Relationship Id="rId4912" Type="http://schemas.openxmlformats.org/officeDocument/2006/relationships/hyperlink" Target="https://pbs.twimg.com/profile_images/609765839051452416/GNW0wSt0_normal.jpg" TargetMode="External"/><Relationship Id="rId1887" Type="http://schemas.openxmlformats.org/officeDocument/2006/relationships/hyperlink" Target="https://twitter.com/magmidd" TargetMode="External"/><Relationship Id="rId4911" Type="http://schemas.openxmlformats.org/officeDocument/2006/relationships/hyperlink" Target="https://twitter.com/juliegpeterson/status/706194847418458112" TargetMode="External"/><Relationship Id="rId1888" Type="http://schemas.openxmlformats.org/officeDocument/2006/relationships/hyperlink" Target="https://twitter.com/magmidd/status/705919923667611650" TargetMode="External"/><Relationship Id="rId4914" Type="http://schemas.openxmlformats.org/officeDocument/2006/relationships/hyperlink" Target="https://twitter.com/pastpunditry/status/706194851537223680" TargetMode="External"/><Relationship Id="rId1889" Type="http://schemas.openxmlformats.org/officeDocument/2006/relationships/hyperlink" Target="https://pbs.twimg.com/profile_images/378800000450415007/82bcc7d0cab85e8d5920dbf5ded6715e_normal.jpeg" TargetMode="External"/><Relationship Id="rId4913" Type="http://schemas.openxmlformats.org/officeDocument/2006/relationships/hyperlink" Target="https://twitter.com/pastpunditry" TargetMode="External"/><Relationship Id="rId4916" Type="http://schemas.openxmlformats.org/officeDocument/2006/relationships/hyperlink" Target="https://twitter.com/pastpunditry" TargetMode="External"/><Relationship Id="rId4915" Type="http://schemas.openxmlformats.org/officeDocument/2006/relationships/hyperlink" Target="https://pbs.twimg.com/profile_images/704873222802636800/7aFEMOY5_normal.jpg" TargetMode="External"/><Relationship Id="rId4918" Type="http://schemas.openxmlformats.org/officeDocument/2006/relationships/hyperlink" Target="https://pbs.twimg.com/profile_images/704873222802636800/7aFEMOY5_normal.jpg" TargetMode="External"/><Relationship Id="rId4917" Type="http://schemas.openxmlformats.org/officeDocument/2006/relationships/hyperlink" Target="https://twitter.com/pastpunditry/status/706194865512644609" TargetMode="External"/><Relationship Id="rId4919" Type="http://schemas.openxmlformats.org/officeDocument/2006/relationships/hyperlink" Target="https://twitter.com/juliegpeterson" TargetMode="External"/><Relationship Id="rId1880" Type="http://schemas.openxmlformats.org/officeDocument/2006/relationships/hyperlink" Target="https://pbs.twimg.com/profile_images/2700002859/1f2d610ddaf1f03ac7d033dd83847b45_normal.jpeg" TargetMode="External"/><Relationship Id="rId1881" Type="http://schemas.openxmlformats.org/officeDocument/2006/relationships/hyperlink" Target="https://twitter.com/allisonhorrocks" TargetMode="External"/><Relationship Id="rId1882" Type="http://schemas.openxmlformats.org/officeDocument/2006/relationships/hyperlink" Target="https://twitter.com/allisonhorrocks/status/705919730167783425" TargetMode="External"/><Relationship Id="rId1883" Type="http://schemas.openxmlformats.org/officeDocument/2006/relationships/hyperlink" Target="https://pbs.twimg.com/profile_images/562279222522032128/-phaZgxO_normal.jpeg" TargetMode="External"/><Relationship Id="rId3612" Type="http://schemas.openxmlformats.org/officeDocument/2006/relationships/hyperlink" Target="https://pbs.twimg.com/profile_images/1100146387/wbc_badge_normal.jpg" TargetMode="External"/><Relationship Id="rId4943" Type="http://schemas.openxmlformats.org/officeDocument/2006/relationships/hyperlink" Target="https://twitter.com/pastpunditry" TargetMode="External"/><Relationship Id="rId3611" Type="http://schemas.openxmlformats.org/officeDocument/2006/relationships/hyperlink" Target="https://twitter.com/rickwoten/status/705941271110619136" TargetMode="External"/><Relationship Id="rId4942" Type="http://schemas.openxmlformats.org/officeDocument/2006/relationships/hyperlink" Target="https://pbs.twimg.com/profile_images/704873222802636800/7aFEMOY5_normal.jpg" TargetMode="External"/><Relationship Id="rId3614" Type="http://schemas.openxmlformats.org/officeDocument/2006/relationships/hyperlink" Target="https://twitter.com/rebekkahrubin/status/705941528028581888" TargetMode="External"/><Relationship Id="rId4945" Type="http://schemas.openxmlformats.org/officeDocument/2006/relationships/hyperlink" Target="https://pbs.twimg.com/profile_images/704873222802636800/7aFEMOY5_normal.jpg" TargetMode="External"/><Relationship Id="rId3613" Type="http://schemas.openxmlformats.org/officeDocument/2006/relationships/hyperlink" Target="https://twitter.com/rebekkahrubin" TargetMode="External"/><Relationship Id="rId4944" Type="http://schemas.openxmlformats.org/officeDocument/2006/relationships/hyperlink" Target="https://twitter.com/pastpunditry/status/706196038068080641" TargetMode="External"/><Relationship Id="rId3616" Type="http://schemas.openxmlformats.org/officeDocument/2006/relationships/hyperlink" Target="https://twitter.com/historein" TargetMode="External"/><Relationship Id="rId4947" Type="http://schemas.openxmlformats.org/officeDocument/2006/relationships/hyperlink" Target="https://twitter.com/JulieThePH/status/706196117957033988" TargetMode="External"/><Relationship Id="rId3615" Type="http://schemas.openxmlformats.org/officeDocument/2006/relationships/hyperlink" Target="https://pbs.twimg.com/profile_images/700317732588408832/Ym_-neUi_normal.jpg" TargetMode="External"/><Relationship Id="rId4946" Type="http://schemas.openxmlformats.org/officeDocument/2006/relationships/hyperlink" Target="https://twitter.com/JulieThePH" TargetMode="External"/><Relationship Id="rId3618" Type="http://schemas.openxmlformats.org/officeDocument/2006/relationships/hyperlink" Target="https://pbs.twimg.com/profile_images/636901483401904128/cxbavncr_normal.jpg" TargetMode="External"/><Relationship Id="rId4949" Type="http://schemas.openxmlformats.org/officeDocument/2006/relationships/hyperlink" Target="https://twitter.com/samueljredman" TargetMode="External"/><Relationship Id="rId3617" Type="http://schemas.openxmlformats.org/officeDocument/2006/relationships/hyperlink" Target="https://twitter.com/historein/status/705941558454034432" TargetMode="External"/><Relationship Id="rId4948" Type="http://schemas.openxmlformats.org/officeDocument/2006/relationships/hyperlink" Target="https://pbs.twimg.com/profile_images/596509974005686273/AqBblwMR_normal.jpg" TargetMode="External"/><Relationship Id="rId3619" Type="http://schemas.openxmlformats.org/officeDocument/2006/relationships/hyperlink" Target="https://twitter.com/magmidd" TargetMode="External"/><Relationship Id="rId3610" Type="http://schemas.openxmlformats.org/officeDocument/2006/relationships/hyperlink" Target="https://twitter.com/rickwoten" TargetMode="External"/><Relationship Id="rId4941" Type="http://schemas.openxmlformats.org/officeDocument/2006/relationships/hyperlink" Target="https://twitter.com/pastpunditry/status/706196021500616706" TargetMode="External"/><Relationship Id="rId4940" Type="http://schemas.openxmlformats.org/officeDocument/2006/relationships/hyperlink" Target="https://twitter.com/pastpunditry" TargetMode="External"/><Relationship Id="rId3601" Type="http://schemas.openxmlformats.org/officeDocument/2006/relationships/hyperlink" Target="https://twitter.com/JimGrossmanAHA" TargetMode="External"/><Relationship Id="rId4932" Type="http://schemas.openxmlformats.org/officeDocument/2006/relationships/hyperlink" Target="https://twitter.com/JulieThePH/status/706195424294653952" TargetMode="External"/><Relationship Id="rId3600" Type="http://schemas.openxmlformats.org/officeDocument/2006/relationships/hyperlink" Target="https://pbs.twimg.com/profile_images/638086945722249217/mid_S_BQ_normal.jpg" TargetMode="External"/><Relationship Id="rId4931" Type="http://schemas.openxmlformats.org/officeDocument/2006/relationships/hyperlink" Target="https://twitter.com/JulieThePH" TargetMode="External"/><Relationship Id="rId3603" Type="http://schemas.openxmlformats.org/officeDocument/2006/relationships/hyperlink" Target="https://pbs.twimg.com/profile_images/378800000667891782/44d7b181c077bf16ab07b242f7ad81b9_normal.png" TargetMode="External"/><Relationship Id="rId4934" Type="http://schemas.openxmlformats.org/officeDocument/2006/relationships/hyperlink" Target="https://twitter.com/pastpunditry" TargetMode="External"/><Relationship Id="rId3602" Type="http://schemas.openxmlformats.org/officeDocument/2006/relationships/hyperlink" Target="https://twitter.com/JimGrossmanAHA/status/705941214852489216" TargetMode="External"/><Relationship Id="rId4933" Type="http://schemas.openxmlformats.org/officeDocument/2006/relationships/hyperlink" Target="https://pbs.twimg.com/profile_images/596509974005686273/AqBblwMR_normal.jpg" TargetMode="External"/><Relationship Id="rId3605" Type="http://schemas.openxmlformats.org/officeDocument/2006/relationships/hyperlink" Target="https://twitter.com/abreimaier/status/705941223769505792" TargetMode="External"/><Relationship Id="rId4936" Type="http://schemas.openxmlformats.org/officeDocument/2006/relationships/hyperlink" Target="https://pbs.twimg.com/profile_images/704873222802636800/7aFEMOY5_normal.jpg" TargetMode="External"/><Relationship Id="rId3604" Type="http://schemas.openxmlformats.org/officeDocument/2006/relationships/hyperlink" Target="https://twitter.com/abreimaier" TargetMode="External"/><Relationship Id="rId4935" Type="http://schemas.openxmlformats.org/officeDocument/2006/relationships/hyperlink" Target="https://twitter.com/pastpunditry/status/706195775190130688" TargetMode="External"/><Relationship Id="rId3607" Type="http://schemas.openxmlformats.org/officeDocument/2006/relationships/hyperlink" Target="https://twitter.com/juliegpeterson" TargetMode="External"/><Relationship Id="rId4938" Type="http://schemas.openxmlformats.org/officeDocument/2006/relationships/hyperlink" Target="https://twitter.com/juliegpeterson/status/706195938122067968" TargetMode="External"/><Relationship Id="rId3606" Type="http://schemas.openxmlformats.org/officeDocument/2006/relationships/hyperlink" Target="https://pbs.twimg.com/profile_images/3357790300/e80f72cc154c4bfa4bc8dc718fbc525b_normal.jpeg" TargetMode="External"/><Relationship Id="rId4937" Type="http://schemas.openxmlformats.org/officeDocument/2006/relationships/hyperlink" Target="https://twitter.com/juliegpeterson" TargetMode="External"/><Relationship Id="rId3609" Type="http://schemas.openxmlformats.org/officeDocument/2006/relationships/hyperlink" Target="https://pbs.twimg.com/profile_images/609765839051452416/GNW0wSt0_normal.jpg" TargetMode="External"/><Relationship Id="rId3608" Type="http://schemas.openxmlformats.org/officeDocument/2006/relationships/hyperlink" Target="https://twitter.com/juliegpeterson/status/705941254669017088" TargetMode="External"/><Relationship Id="rId4939" Type="http://schemas.openxmlformats.org/officeDocument/2006/relationships/hyperlink" Target="https://pbs.twimg.com/profile_images/609765839051452416/GNW0wSt0_normal.jpg" TargetMode="External"/><Relationship Id="rId4930" Type="http://schemas.openxmlformats.org/officeDocument/2006/relationships/hyperlink" Target="https://pbs.twimg.com/profile_images/704873222802636800/7aFEMOY5_normal.jpg" TargetMode="External"/><Relationship Id="rId1059" Type="http://schemas.openxmlformats.org/officeDocument/2006/relationships/hyperlink" Target="https://twitter.com/pastpunditry" TargetMode="External"/><Relationship Id="rId5417" Type="http://schemas.openxmlformats.org/officeDocument/2006/relationships/hyperlink" Target="https://twitter.com/hollymsolis" TargetMode="External"/><Relationship Id="rId5418" Type="http://schemas.openxmlformats.org/officeDocument/2006/relationships/hyperlink" Target="https://twitter.com/hollymsolis/status/706245722308370432" TargetMode="External"/><Relationship Id="rId5415" Type="http://schemas.openxmlformats.org/officeDocument/2006/relationships/hyperlink" Target="https://twitter.com/rebekkahrubin/status/706245707041263618" TargetMode="External"/><Relationship Id="rId5416" Type="http://schemas.openxmlformats.org/officeDocument/2006/relationships/hyperlink" Target="https://pbs.twimg.com/profile_images/700317732588408832/Ym_-neUi_normal.jpg" TargetMode="External"/><Relationship Id="rId5419" Type="http://schemas.openxmlformats.org/officeDocument/2006/relationships/hyperlink" Target="https://pbs.twimg.com/profile_images/563040278030712832/FIJIXZlI_normal.jpeg" TargetMode="External"/><Relationship Id="rId228" Type="http://schemas.openxmlformats.org/officeDocument/2006/relationships/hyperlink" Target="https://pbs.twimg.com/profile_images/704873222802636800/7aFEMOY5_normal.jpg" TargetMode="External"/><Relationship Id="rId227" Type="http://schemas.openxmlformats.org/officeDocument/2006/relationships/hyperlink" Target="https://twitter.com/pastpunditry/status/705568539407749120" TargetMode="External"/><Relationship Id="rId226" Type="http://schemas.openxmlformats.org/officeDocument/2006/relationships/hyperlink" Target="https://twitter.com/pastpunditry" TargetMode="External"/><Relationship Id="rId225" Type="http://schemas.openxmlformats.org/officeDocument/2006/relationships/hyperlink" Target="https://pbs.twimg.com/profile_images/2363966384/e3k04vovspffvvyjvw6y_normal.jpeg" TargetMode="External"/><Relationship Id="rId2380" Type="http://schemas.openxmlformats.org/officeDocument/2006/relationships/hyperlink" Target="https://twitter.com/erfagen" TargetMode="External"/><Relationship Id="rId229" Type="http://schemas.openxmlformats.org/officeDocument/2006/relationships/hyperlink" Target="https://twitter.com/samueljredman" TargetMode="External"/><Relationship Id="rId1050" Type="http://schemas.openxmlformats.org/officeDocument/2006/relationships/hyperlink" Target="https://twitter.com/jamiaw" TargetMode="External"/><Relationship Id="rId2381" Type="http://schemas.openxmlformats.org/officeDocument/2006/relationships/hyperlink" Target="https://twitter.com/erfagen/status/705925149816659968" TargetMode="External"/><Relationship Id="rId220" Type="http://schemas.openxmlformats.org/officeDocument/2006/relationships/hyperlink" Target="https://twitter.com/ersorpasso" TargetMode="External"/><Relationship Id="rId1051" Type="http://schemas.openxmlformats.org/officeDocument/2006/relationships/hyperlink" Target="https://twitter.com/jamiaw/status/705831535056912384" TargetMode="External"/><Relationship Id="rId2382" Type="http://schemas.openxmlformats.org/officeDocument/2006/relationships/hyperlink" Target="https://pbs.twimg.com/profile_images/638086945722249217/mid_S_BQ_normal.jpg" TargetMode="External"/><Relationship Id="rId1052" Type="http://schemas.openxmlformats.org/officeDocument/2006/relationships/hyperlink" Target="https://pbs.twimg.com/profile_images/701102020061753344/5zH70uem_normal.jpg" TargetMode="External"/><Relationship Id="rId2383" Type="http://schemas.openxmlformats.org/officeDocument/2006/relationships/hyperlink" Target="https://twitter.com/mackenzian" TargetMode="External"/><Relationship Id="rId5410" Type="http://schemas.openxmlformats.org/officeDocument/2006/relationships/hyperlink" Target="https://pbs.twimg.com/profile_images/701102020061753344/5zH70uem_normal.jpg" TargetMode="External"/><Relationship Id="rId1053" Type="http://schemas.openxmlformats.org/officeDocument/2006/relationships/hyperlink" Target="https://twitter.com/JulieThePH" TargetMode="External"/><Relationship Id="rId2384" Type="http://schemas.openxmlformats.org/officeDocument/2006/relationships/hyperlink" Target="https://twitter.com/mackenzian/status/705925159702679553" TargetMode="External"/><Relationship Id="rId1054" Type="http://schemas.openxmlformats.org/officeDocument/2006/relationships/hyperlink" Target="https://twitter.com/JulieThePH/status/705833963508596741" TargetMode="External"/><Relationship Id="rId2385" Type="http://schemas.openxmlformats.org/officeDocument/2006/relationships/hyperlink" Target="https://pbs.twimg.com/profile_images/1309296249/FYM_JpgDownload_HiRes_normal.jpg" TargetMode="External"/><Relationship Id="rId224" Type="http://schemas.openxmlformats.org/officeDocument/2006/relationships/hyperlink" Target="https://twitter.com/mixed_race/status/705540945563914240" TargetMode="External"/><Relationship Id="rId1055" Type="http://schemas.openxmlformats.org/officeDocument/2006/relationships/hyperlink" Target="https://pbs.twimg.com/profile_images/596509974005686273/AqBblwMR_normal.jpg" TargetMode="External"/><Relationship Id="rId2386" Type="http://schemas.openxmlformats.org/officeDocument/2006/relationships/hyperlink" Target="https://twitter.com/lizl_genealogy" TargetMode="External"/><Relationship Id="rId5413" Type="http://schemas.openxmlformats.org/officeDocument/2006/relationships/hyperlink" Target="https://pbs.twimg.com/profile_images/704149606498705408/PJuz9I8l_normal.jpg" TargetMode="External"/><Relationship Id="rId223" Type="http://schemas.openxmlformats.org/officeDocument/2006/relationships/hyperlink" Target="https://twitter.com/mixed_race" TargetMode="External"/><Relationship Id="rId1056" Type="http://schemas.openxmlformats.org/officeDocument/2006/relationships/hyperlink" Target="https://twitter.com/JulieThePH" TargetMode="External"/><Relationship Id="rId2387" Type="http://schemas.openxmlformats.org/officeDocument/2006/relationships/hyperlink" Target="https://twitter.com/lizl_genealogy/status/705925183438241793" TargetMode="External"/><Relationship Id="rId5414" Type="http://schemas.openxmlformats.org/officeDocument/2006/relationships/hyperlink" Target="https://twitter.com/rebekkahrubin" TargetMode="External"/><Relationship Id="rId222" Type="http://schemas.openxmlformats.org/officeDocument/2006/relationships/hyperlink" Target="https://pbs.twimg.com/profile_images/626720475826253824/eG7TzM7S_normal.jpg" TargetMode="External"/><Relationship Id="rId1057" Type="http://schemas.openxmlformats.org/officeDocument/2006/relationships/hyperlink" Target="https://twitter.com/JulieThePH/status/705833990679347201" TargetMode="External"/><Relationship Id="rId2388" Type="http://schemas.openxmlformats.org/officeDocument/2006/relationships/hyperlink" Target="https://pbs.twimg.com/profile_images/2700002859/1f2d610ddaf1f03ac7d033dd83847b45_normal.jpeg" TargetMode="External"/><Relationship Id="rId5411" Type="http://schemas.openxmlformats.org/officeDocument/2006/relationships/hyperlink" Target="https://twitter.com/MidwestMMaven" TargetMode="External"/><Relationship Id="rId221" Type="http://schemas.openxmlformats.org/officeDocument/2006/relationships/hyperlink" Target="https://twitter.com/ersorpasso/status/705534619475697668" TargetMode="External"/><Relationship Id="rId1058" Type="http://schemas.openxmlformats.org/officeDocument/2006/relationships/hyperlink" Target="https://pbs.twimg.com/profile_images/596509974005686273/AqBblwMR_normal.jpg" TargetMode="External"/><Relationship Id="rId2389" Type="http://schemas.openxmlformats.org/officeDocument/2006/relationships/hyperlink" Target="https://twitter.com/mackenzian" TargetMode="External"/><Relationship Id="rId5412" Type="http://schemas.openxmlformats.org/officeDocument/2006/relationships/hyperlink" Target="https://twitter.com/MidwestMMaven/status/706245567417073664" TargetMode="External"/><Relationship Id="rId1048" Type="http://schemas.openxmlformats.org/officeDocument/2006/relationships/hyperlink" Target="https://twitter.com/jamiaw/status/705831473719451648" TargetMode="External"/><Relationship Id="rId2379" Type="http://schemas.openxmlformats.org/officeDocument/2006/relationships/hyperlink" Target="https://pbs.twimg.com/profile_images/650419150620377089/bJxBf---_normal.jpg" TargetMode="External"/><Relationship Id="rId5406" Type="http://schemas.openxmlformats.org/officeDocument/2006/relationships/hyperlink" Target="https://twitter.com/GHAUmass/status/706245236952014848" TargetMode="External"/><Relationship Id="rId1049" Type="http://schemas.openxmlformats.org/officeDocument/2006/relationships/hyperlink" Target="https://pbs.twimg.com/profile_images/701102020061753344/5zH70uem_normal.jpg" TargetMode="External"/><Relationship Id="rId5407" Type="http://schemas.openxmlformats.org/officeDocument/2006/relationships/hyperlink" Target="https://pbs.twimg.com/profile_images/604060333590855682/Fk6r1D7d_normal.jpg" TargetMode="External"/><Relationship Id="rId5404" Type="http://schemas.openxmlformats.org/officeDocument/2006/relationships/hyperlink" Target="https://pbs.twimg.com/profile_images/700317732588408832/Ym_-neUi_normal.jpg" TargetMode="External"/><Relationship Id="rId5405" Type="http://schemas.openxmlformats.org/officeDocument/2006/relationships/hyperlink" Target="https://twitter.com/GHAUmass" TargetMode="External"/><Relationship Id="rId5408" Type="http://schemas.openxmlformats.org/officeDocument/2006/relationships/hyperlink" Target="https://twitter.com/jamiaw" TargetMode="External"/><Relationship Id="rId5409" Type="http://schemas.openxmlformats.org/officeDocument/2006/relationships/hyperlink" Target="https://twitter.com/jamiaw/status/706245488320909312" TargetMode="External"/><Relationship Id="rId217" Type="http://schemas.openxmlformats.org/officeDocument/2006/relationships/hyperlink" Target="https://twitter.com/Sacrobosco2013" TargetMode="External"/><Relationship Id="rId216" Type="http://schemas.openxmlformats.org/officeDocument/2006/relationships/hyperlink" Target="https://pbs.twimg.com/profile_images/550514120751992832/3mKwHIXw_normal.jpeg" TargetMode="External"/><Relationship Id="rId215" Type="http://schemas.openxmlformats.org/officeDocument/2006/relationships/hyperlink" Target="https://twitter.com/LifeThruTime/status/705530781217615873" TargetMode="External"/><Relationship Id="rId214" Type="http://schemas.openxmlformats.org/officeDocument/2006/relationships/hyperlink" Target="https://twitter.com/LifeThruTime" TargetMode="External"/><Relationship Id="rId219" Type="http://schemas.openxmlformats.org/officeDocument/2006/relationships/hyperlink" Target="https://pbs.twimg.com/profile_images/422941980289560576/9C_aTzvl_normal.jpeg" TargetMode="External"/><Relationship Id="rId218" Type="http://schemas.openxmlformats.org/officeDocument/2006/relationships/hyperlink" Target="https://twitter.com/Sacrobosco2013/status/705534439174983680" TargetMode="External"/><Relationship Id="rId2370" Type="http://schemas.openxmlformats.org/officeDocument/2006/relationships/hyperlink" Target="https://pbs.twimg.com/profile_images/705556431752208384/HgXy_Q_L_normal.jpg" TargetMode="External"/><Relationship Id="rId1040" Type="http://schemas.openxmlformats.org/officeDocument/2006/relationships/hyperlink" Target="http://ctrlq.org/maps/address/" TargetMode="External"/><Relationship Id="rId2371" Type="http://schemas.openxmlformats.org/officeDocument/2006/relationships/hyperlink" Target="https://twitter.com/juliegpeterson" TargetMode="External"/><Relationship Id="rId1041" Type="http://schemas.openxmlformats.org/officeDocument/2006/relationships/hyperlink" Target="https://twitter.com/historycampaign" TargetMode="External"/><Relationship Id="rId2372" Type="http://schemas.openxmlformats.org/officeDocument/2006/relationships/hyperlink" Target="https://twitter.com/juliegpeterson/status/705925043415547905" TargetMode="External"/><Relationship Id="rId1042" Type="http://schemas.openxmlformats.org/officeDocument/2006/relationships/hyperlink" Target="https://twitter.com/historycampaign/status/705827237317238784" TargetMode="External"/><Relationship Id="rId2373" Type="http://schemas.openxmlformats.org/officeDocument/2006/relationships/hyperlink" Target="https://pbs.twimg.com/profile_images/609765839051452416/GNW0wSt0_normal.jpg" TargetMode="External"/><Relationship Id="rId1043" Type="http://schemas.openxmlformats.org/officeDocument/2006/relationships/hyperlink" Target="https://pbs.twimg.com/profile_images/673691030139609088/8v7ab61D_normal.jpg" TargetMode="External"/><Relationship Id="rId2374" Type="http://schemas.openxmlformats.org/officeDocument/2006/relationships/hyperlink" Target="https://twitter.com/pastpunditry" TargetMode="External"/><Relationship Id="rId213" Type="http://schemas.openxmlformats.org/officeDocument/2006/relationships/hyperlink" Target="https://pbs.twimg.com/profile_images/678715954088443905/MWM_lx-b_normal.jpg" TargetMode="External"/><Relationship Id="rId1044" Type="http://schemas.openxmlformats.org/officeDocument/2006/relationships/hyperlink" Target="https://twitter.com/AmandaMoniz1" TargetMode="External"/><Relationship Id="rId2375" Type="http://schemas.openxmlformats.org/officeDocument/2006/relationships/hyperlink" Target="https://twitter.com/pastpunditry/status/705925074075914240" TargetMode="External"/><Relationship Id="rId5402" Type="http://schemas.openxmlformats.org/officeDocument/2006/relationships/hyperlink" Target="https://twitter.com/rebekkahrubin" TargetMode="External"/><Relationship Id="rId212" Type="http://schemas.openxmlformats.org/officeDocument/2006/relationships/hyperlink" Target="https://twitter.com/nicholsonsonia_/status/705522860761042944" TargetMode="External"/><Relationship Id="rId1045" Type="http://schemas.openxmlformats.org/officeDocument/2006/relationships/hyperlink" Target="https://twitter.com/AmandaMoniz1/status/705831172568436742" TargetMode="External"/><Relationship Id="rId2376" Type="http://schemas.openxmlformats.org/officeDocument/2006/relationships/hyperlink" Target="https://pbs.twimg.com/profile_images/704873222802636800/7aFEMOY5_normal.jpg" TargetMode="External"/><Relationship Id="rId5403" Type="http://schemas.openxmlformats.org/officeDocument/2006/relationships/hyperlink" Target="https://twitter.com/rebekkahrubin/status/706244284828274688" TargetMode="External"/><Relationship Id="rId211" Type="http://schemas.openxmlformats.org/officeDocument/2006/relationships/hyperlink" Target="https://twitter.com/nicholsonsonia_" TargetMode="External"/><Relationship Id="rId1046" Type="http://schemas.openxmlformats.org/officeDocument/2006/relationships/hyperlink" Target="https://pbs.twimg.com/profile_images/378800000149111881/7969acf9cec4197748b502a6a6c3d921_normal.jpeg" TargetMode="External"/><Relationship Id="rId2377" Type="http://schemas.openxmlformats.org/officeDocument/2006/relationships/hyperlink" Target="https://twitter.com/sheishistoric" TargetMode="External"/><Relationship Id="rId5400" Type="http://schemas.openxmlformats.org/officeDocument/2006/relationships/hyperlink" Target="https://twitter.com/GHAUmass/status/706243928530538498" TargetMode="External"/><Relationship Id="rId210" Type="http://schemas.openxmlformats.org/officeDocument/2006/relationships/hyperlink" Target="https://pbs.twimg.com/profile_images/462686846128893953/W3wIjUpR_normal.jpeg" TargetMode="External"/><Relationship Id="rId1047" Type="http://schemas.openxmlformats.org/officeDocument/2006/relationships/hyperlink" Target="https://twitter.com/jamiaw" TargetMode="External"/><Relationship Id="rId2378" Type="http://schemas.openxmlformats.org/officeDocument/2006/relationships/hyperlink" Target="https://twitter.com/sheishistoric/status/705925091448717313" TargetMode="External"/><Relationship Id="rId5401" Type="http://schemas.openxmlformats.org/officeDocument/2006/relationships/hyperlink" Target="https://pbs.twimg.com/profile_images/604060333590855682/Fk6r1D7d_normal.jpg" TargetMode="External"/><Relationship Id="rId4107" Type="http://schemas.openxmlformats.org/officeDocument/2006/relationships/hyperlink" Target="https://pbs.twimg.com/profile_images/548193870278688768/8Dq7gW3U_normal.png" TargetMode="External"/><Relationship Id="rId5439" Type="http://schemas.openxmlformats.org/officeDocument/2006/relationships/hyperlink" Target="https://twitter.com/rebekkahrubin/status/706246496593780736" TargetMode="External"/><Relationship Id="rId4106" Type="http://schemas.openxmlformats.org/officeDocument/2006/relationships/hyperlink" Target="https://twitter.com/samueljredman/status/706136479995666432" TargetMode="External"/><Relationship Id="rId4109" Type="http://schemas.openxmlformats.org/officeDocument/2006/relationships/hyperlink" Target="https://twitter.com/samueljredman/status/706136505648062464" TargetMode="External"/><Relationship Id="rId5437" Type="http://schemas.openxmlformats.org/officeDocument/2006/relationships/hyperlink" Target="https://pbs.twimg.com/profile_images/604060333590855682/Fk6r1D7d_normal.jpg" TargetMode="External"/><Relationship Id="rId4108" Type="http://schemas.openxmlformats.org/officeDocument/2006/relationships/hyperlink" Target="https://twitter.com/samueljredman" TargetMode="External"/><Relationship Id="rId5438" Type="http://schemas.openxmlformats.org/officeDocument/2006/relationships/hyperlink" Target="https://twitter.com/rebekkahrubin" TargetMode="External"/><Relationship Id="rId249" Type="http://schemas.openxmlformats.org/officeDocument/2006/relationships/hyperlink" Target="https://pbs.twimg.com/profile_images/704873222802636800/7aFEMOY5_normal.jpg" TargetMode="External"/><Relationship Id="rId248" Type="http://schemas.openxmlformats.org/officeDocument/2006/relationships/hyperlink" Target="https://twitter.com/pastpunditry/status/705743159817543680" TargetMode="External"/><Relationship Id="rId247" Type="http://schemas.openxmlformats.org/officeDocument/2006/relationships/hyperlink" Target="https://twitter.com/pastpunditry" TargetMode="External"/><Relationship Id="rId1070" Type="http://schemas.openxmlformats.org/officeDocument/2006/relationships/hyperlink" Target="https://pbs.twimg.com/profile_images/704873222802636800/7aFEMOY5_normal.jpg" TargetMode="External"/><Relationship Id="rId1071" Type="http://schemas.openxmlformats.org/officeDocument/2006/relationships/hyperlink" Target="https://twitter.com/pastpunditry" TargetMode="External"/><Relationship Id="rId1072" Type="http://schemas.openxmlformats.org/officeDocument/2006/relationships/hyperlink" Target="https://twitter.com/pastpunditry/status/705834105087401985" TargetMode="External"/><Relationship Id="rId242" Type="http://schemas.openxmlformats.org/officeDocument/2006/relationships/hyperlink" Target="https://twitter.com/UMassHistory/status/705724259700711424" TargetMode="External"/><Relationship Id="rId1073" Type="http://schemas.openxmlformats.org/officeDocument/2006/relationships/hyperlink" Target="https://pbs.twimg.com/profile_images/704873222802636800/7aFEMOY5_normal.jpg" TargetMode="External"/><Relationship Id="rId5431" Type="http://schemas.openxmlformats.org/officeDocument/2006/relationships/hyperlink" Target="https://pbs.twimg.com/profile_images/627686554861834241/UcDo7crN_normal.jpg" TargetMode="External"/><Relationship Id="rId241" Type="http://schemas.openxmlformats.org/officeDocument/2006/relationships/hyperlink" Target="https://twitter.com/UMassHistory" TargetMode="External"/><Relationship Id="rId1074" Type="http://schemas.openxmlformats.org/officeDocument/2006/relationships/hyperlink" Target="https://twitter.com/pastpunditry" TargetMode="External"/><Relationship Id="rId5432" Type="http://schemas.openxmlformats.org/officeDocument/2006/relationships/hyperlink" Target="https://twitter.com/GHAUmass" TargetMode="External"/><Relationship Id="rId240" Type="http://schemas.openxmlformats.org/officeDocument/2006/relationships/hyperlink" Target="https://pbs.twimg.com/profile_images/3586356040/2875fe2e13ecc978a7c19bbf515b7847_normal.png" TargetMode="External"/><Relationship Id="rId1075" Type="http://schemas.openxmlformats.org/officeDocument/2006/relationships/hyperlink" Target="https://twitter.com/pastpunditry/status/705834119708745729" TargetMode="External"/><Relationship Id="rId4101" Type="http://schemas.openxmlformats.org/officeDocument/2006/relationships/hyperlink" Target="https://pbs.twimg.com/profile_images/548193870278688768/8Dq7gW3U_normal.png" TargetMode="External"/><Relationship Id="rId1076" Type="http://schemas.openxmlformats.org/officeDocument/2006/relationships/hyperlink" Target="https://pbs.twimg.com/profile_images/704873222802636800/7aFEMOY5_normal.jpg" TargetMode="External"/><Relationship Id="rId4100" Type="http://schemas.openxmlformats.org/officeDocument/2006/relationships/hyperlink" Target="https://twitter.com/samueljredman/status/706136459242246144" TargetMode="External"/><Relationship Id="rId5430" Type="http://schemas.openxmlformats.org/officeDocument/2006/relationships/hyperlink" Target="https://twitter.com/j3foley/status/706246246827220993" TargetMode="External"/><Relationship Id="rId246" Type="http://schemas.openxmlformats.org/officeDocument/2006/relationships/hyperlink" Target="https://pbs.twimg.com/profile_images/423841508945440769/niAqkNDQ_normal.jpeg" TargetMode="External"/><Relationship Id="rId1077" Type="http://schemas.openxmlformats.org/officeDocument/2006/relationships/hyperlink" Target="https://twitter.com/pastpunditry" TargetMode="External"/><Relationship Id="rId4103" Type="http://schemas.openxmlformats.org/officeDocument/2006/relationships/hyperlink" Target="https://twitter.com/Adventurstorian/status/706136463964934144" TargetMode="External"/><Relationship Id="rId5435" Type="http://schemas.openxmlformats.org/officeDocument/2006/relationships/hyperlink" Target="https://twitter.com/GHAUmass" TargetMode="External"/><Relationship Id="rId245" Type="http://schemas.openxmlformats.org/officeDocument/2006/relationships/hyperlink" Target="https://twitter.com/ProfessorTMR/status/705740212455002112" TargetMode="External"/><Relationship Id="rId1078" Type="http://schemas.openxmlformats.org/officeDocument/2006/relationships/hyperlink" Target="https://twitter.com/pastpunditry/status/705834139707113472" TargetMode="External"/><Relationship Id="rId4102" Type="http://schemas.openxmlformats.org/officeDocument/2006/relationships/hyperlink" Target="https://twitter.com/Adventurstorian" TargetMode="External"/><Relationship Id="rId5436" Type="http://schemas.openxmlformats.org/officeDocument/2006/relationships/hyperlink" Target="https://twitter.com/GHAUmass/status/706246399751491584" TargetMode="External"/><Relationship Id="rId244" Type="http://schemas.openxmlformats.org/officeDocument/2006/relationships/hyperlink" Target="https://twitter.com/ProfessorTMR" TargetMode="External"/><Relationship Id="rId1079" Type="http://schemas.openxmlformats.org/officeDocument/2006/relationships/hyperlink" Target="https://pbs.twimg.com/profile_images/704873222802636800/7aFEMOY5_normal.jpg" TargetMode="External"/><Relationship Id="rId4105" Type="http://schemas.openxmlformats.org/officeDocument/2006/relationships/hyperlink" Target="https://twitter.com/samueljredman" TargetMode="External"/><Relationship Id="rId5433" Type="http://schemas.openxmlformats.org/officeDocument/2006/relationships/hyperlink" Target="https://twitter.com/GHAUmass/status/706246356030136322" TargetMode="External"/><Relationship Id="rId243" Type="http://schemas.openxmlformats.org/officeDocument/2006/relationships/hyperlink" Target="https://pbs.twimg.com/profile_images/3586356040/2875fe2e13ecc978a7c19bbf515b7847_normal.png" TargetMode="External"/><Relationship Id="rId4104" Type="http://schemas.openxmlformats.org/officeDocument/2006/relationships/hyperlink" Target="https://pbs.twimg.com/profile_images/1796915225/henriette-browne-young-girl-writing-at-her-desk-with-birds_normal.jpg" TargetMode="External"/><Relationship Id="rId5434" Type="http://schemas.openxmlformats.org/officeDocument/2006/relationships/hyperlink" Target="https://pbs.twimg.com/profile_images/604060333590855682/Fk6r1D7d_normal.jpg" TargetMode="External"/><Relationship Id="rId5428" Type="http://schemas.openxmlformats.org/officeDocument/2006/relationships/hyperlink" Target="https://pbs.twimg.com/profile_images/700317732588408832/Ym_-neUi_normal.jpg" TargetMode="External"/><Relationship Id="rId5429" Type="http://schemas.openxmlformats.org/officeDocument/2006/relationships/hyperlink" Target="https://twitter.com/j3foley" TargetMode="External"/><Relationship Id="rId5426" Type="http://schemas.openxmlformats.org/officeDocument/2006/relationships/hyperlink" Target="https://twitter.com/rebekkahrubin" TargetMode="External"/><Relationship Id="rId5427" Type="http://schemas.openxmlformats.org/officeDocument/2006/relationships/hyperlink" Target="https://twitter.com/rebekkahrubin/status/706246037023940608" TargetMode="External"/><Relationship Id="rId239" Type="http://schemas.openxmlformats.org/officeDocument/2006/relationships/hyperlink" Target="https://twitter.com/UMassHistory/status/705724160992022528" TargetMode="External"/><Relationship Id="rId238" Type="http://schemas.openxmlformats.org/officeDocument/2006/relationships/hyperlink" Target="https://twitter.com/UMassHistory" TargetMode="External"/><Relationship Id="rId237" Type="http://schemas.openxmlformats.org/officeDocument/2006/relationships/hyperlink" Target="https://pbs.twimg.com/profile_images/548193870278688768/8Dq7gW3U_normal.png" TargetMode="External"/><Relationship Id="rId236" Type="http://schemas.openxmlformats.org/officeDocument/2006/relationships/hyperlink" Target="https://twitter.com/samueljredman/status/705613058245271552" TargetMode="External"/><Relationship Id="rId2390" Type="http://schemas.openxmlformats.org/officeDocument/2006/relationships/hyperlink" Target="https://twitter.com/mackenzian/status/705925211317772288" TargetMode="External"/><Relationship Id="rId1060" Type="http://schemas.openxmlformats.org/officeDocument/2006/relationships/hyperlink" Target="https://twitter.com/pastpunditry/status/705834047046598657" TargetMode="External"/><Relationship Id="rId2391" Type="http://schemas.openxmlformats.org/officeDocument/2006/relationships/hyperlink" Target="https://pbs.twimg.com/profile_images/1309296249/FYM_JpgDownload_HiRes_normal.jpg" TargetMode="External"/><Relationship Id="rId1061" Type="http://schemas.openxmlformats.org/officeDocument/2006/relationships/hyperlink" Target="https://pbs.twimg.com/profile_images/704873222802636800/7aFEMOY5_normal.jpg" TargetMode="External"/><Relationship Id="rId2392" Type="http://schemas.openxmlformats.org/officeDocument/2006/relationships/hyperlink" Target="https://twitter.com/juliegpeterson" TargetMode="External"/><Relationship Id="rId231" Type="http://schemas.openxmlformats.org/officeDocument/2006/relationships/hyperlink" Target="https://pbs.twimg.com/profile_images/548193870278688768/8Dq7gW3U_normal.png" TargetMode="External"/><Relationship Id="rId1062" Type="http://schemas.openxmlformats.org/officeDocument/2006/relationships/hyperlink" Target="https://twitter.com/pastpunditry" TargetMode="External"/><Relationship Id="rId2393" Type="http://schemas.openxmlformats.org/officeDocument/2006/relationships/hyperlink" Target="https://twitter.com/juliegpeterson/status/705925348068888576" TargetMode="External"/><Relationship Id="rId5420" Type="http://schemas.openxmlformats.org/officeDocument/2006/relationships/hyperlink" Target="https://twitter.com/GHAUmass" TargetMode="External"/><Relationship Id="rId230" Type="http://schemas.openxmlformats.org/officeDocument/2006/relationships/hyperlink" Target="https://twitter.com/samueljredman/status/705575301322051584" TargetMode="External"/><Relationship Id="rId1063" Type="http://schemas.openxmlformats.org/officeDocument/2006/relationships/hyperlink" Target="https://twitter.com/pastpunditry/status/705834058295746560" TargetMode="External"/><Relationship Id="rId2394" Type="http://schemas.openxmlformats.org/officeDocument/2006/relationships/hyperlink" Target="https://pbs.twimg.com/profile_images/609765839051452416/GNW0wSt0_normal.jpg" TargetMode="External"/><Relationship Id="rId5421" Type="http://schemas.openxmlformats.org/officeDocument/2006/relationships/hyperlink" Target="https://twitter.com/GHAUmass/status/706245764700360704" TargetMode="External"/><Relationship Id="rId1064" Type="http://schemas.openxmlformats.org/officeDocument/2006/relationships/hyperlink" Target="https://pbs.twimg.com/profile_images/704873222802636800/7aFEMOY5_normal.jpg" TargetMode="External"/><Relationship Id="rId2395" Type="http://schemas.openxmlformats.org/officeDocument/2006/relationships/hyperlink" Target="https://twitter.com/pastpunditry" TargetMode="External"/><Relationship Id="rId1065" Type="http://schemas.openxmlformats.org/officeDocument/2006/relationships/hyperlink" Target="https://twitter.com/pastpunditry" TargetMode="External"/><Relationship Id="rId2396" Type="http://schemas.openxmlformats.org/officeDocument/2006/relationships/hyperlink" Target="https://twitter.com/pastpunditry/status/705925369199730688" TargetMode="External"/><Relationship Id="rId235" Type="http://schemas.openxmlformats.org/officeDocument/2006/relationships/hyperlink" Target="https://twitter.com/samueljredman" TargetMode="External"/><Relationship Id="rId1066" Type="http://schemas.openxmlformats.org/officeDocument/2006/relationships/hyperlink" Target="https://twitter.com/pastpunditry/status/705834075823669248" TargetMode="External"/><Relationship Id="rId2397" Type="http://schemas.openxmlformats.org/officeDocument/2006/relationships/hyperlink" Target="https://pbs.twimg.com/profile_images/704873222802636800/7aFEMOY5_normal.jpg" TargetMode="External"/><Relationship Id="rId5424" Type="http://schemas.openxmlformats.org/officeDocument/2006/relationships/hyperlink" Target="https://twitter.com/cherylharned/status/706246017176477697" TargetMode="External"/><Relationship Id="rId234" Type="http://schemas.openxmlformats.org/officeDocument/2006/relationships/hyperlink" Target="https://pbs.twimg.com/profile_images/627960999308492800/kaLp9zOz_normal.jpg" TargetMode="External"/><Relationship Id="rId1067" Type="http://schemas.openxmlformats.org/officeDocument/2006/relationships/hyperlink" Target="https://pbs.twimg.com/profile_images/704873222802636800/7aFEMOY5_normal.jpg" TargetMode="External"/><Relationship Id="rId2398" Type="http://schemas.openxmlformats.org/officeDocument/2006/relationships/hyperlink" Target="https://twitter.com/rebekkahrubin" TargetMode="External"/><Relationship Id="rId5425" Type="http://schemas.openxmlformats.org/officeDocument/2006/relationships/hyperlink" Target="https://pbs.twimg.com/profile_images/535167858204893184/DNz9ruRN_normal.jpeg" TargetMode="External"/><Relationship Id="rId233" Type="http://schemas.openxmlformats.org/officeDocument/2006/relationships/hyperlink" Target="https://twitter.com/sarageorgini/status/705588639024222209" TargetMode="External"/><Relationship Id="rId1068" Type="http://schemas.openxmlformats.org/officeDocument/2006/relationships/hyperlink" Target="https://twitter.com/pastpunditry" TargetMode="External"/><Relationship Id="rId2399" Type="http://schemas.openxmlformats.org/officeDocument/2006/relationships/hyperlink" Target="https://twitter.com/rebekkahrubin/status/705925381833015297" TargetMode="External"/><Relationship Id="rId5422" Type="http://schemas.openxmlformats.org/officeDocument/2006/relationships/hyperlink" Target="https://pbs.twimg.com/profile_images/604060333590855682/Fk6r1D7d_normal.jpg" TargetMode="External"/><Relationship Id="rId232" Type="http://schemas.openxmlformats.org/officeDocument/2006/relationships/hyperlink" Target="https://twitter.com/sarageorgini" TargetMode="External"/><Relationship Id="rId1069" Type="http://schemas.openxmlformats.org/officeDocument/2006/relationships/hyperlink" Target="https://twitter.com/pastpunditry/status/705834090977693696" TargetMode="External"/><Relationship Id="rId5423" Type="http://schemas.openxmlformats.org/officeDocument/2006/relationships/hyperlink" Target="https://twitter.com/cherylharned" TargetMode="External"/><Relationship Id="rId1015" Type="http://schemas.openxmlformats.org/officeDocument/2006/relationships/hyperlink" Target="https://pbs.twimg.com/profile_images/604060333590855682/Fk6r1D7d_normal.jpg" TargetMode="External"/><Relationship Id="rId2346" Type="http://schemas.openxmlformats.org/officeDocument/2006/relationships/hyperlink" Target="https://twitter.com/pastpunditry" TargetMode="External"/><Relationship Id="rId3678" Type="http://schemas.openxmlformats.org/officeDocument/2006/relationships/hyperlink" Target="https://pbs.twimg.com/profile_images/3583165575/54f0bc87a29b2ae8587193829ce07299_normal.jpeg" TargetMode="External"/><Relationship Id="rId1016" Type="http://schemas.openxmlformats.org/officeDocument/2006/relationships/hyperlink" Target="https://twitter.com/GHAUmass" TargetMode="External"/><Relationship Id="rId2347" Type="http://schemas.openxmlformats.org/officeDocument/2006/relationships/hyperlink" Target="https://twitter.com/pastpunditry/status/705924604783697920" TargetMode="External"/><Relationship Id="rId3677" Type="http://schemas.openxmlformats.org/officeDocument/2006/relationships/hyperlink" Target="https://twitter.com/umassph/status/705943676233621504" TargetMode="External"/><Relationship Id="rId1017" Type="http://schemas.openxmlformats.org/officeDocument/2006/relationships/hyperlink" Target="https://twitter.com/GHAUmass/status/705824300910120960" TargetMode="External"/><Relationship Id="rId2348" Type="http://schemas.openxmlformats.org/officeDocument/2006/relationships/hyperlink" Target="https://pbs.twimg.com/profile_images/704873222802636800/7aFEMOY5_normal.jpg" TargetMode="External"/><Relationship Id="rId1018" Type="http://schemas.openxmlformats.org/officeDocument/2006/relationships/hyperlink" Target="https://pbs.twimg.com/profile_images/604060333590855682/Fk6r1D7d_normal.jpg" TargetMode="External"/><Relationship Id="rId2349" Type="http://schemas.openxmlformats.org/officeDocument/2006/relationships/hyperlink" Target="https://twitter.com/aglassofhistory" TargetMode="External"/><Relationship Id="rId3679" Type="http://schemas.openxmlformats.org/officeDocument/2006/relationships/hyperlink" Target="https://twitter.com/umassph" TargetMode="External"/><Relationship Id="rId1019" Type="http://schemas.openxmlformats.org/officeDocument/2006/relationships/hyperlink" Target="https://twitter.com/historycampaign" TargetMode="External"/><Relationship Id="rId3670" Type="http://schemas.openxmlformats.org/officeDocument/2006/relationships/hyperlink" Target="https://twitter.com/umassph" TargetMode="External"/><Relationship Id="rId2340" Type="http://schemas.openxmlformats.org/officeDocument/2006/relationships/hyperlink" Target="https://twitter.com/sheishistoric" TargetMode="External"/><Relationship Id="rId3672" Type="http://schemas.openxmlformats.org/officeDocument/2006/relationships/hyperlink" Target="https://pbs.twimg.com/profile_images/3583165575/54f0bc87a29b2ae8587193829ce07299_normal.jpeg" TargetMode="External"/><Relationship Id="rId1010" Type="http://schemas.openxmlformats.org/officeDocument/2006/relationships/hyperlink" Target="https://twitter.com/GHAUmass" TargetMode="External"/><Relationship Id="rId2341" Type="http://schemas.openxmlformats.org/officeDocument/2006/relationships/hyperlink" Target="https://twitter.com/sheishistoric/status/705924589818355712" TargetMode="External"/><Relationship Id="rId3671" Type="http://schemas.openxmlformats.org/officeDocument/2006/relationships/hyperlink" Target="https://twitter.com/umassph/status/705943297466957825" TargetMode="External"/><Relationship Id="rId1011" Type="http://schemas.openxmlformats.org/officeDocument/2006/relationships/hyperlink" Target="https://twitter.com/GHAUmass/status/705824236091383808" TargetMode="External"/><Relationship Id="rId2342" Type="http://schemas.openxmlformats.org/officeDocument/2006/relationships/hyperlink" Target="https://pbs.twimg.com/profile_images/650419150620377089/bJxBf---_normal.jpg" TargetMode="External"/><Relationship Id="rId3674" Type="http://schemas.openxmlformats.org/officeDocument/2006/relationships/hyperlink" Target="https://twitter.com/umassph/status/705943476618272768" TargetMode="External"/><Relationship Id="rId1012" Type="http://schemas.openxmlformats.org/officeDocument/2006/relationships/hyperlink" Target="https://pbs.twimg.com/profile_images/604060333590855682/Fk6r1D7d_normal.jpg" TargetMode="External"/><Relationship Id="rId2343" Type="http://schemas.openxmlformats.org/officeDocument/2006/relationships/hyperlink" Target="https://twitter.com/GHAUmass" TargetMode="External"/><Relationship Id="rId3673" Type="http://schemas.openxmlformats.org/officeDocument/2006/relationships/hyperlink" Target="https://twitter.com/umassph" TargetMode="External"/><Relationship Id="rId1013" Type="http://schemas.openxmlformats.org/officeDocument/2006/relationships/hyperlink" Target="https://twitter.com/GHAUmass" TargetMode="External"/><Relationship Id="rId2344" Type="http://schemas.openxmlformats.org/officeDocument/2006/relationships/hyperlink" Target="https://twitter.com/GHAUmass/status/705924598991290368" TargetMode="External"/><Relationship Id="rId3676" Type="http://schemas.openxmlformats.org/officeDocument/2006/relationships/hyperlink" Target="https://twitter.com/umassph" TargetMode="External"/><Relationship Id="rId1014" Type="http://schemas.openxmlformats.org/officeDocument/2006/relationships/hyperlink" Target="https://twitter.com/GHAUmass/status/705824266558816256" TargetMode="External"/><Relationship Id="rId2345" Type="http://schemas.openxmlformats.org/officeDocument/2006/relationships/hyperlink" Target="https://pbs.twimg.com/profile_images/604060333590855682/Fk6r1D7d_normal.jpg" TargetMode="External"/><Relationship Id="rId3675" Type="http://schemas.openxmlformats.org/officeDocument/2006/relationships/hyperlink" Target="https://pbs.twimg.com/profile_images/3583165575/54f0bc87a29b2ae8587193829ce07299_normal.jpeg" TargetMode="External"/><Relationship Id="rId1004" Type="http://schemas.openxmlformats.org/officeDocument/2006/relationships/hyperlink" Target="https://twitter.com/GHAUmass" TargetMode="External"/><Relationship Id="rId2335" Type="http://schemas.openxmlformats.org/officeDocument/2006/relationships/hyperlink" Target="https://twitter.com/jamiaw/status/705924568855097344" TargetMode="External"/><Relationship Id="rId3667" Type="http://schemas.openxmlformats.org/officeDocument/2006/relationships/hyperlink" Target="https://twitter.com/GHAUmass" TargetMode="External"/><Relationship Id="rId4998" Type="http://schemas.openxmlformats.org/officeDocument/2006/relationships/hyperlink" Target="https://twitter.com/umassph/status/706197092256104448" TargetMode="External"/><Relationship Id="rId1005" Type="http://schemas.openxmlformats.org/officeDocument/2006/relationships/hyperlink" Target="https://twitter.com/GHAUmass/status/705823938404859905" TargetMode="External"/><Relationship Id="rId2336" Type="http://schemas.openxmlformats.org/officeDocument/2006/relationships/hyperlink" Target="https://pbs.twimg.com/profile_images/701102020061753344/5zH70uem_normal.jpg" TargetMode="External"/><Relationship Id="rId3666" Type="http://schemas.openxmlformats.org/officeDocument/2006/relationships/hyperlink" Target="https://pbs.twimg.com/profile_images/3357790300/e80f72cc154c4bfa4bc8dc718fbc525b_normal.jpeg" TargetMode="External"/><Relationship Id="rId4997" Type="http://schemas.openxmlformats.org/officeDocument/2006/relationships/hyperlink" Target="https://twitter.com/umassph" TargetMode="External"/><Relationship Id="rId1006" Type="http://schemas.openxmlformats.org/officeDocument/2006/relationships/hyperlink" Target="https://pbs.twimg.com/profile_images/604060333590855682/Fk6r1D7d_normal.jpg" TargetMode="External"/><Relationship Id="rId2337" Type="http://schemas.openxmlformats.org/officeDocument/2006/relationships/hyperlink" Target="https://twitter.com/TradeCardCarl" TargetMode="External"/><Relationship Id="rId3669" Type="http://schemas.openxmlformats.org/officeDocument/2006/relationships/hyperlink" Target="https://pbs.twimg.com/profile_images/604060333590855682/Fk6r1D7d_normal.jpg" TargetMode="External"/><Relationship Id="rId1007" Type="http://schemas.openxmlformats.org/officeDocument/2006/relationships/hyperlink" Target="https://twitter.com/GHAUmass" TargetMode="External"/><Relationship Id="rId2338" Type="http://schemas.openxmlformats.org/officeDocument/2006/relationships/hyperlink" Target="https://twitter.com/TradeCardCarl/status/705924582201532417" TargetMode="External"/><Relationship Id="rId3668" Type="http://schemas.openxmlformats.org/officeDocument/2006/relationships/hyperlink" Target="https://twitter.com/GHAUmass/status/705943192189988864" TargetMode="External"/><Relationship Id="rId4999" Type="http://schemas.openxmlformats.org/officeDocument/2006/relationships/hyperlink" Target="https://pbs.twimg.com/profile_images/3583165575/54f0bc87a29b2ae8587193829ce07299_normal.jpeg" TargetMode="External"/><Relationship Id="rId1008" Type="http://schemas.openxmlformats.org/officeDocument/2006/relationships/hyperlink" Target="https://twitter.com/GHAUmass/status/705823962861867008" TargetMode="External"/><Relationship Id="rId2339" Type="http://schemas.openxmlformats.org/officeDocument/2006/relationships/hyperlink" Target="https://pbs.twimg.com/profile_images/605887014114754560/z-GNNui4_normal.jpg" TargetMode="External"/><Relationship Id="rId1009" Type="http://schemas.openxmlformats.org/officeDocument/2006/relationships/hyperlink" Target="https://pbs.twimg.com/profile_images/604060333590855682/Fk6r1D7d_normal.jpg" TargetMode="External"/><Relationship Id="rId4990" Type="http://schemas.openxmlformats.org/officeDocument/2006/relationships/hyperlink" Target="https://pbs.twimg.com/profile_images/701102020061753344/5zH70uem_normal.jpg" TargetMode="External"/><Relationship Id="rId3661" Type="http://schemas.openxmlformats.org/officeDocument/2006/relationships/hyperlink" Target="https://twitter.com/CitizenWald" TargetMode="External"/><Relationship Id="rId4992" Type="http://schemas.openxmlformats.org/officeDocument/2006/relationships/hyperlink" Target="https://twitter.com/jamiaw/status/706197012363022336" TargetMode="External"/><Relationship Id="rId2330" Type="http://schemas.openxmlformats.org/officeDocument/2006/relationships/hyperlink" Target="https://pbs.twimg.com/profile_images/611592888816898048/cGMlIfmz_normal.jpg" TargetMode="External"/><Relationship Id="rId3660" Type="http://schemas.openxmlformats.org/officeDocument/2006/relationships/hyperlink" Target="https://pbs.twimg.com/profile_images/378800000450415007/82bcc7d0cab85e8d5920dbf5ded6715e_normal.jpeg" TargetMode="External"/><Relationship Id="rId4991" Type="http://schemas.openxmlformats.org/officeDocument/2006/relationships/hyperlink" Target="https://twitter.com/jamiaw" TargetMode="External"/><Relationship Id="rId1000" Type="http://schemas.openxmlformats.org/officeDocument/2006/relationships/hyperlink" Target="https://pbs.twimg.com/profile_images/458318917006401536/2MCcLMSP_normal.jpeg" TargetMode="External"/><Relationship Id="rId2331" Type="http://schemas.openxmlformats.org/officeDocument/2006/relationships/hyperlink" Target="https://twitter.com/JulieThePH" TargetMode="External"/><Relationship Id="rId3663" Type="http://schemas.openxmlformats.org/officeDocument/2006/relationships/hyperlink" Target="https://pbs.twimg.com/profile_images/661220280564486144/ZxUrdRVS_normal.jpg" TargetMode="External"/><Relationship Id="rId4994" Type="http://schemas.openxmlformats.org/officeDocument/2006/relationships/hyperlink" Target="https://twitter.com/umassph" TargetMode="External"/><Relationship Id="rId1001" Type="http://schemas.openxmlformats.org/officeDocument/2006/relationships/hyperlink" Target="https://twitter.com/ebdrago" TargetMode="External"/><Relationship Id="rId2332" Type="http://schemas.openxmlformats.org/officeDocument/2006/relationships/hyperlink" Target="https://twitter.com/JulieThePH/status/705924561242615809" TargetMode="External"/><Relationship Id="rId3662" Type="http://schemas.openxmlformats.org/officeDocument/2006/relationships/hyperlink" Target="https://twitter.com/CitizenWald/status/705943069418504192" TargetMode="External"/><Relationship Id="rId4993" Type="http://schemas.openxmlformats.org/officeDocument/2006/relationships/hyperlink" Target="https://pbs.twimg.com/profile_images/701102020061753344/5zH70uem_normal.jpg" TargetMode="External"/><Relationship Id="rId1002" Type="http://schemas.openxmlformats.org/officeDocument/2006/relationships/hyperlink" Target="https://twitter.com/ebdrago/status/705822768810627072" TargetMode="External"/><Relationship Id="rId2333" Type="http://schemas.openxmlformats.org/officeDocument/2006/relationships/hyperlink" Target="https://pbs.twimg.com/profile_images/596509974005686273/AqBblwMR_normal.jpg" TargetMode="External"/><Relationship Id="rId3665" Type="http://schemas.openxmlformats.org/officeDocument/2006/relationships/hyperlink" Target="https://twitter.com/abreimaier/status/705943152755089408" TargetMode="External"/><Relationship Id="rId4996" Type="http://schemas.openxmlformats.org/officeDocument/2006/relationships/hyperlink" Target="https://pbs.twimg.com/profile_images/3583165575/54f0bc87a29b2ae8587193829ce07299_normal.jpeg" TargetMode="External"/><Relationship Id="rId1003" Type="http://schemas.openxmlformats.org/officeDocument/2006/relationships/hyperlink" Target="https://pbs.twimg.com/profile_images/458318917006401536/2MCcLMSP_normal.jpeg" TargetMode="External"/><Relationship Id="rId2334" Type="http://schemas.openxmlformats.org/officeDocument/2006/relationships/hyperlink" Target="https://twitter.com/jamiaw" TargetMode="External"/><Relationship Id="rId3664" Type="http://schemas.openxmlformats.org/officeDocument/2006/relationships/hyperlink" Target="https://twitter.com/abreimaier" TargetMode="External"/><Relationship Id="rId4995" Type="http://schemas.openxmlformats.org/officeDocument/2006/relationships/hyperlink" Target="https://twitter.com/umassph/status/706197060660371457" TargetMode="External"/><Relationship Id="rId1037" Type="http://schemas.openxmlformats.org/officeDocument/2006/relationships/hyperlink" Target="https://twitter.com/mille24c" TargetMode="External"/><Relationship Id="rId2368" Type="http://schemas.openxmlformats.org/officeDocument/2006/relationships/hyperlink" Target="https://twitter.com/HamiltonTicket8/status/705925004496662528" TargetMode="External"/><Relationship Id="rId1038" Type="http://schemas.openxmlformats.org/officeDocument/2006/relationships/hyperlink" Target="https://twitter.com/mille24c/status/705826906210435073" TargetMode="External"/><Relationship Id="rId2369" Type="http://schemas.openxmlformats.org/officeDocument/2006/relationships/hyperlink" Target="http://Zapier.com" TargetMode="External"/><Relationship Id="rId3699" Type="http://schemas.openxmlformats.org/officeDocument/2006/relationships/hyperlink" Target="https://pbs.twimg.com/profile_images/3646205989/58e1d7f445ffe16510b0cb9e8bb77c10_normal.jpeg" TargetMode="External"/><Relationship Id="rId1039" Type="http://schemas.openxmlformats.org/officeDocument/2006/relationships/hyperlink" Target="https://pbs.twimg.com/profile_images/676362182020481024/P0kyLli1_normal.jpg" TargetMode="External"/><Relationship Id="rId206" Type="http://schemas.openxmlformats.org/officeDocument/2006/relationships/hyperlink" Target="https://twitter.com/historein/status/705514632006529026" TargetMode="External"/><Relationship Id="rId205" Type="http://schemas.openxmlformats.org/officeDocument/2006/relationships/hyperlink" Target="https://twitter.com/historein" TargetMode="External"/><Relationship Id="rId204" Type="http://schemas.openxmlformats.org/officeDocument/2006/relationships/hyperlink" Target="https://pbs.twimg.com/profile_images/664600859662127104/suZFYy0l_normal.jpg" TargetMode="External"/><Relationship Id="rId203" Type="http://schemas.openxmlformats.org/officeDocument/2006/relationships/hyperlink" Target="https://twitter.com/panthermtnichol/status/705513426781507584" TargetMode="External"/><Relationship Id="rId209" Type="http://schemas.openxmlformats.org/officeDocument/2006/relationships/hyperlink" Target="https://twitter.com/FLHistorians/status/705520462470766593" TargetMode="External"/><Relationship Id="rId208" Type="http://schemas.openxmlformats.org/officeDocument/2006/relationships/hyperlink" Target="https://twitter.com/FLHistorians" TargetMode="External"/><Relationship Id="rId3690" Type="http://schemas.openxmlformats.org/officeDocument/2006/relationships/hyperlink" Target="https://pbs.twimg.com/profile_images/3357790300/e80f72cc154c4bfa4bc8dc718fbc525b_normal.jpeg" TargetMode="External"/><Relationship Id="rId207" Type="http://schemas.openxmlformats.org/officeDocument/2006/relationships/hyperlink" Target="https://pbs.twimg.com/profile_images/636901483401904128/cxbavncr_normal.jpg" TargetMode="External"/><Relationship Id="rId2360" Type="http://schemas.openxmlformats.org/officeDocument/2006/relationships/hyperlink" Target="https://pbs.twimg.com/profile_images/378800000450415007/82bcc7d0cab85e8d5920dbf5ded6715e_normal.jpeg" TargetMode="External"/><Relationship Id="rId3692" Type="http://schemas.openxmlformats.org/officeDocument/2006/relationships/hyperlink" Target="https://twitter.com/JL_McPherson_/status/705944437818466304" TargetMode="External"/><Relationship Id="rId1030" Type="http://schemas.openxmlformats.org/officeDocument/2006/relationships/hyperlink" Target="https://pbs.twimg.com/profile_images/531574951107518465/AvUhkliP_normal.jpeg" TargetMode="External"/><Relationship Id="rId2361" Type="http://schemas.openxmlformats.org/officeDocument/2006/relationships/hyperlink" Target="https://twitter.com/JulieThePH" TargetMode="External"/><Relationship Id="rId3691" Type="http://schemas.openxmlformats.org/officeDocument/2006/relationships/hyperlink" Target="https://twitter.com/JL_McPherson_" TargetMode="External"/><Relationship Id="rId1031" Type="http://schemas.openxmlformats.org/officeDocument/2006/relationships/hyperlink" Target="https://twitter.com/CvilleDems" TargetMode="External"/><Relationship Id="rId2362" Type="http://schemas.openxmlformats.org/officeDocument/2006/relationships/hyperlink" Target="https://twitter.com/JulieThePH/status/705924895042101249" TargetMode="External"/><Relationship Id="rId3694" Type="http://schemas.openxmlformats.org/officeDocument/2006/relationships/hyperlink" Target="https://twitter.com/OriginalLizz" TargetMode="External"/><Relationship Id="rId1032" Type="http://schemas.openxmlformats.org/officeDocument/2006/relationships/hyperlink" Target="https://twitter.com/CvilleDems/status/705826214494281728" TargetMode="External"/><Relationship Id="rId2363" Type="http://schemas.openxmlformats.org/officeDocument/2006/relationships/hyperlink" Target="https://pbs.twimg.com/profile_images/596509974005686273/AqBblwMR_normal.jpg" TargetMode="External"/><Relationship Id="rId3693" Type="http://schemas.openxmlformats.org/officeDocument/2006/relationships/hyperlink" Target="https://pbs.twimg.com/profile_images/562649272173068288/zFENKIgW_normal.png" TargetMode="External"/><Relationship Id="rId202" Type="http://schemas.openxmlformats.org/officeDocument/2006/relationships/hyperlink" Target="https://twitter.com/panthermtnichol" TargetMode="External"/><Relationship Id="rId1033" Type="http://schemas.openxmlformats.org/officeDocument/2006/relationships/hyperlink" Target="https://pbs.twimg.com/profile_images/458672614265745408/7NnQ5ZX__normal.jpeg" TargetMode="External"/><Relationship Id="rId2364" Type="http://schemas.openxmlformats.org/officeDocument/2006/relationships/hyperlink" Target="https://twitter.com/lubar" TargetMode="External"/><Relationship Id="rId3696" Type="http://schemas.openxmlformats.org/officeDocument/2006/relationships/hyperlink" Target="https://pbs.twimg.com/profile_images/507519369509756928/wgLxn605_normal.jpeg" TargetMode="External"/><Relationship Id="rId201" Type="http://schemas.openxmlformats.org/officeDocument/2006/relationships/hyperlink" Target="https://pbs.twimg.com/profile_images/1890184517/Stac_portrait-2_2_normal.jpg" TargetMode="External"/><Relationship Id="rId1034" Type="http://schemas.openxmlformats.org/officeDocument/2006/relationships/hyperlink" Target="https://twitter.com/zlewis02" TargetMode="External"/><Relationship Id="rId2365" Type="http://schemas.openxmlformats.org/officeDocument/2006/relationships/hyperlink" Target="https://twitter.com/lubar/status/705924939568836608" TargetMode="External"/><Relationship Id="rId3695" Type="http://schemas.openxmlformats.org/officeDocument/2006/relationships/hyperlink" Target="https://twitter.com/OriginalLizz/status/705947079743512576" TargetMode="External"/><Relationship Id="rId200" Type="http://schemas.openxmlformats.org/officeDocument/2006/relationships/hyperlink" Target="https://twitter.com/snationknapper/status/705509698301140992" TargetMode="External"/><Relationship Id="rId1035" Type="http://schemas.openxmlformats.org/officeDocument/2006/relationships/hyperlink" Target="https://twitter.com/zlewis02/status/705826808739061760" TargetMode="External"/><Relationship Id="rId2366" Type="http://schemas.openxmlformats.org/officeDocument/2006/relationships/hyperlink" Target="https://pbs.twimg.com/profile_images/660856832915693568/mhLbwLF6_normal.jpg" TargetMode="External"/><Relationship Id="rId3698" Type="http://schemas.openxmlformats.org/officeDocument/2006/relationships/hyperlink" Target="https://twitter.com/BDFlynt/status/705947559601131520" TargetMode="External"/><Relationship Id="rId1036" Type="http://schemas.openxmlformats.org/officeDocument/2006/relationships/hyperlink" Target="https://pbs.twimg.com/profile_images/664973835544993792/NmIALyK8_normal.jpg" TargetMode="External"/><Relationship Id="rId2367" Type="http://schemas.openxmlformats.org/officeDocument/2006/relationships/hyperlink" Target="https://twitter.com/HamiltonTicket8" TargetMode="External"/><Relationship Id="rId3697" Type="http://schemas.openxmlformats.org/officeDocument/2006/relationships/hyperlink" Target="https://twitter.com/BDFlynt" TargetMode="External"/><Relationship Id="rId1026" Type="http://schemas.openxmlformats.org/officeDocument/2006/relationships/hyperlink" Target="https://twitter.com/historycampaign/status/705825727657197569" TargetMode="External"/><Relationship Id="rId2357" Type="http://schemas.openxmlformats.org/officeDocument/2006/relationships/hyperlink" Target="https://pbs.twimg.com/profile_images/604060333590855682/Fk6r1D7d_normal.jpg" TargetMode="External"/><Relationship Id="rId3689" Type="http://schemas.openxmlformats.org/officeDocument/2006/relationships/hyperlink" Target="https://twitter.com/abreimaier/status/705944060532490240" TargetMode="External"/><Relationship Id="rId1027" Type="http://schemas.openxmlformats.org/officeDocument/2006/relationships/hyperlink" Target="https://pbs.twimg.com/profile_images/673691030139609088/8v7ab61D_normal.jpg" TargetMode="External"/><Relationship Id="rId2358" Type="http://schemas.openxmlformats.org/officeDocument/2006/relationships/hyperlink" Target="https://twitter.com/magmidd" TargetMode="External"/><Relationship Id="rId3688" Type="http://schemas.openxmlformats.org/officeDocument/2006/relationships/hyperlink" Target="https://twitter.com/abreimaier" TargetMode="External"/><Relationship Id="rId1028" Type="http://schemas.openxmlformats.org/officeDocument/2006/relationships/hyperlink" Target="https://twitter.com/JasonSteinhauer" TargetMode="External"/><Relationship Id="rId2359" Type="http://schemas.openxmlformats.org/officeDocument/2006/relationships/hyperlink" Target="https://twitter.com/magmidd/status/705924875035086848" TargetMode="External"/><Relationship Id="rId1029" Type="http://schemas.openxmlformats.org/officeDocument/2006/relationships/hyperlink" Target="https://twitter.com/JasonSteinhauer/status/705825874894057474" TargetMode="External"/><Relationship Id="rId3681" Type="http://schemas.openxmlformats.org/officeDocument/2006/relationships/hyperlink" Target="https://pbs.twimg.com/profile_images/3583165575/54f0bc87a29b2ae8587193829ce07299_normal.jpeg" TargetMode="External"/><Relationship Id="rId2350" Type="http://schemas.openxmlformats.org/officeDocument/2006/relationships/hyperlink" Target="https://twitter.com/aglassofhistory/status/705924674283311104" TargetMode="External"/><Relationship Id="rId3680" Type="http://schemas.openxmlformats.org/officeDocument/2006/relationships/hyperlink" Target="https://twitter.com/umassph/status/705943705652477952" TargetMode="External"/><Relationship Id="rId1020" Type="http://schemas.openxmlformats.org/officeDocument/2006/relationships/hyperlink" Target="https://twitter.com/historycampaign/status/705825303449493506" TargetMode="External"/><Relationship Id="rId2351" Type="http://schemas.openxmlformats.org/officeDocument/2006/relationships/hyperlink" Target="https://pbs.twimg.com/profile_images/611592888816898048/cGMlIfmz_normal.jpg" TargetMode="External"/><Relationship Id="rId3683" Type="http://schemas.openxmlformats.org/officeDocument/2006/relationships/hyperlink" Target="https://twitter.com/umassph/status/705943839429758976" TargetMode="External"/><Relationship Id="rId1021" Type="http://schemas.openxmlformats.org/officeDocument/2006/relationships/hyperlink" Target="https://pbs.twimg.com/profile_images/673691030139609088/8v7ab61D_normal.jpg" TargetMode="External"/><Relationship Id="rId2352" Type="http://schemas.openxmlformats.org/officeDocument/2006/relationships/hyperlink" Target="https://twitter.com/GHAUmass" TargetMode="External"/><Relationship Id="rId3682" Type="http://schemas.openxmlformats.org/officeDocument/2006/relationships/hyperlink" Target="https://twitter.com/umassph" TargetMode="External"/><Relationship Id="rId1022" Type="http://schemas.openxmlformats.org/officeDocument/2006/relationships/hyperlink" Target="https://twitter.com/JL_McPherson_" TargetMode="External"/><Relationship Id="rId2353" Type="http://schemas.openxmlformats.org/officeDocument/2006/relationships/hyperlink" Target="https://twitter.com/GHAUmass/status/705924715211321344" TargetMode="External"/><Relationship Id="rId3685" Type="http://schemas.openxmlformats.org/officeDocument/2006/relationships/hyperlink" Target="https://twitter.com/JimGrossmanAHA" TargetMode="External"/><Relationship Id="rId1023" Type="http://schemas.openxmlformats.org/officeDocument/2006/relationships/hyperlink" Target="https://twitter.com/JL_McPherson_/status/705825325465206785" TargetMode="External"/><Relationship Id="rId2354" Type="http://schemas.openxmlformats.org/officeDocument/2006/relationships/hyperlink" Target="https://pbs.twimg.com/profile_images/604060333590855682/Fk6r1D7d_normal.jpg" TargetMode="External"/><Relationship Id="rId3684" Type="http://schemas.openxmlformats.org/officeDocument/2006/relationships/hyperlink" Target="https://pbs.twimg.com/profile_images/3583165575/54f0bc87a29b2ae8587193829ce07299_normal.jpeg" TargetMode="External"/><Relationship Id="rId1024" Type="http://schemas.openxmlformats.org/officeDocument/2006/relationships/hyperlink" Target="https://pbs.twimg.com/profile_images/562649272173068288/zFENKIgW_normal.png" TargetMode="External"/><Relationship Id="rId2355" Type="http://schemas.openxmlformats.org/officeDocument/2006/relationships/hyperlink" Target="https://twitter.com/GHAUmass" TargetMode="External"/><Relationship Id="rId3687" Type="http://schemas.openxmlformats.org/officeDocument/2006/relationships/hyperlink" Target="https://pbs.twimg.com/profile_images/378800000667891782/44d7b181c077bf16ab07b242f7ad81b9_normal.png" TargetMode="External"/><Relationship Id="rId1025" Type="http://schemas.openxmlformats.org/officeDocument/2006/relationships/hyperlink" Target="https://twitter.com/historycampaign" TargetMode="External"/><Relationship Id="rId2356" Type="http://schemas.openxmlformats.org/officeDocument/2006/relationships/hyperlink" Target="https://twitter.com/GHAUmass/status/705924820169580544" TargetMode="External"/><Relationship Id="rId3686" Type="http://schemas.openxmlformats.org/officeDocument/2006/relationships/hyperlink" Target="https://twitter.com/JimGrossmanAHA/status/705943879841882112" TargetMode="External"/><Relationship Id="rId5490" Type="http://schemas.openxmlformats.org/officeDocument/2006/relationships/hyperlink" Target="https://twitter.com/zlewis02/status/706248830119976961" TargetMode="External"/><Relationship Id="rId4161" Type="http://schemas.openxmlformats.org/officeDocument/2006/relationships/hyperlink" Target="https://pbs.twimg.com/profile_images/701102020061753344/5zH70uem_normal.jpg" TargetMode="External"/><Relationship Id="rId5493" Type="http://schemas.openxmlformats.org/officeDocument/2006/relationships/hyperlink" Target="https://twitter.com/rebekkahrubin/status/706248985279926274" TargetMode="External"/><Relationship Id="rId4160" Type="http://schemas.openxmlformats.org/officeDocument/2006/relationships/hyperlink" Target="https://twitter.com/jamiaw/status/706138814012588033" TargetMode="External"/><Relationship Id="rId5494" Type="http://schemas.openxmlformats.org/officeDocument/2006/relationships/hyperlink" Target="https://pbs.twimg.com/profile_images/700317732588408832/Ym_-neUi_normal.jpg" TargetMode="External"/><Relationship Id="rId4163" Type="http://schemas.openxmlformats.org/officeDocument/2006/relationships/hyperlink" Target="https://twitter.com/pastpunditry/status/706138871055163394" TargetMode="External"/><Relationship Id="rId5491" Type="http://schemas.openxmlformats.org/officeDocument/2006/relationships/hyperlink" Target="https://pbs.twimg.com/profile_images/664973835544993792/NmIALyK8_normal.jpg" TargetMode="External"/><Relationship Id="rId4162" Type="http://schemas.openxmlformats.org/officeDocument/2006/relationships/hyperlink" Target="https://twitter.com/pastpunditry" TargetMode="External"/><Relationship Id="rId5492" Type="http://schemas.openxmlformats.org/officeDocument/2006/relationships/hyperlink" Target="https://twitter.com/rebekkahrubin" TargetMode="External"/><Relationship Id="rId4165" Type="http://schemas.openxmlformats.org/officeDocument/2006/relationships/hyperlink" Target="https://twitter.com/pastpunditry" TargetMode="External"/><Relationship Id="rId5497" Type="http://schemas.openxmlformats.org/officeDocument/2006/relationships/hyperlink" Target="https://pbs.twimg.com/profile_images/604060333590855682/Fk6r1D7d_normal.jpg" TargetMode="External"/><Relationship Id="rId4164" Type="http://schemas.openxmlformats.org/officeDocument/2006/relationships/hyperlink" Target="https://pbs.twimg.com/profile_images/704873222802636800/7aFEMOY5_normal.jpg" TargetMode="External"/><Relationship Id="rId5498" Type="http://schemas.openxmlformats.org/officeDocument/2006/relationships/hyperlink" Target="https://twitter.com/samueljredman" TargetMode="External"/><Relationship Id="rId4167" Type="http://schemas.openxmlformats.org/officeDocument/2006/relationships/hyperlink" Target="https://pbs.twimg.com/profile_images/704873222802636800/7aFEMOY5_normal.jpg" TargetMode="External"/><Relationship Id="rId5495" Type="http://schemas.openxmlformats.org/officeDocument/2006/relationships/hyperlink" Target="https://twitter.com/GHAUmass" TargetMode="External"/><Relationship Id="rId4166" Type="http://schemas.openxmlformats.org/officeDocument/2006/relationships/hyperlink" Target="https://twitter.com/pastpunditry/status/706139228393054209" TargetMode="External"/><Relationship Id="rId5496" Type="http://schemas.openxmlformats.org/officeDocument/2006/relationships/hyperlink" Target="https://twitter.com/GHAUmass/status/706249067362439168" TargetMode="External"/><Relationship Id="rId4169" Type="http://schemas.openxmlformats.org/officeDocument/2006/relationships/hyperlink" Target="https://twitter.com/aglassofhistory/status/706141661840187393" TargetMode="External"/><Relationship Id="rId4168" Type="http://schemas.openxmlformats.org/officeDocument/2006/relationships/hyperlink" Target="https://twitter.com/aglassofhistory" TargetMode="External"/><Relationship Id="rId5499" Type="http://schemas.openxmlformats.org/officeDocument/2006/relationships/hyperlink" Target="https://twitter.com/samueljredman/status/706249285210382336" TargetMode="External"/><Relationship Id="rId4150" Type="http://schemas.openxmlformats.org/officeDocument/2006/relationships/hyperlink" Target="https://twitter.com/pastpunditry" TargetMode="External"/><Relationship Id="rId5482" Type="http://schemas.openxmlformats.org/officeDocument/2006/relationships/hyperlink" Target="https://pbs.twimg.com/profile_images/700317732588408832/Ym_-neUi_normal.jpg" TargetMode="External"/><Relationship Id="rId5483" Type="http://schemas.openxmlformats.org/officeDocument/2006/relationships/hyperlink" Target="https://twitter.com/GHAUmass" TargetMode="External"/><Relationship Id="rId4152" Type="http://schemas.openxmlformats.org/officeDocument/2006/relationships/hyperlink" Target="https://pbs.twimg.com/profile_images/704873222802636800/7aFEMOY5_normal.jpg" TargetMode="External"/><Relationship Id="rId5480" Type="http://schemas.openxmlformats.org/officeDocument/2006/relationships/hyperlink" Target="https://twitter.com/rebekkahrubin" TargetMode="External"/><Relationship Id="rId4151" Type="http://schemas.openxmlformats.org/officeDocument/2006/relationships/hyperlink" Target="https://twitter.com/pastpunditry/status/706138383320535040" TargetMode="External"/><Relationship Id="rId5481" Type="http://schemas.openxmlformats.org/officeDocument/2006/relationships/hyperlink" Target="https://twitter.com/rebekkahrubin/status/706248575118868480" TargetMode="External"/><Relationship Id="rId4154" Type="http://schemas.openxmlformats.org/officeDocument/2006/relationships/hyperlink" Target="https://twitter.com/pastpunditry/status/706138494712807425" TargetMode="External"/><Relationship Id="rId5486" Type="http://schemas.openxmlformats.org/officeDocument/2006/relationships/hyperlink" Target="https://twitter.com/jp_exhibitsvcs" TargetMode="External"/><Relationship Id="rId4153" Type="http://schemas.openxmlformats.org/officeDocument/2006/relationships/hyperlink" Target="https://twitter.com/pastpunditry" TargetMode="External"/><Relationship Id="rId5487" Type="http://schemas.openxmlformats.org/officeDocument/2006/relationships/hyperlink" Target="https://twitter.com/jp_exhibitsvcs/status/706248725111242753" TargetMode="External"/><Relationship Id="rId4156" Type="http://schemas.openxmlformats.org/officeDocument/2006/relationships/hyperlink" Target="https://twitter.com/Trundlebedtales" TargetMode="External"/><Relationship Id="rId5484" Type="http://schemas.openxmlformats.org/officeDocument/2006/relationships/hyperlink" Target="https://twitter.com/GHAUmass/status/706248704093720577" TargetMode="External"/><Relationship Id="rId4155" Type="http://schemas.openxmlformats.org/officeDocument/2006/relationships/hyperlink" Target="https://pbs.twimg.com/profile_images/704873222802636800/7aFEMOY5_normal.jpg" TargetMode="External"/><Relationship Id="rId5485" Type="http://schemas.openxmlformats.org/officeDocument/2006/relationships/hyperlink" Target="https://pbs.twimg.com/profile_images/604060333590855682/Fk6r1D7d_normal.jpg" TargetMode="External"/><Relationship Id="rId4158" Type="http://schemas.openxmlformats.org/officeDocument/2006/relationships/hyperlink" Target="https://pbs.twimg.com/profile_images/858149323/Business-Suit_normal.jpg" TargetMode="External"/><Relationship Id="rId4157" Type="http://schemas.openxmlformats.org/officeDocument/2006/relationships/hyperlink" Target="https://twitter.com/Trundlebedtales/status/706138499515191301" TargetMode="External"/><Relationship Id="rId5488" Type="http://schemas.openxmlformats.org/officeDocument/2006/relationships/hyperlink" Target="https://pbs.twimg.com/profile_images/643464944592097280/43Y7QtKR_normal.jpg" TargetMode="External"/><Relationship Id="rId4159" Type="http://schemas.openxmlformats.org/officeDocument/2006/relationships/hyperlink" Target="https://twitter.com/jamiaw" TargetMode="External"/><Relationship Id="rId5489" Type="http://schemas.openxmlformats.org/officeDocument/2006/relationships/hyperlink" Target="https://twitter.com/zlewis02" TargetMode="External"/><Relationship Id="rId1910" Type="http://schemas.openxmlformats.org/officeDocument/2006/relationships/hyperlink" Target="https://pbs.twimg.com/profile_images/650419150620377089/bJxBf---_normal.jpg" TargetMode="External"/><Relationship Id="rId1911" Type="http://schemas.openxmlformats.org/officeDocument/2006/relationships/hyperlink" Target="https://twitter.com/sheishistoric" TargetMode="External"/><Relationship Id="rId1912" Type="http://schemas.openxmlformats.org/officeDocument/2006/relationships/hyperlink" Target="https://twitter.com/sheishistoric/status/705920080832503809" TargetMode="External"/><Relationship Id="rId1913" Type="http://schemas.openxmlformats.org/officeDocument/2006/relationships/hyperlink" Target="https://pbs.twimg.com/profile_images/650419150620377089/bJxBf---_normal.jpg" TargetMode="External"/><Relationship Id="rId1914" Type="http://schemas.openxmlformats.org/officeDocument/2006/relationships/hyperlink" Target="https://twitter.com/cameshascruggs" TargetMode="External"/><Relationship Id="rId1915" Type="http://schemas.openxmlformats.org/officeDocument/2006/relationships/hyperlink" Target="https://twitter.com/cameshascruggs/status/705920123580841984" TargetMode="External"/><Relationship Id="rId1916" Type="http://schemas.openxmlformats.org/officeDocument/2006/relationships/hyperlink" Target="https://pbs.twimg.com/profile_images/187613030/me_in_panel_mode_normal.jpg" TargetMode="External"/><Relationship Id="rId1917" Type="http://schemas.openxmlformats.org/officeDocument/2006/relationships/hyperlink" Target="https://twitter.com/GHAUmass" TargetMode="External"/><Relationship Id="rId1918" Type="http://schemas.openxmlformats.org/officeDocument/2006/relationships/hyperlink" Target="https://twitter.com/GHAUmass/status/705920138575532033" TargetMode="External"/><Relationship Id="rId1919" Type="http://schemas.openxmlformats.org/officeDocument/2006/relationships/hyperlink" Target="https://pbs.twimg.com/profile_images/604060333590855682/Fk6r1D7d_normal.jpg" TargetMode="External"/><Relationship Id="rId4181" Type="http://schemas.openxmlformats.org/officeDocument/2006/relationships/hyperlink" Target="https://twitter.com/NewTechPDX/status/706142830884851712" TargetMode="External"/><Relationship Id="rId4180" Type="http://schemas.openxmlformats.org/officeDocument/2006/relationships/hyperlink" Target="https://twitter.com/NewTechPDX" TargetMode="External"/><Relationship Id="rId4183" Type="http://schemas.openxmlformats.org/officeDocument/2006/relationships/hyperlink" Target="https://twitter.com/GHAUmass" TargetMode="External"/><Relationship Id="rId4182" Type="http://schemas.openxmlformats.org/officeDocument/2006/relationships/hyperlink" Target="https://pbs.twimg.com/profile_images/544938475221311488/4d6LC4dX_normal.jpeg" TargetMode="External"/><Relationship Id="rId4185" Type="http://schemas.openxmlformats.org/officeDocument/2006/relationships/hyperlink" Target="https://pbs.twimg.com/profile_images/604060333590855682/Fk6r1D7d_normal.jpg" TargetMode="External"/><Relationship Id="rId4184" Type="http://schemas.openxmlformats.org/officeDocument/2006/relationships/hyperlink" Target="https://twitter.com/GHAUmass/status/706143030101676032" TargetMode="External"/><Relationship Id="rId4187" Type="http://schemas.openxmlformats.org/officeDocument/2006/relationships/hyperlink" Target="https://twitter.com/GHAUmass/status/706143044475731968" TargetMode="External"/><Relationship Id="rId4186" Type="http://schemas.openxmlformats.org/officeDocument/2006/relationships/hyperlink" Target="https://twitter.com/GHAUmass" TargetMode="External"/><Relationship Id="rId4189" Type="http://schemas.openxmlformats.org/officeDocument/2006/relationships/hyperlink" Target="https://twitter.com/GHAUmass" TargetMode="External"/><Relationship Id="rId4188" Type="http://schemas.openxmlformats.org/officeDocument/2006/relationships/hyperlink" Target="https://pbs.twimg.com/profile_images/604060333590855682/Fk6r1D7d_normal.jpg" TargetMode="External"/><Relationship Id="rId1900" Type="http://schemas.openxmlformats.org/officeDocument/2006/relationships/hyperlink" Target="https://twitter.com/lizl_genealogy/status/705920006710648832" TargetMode="External"/><Relationship Id="rId1901" Type="http://schemas.openxmlformats.org/officeDocument/2006/relationships/hyperlink" Target="https://pbs.twimg.com/profile_images/2700002859/1f2d610ddaf1f03ac7d033dd83847b45_normal.jpeg" TargetMode="External"/><Relationship Id="rId1902" Type="http://schemas.openxmlformats.org/officeDocument/2006/relationships/hyperlink" Target="https://twitter.com/rebekkahrubin" TargetMode="External"/><Relationship Id="rId1903" Type="http://schemas.openxmlformats.org/officeDocument/2006/relationships/hyperlink" Target="https://twitter.com/rebekkahrubin/status/705920008375951360" TargetMode="External"/><Relationship Id="rId1904" Type="http://schemas.openxmlformats.org/officeDocument/2006/relationships/hyperlink" Target="https://pbs.twimg.com/profile_images/700317732588408832/Ym_-neUi_normal.jpg" TargetMode="External"/><Relationship Id="rId1905" Type="http://schemas.openxmlformats.org/officeDocument/2006/relationships/hyperlink" Target="https://twitter.com/GHAUmass" TargetMode="External"/><Relationship Id="rId1906" Type="http://schemas.openxmlformats.org/officeDocument/2006/relationships/hyperlink" Target="https://twitter.com/GHAUmass/status/705920044853813248" TargetMode="External"/><Relationship Id="rId1907" Type="http://schemas.openxmlformats.org/officeDocument/2006/relationships/hyperlink" Target="https://pbs.twimg.com/profile_images/604060333590855682/Fk6r1D7d_normal.jpg" TargetMode="External"/><Relationship Id="rId1908" Type="http://schemas.openxmlformats.org/officeDocument/2006/relationships/hyperlink" Target="https://twitter.com/sheishistoric" TargetMode="External"/><Relationship Id="rId1909" Type="http://schemas.openxmlformats.org/officeDocument/2006/relationships/hyperlink" Target="https://twitter.com/sheishistoric/status/705920057394794496" TargetMode="External"/><Relationship Id="rId4170" Type="http://schemas.openxmlformats.org/officeDocument/2006/relationships/hyperlink" Target="https://pbs.twimg.com/profile_images/611592888816898048/cGMlIfmz_normal.jpg" TargetMode="External"/><Relationship Id="rId4172" Type="http://schemas.openxmlformats.org/officeDocument/2006/relationships/hyperlink" Target="https://twitter.com/rebekkahrubin/status/706141843612954624" TargetMode="External"/><Relationship Id="rId4171" Type="http://schemas.openxmlformats.org/officeDocument/2006/relationships/hyperlink" Target="https://twitter.com/rebekkahrubin" TargetMode="External"/><Relationship Id="rId4174" Type="http://schemas.openxmlformats.org/officeDocument/2006/relationships/hyperlink" Target="https://twitter.com/erfagen" TargetMode="External"/><Relationship Id="rId4173" Type="http://schemas.openxmlformats.org/officeDocument/2006/relationships/hyperlink" Target="https://pbs.twimg.com/profile_images/700317732588408832/Ym_-neUi_normal.jpg" TargetMode="External"/><Relationship Id="rId4176" Type="http://schemas.openxmlformats.org/officeDocument/2006/relationships/hyperlink" Target="https://pbs.twimg.com/profile_images/638086945722249217/mid_S_BQ_normal.jpg" TargetMode="External"/><Relationship Id="rId4175" Type="http://schemas.openxmlformats.org/officeDocument/2006/relationships/hyperlink" Target="https://twitter.com/erfagen/status/706142234815635458" TargetMode="External"/><Relationship Id="rId4178" Type="http://schemas.openxmlformats.org/officeDocument/2006/relationships/hyperlink" Target="https://twitter.com/GHAUmass/status/706142647719751680" TargetMode="External"/><Relationship Id="rId4177" Type="http://schemas.openxmlformats.org/officeDocument/2006/relationships/hyperlink" Target="https://twitter.com/GHAUmass" TargetMode="External"/><Relationship Id="rId4179" Type="http://schemas.openxmlformats.org/officeDocument/2006/relationships/hyperlink" Target="https://pbs.twimg.com/profile_images/604060333590855682/Fk6r1D7d_normal.jpg" TargetMode="External"/><Relationship Id="rId4129" Type="http://schemas.openxmlformats.org/officeDocument/2006/relationships/hyperlink" Target="https://twitter.com/pastpunditry" TargetMode="External"/><Relationship Id="rId4128" Type="http://schemas.openxmlformats.org/officeDocument/2006/relationships/hyperlink" Target="https://pbs.twimg.com/profile_images/704873222802636800/7aFEMOY5_normal.jpg" TargetMode="External"/><Relationship Id="rId5459" Type="http://schemas.openxmlformats.org/officeDocument/2006/relationships/hyperlink" Target="https://twitter.com/GHAUmass" TargetMode="External"/><Relationship Id="rId1090" Type="http://schemas.openxmlformats.org/officeDocument/2006/relationships/hyperlink" Target="https://twitter.com/pastpunditry/status/705834952932380673" TargetMode="External"/><Relationship Id="rId1091" Type="http://schemas.openxmlformats.org/officeDocument/2006/relationships/hyperlink" Target="https://pbs.twimg.com/profile_images/704873222802636800/7aFEMOY5_normal.jpg" TargetMode="External"/><Relationship Id="rId1092" Type="http://schemas.openxmlformats.org/officeDocument/2006/relationships/hyperlink" Target="https://twitter.com/pastpunditry" TargetMode="External"/><Relationship Id="rId5450" Type="http://schemas.openxmlformats.org/officeDocument/2006/relationships/hyperlink" Target="https://twitter.com/rebekkahrubin" TargetMode="External"/><Relationship Id="rId1093" Type="http://schemas.openxmlformats.org/officeDocument/2006/relationships/hyperlink" Target="https://twitter.com/pastpunditry/status/705834971240538118" TargetMode="External"/><Relationship Id="rId1094" Type="http://schemas.openxmlformats.org/officeDocument/2006/relationships/hyperlink" Target="https://pbs.twimg.com/profile_images/704873222802636800/7aFEMOY5_normal.jpg" TargetMode="External"/><Relationship Id="rId1095" Type="http://schemas.openxmlformats.org/officeDocument/2006/relationships/hyperlink" Target="https://twitter.com/historein" TargetMode="External"/><Relationship Id="rId4121" Type="http://schemas.openxmlformats.org/officeDocument/2006/relationships/hyperlink" Target="https://twitter.com/samueljredman/status/706136707956088832" TargetMode="External"/><Relationship Id="rId5453" Type="http://schemas.openxmlformats.org/officeDocument/2006/relationships/hyperlink" Target="https://twitter.com/rebekkahrubin" TargetMode="External"/><Relationship Id="rId1096" Type="http://schemas.openxmlformats.org/officeDocument/2006/relationships/hyperlink" Target="https://twitter.com/historein/status/705835158373535745" TargetMode="External"/><Relationship Id="rId4120" Type="http://schemas.openxmlformats.org/officeDocument/2006/relationships/hyperlink" Target="https://twitter.com/samueljredman" TargetMode="External"/><Relationship Id="rId5454" Type="http://schemas.openxmlformats.org/officeDocument/2006/relationships/hyperlink" Target="https://twitter.com/rebekkahrubin/status/706247101160792064" TargetMode="External"/><Relationship Id="rId1097" Type="http://schemas.openxmlformats.org/officeDocument/2006/relationships/hyperlink" Target="https://pbs.twimg.com/profile_images/636901483401904128/cxbavncr_normal.jpg" TargetMode="External"/><Relationship Id="rId4123" Type="http://schemas.openxmlformats.org/officeDocument/2006/relationships/hyperlink" Target="https://twitter.com/samueljredman" TargetMode="External"/><Relationship Id="rId5451" Type="http://schemas.openxmlformats.org/officeDocument/2006/relationships/hyperlink" Target="https://twitter.com/rebekkahrubin/status/706246849720623104" TargetMode="External"/><Relationship Id="rId1098" Type="http://schemas.openxmlformats.org/officeDocument/2006/relationships/hyperlink" Target="https://twitter.com/samueljredman" TargetMode="External"/><Relationship Id="rId4122" Type="http://schemas.openxmlformats.org/officeDocument/2006/relationships/hyperlink" Target="https://pbs.twimg.com/profile_images/548193870278688768/8Dq7gW3U_normal.png" TargetMode="External"/><Relationship Id="rId5452" Type="http://schemas.openxmlformats.org/officeDocument/2006/relationships/hyperlink" Target="https://pbs.twimg.com/profile_images/700317732588408832/Ym_-neUi_normal.jpg" TargetMode="External"/><Relationship Id="rId1099" Type="http://schemas.openxmlformats.org/officeDocument/2006/relationships/hyperlink" Target="https://twitter.com/samueljredman/status/705835363286306816" TargetMode="External"/><Relationship Id="rId4125" Type="http://schemas.openxmlformats.org/officeDocument/2006/relationships/hyperlink" Target="https://pbs.twimg.com/profile_images/548193870278688768/8Dq7gW3U_normal.png" TargetMode="External"/><Relationship Id="rId5457" Type="http://schemas.openxmlformats.org/officeDocument/2006/relationships/hyperlink" Target="https://twitter.com/NicoNolden/status/706247291368312833" TargetMode="External"/><Relationship Id="rId4124" Type="http://schemas.openxmlformats.org/officeDocument/2006/relationships/hyperlink" Target="https://twitter.com/samueljredman/status/706136724427120640" TargetMode="External"/><Relationship Id="rId5458" Type="http://schemas.openxmlformats.org/officeDocument/2006/relationships/hyperlink" Target="https://pbs.twimg.com/profile_images/1792930381/Blitze_normal.jpg" TargetMode="External"/><Relationship Id="rId4127" Type="http://schemas.openxmlformats.org/officeDocument/2006/relationships/hyperlink" Target="https://twitter.com/pastpunditry/status/706136988714463232" TargetMode="External"/><Relationship Id="rId5455" Type="http://schemas.openxmlformats.org/officeDocument/2006/relationships/hyperlink" Target="https://pbs.twimg.com/profile_images/700317732588408832/Ym_-neUi_normal.jpg" TargetMode="External"/><Relationship Id="rId4126" Type="http://schemas.openxmlformats.org/officeDocument/2006/relationships/hyperlink" Target="https://twitter.com/pastpunditry" TargetMode="External"/><Relationship Id="rId5456" Type="http://schemas.openxmlformats.org/officeDocument/2006/relationships/hyperlink" Target="https://twitter.com/NicoNolden" TargetMode="External"/><Relationship Id="rId4118" Type="http://schemas.openxmlformats.org/officeDocument/2006/relationships/hyperlink" Target="https://twitter.com/pastpunditry/status/706136659188908032" TargetMode="External"/><Relationship Id="rId4117" Type="http://schemas.openxmlformats.org/officeDocument/2006/relationships/hyperlink" Target="https://twitter.com/pastpunditry" TargetMode="External"/><Relationship Id="rId5448" Type="http://schemas.openxmlformats.org/officeDocument/2006/relationships/hyperlink" Target="https://twitter.com/BronxBomber67/status/706246831005700096" TargetMode="External"/><Relationship Id="rId4119" Type="http://schemas.openxmlformats.org/officeDocument/2006/relationships/hyperlink" Target="https://pbs.twimg.com/profile_images/704873222802636800/7aFEMOY5_normal.jpg" TargetMode="External"/><Relationship Id="rId5449" Type="http://schemas.openxmlformats.org/officeDocument/2006/relationships/hyperlink" Target="https://pbs.twimg.com/profile_images/625456662741061632/MOgtZTpK_normal.jpg" TargetMode="External"/><Relationship Id="rId1080" Type="http://schemas.openxmlformats.org/officeDocument/2006/relationships/hyperlink" Target="https://twitter.com/pastpunditry" TargetMode="External"/><Relationship Id="rId1081" Type="http://schemas.openxmlformats.org/officeDocument/2006/relationships/hyperlink" Target="https://twitter.com/pastpunditry/status/705834162788368388" TargetMode="External"/><Relationship Id="rId1082" Type="http://schemas.openxmlformats.org/officeDocument/2006/relationships/hyperlink" Target="https://pbs.twimg.com/profile_images/704873222802636800/7aFEMOY5_normal.jpg" TargetMode="External"/><Relationship Id="rId1083" Type="http://schemas.openxmlformats.org/officeDocument/2006/relationships/hyperlink" Target="https://twitter.com/JulieThePH" TargetMode="External"/><Relationship Id="rId1084" Type="http://schemas.openxmlformats.org/officeDocument/2006/relationships/hyperlink" Target="https://twitter.com/JulieThePH/status/705834174691856384" TargetMode="External"/><Relationship Id="rId4110" Type="http://schemas.openxmlformats.org/officeDocument/2006/relationships/hyperlink" Target="https://pbs.twimg.com/profile_images/548193870278688768/8Dq7gW3U_normal.png" TargetMode="External"/><Relationship Id="rId5442" Type="http://schemas.openxmlformats.org/officeDocument/2006/relationships/hyperlink" Target="https://twitter.com/GHAUmass/status/706246557461553153" TargetMode="External"/><Relationship Id="rId1085" Type="http://schemas.openxmlformats.org/officeDocument/2006/relationships/hyperlink" Target="https://pbs.twimg.com/profile_images/596509974005686273/AqBblwMR_normal.jpg" TargetMode="External"/><Relationship Id="rId5443" Type="http://schemas.openxmlformats.org/officeDocument/2006/relationships/hyperlink" Target="https://pbs.twimg.com/profile_images/604060333590855682/Fk6r1D7d_normal.jpg" TargetMode="External"/><Relationship Id="rId1086" Type="http://schemas.openxmlformats.org/officeDocument/2006/relationships/hyperlink" Target="https://twitter.com/JulieThePH" TargetMode="External"/><Relationship Id="rId4112" Type="http://schemas.openxmlformats.org/officeDocument/2006/relationships/hyperlink" Target="https://twitter.com/samueljredman/status/706136537822601221" TargetMode="External"/><Relationship Id="rId5440" Type="http://schemas.openxmlformats.org/officeDocument/2006/relationships/hyperlink" Target="https://pbs.twimg.com/profile_images/700317732588408832/Ym_-neUi_normal.jpg" TargetMode="External"/><Relationship Id="rId1087" Type="http://schemas.openxmlformats.org/officeDocument/2006/relationships/hyperlink" Target="https://twitter.com/JulieThePH/status/705834769431597056" TargetMode="External"/><Relationship Id="rId4111" Type="http://schemas.openxmlformats.org/officeDocument/2006/relationships/hyperlink" Target="https://twitter.com/samueljredman" TargetMode="External"/><Relationship Id="rId5441" Type="http://schemas.openxmlformats.org/officeDocument/2006/relationships/hyperlink" Target="https://twitter.com/GHAUmass" TargetMode="External"/><Relationship Id="rId1088" Type="http://schemas.openxmlformats.org/officeDocument/2006/relationships/hyperlink" Target="https://pbs.twimg.com/profile_images/596509974005686273/AqBblwMR_normal.jpg" TargetMode="External"/><Relationship Id="rId4114" Type="http://schemas.openxmlformats.org/officeDocument/2006/relationships/hyperlink" Target="https://twitter.com/samueljredman" TargetMode="External"/><Relationship Id="rId5446" Type="http://schemas.openxmlformats.org/officeDocument/2006/relationships/hyperlink" Target="https://pbs.twimg.com/profile_images/563040278030712832/FIJIXZlI_normal.jpeg" TargetMode="External"/><Relationship Id="rId1089" Type="http://schemas.openxmlformats.org/officeDocument/2006/relationships/hyperlink" Target="https://twitter.com/pastpunditry" TargetMode="External"/><Relationship Id="rId4113" Type="http://schemas.openxmlformats.org/officeDocument/2006/relationships/hyperlink" Target="https://pbs.twimg.com/profile_images/548193870278688768/8Dq7gW3U_normal.png" TargetMode="External"/><Relationship Id="rId5447" Type="http://schemas.openxmlformats.org/officeDocument/2006/relationships/hyperlink" Target="https://twitter.com/BronxBomber67" TargetMode="External"/><Relationship Id="rId4116" Type="http://schemas.openxmlformats.org/officeDocument/2006/relationships/hyperlink" Target="https://pbs.twimg.com/profile_images/548193870278688768/8Dq7gW3U_normal.png" TargetMode="External"/><Relationship Id="rId5444" Type="http://schemas.openxmlformats.org/officeDocument/2006/relationships/hyperlink" Target="https://twitter.com/hollymsolis" TargetMode="External"/><Relationship Id="rId4115" Type="http://schemas.openxmlformats.org/officeDocument/2006/relationships/hyperlink" Target="https://twitter.com/samueljredman/status/706136632001433600" TargetMode="External"/><Relationship Id="rId5445" Type="http://schemas.openxmlformats.org/officeDocument/2006/relationships/hyperlink" Target="https://twitter.com/hollymsolis/status/706246571881435136" TargetMode="External"/><Relationship Id="rId5471" Type="http://schemas.openxmlformats.org/officeDocument/2006/relationships/hyperlink" Target="https://twitter.com/rebekkahrubin" TargetMode="External"/><Relationship Id="rId5472" Type="http://schemas.openxmlformats.org/officeDocument/2006/relationships/hyperlink" Target="https://twitter.com/rebekkahrubin/status/706248247413760000" TargetMode="External"/><Relationship Id="rId4141" Type="http://schemas.openxmlformats.org/officeDocument/2006/relationships/hyperlink" Target="https://twitter.com/pastpunditry" TargetMode="External"/><Relationship Id="rId4140" Type="http://schemas.openxmlformats.org/officeDocument/2006/relationships/hyperlink" Target="https://pbs.twimg.com/profile_images/3336454280/0c9d442a2158d076953a8a71c89854d7_normal.jpeg" TargetMode="External"/><Relationship Id="rId5470" Type="http://schemas.openxmlformats.org/officeDocument/2006/relationships/hyperlink" Target="https://pbs.twimg.com/profile_images/604060333590855682/Fk6r1D7d_normal.jpg" TargetMode="External"/><Relationship Id="rId4143" Type="http://schemas.openxmlformats.org/officeDocument/2006/relationships/hyperlink" Target="https://pbs.twimg.com/profile_images/704873222802636800/7aFEMOY5_normal.jpg" TargetMode="External"/><Relationship Id="rId5475" Type="http://schemas.openxmlformats.org/officeDocument/2006/relationships/hyperlink" Target="https://twitter.com/GHAUmass/status/706248265893847042" TargetMode="External"/><Relationship Id="rId4142" Type="http://schemas.openxmlformats.org/officeDocument/2006/relationships/hyperlink" Target="https://twitter.com/pastpunditry/status/706137861540724736" TargetMode="External"/><Relationship Id="rId5476" Type="http://schemas.openxmlformats.org/officeDocument/2006/relationships/hyperlink" Target="https://pbs.twimg.com/profile_images/604060333590855682/Fk6r1D7d_normal.jpg" TargetMode="External"/><Relationship Id="rId4145" Type="http://schemas.openxmlformats.org/officeDocument/2006/relationships/hyperlink" Target="https://twitter.com/pastpunditry/status/706138093594791936" TargetMode="External"/><Relationship Id="rId5473" Type="http://schemas.openxmlformats.org/officeDocument/2006/relationships/hyperlink" Target="https://pbs.twimg.com/profile_images/700317732588408832/Ym_-neUi_normal.jpg" TargetMode="External"/><Relationship Id="rId4144" Type="http://schemas.openxmlformats.org/officeDocument/2006/relationships/hyperlink" Target="https://twitter.com/pastpunditry" TargetMode="External"/><Relationship Id="rId5474" Type="http://schemas.openxmlformats.org/officeDocument/2006/relationships/hyperlink" Target="https://twitter.com/GHAUmass" TargetMode="External"/><Relationship Id="rId4147" Type="http://schemas.openxmlformats.org/officeDocument/2006/relationships/hyperlink" Target="https://twitter.com/pastpunditry" TargetMode="External"/><Relationship Id="rId5479" Type="http://schemas.openxmlformats.org/officeDocument/2006/relationships/hyperlink" Target="https://pbs.twimg.com/profile_images/604060333590855682/Fk6r1D7d_normal.jpg" TargetMode="External"/><Relationship Id="rId4146" Type="http://schemas.openxmlformats.org/officeDocument/2006/relationships/hyperlink" Target="https://pbs.twimg.com/profile_images/704873222802636800/7aFEMOY5_normal.jpg" TargetMode="External"/><Relationship Id="rId4149" Type="http://schemas.openxmlformats.org/officeDocument/2006/relationships/hyperlink" Target="https://pbs.twimg.com/profile_images/704873222802636800/7aFEMOY5_normal.jpg" TargetMode="External"/><Relationship Id="rId5477" Type="http://schemas.openxmlformats.org/officeDocument/2006/relationships/hyperlink" Target="https://twitter.com/GHAUmass" TargetMode="External"/><Relationship Id="rId4148" Type="http://schemas.openxmlformats.org/officeDocument/2006/relationships/hyperlink" Target="https://twitter.com/pastpunditry/status/706138216106205184" TargetMode="External"/><Relationship Id="rId5478" Type="http://schemas.openxmlformats.org/officeDocument/2006/relationships/hyperlink" Target="https://twitter.com/GHAUmass/status/706248328145666049" TargetMode="External"/><Relationship Id="rId4139" Type="http://schemas.openxmlformats.org/officeDocument/2006/relationships/hyperlink" Target="https://twitter.com/kramermj/status/706137597207298048" TargetMode="External"/><Relationship Id="rId5460" Type="http://schemas.openxmlformats.org/officeDocument/2006/relationships/hyperlink" Target="https://twitter.com/GHAUmass/status/706247446704291840" TargetMode="External"/><Relationship Id="rId5461" Type="http://schemas.openxmlformats.org/officeDocument/2006/relationships/hyperlink" Target="https://pbs.twimg.com/profile_images/604060333590855682/Fk6r1D7d_normal.jpg" TargetMode="External"/><Relationship Id="rId4130" Type="http://schemas.openxmlformats.org/officeDocument/2006/relationships/hyperlink" Target="https://twitter.com/pastpunditry/status/706137193966931968" TargetMode="External"/><Relationship Id="rId4132" Type="http://schemas.openxmlformats.org/officeDocument/2006/relationships/hyperlink" Target="https://twitter.com/JulieThePH" TargetMode="External"/><Relationship Id="rId5464" Type="http://schemas.openxmlformats.org/officeDocument/2006/relationships/hyperlink" Target="https://pbs.twimg.com/profile_images/604060333590855682/Fk6r1D7d_normal.jpg" TargetMode="External"/><Relationship Id="rId4131" Type="http://schemas.openxmlformats.org/officeDocument/2006/relationships/hyperlink" Target="https://pbs.twimg.com/profile_images/704873222802636800/7aFEMOY5_normal.jpg" TargetMode="External"/><Relationship Id="rId5465" Type="http://schemas.openxmlformats.org/officeDocument/2006/relationships/hyperlink" Target="https://twitter.com/erfagen" TargetMode="External"/><Relationship Id="rId4134" Type="http://schemas.openxmlformats.org/officeDocument/2006/relationships/hyperlink" Target="https://pbs.twimg.com/profile_images/596509974005686273/AqBblwMR_normal.jpg" TargetMode="External"/><Relationship Id="rId5462" Type="http://schemas.openxmlformats.org/officeDocument/2006/relationships/hyperlink" Target="https://twitter.com/GHAUmass" TargetMode="External"/><Relationship Id="rId4133" Type="http://schemas.openxmlformats.org/officeDocument/2006/relationships/hyperlink" Target="https://twitter.com/JulieThePH/status/706137445008580609" TargetMode="External"/><Relationship Id="rId5463" Type="http://schemas.openxmlformats.org/officeDocument/2006/relationships/hyperlink" Target="https://twitter.com/GHAUmass/status/706247462449782785" TargetMode="External"/><Relationship Id="rId4136" Type="http://schemas.openxmlformats.org/officeDocument/2006/relationships/hyperlink" Target="https://twitter.com/pastpunditry/status/706137473324343296" TargetMode="External"/><Relationship Id="rId5468" Type="http://schemas.openxmlformats.org/officeDocument/2006/relationships/hyperlink" Target="https://twitter.com/GHAUmass" TargetMode="External"/><Relationship Id="rId4135" Type="http://schemas.openxmlformats.org/officeDocument/2006/relationships/hyperlink" Target="https://twitter.com/pastpunditry" TargetMode="External"/><Relationship Id="rId5469" Type="http://schemas.openxmlformats.org/officeDocument/2006/relationships/hyperlink" Target="https://twitter.com/GHAUmass/status/706248227482423297" TargetMode="External"/><Relationship Id="rId4138" Type="http://schemas.openxmlformats.org/officeDocument/2006/relationships/hyperlink" Target="https://twitter.com/kramermj" TargetMode="External"/><Relationship Id="rId5466" Type="http://schemas.openxmlformats.org/officeDocument/2006/relationships/hyperlink" Target="https://twitter.com/erfagen/status/706248099916861440" TargetMode="External"/><Relationship Id="rId4137" Type="http://schemas.openxmlformats.org/officeDocument/2006/relationships/hyperlink" Target="https://pbs.twimg.com/profile_images/704873222802636800/7aFEMOY5_normal.jpg" TargetMode="External"/><Relationship Id="rId5467" Type="http://schemas.openxmlformats.org/officeDocument/2006/relationships/hyperlink" Target="https://pbs.twimg.com/profile_images/638086945722249217/mid_S_BQ_normal.jpg" TargetMode="External"/><Relationship Id="rId1972" Type="http://schemas.openxmlformats.org/officeDocument/2006/relationships/hyperlink" Target="https://twitter.com/GHAUmass/status/705921193187082240" TargetMode="External"/><Relationship Id="rId1973" Type="http://schemas.openxmlformats.org/officeDocument/2006/relationships/hyperlink" Target="https://pbs.twimg.com/profile_images/604060333590855682/Fk6r1D7d_normal.jpg" TargetMode="External"/><Relationship Id="rId1974" Type="http://schemas.openxmlformats.org/officeDocument/2006/relationships/hyperlink" Target="https://twitter.com/rebekkahrubin" TargetMode="External"/><Relationship Id="rId1975" Type="http://schemas.openxmlformats.org/officeDocument/2006/relationships/hyperlink" Target="https://twitter.com/rebekkahrubin/status/705921265039757312" TargetMode="External"/><Relationship Id="rId1976" Type="http://schemas.openxmlformats.org/officeDocument/2006/relationships/hyperlink" Target="https://pbs.twimg.com/profile_images/700317732588408832/Ym_-neUi_normal.jpg" TargetMode="External"/><Relationship Id="rId1977" Type="http://schemas.openxmlformats.org/officeDocument/2006/relationships/hyperlink" Target="https://twitter.com/GHAUmass" TargetMode="External"/><Relationship Id="rId1978" Type="http://schemas.openxmlformats.org/officeDocument/2006/relationships/hyperlink" Target="https://twitter.com/GHAUmass/status/705921269615689728" TargetMode="External"/><Relationship Id="rId1979" Type="http://schemas.openxmlformats.org/officeDocument/2006/relationships/hyperlink" Target="https://pbs.twimg.com/profile_images/604060333590855682/Fk6r1D7d_normal.jpg" TargetMode="External"/><Relationship Id="rId1970" Type="http://schemas.openxmlformats.org/officeDocument/2006/relationships/hyperlink" Target="https://pbs.twimg.com/profile_images/604060333590855682/Fk6r1D7d_normal.jpg" TargetMode="External"/><Relationship Id="rId1971" Type="http://schemas.openxmlformats.org/officeDocument/2006/relationships/hyperlink" Target="https://twitter.com/GHAUmass" TargetMode="External"/><Relationship Id="rId1961" Type="http://schemas.openxmlformats.org/officeDocument/2006/relationships/hyperlink" Target="https://pbs.twimg.com/profile_images/564445065573965824/Ec20w5KQ_normal.jpeg" TargetMode="External"/><Relationship Id="rId1962" Type="http://schemas.openxmlformats.org/officeDocument/2006/relationships/hyperlink" Target="https://twitter.com/JulieThePH" TargetMode="External"/><Relationship Id="rId1963" Type="http://schemas.openxmlformats.org/officeDocument/2006/relationships/hyperlink" Target="https://twitter.com/JulieThePH/status/705920932544647168" TargetMode="External"/><Relationship Id="rId1964" Type="http://schemas.openxmlformats.org/officeDocument/2006/relationships/hyperlink" Target="https://pbs.twimg.com/profile_images/596509974005686273/AqBblwMR_normal.jpg" TargetMode="External"/><Relationship Id="rId1965" Type="http://schemas.openxmlformats.org/officeDocument/2006/relationships/hyperlink" Target="https://twitter.com/juliegpeterson" TargetMode="External"/><Relationship Id="rId1966" Type="http://schemas.openxmlformats.org/officeDocument/2006/relationships/hyperlink" Target="https://twitter.com/juliegpeterson/status/705921119216394240" TargetMode="External"/><Relationship Id="rId1967" Type="http://schemas.openxmlformats.org/officeDocument/2006/relationships/hyperlink" Target="https://pbs.twimg.com/profile_images/609765839051452416/GNW0wSt0_normal.jpg" TargetMode="External"/><Relationship Id="rId1968" Type="http://schemas.openxmlformats.org/officeDocument/2006/relationships/hyperlink" Target="https://twitter.com/GHAUmass" TargetMode="External"/><Relationship Id="rId1969" Type="http://schemas.openxmlformats.org/officeDocument/2006/relationships/hyperlink" Target="https://twitter.com/GHAUmass/status/705921184173580288" TargetMode="External"/><Relationship Id="rId1960" Type="http://schemas.openxmlformats.org/officeDocument/2006/relationships/hyperlink" Target="https://twitter.com/ValleyNerdWatch/status/705920876210954241" TargetMode="External"/><Relationship Id="rId1994" Type="http://schemas.openxmlformats.org/officeDocument/2006/relationships/hyperlink" Target="https://pbs.twimg.com/profile_images/609765839051452416/GNW0wSt0_normal.jpg" TargetMode="External"/><Relationship Id="rId1995" Type="http://schemas.openxmlformats.org/officeDocument/2006/relationships/hyperlink" Target="https://twitter.com/GHAUmass" TargetMode="External"/><Relationship Id="rId1996" Type="http://schemas.openxmlformats.org/officeDocument/2006/relationships/hyperlink" Target="https://twitter.com/GHAUmass/status/705921512348454912" TargetMode="External"/><Relationship Id="rId1997" Type="http://schemas.openxmlformats.org/officeDocument/2006/relationships/hyperlink" Target="https://pbs.twimg.com/profile_images/604060333590855682/Fk6r1D7d_normal.jpg" TargetMode="External"/><Relationship Id="rId1998" Type="http://schemas.openxmlformats.org/officeDocument/2006/relationships/hyperlink" Target="https://twitter.com/magmidd" TargetMode="External"/><Relationship Id="rId1999" Type="http://schemas.openxmlformats.org/officeDocument/2006/relationships/hyperlink" Target="https://twitter.com/magmidd/status/705921576605122560" TargetMode="External"/><Relationship Id="rId1990" Type="http://schemas.openxmlformats.org/officeDocument/2006/relationships/hyperlink" Target="https://twitter.com/GHAUmass/status/705921472045387777" TargetMode="External"/><Relationship Id="rId1991" Type="http://schemas.openxmlformats.org/officeDocument/2006/relationships/hyperlink" Target="https://pbs.twimg.com/profile_images/604060333590855682/Fk6r1D7d_normal.jpg" TargetMode="External"/><Relationship Id="rId1992" Type="http://schemas.openxmlformats.org/officeDocument/2006/relationships/hyperlink" Target="https://twitter.com/juliegpeterson" TargetMode="External"/><Relationship Id="rId1993" Type="http://schemas.openxmlformats.org/officeDocument/2006/relationships/hyperlink" Target="https://twitter.com/juliegpeterson/status/705921473207267329" TargetMode="External"/><Relationship Id="rId1983" Type="http://schemas.openxmlformats.org/officeDocument/2006/relationships/hyperlink" Target="https://twitter.com/erfagen" TargetMode="External"/><Relationship Id="rId1984" Type="http://schemas.openxmlformats.org/officeDocument/2006/relationships/hyperlink" Target="https://twitter.com/erfagen/status/705921367347175424" TargetMode="External"/><Relationship Id="rId1985" Type="http://schemas.openxmlformats.org/officeDocument/2006/relationships/hyperlink" Target="https://pbs.twimg.com/profile_images/638086945722249217/mid_S_BQ_normal.jpg" TargetMode="External"/><Relationship Id="rId1986" Type="http://schemas.openxmlformats.org/officeDocument/2006/relationships/hyperlink" Target="https://twitter.com/defactofecteau" TargetMode="External"/><Relationship Id="rId1987" Type="http://schemas.openxmlformats.org/officeDocument/2006/relationships/hyperlink" Target="https://twitter.com/defactofecteau/status/705921385915420672" TargetMode="External"/><Relationship Id="rId1988" Type="http://schemas.openxmlformats.org/officeDocument/2006/relationships/hyperlink" Target="https://pbs.twimg.com/profile_images/434404729263648768/vsAZLFtj_normal.jpeg" TargetMode="External"/><Relationship Id="rId1989" Type="http://schemas.openxmlformats.org/officeDocument/2006/relationships/hyperlink" Target="https://twitter.com/GHAUmass" TargetMode="External"/><Relationship Id="rId1980" Type="http://schemas.openxmlformats.org/officeDocument/2006/relationships/hyperlink" Target="https://twitter.com/CitizenWald" TargetMode="External"/><Relationship Id="rId1981" Type="http://schemas.openxmlformats.org/officeDocument/2006/relationships/hyperlink" Target="https://twitter.com/CitizenWald/status/705921289643548672" TargetMode="External"/><Relationship Id="rId1982" Type="http://schemas.openxmlformats.org/officeDocument/2006/relationships/hyperlink" Target="https://pbs.twimg.com/profile_images/661220280564486144/ZxUrdRVS_normal.jpg" TargetMode="External"/><Relationship Id="rId1930" Type="http://schemas.openxmlformats.org/officeDocument/2006/relationships/hyperlink" Target="https://twitter.com/sheishistoric/status/705920317420670977" TargetMode="External"/><Relationship Id="rId1931" Type="http://schemas.openxmlformats.org/officeDocument/2006/relationships/hyperlink" Target="https://pbs.twimg.com/profile_images/650419150620377089/bJxBf---_normal.jpg" TargetMode="External"/><Relationship Id="rId1932" Type="http://schemas.openxmlformats.org/officeDocument/2006/relationships/hyperlink" Target="https://twitter.com/GHAUmass" TargetMode="External"/><Relationship Id="rId1933" Type="http://schemas.openxmlformats.org/officeDocument/2006/relationships/hyperlink" Target="https://twitter.com/GHAUmass/status/705920362589122560" TargetMode="External"/><Relationship Id="rId1934" Type="http://schemas.openxmlformats.org/officeDocument/2006/relationships/hyperlink" Target="https://pbs.twimg.com/profile_images/604060333590855682/Fk6r1D7d_normal.jpg" TargetMode="External"/><Relationship Id="rId1935" Type="http://schemas.openxmlformats.org/officeDocument/2006/relationships/hyperlink" Target="https://twitter.com/rebekkahrubin" TargetMode="External"/><Relationship Id="rId1936" Type="http://schemas.openxmlformats.org/officeDocument/2006/relationships/hyperlink" Target="https://twitter.com/rebekkahrubin/status/705920362719154177" TargetMode="External"/><Relationship Id="rId1937" Type="http://schemas.openxmlformats.org/officeDocument/2006/relationships/hyperlink" Target="https://pbs.twimg.com/profile_images/700317732588408832/Ym_-neUi_normal.jpg" TargetMode="External"/><Relationship Id="rId1938" Type="http://schemas.openxmlformats.org/officeDocument/2006/relationships/hyperlink" Target="https://twitter.com/erfagen" TargetMode="External"/><Relationship Id="rId1939" Type="http://schemas.openxmlformats.org/officeDocument/2006/relationships/hyperlink" Target="https://twitter.com/erfagen/status/705920368578568193" TargetMode="External"/><Relationship Id="rId1920" Type="http://schemas.openxmlformats.org/officeDocument/2006/relationships/hyperlink" Target="https://twitter.com/JulieThePH" TargetMode="External"/><Relationship Id="rId1921" Type="http://schemas.openxmlformats.org/officeDocument/2006/relationships/hyperlink" Target="https://twitter.com/JulieThePH/status/705920171911811072" TargetMode="External"/><Relationship Id="rId1922" Type="http://schemas.openxmlformats.org/officeDocument/2006/relationships/hyperlink" Target="https://pbs.twimg.com/profile_images/596509974005686273/AqBblwMR_normal.jpg" TargetMode="External"/><Relationship Id="rId1923" Type="http://schemas.openxmlformats.org/officeDocument/2006/relationships/hyperlink" Target="https://twitter.com/GHAUmass" TargetMode="External"/><Relationship Id="rId1924" Type="http://schemas.openxmlformats.org/officeDocument/2006/relationships/hyperlink" Target="https://twitter.com/GHAUmass/status/705920177972645889" TargetMode="External"/><Relationship Id="rId1925" Type="http://schemas.openxmlformats.org/officeDocument/2006/relationships/hyperlink" Target="https://pbs.twimg.com/profile_images/604060333590855682/Fk6r1D7d_normal.jpg" TargetMode="External"/><Relationship Id="rId1926" Type="http://schemas.openxmlformats.org/officeDocument/2006/relationships/hyperlink" Target="https://twitter.com/GHAUmass" TargetMode="External"/><Relationship Id="rId1927" Type="http://schemas.openxmlformats.org/officeDocument/2006/relationships/hyperlink" Target="https://twitter.com/GHAUmass/status/705920206271434752" TargetMode="External"/><Relationship Id="rId1928" Type="http://schemas.openxmlformats.org/officeDocument/2006/relationships/hyperlink" Target="https://pbs.twimg.com/profile_images/604060333590855682/Fk6r1D7d_normal.jpg" TargetMode="External"/><Relationship Id="rId1929" Type="http://schemas.openxmlformats.org/officeDocument/2006/relationships/hyperlink" Target="https://twitter.com/sheishistoric" TargetMode="External"/><Relationship Id="rId4190" Type="http://schemas.openxmlformats.org/officeDocument/2006/relationships/hyperlink" Target="https://twitter.com/GHAUmass/status/706143051815768064" TargetMode="External"/><Relationship Id="rId4192" Type="http://schemas.openxmlformats.org/officeDocument/2006/relationships/hyperlink" Target="https://twitter.com/GHAUmass" TargetMode="External"/><Relationship Id="rId4191" Type="http://schemas.openxmlformats.org/officeDocument/2006/relationships/hyperlink" Target="https://pbs.twimg.com/profile_images/604060333590855682/Fk6r1D7d_normal.jpg" TargetMode="External"/><Relationship Id="rId4194" Type="http://schemas.openxmlformats.org/officeDocument/2006/relationships/hyperlink" Target="https://pbs.twimg.com/profile_images/604060333590855682/Fk6r1D7d_normal.jpg" TargetMode="External"/><Relationship Id="rId4193" Type="http://schemas.openxmlformats.org/officeDocument/2006/relationships/hyperlink" Target="https://twitter.com/GHAUmass/status/706143088260075521" TargetMode="External"/><Relationship Id="rId4196" Type="http://schemas.openxmlformats.org/officeDocument/2006/relationships/hyperlink" Target="https://twitter.com/GHAUmass/status/706143097273638912" TargetMode="External"/><Relationship Id="rId4195" Type="http://schemas.openxmlformats.org/officeDocument/2006/relationships/hyperlink" Target="https://twitter.com/GHAUmass" TargetMode="External"/><Relationship Id="rId4198" Type="http://schemas.openxmlformats.org/officeDocument/2006/relationships/hyperlink" Target="https://twitter.com/GHAUmass" TargetMode="External"/><Relationship Id="rId4197" Type="http://schemas.openxmlformats.org/officeDocument/2006/relationships/hyperlink" Target="https://pbs.twimg.com/profile_images/604060333590855682/Fk6r1D7d_normal.jpg" TargetMode="External"/><Relationship Id="rId4199" Type="http://schemas.openxmlformats.org/officeDocument/2006/relationships/hyperlink" Target="https://twitter.com/GHAUmass/status/706143132740624385" TargetMode="External"/><Relationship Id="rId1950" Type="http://schemas.openxmlformats.org/officeDocument/2006/relationships/hyperlink" Target="https://twitter.com/GHAUmass" TargetMode="External"/><Relationship Id="rId1951" Type="http://schemas.openxmlformats.org/officeDocument/2006/relationships/hyperlink" Target="https://twitter.com/GHAUmass/status/705920651635396609" TargetMode="External"/><Relationship Id="rId1952" Type="http://schemas.openxmlformats.org/officeDocument/2006/relationships/hyperlink" Target="https://pbs.twimg.com/profile_images/604060333590855682/Fk6r1D7d_normal.jpg" TargetMode="External"/><Relationship Id="rId1953" Type="http://schemas.openxmlformats.org/officeDocument/2006/relationships/hyperlink" Target="https://twitter.com/juliegpeterson" TargetMode="External"/><Relationship Id="rId1954" Type="http://schemas.openxmlformats.org/officeDocument/2006/relationships/hyperlink" Target="https://twitter.com/juliegpeterson/status/705920675878408194" TargetMode="External"/><Relationship Id="rId1955" Type="http://schemas.openxmlformats.org/officeDocument/2006/relationships/hyperlink" Target="https://pbs.twimg.com/profile_images/609765839051452416/GNW0wSt0_normal.jpg" TargetMode="External"/><Relationship Id="rId1956" Type="http://schemas.openxmlformats.org/officeDocument/2006/relationships/hyperlink" Target="https://twitter.com/sheishistoric" TargetMode="External"/><Relationship Id="rId1957" Type="http://schemas.openxmlformats.org/officeDocument/2006/relationships/hyperlink" Target="https://twitter.com/sheishistoric/status/705920713711083521" TargetMode="External"/><Relationship Id="rId1958" Type="http://schemas.openxmlformats.org/officeDocument/2006/relationships/hyperlink" Target="https://pbs.twimg.com/profile_images/650419150620377089/bJxBf---_normal.jpg" TargetMode="External"/><Relationship Id="rId1959" Type="http://schemas.openxmlformats.org/officeDocument/2006/relationships/hyperlink" Target="https://twitter.com/ValleyNerdWatch" TargetMode="External"/><Relationship Id="rId1940" Type="http://schemas.openxmlformats.org/officeDocument/2006/relationships/hyperlink" Target="https://pbs.twimg.com/profile_images/638086945722249217/mid_S_BQ_normal.jpg" TargetMode="External"/><Relationship Id="rId1941" Type="http://schemas.openxmlformats.org/officeDocument/2006/relationships/hyperlink" Target="https://twitter.com/JulieThePH" TargetMode="External"/><Relationship Id="rId1942" Type="http://schemas.openxmlformats.org/officeDocument/2006/relationships/hyperlink" Target="https://twitter.com/JulieThePH/status/705920429114970112" TargetMode="External"/><Relationship Id="rId1943" Type="http://schemas.openxmlformats.org/officeDocument/2006/relationships/hyperlink" Target="https://pbs.twimg.com/profile_images/596509974005686273/AqBblwMR_normal.jpg" TargetMode="External"/><Relationship Id="rId1944" Type="http://schemas.openxmlformats.org/officeDocument/2006/relationships/hyperlink" Target="https://twitter.com/lizl_genealogy" TargetMode="External"/><Relationship Id="rId1945" Type="http://schemas.openxmlformats.org/officeDocument/2006/relationships/hyperlink" Target="https://twitter.com/lizl_genealogy/status/705920500657074176" TargetMode="External"/><Relationship Id="rId1946" Type="http://schemas.openxmlformats.org/officeDocument/2006/relationships/hyperlink" Target="https://pbs.twimg.com/profile_images/2700002859/1f2d610ddaf1f03ac7d033dd83847b45_normal.jpeg" TargetMode="External"/><Relationship Id="rId1947" Type="http://schemas.openxmlformats.org/officeDocument/2006/relationships/hyperlink" Target="https://twitter.com/GHAUmass" TargetMode="External"/><Relationship Id="rId1948" Type="http://schemas.openxmlformats.org/officeDocument/2006/relationships/hyperlink" Target="https://twitter.com/GHAUmass/status/705920621478342657" TargetMode="External"/><Relationship Id="rId1949" Type="http://schemas.openxmlformats.org/officeDocument/2006/relationships/hyperlink" Target="https://pbs.twimg.com/profile_images/604060333590855682/Fk6r1D7d_normal.jpg" TargetMode="External"/><Relationship Id="rId2423" Type="http://schemas.openxmlformats.org/officeDocument/2006/relationships/hyperlink" Target="https://twitter.com/rebekkahrubin/status/705925597961265156" TargetMode="External"/><Relationship Id="rId3755" Type="http://schemas.openxmlformats.org/officeDocument/2006/relationships/hyperlink" Target="https://twitter.com/samueljredman/status/705955764305842176" TargetMode="External"/><Relationship Id="rId2424" Type="http://schemas.openxmlformats.org/officeDocument/2006/relationships/hyperlink" Target="https://pbs.twimg.com/profile_images/700317732588408832/Ym_-neUi_normal.jpg" TargetMode="External"/><Relationship Id="rId3754" Type="http://schemas.openxmlformats.org/officeDocument/2006/relationships/hyperlink" Target="https://twitter.com/samueljredman" TargetMode="External"/><Relationship Id="rId2425" Type="http://schemas.openxmlformats.org/officeDocument/2006/relationships/hyperlink" Target="https://twitter.com/pastpunditry" TargetMode="External"/><Relationship Id="rId3757" Type="http://schemas.openxmlformats.org/officeDocument/2006/relationships/hyperlink" Target="https://twitter.com/samueljredman" TargetMode="External"/><Relationship Id="rId2426" Type="http://schemas.openxmlformats.org/officeDocument/2006/relationships/hyperlink" Target="https://twitter.com/pastpunditry/status/705925632186826753" TargetMode="External"/><Relationship Id="rId3756" Type="http://schemas.openxmlformats.org/officeDocument/2006/relationships/hyperlink" Target="https://pbs.twimg.com/profile_images/548193870278688768/8Dq7gW3U_normal.png" TargetMode="External"/><Relationship Id="rId2427" Type="http://schemas.openxmlformats.org/officeDocument/2006/relationships/hyperlink" Target="https://pbs.twimg.com/profile_images/704873222802636800/7aFEMOY5_normal.jpg" TargetMode="External"/><Relationship Id="rId3759" Type="http://schemas.openxmlformats.org/officeDocument/2006/relationships/hyperlink" Target="https://pbs.twimg.com/profile_images/548193870278688768/8Dq7gW3U_normal.png" TargetMode="External"/><Relationship Id="rId2428" Type="http://schemas.openxmlformats.org/officeDocument/2006/relationships/hyperlink" Target="https://twitter.com/pastpunditry" TargetMode="External"/><Relationship Id="rId3758" Type="http://schemas.openxmlformats.org/officeDocument/2006/relationships/hyperlink" Target="https://twitter.com/samueljredman/status/705955808446693377" TargetMode="External"/><Relationship Id="rId2429" Type="http://schemas.openxmlformats.org/officeDocument/2006/relationships/hyperlink" Target="https://twitter.com/pastpunditry/status/705925650629025793" TargetMode="External"/><Relationship Id="rId509" Type="http://schemas.openxmlformats.org/officeDocument/2006/relationships/hyperlink" Target="https://pbs.twimg.com/profile_images/378800000667891782/44d7b181c077bf16ab07b242f7ad81b9_normal.png" TargetMode="External"/><Relationship Id="rId508" Type="http://schemas.openxmlformats.org/officeDocument/2006/relationships/hyperlink" Target="https://twitter.com/JimGrossmanAHA/status/705778486930235392" TargetMode="External"/><Relationship Id="rId503" Type="http://schemas.openxmlformats.org/officeDocument/2006/relationships/hyperlink" Target="https://pbs.twimg.com/profile_images/1762571664/POY_photo_-_web_normal.jpg" TargetMode="External"/><Relationship Id="rId502" Type="http://schemas.openxmlformats.org/officeDocument/2006/relationships/hyperlink" Target="https://twitter.com/mattdelmont/status/705778300992393217" TargetMode="External"/><Relationship Id="rId501" Type="http://schemas.openxmlformats.org/officeDocument/2006/relationships/hyperlink" Target="https://twitter.com/mattdelmont" TargetMode="External"/><Relationship Id="rId500" Type="http://schemas.openxmlformats.org/officeDocument/2006/relationships/hyperlink" Target="https://pbs.twimg.com/profile_images/704873222802636800/7aFEMOY5_normal.jpg" TargetMode="External"/><Relationship Id="rId507" Type="http://schemas.openxmlformats.org/officeDocument/2006/relationships/hyperlink" Target="https://twitter.com/JimGrossmanAHA" TargetMode="External"/><Relationship Id="rId506" Type="http://schemas.openxmlformats.org/officeDocument/2006/relationships/hyperlink" Target="https://pbs.twimg.com/profile_images/378800000149111881/7969acf9cec4197748b502a6a6c3d921_normal.jpeg" TargetMode="External"/><Relationship Id="rId505" Type="http://schemas.openxmlformats.org/officeDocument/2006/relationships/hyperlink" Target="https://twitter.com/AmandaMoniz1/status/705778459436576768" TargetMode="External"/><Relationship Id="rId504" Type="http://schemas.openxmlformats.org/officeDocument/2006/relationships/hyperlink" Target="https://twitter.com/AmandaMoniz1" TargetMode="External"/><Relationship Id="rId3751" Type="http://schemas.openxmlformats.org/officeDocument/2006/relationships/hyperlink" Target="https://twitter.com/samueljredman" TargetMode="External"/><Relationship Id="rId2420" Type="http://schemas.openxmlformats.org/officeDocument/2006/relationships/hyperlink" Target="https://twitter.com/jamiaw/status/705925588662538240" TargetMode="External"/><Relationship Id="rId3750" Type="http://schemas.openxmlformats.org/officeDocument/2006/relationships/hyperlink" Target="https://pbs.twimg.com/profile_images/596509974005686273/AqBblwMR_normal.jpg" TargetMode="External"/><Relationship Id="rId2421" Type="http://schemas.openxmlformats.org/officeDocument/2006/relationships/hyperlink" Target="https://pbs.twimg.com/profile_images/701102020061753344/5zH70uem_normal.jpg" TargetMode="External"/><Relationship Id="rId3753" Type="http://schemas.openxmlformats.org/officeDocument/2006/relationships/hyperlink" Target="https://pbs.twimg.com/profile_images/548193870278688768/8Dq7gW3U_normal.png" TargetMode="External"/><Relationship Id="rId2422" Type="http://schemas.openxmlformats.org/officeDocument/2006/relationships/hyperlink" Target="https://twitter.com/rebekkahrubin" TargetMode="External"/><Relationship Id="rId3752" Type="http://schemas.openxmlformats.org/officeDocument/2006/relationships/hyperlink" Target="https://twitter.com/samueljredman/status/705955530599239680" TargetMode="External"/><Relationship Id="rId2412" Type="http://schemas.openxmlformats.org/officeDocument/2006/relationships/hyperlink" Target="https://pbs.twimg.com/profile_images/604060333590855682/Fk6r1D7d_normal.jpg" TargetMode="External"/><Relationship Id="rId3744" Type="http://schemas.openxmlformats.org/officeDocument/2006/relationships/hyperlink" Target="https://pbs.twimg.com/profile_images/596509974005686273/AqBblwMR_normal.jpg" TargetMode="External"/><Relationship Id="rId2413" Type="http://schemas.openxmlformats.org/officeDocument/2006/relationships/hyperlink" Target="https://twitter.com/erfagen" TargetMode="External"/><Relationship Id="rId3743" Type="http://schemas.openxmlformats.org/officeDocument/2006/relationships/hyperlink" Target="https://twitter.com/JulieThePH/status/705955126658342913" TargetMode="External"/><Relationship Id="rId2414" Type="http://schemas.openxmlformats.org/officeDocument/2006/relationships/hyperlink" Target="https://twitter.com/erfagen/status/705925535139033092" TargetMode="External"/><Relationship Id="rId3746" Type="http://schemas.openxmlformats.org/officeDocument/2006/relationships/hyperlink" Target="https://twitter.com/JulieThePH/status/705955371270201344" TargetMode="External"/><Relationship Id="rId2415" Type="http://schemas.openxmlformats.org/officeDocument/2006/relationships/hyperlink" Target="https://pbs.twimg.com/profile_images/638086945722249217/mid_S_BQ_normal.jpg" TargetMode="External"/><Relationship Id="rId3745" Type="http://schemas.openxmlformats.org/officeDocument/2006/relationships/hyperlink" Target="https://twitter.com/JulieThePH" TargetMode="External"/><Relationship Id="rId2416" Type="http://schemas.openxmlformats.org/officeDocument/2006/relationships/hyperlink" Target="https://twitter.com/jamiaw" TargetMode="External"/><Relationship Id="rId3748" Type="http://schemas.openxmlformats.org/officeDocument/2006/relationships/hyperlink" Target="https://twitter.com/JulieThePH" TargetMode="External"/><Relationship Id="rId2417" Type="http://schemas.openxmlformats.org/officeDocument/2006/relationships/hyperlink" Target="https://twitter.com/jamiaw/status/705925559335972864" TargetMode="External"/><Relationship Id="rId3747" Type="http://schemas.openxmlformats.org/officeDocument/2006/relationships/hyperlink" Target="https://pbs.twimg.com/profile_images/596509974005686273/AqBblwMR_normal.jpg" TargetMode="External"/><Relationship Id="rId2418" Type="http://schemas.openxmlformats.org/officeDocument/2006/relationships/hyperlink" Target="https://pbs.twimg.com/profile_images/701102020061753344/5zH70uem_normal.jpg" TargetMode="External"/><Relationship Id="rId2419" Type="http://schemas.openxmlformats.org/officeDocument/2006/relationships/hyperlink" Target="https://twitter.com/jamiaw" TargetMode="External"/><Relationship Id="rId3749" Type="http://schemas.openxmlformats.org/officeDocument/2006/relationships/hyperlink" Target="https://twitter.com/JulieThePH/status/705955461674213376" TargetMode="External"/><Relationship Id="rId3740" Type="http://schemas.openxmlformats.org/officeDocument/2006/relationships/hyperlink" Target="https://twitter.com/JulieThePH/status/705955090276999168" TargetMode="External"/><Relationship Id="rId2410" Type="http://schemas.openxmlformats.org/officeDocument/2006/relationships/hyperlink" Target="https://twitter.com/GHAUmass" TargetMode="External"/><Relationship Id="rId3742" Type="http://schemas.openxmlformats.org/officeDocument/2006/relationships/hyperlink" Target="https://twitter.com/JulieThePH" TargetMode="External"/><Relationship Id="rId2411" Type="http://schemas.openxmlformats.org/officeDocument/2006/relationships/hyperlink" Target="https://twitter.com/GHAUmass/status/705925495611920384" TargetMode="External"/><Relationship Id="rId3741" Type="http://schemas.openxmlformats.org/officeDocument/2006/relationships/hyperlink" Target="https://pbs.twimg.com/profile_images/596509974005686273/AqBblwMR_normal.jpg" TargetMode="External"/><Relationship Id="rId1114" Type="http://schemas.openxmlformats.org/officeDocument/2006/relationships/hyperlink" Target="https://twitter.com/pastpunditry/status/705835506207232000" TargetMode="External"/><Relationship Id="rId2445" Type="http://schemas.openxmlformats.org/officeDocument/2006/relationships/hyperlink" Target="https://pbs.twimg.com/profile_images/650419150620377089/bJxBf---_normal.jpg" TargetMode="External"/><Relationship Id="rId3777" Type="http://schemas.openxmlformats.org/officeDocument/2006/relationships/hyperlink" Target="https://pbs.twimg.com/profile_images/705222524813103104/tNDTi1aI_normal.jpg" TargetMode="External"/><Relationship Id="rId1115" Type="http://schemas.openxmlformats.org/officeDocument/2006/relationships/hyperlink" Target="https://pbs.twimg.com/profile_images/704873222802636800/7aFEMOY5_normal.jpg" TargetMode="External"/><Relationship Id="rId2446" Type="http://schemas.openxmlformats.org/officeDocument/2006/relationships/hyperlink" Target="https://twitter.com/pastpunditry" TargetMode="External"/><Relationship Id="rId3776" Type="http://schemas.openxmlformats.org/officeDocument/2006/relationships/hyperlink" Target="https://twitter.com/MaryMahoney123/status/705957142709334016" TargetMode="External"/><Relationship Id="rId1116" Type="http://schemas.openxmlformats.org/officeDocument/2006/relationships/hyperlink" Target="https://twitter.com/historycampaign" TargetMode="External"/><Relationship Id="rId2447" Type="http://schemas.openxmlformats.org/officeDocument/2006/relationships/hyperlink" Target="https://twitter.com/pastpunditry/status/705925799396909056" TargetMode="External"/><Relationship Id="rId3779" Type="http://schemas.openxmlformats.org/officeDocument/2006/relationships/hyperlink" Target="https://twitter.com/JohnFea1/status/705957847746617344" TargetMode="External"/><Relationship Id="rId1117" Type="http://schemas.openxmlformats.org/officeDocument/2006/relationships/hyperlink" Target="https://twitter.com/historycampaign/status/705836123906564100" TargetMode="External"/><Relationship Id="rId2448" Type="http://schemas.openxmlformats.org/officeDocument/2006/relationships/hyperlink" Target="https://pbs.twimg.com/profile_images/704873222802636800/7aFEMOY5_normal.jpg" TargetMode="External"/><Relationship Id="rId3778" Type="http://schemas.openxmlformats.org/officeDocument/2006/relationships/hyperlink" Target="https://twitter.com/JohnFea1" TargetMode="External"/><Relationship Id="rId1118" Type="http://schemas.openxmlformats.org/officeDocument/2006/relationships/hyperlink" Target="https://pbs.twimg.com/profile_images/673691030139609088/8v7ab61D_normal.jpg" TargetMode="External"/><Relationship Id="rId2449" Type="http://schemas.openxmlformats.org/officeDocument/2006/relationships/hyperlink" Target="https://twitter.com/sheishistoric" TargetMode="External"/><Relationship Id="rId1119" Type="http://schemas.openxmlformats.org/officeDocument/2006/relationships/hyperlink" Target="https://twitter.com/samueljredman" TargetMode="External"/><Relationship Id="rId525" Type="http://schemas.openxmlformats.org/officeDocument/2006/relationships/hyperlink" Target="https://twitter.com/AmandaMoniz1" TargetMode="External"/><Relationship Id="rId524" Type="http://schemas.openxmlformats.org/officeDocument/2006/relationships/hyperlink" Target="https://pbs.twimg.com/profile_images/378800000667891782/44d7b181c077bf16ab07b242f7ad81b9_normal.png" TargetMode="External"/><Relationship Id="rId523" Type="http://schemas.openxmlformats.org/officeDocument/2006/relationships/hyperlink" Target="https://twitter.com/JimGrossmanAHA/status/705778955031339009" TargetMode="External"/><Relationship Id="rId522" Type="http://schemas.openxmlformats.org/officeDocument/2006/relationships/hyperlink" Target="https://twitter.com/JimGrossmanAHA" TargetMode="External"/><Relationship Id="rId529" Type="http://schemas.openxmlformats.org/officeDocument/2006/relationships/hyperlink" Target="https://twitter.com/AmandaMoniz1/status/705779156576051202" TargetMode="External"/><Relationship Id="rId528" Type="http://schemas.openxmlformats.org/officeDocument/2006/relationships/hyperlink" Target="https://twitter.com/AmandaMoniz1" TargetMode="External"/><Relationship Id="rId527" Type="http://schemas.openxmlformats.org/officeDocument/2006/relationships/hyperlink" Target="https://pbs.twimg.com/profile_images/378800000149111881/7969acf9cec4197748b502a6a6c3d921_normal.jpeg" TargetMode="External"/><Relationship Id="rId526" Type="http://schemas.openxmlformats.org/officeDocument/2006/relationships/hyperlink" Target="https://twitter.com/AmandaMoniz1/status/705779133482201088" TargetMode="External"/><Relationship Id="rId3771" Type="http://schemas.openxmlformats.org/officeDocument/2006/relationships/hyperlink" Target="https://pbs.twimg.com/profile_images/2090305941/Fea_speaking_normal.jpg" TargetMode="External"/><Relationship Id="rId2440" Type="http://schemas.openxmlformats.org/officeDocument/2006/relationships/hyperlink" Target="https://twitter.com/JulieThePH" TargetMode="External"/><Relationship Id="rId3770" Type="http://schemas.openxmlformats.org/officeDocument/2006/relationships/hyperlink" Target="https://twitter.com/JohnFea1/status/705956818229534720" TargetMode="External"/><Relationship Id="rId521" Type="http://schemas.openxmlformats.org/officeDocument/2006/relationships/hyperlink" Target="https://pbs.twimg.com/profile_images/596509974005686273/AqBblwMR_normal.jpg" TargetMode="External"/><Relationship Id="rId1110" Type="http://schemas.openxmlformats.org/officeDocument/2006/relationships/hyperlink" Target="https://twitter.com/jbjhistory" TargetMode="External"/><Relationship Id="rId2441" Type="http://schemas.openxmlformats.org/officeDocument/2006/relationships/hyperlink" Target="https://twitter.com/JulieThePH/status/705925745667923968" TargetMode="External"/><Relationship Id="rId3773" Type="http://schemas.openxmlformats.org/officeDocument/2006/relationships/hyperlink" Target="https://twitter.com/JohnFea1/status/705957101097635840" TargetMode="External"/><Relationship Id="rId520" Type="http://schemas.openxmlformats.org/officeDocument/2006/relationships/hyperlink" Target="https://twitter.com/JulieThePH/status/705778913889394688" TargetMode="External"/><Relationship Id="rId1111" Type="http://schemas.openxmlformats.org/officeDocument/2006/relationships/hyperlink" Target="https://twitter.com/jbjhistory/status/705835505921957892" TargetMode="External"/><Relationship Id="rId2442" Type="http://schemas.openxmlformats.org/officeDocument/2006/relationships/hyperlink" Target="https://pbs.twimg.com/profile_images/596509974005686273/AqBblwMR_normal.jpg" TargetMode="External"/><Relationship Id="rId3772" Type="http://schemas.openxmlformats.org/officeDocument/2006/relationships/hyperlink" Target="https://twitter.com/JohnFea1" TargetMode="External"/><Relationship Id="rId1112" Type="http://schemas.openxmlformats.org/officeDocument/2006/relationships/hyperlink" Target="https://pbs.twimg.com/profile_images/572584579542691840/6QE8hkeK_normal.jpeg" TargetMode="External"/><Relationship Id="rId2443" Type="http://schemas.openxmlformats.org/officeDocument/2006/relationships/hyperlink" Target="https://twitter.com/sheishistoric" TargetMode="External"/><Relationship Id="rId3775" Type="http://schemas.openxmlformats.org/officeDocument/2006/relationships/hyperlink" Target="https://twitter.com/MaryMahoney123" TargetMode="External"/><Relationship Id="rId1113" Type="http://schemas.openxmlformats.org/officeDocument/2006/relationships/hyperlink" Target="https://twitter.com/pastpunditry" TargetMode="External"/><Relationship Id="rId2444" Type="http://schemas.openxmlformats.org/officeDocument/2006/relationships/hyperlink" Target="https://twitter.com/sheishistoric/status/705925764580044800" TargetMode="External"/><Relationship Id="rId3774" Type="http://schemas.openxmlformats.org/officeDocument/2006/relationships/hyperlink" Target="https://pbs.twimg.com/profile_images/2090305941/Fea_speaking_normal.jpg" TargetMode="External"/><Relationship Id="rId1103" Type="http://schemas.openxmlformats.org/officeDocument/2006/relationships/hyperlink" Target="https://pbs.twimg.com/profile_images/548193870278688768/8Dq7gW3U_normal.png" TargetMode="External"/><Relationship Id="rId2434" Type="http://schemas.openxmlformats.org/officeDocument/2006/relationships/hyperlink" Target="https://twitter.com/sheishistoric" TargetMode="External"/><Relationship Id="rId3766" Type="http://schemas.openxmlformats.org/officeDocument/2006/relationships/hyperlink" Target="https://twitter.com/DavidKieran2" TargetMode="External"/><Relationship Id="rId1104" Type="http://schemas.openxmlformats.org/officeDocument/2006/relationships/hyperlink" Target="https://twitter.com/samueljredman" TargetMode="External"/><Relationship Id="rId2435" Type="http://schemas.openxmlformats.org/officeDocument/2006/relationships/hyperlink" Target="https://twitter.com/sheishistoric/status/705925716169375744" TargetMode="External"/><Relationship Id="rId3765" Type="http://schemas.openxmlformats.org/officeDocument/2006/relationships/hyperlink" Target="https://pbs.twimg.com/profile_images/2090305941/Fea_speaking_normal.jpg" TargetMode="External"/><Relationship Id="rId1105" Type="http://schemas.openxmlformats.org/officeDocument/2006/relationships/hyperlink" Target="https://twitter.com/samueljredman/status/705835413743792128" TargetMode="External"/><Relationship Id="rId2436" Type="http://schemas.openxmlformats.org/officeDocument/2006/relationships/hyperlink" Target="https://pbs.twimg.com/profile_images/650419150620377089/bJxBf---_normal.jpg" TargetMode="External"/><Relationship Id="rId3768" Type="http://schemas.openxmlformats.org/officeDocument/2006/relationships/hyperlink" Target="https://pbs.twimg.com/profile_images/558743318675210240/-qdSq-CW_normal.jpeg" TargetMode="External"/><Relationship Id="rId1106" Type="http://schemas.openxmlformats.org/officeDocument/2006/relationships/hyperlink" Target="https://pbs.twimg.com/profile_images/548193870278688768/8Dq7gW3U_normal.png" TargetMode="External"/><Relationship Id="rId2437" Type="http://schemas.openxmlformats.org/officeDocument/2006/relationships/hyperlink" Target="https://twitter.com/juliegpeterson" TargetMode="External"/><Relationship Id="rId3767" Type="http://schemas.openxmlformats.org/officeDocument/2006/relationships/hyperlink" Target="https://twitter.com/DavidKieran2/status/705956651551952896" TargetMode="External"/><Relationship Id="rId1107" Type="http://schemas.openxmlformats.org/officeDocument/2006/relationships/hyperlink" Target="https://twitter.com/samueljredman" TargetMode="External"/><Relationship Id="rId2438" Type="http://schemas.openxmlformats.org/officeDocument/2006/relationships/hyperlink" Target="https://twitter.com/juliegpeterson/status/705925725572829184" TargetMode="External"/><Relationship Id="rId1108" Type="http://schemas.openxmlformats.org/officeDocument/2006/relationships/hyperlink" Target="https://twitter.com/samueljredman/status/705835425802412032" TargetMode="External"/><Relationship Id="rId2439" Type="http://schemas.openxmlformats.org/officeDocument/2006/relationships/hyperlink" Target="https://pbs.twimg.com/profile_images/609765839051452416/GNW0wSt0_normal.jpg" TargetMode="External"/><Relationship Id="rId3769" Type="http://schemas.openxmlformats.org/officeDocument/2006/relationships/hyperlink" Target="https://twitter.com/JohnFea1" TargetMode="External"/><Relationship Id="rId1109" Type="http://schemas.openxmlformats.org/officeDocument/2006/relationships/hyperlink" Target="https://pbs.twimg.com/profile_images/548193870278688768/8Dq7gW3U_normal.png" TargetMode="External"/><Relationship Id="rId519" Type="http://schemas.openxmlformats.org/officeDocument/2006/relationships/hyperlink" Target="https://twitter.com/JulieThePH" TargetMode="External"/><Relationship Id="rId514" Type="http://schemas.openxmlformats.org/officeDocument/2006/relationships/hyperlink" Target="https://twitter.com/pastpunditry/status/705778568492621825" TargetMode="External"/><Relationship Id="rId513" Type="http://schemas.openxmlformats.org/officeDocument/2006/relationships/hyperlink" Target="https://twitter.com/pastpunditry" TargetMode="External"/><Relationship Id="rId512" Type="http://schemas.openxmlformats.org/officeDocument/2006/relationships/hyperlink" Target="https://pbs.twimg.com/profile_images/378800000149111881/7969acf9cec4197748b502a6a6c3d921_normal.jpeg" TargetMode="External"/><Relationship Id="rId511" Type="http://schemas.openxmlformats.org/officeDocument/2006/relationships/hyperlink" Target="https://twitter.com/AmandaMoniz1/status/705778547839864832" TargetMode="External"/><Relationship Id="rId518" Type="http://schemas.openxmlformats.org/officeDocument/2006/relationships/hyperlink" Target="https://pbs.twimg.com/profile_images/704873222802636800/7aFEMOY5_normal.jpg" TargetMode="External"/><Relationship Id="rId517" Type="http://schemas.openxmlformats.org/officeDocument/2006/relationships/hyperlink" Target="https://twitter.com/pastpunditry/status/705778579892736000" TargetMode="External"/><Relationship Id="rId516" Type="http://schemas.openxmlformats.org/officeDocument/2006/relationships/hyperlink" Target="https://twitter.com/pastpunditry" TargetMode="External"/><Relationship Id="rId515" Type="http://schemas.openxmlformats.org/officeDocument/2006/relationships/hyperlink" Target="https://pbs.twimg.com/profile_images/704873222802636800/7aFEMOY5_normal.jpg" TargetMode="External"/><Relationship Id="rId3760" Type="http://schemas.openxmlformats.org/officeDocument/2006/relationships/hyperlink" Target="https://twitter.com/JohnFea1" TargetMode="External"/><Relationship Id="rId510" Type="http://schemas.openxmlformats.org/officeDocument/2006/relationships/hyperlink" Target="https://twitter.com/AmandaMoniz1" TargetMode="External"/><Relationship Id="rId2430" Type="http://schemas.openxmlformats.org/officeDocument/2006/relationships/hyperlink" Target="https://pbs.twimg.com/profile_images/704873222802636800/7aFEMOY5_normal.jpg" TargetMode="External"/><Relationship Id="rId3762" Type="http://schemas.openxmlformats.org/officeDocument/2006/relationships/hyperlink" Target="https://pbs.twimg.com/profile_images/2090305941/Fea_speaking_normal.jpg" TargetMode="External"/><Relationship Id="rId1100" Type="http://schemas.openxmlformats.org/officeDocument/2006/relationships/hyperlink" Target="https://pbs.twimg.com/profile_images/548193870278688768/8Dq7gW3U_normal.png" TargetMode="External"/><Relationship Id="rId2431" Type="http://schemas.openxmlformats.org/officeDocument/2006/relationships/hyperlink" Target="https://twitter.com/pastpunditry" TargetMode="External"/><Relationship Id="rId3761" Type="http://schemas.openxmlformats.org/officeDocument/2006/relationships/hyperlink" Target="https://twitter.com/JohnFea1/status/705956208486776832" TargetMode="External"/><Relationship Id="rId1101" Type="http://schemas.openxmlformats.org/officeDocument/2006/relationships/hyperlink" Target="https://twitter.com/samueljredman" TargetMode="External"/><Relationship Id="rId2432" Type="http://schemas.openxmlformats.org/officeDocument/2006/relationships/hyperlink" Target="https://twitter.com/pastpunditry/status/705925675866320896" TargetMode="External"/><Relationship Id="rId3764" Type="http://schemas.openxmlformats.org/officeDocument/2006/relationships/hyperlink" Target="https://twitter.com/JohnFea1/status/705956590587932672" TargetMode="External"/><Relationship Id="rId1102" Type="http://schemas.openxmlformats.org/officeDocument/2006/relationships/hyperlink" Target="https://twitter.com/samueljredman/status/705835399894200320" TargetMode="External"/><Relationship Id="rId2433" Type="http://schemas.openxmlformats.org/officeDocument/2006/relationships/hyperlink" Target="https://pbs.twimg.com/profile_images/704873222802636800/7aFEMOY5_normal.jpg" TargetMode="External"/><Relationship Id="rId3763" Type="http://schemas.openxmlformats.org/officeDocument/2006/relationships/hyperlink" Target="https://twitter.com/JohnFea1" TargetMode="External"/><Relationship Id="rId3711" Type="http://schemas.openxmlformats.org/officeDocument/2006/relationships/hyperlink" Target="https://pbs.twimg.com/profile_images/378800000469463126/6dec739d56d67e4b13de3f9a0030de80_normal.jpeg" TargetMode="External"/><Relationship Id="rId3710" Type="http://schemas.openxmlformats.org/officeDocument/2006/relationships/hyperlink" Target="https://twitter.com/gordonbelt/status/705950632625176576" TargetMode="External"/><Relationship Id="rId3713" Type="http://schemas.openxmlformats.org/officeDocument/2006/relationships/hyperlink" Target="https://twitter.com/magmidd/status/705950880911138817" TargetMode="External"/><Relationship Id="rId3712" Type="http://schemas.openxmlformats.org/officeDocument/2006/relationships/hyperlink" Target="https://twitter.com/magmidd" TargetMode="External"/><Relationship Id="rId3715" Type="http://schemas.openxmlformats.org/officeDocument/2006/relationships/hyperlink" Target="https://twitter.com/Claire_Blaylock" TargetMode="External"/><Relationship Id="rId3714" Type="http://schemas.openxmlformats.org/officeDocument/2006/relationships/hyperlink" Target="https://pbs.twimg.com/profile_images/378800000450415007/82bcc7d0cab85e8d5920dbf5ded6715e_normal.jpeg" TargetMode="External"/><Relationship Id="rId3717" Type="http://schemas.openxmlformats.org/officeDocument/2006/relationships/hyperlink" Target="https://pbs.twimg.com/profile_images/378800000772835830/ebd92c1b5a6f3d3b9ce895f316518474_normal.jpeg" TargetMode="External"/><Relationship Id="rId3716" Type="http://schemas.openxmlformats.org/officeDocument/2006/relationships/hyperlink" Target="https://twitter.com/Claire_Blaylock/status/705951017280507908" TargetMode="External"/><Relationship Id="rId3719" Type="http://schemas.openxmlformats.org/officeDocument/2006/relationships/hyperlink" Target="https://twitter.com/amanda_lyons/status/705951214152916992" TargetMode="External"/><Relationship Id="rId3718" Type="http://schemas.openxmlformats.org/officeDocument/2006/relationships/hyperlink" Target="https://twitter.com/amanda_lyons" TargetMode="External"/><Relationship Id="rId3700" Type="http://schemas.openxmlformats.org/officeDocument/2006/relationships/hyperlink" Target="https://twitter.com/CMorganGrefe" TargetMode="External"/><Relationship Id="rId3702" Type="http://schemas.openxmlformats.org/officeDocument/2006/relationships/hyperlink" Target="https://pbs.twimg.com/profile_images/486495849162084353/7KHHQOqE_normal.jpeg" TargetMode="External"/><Relationship Id="rId3701" Type="http://schemas.openxmlformats.org/officeDocument/2006/relationships/hyperlink" Target="https://twitter.com/CMorganGrefe/status/705947860764856320" TargetMode="External"/><Relationship Id="rId3704" Type="http://schemas.openxmlformats.org/officeDocument/2006/relationships/hyperlink" Target="https://twitter.com/historein/status/705949061120139264" TargetMode="External"/><Relationship Id="rId3703" Type="http://schemas.openxmlformats.org/officeDocument/2006/relationships/hyperlink" Target="https://twitter.com/historein" TargetMode="External"/><Relationship Id="rId3706" Type="http://schemas.openxmlformats.org/officeDocument/2006/relationships/hyperlink" Target="https://twitter.com/amanda_lyons" TargetMode="External"/><Relationship Id="rId3705" Type="http://schemas.openxmlformats.org/officeDocument/2006/relationships/hyperlink" Target="https://pbs.twimg.com/profile_images/636901483401904128/cxbavncr_normal.jpg" TargetMode="External"/><Relationship Id="rId3708" Type="http://schemas.openxmlformats.org/officeDocument/2006/relationships/hyperlink" Target="https://pbs.twimg.com/profile_images/1246380212/manda_normal.jpg" TargetMode="External"/><Relationship Id="rId3707" Type="http://schemas.openxmlformats.org/officeDocument/2006/relationships/hyperlink" Target="https://twitter.com/amanda_lyons/status/705950033741533185" TargetMode="External"/><Relationship Id="rId3709" Type="http://schemas.openxmlformats.org/officeDocument/2006/relationships/hyperlink" Target="https://twitter.com/gordonbelt" TargetMode="External"/><Relationship Id="rId2401" Type="http://schemas.openxmlformats.org/officeDocument/2006/relationships/hyperlink" Target="https://twitter.com/jamiaw" TargetMode="External"/><Relationship Id="rId3733" Type="http://schemas.openxmlformats.org/officeDocument/2006/relationships/hyperlink" Target="https://twitter.com/JulieThePH" TargetMode="External"/><Relationship Id="rId2402" Type="http://schemas.openxmlformats.org/officeDocument/2006/relationships/hyperlink" Target="https://twitter.com/jamiaw/status/705925397515526144" TargetMode="External"/><Relationship Id="rId3732" Type="http://schemas.openxmlformats.org/officeDocument/2006/relationships/hyperlink" Target="https://pbs.twimg.com/profile_images/596509974005686273/AqBblwMR_normal.jpg" TargetMode="External"/><Relationship Id="rId2403" Type="http://schemas.openxmlformats.org/officeDocument/2006/relationships/hyperlink" Target="https://pbs.twimg.com/profile_images/701102020061753344/5zH70uem_normal.jpg" TargetMode="External"/><Relationship Id="rId3735" Type="http://schemas.openxmlformats.org/officeDocument/2006/relationships/hyperlink" Target="https://pbs.twimg.com/profile_images/596509974005686273/AqBblwMR_normal.jpg" TargetMode="External"/><Relationship Id="rId2404" Type="http://schemas.openxmlformats.org/officeDocument/2006/relationships/hyperlink" Target="https://twitter.com/pastpunditry" TargetMode="External"/><Relationship Id="rId3734" Type="http://schemas.openxmlformats.org/officeDocument/2006/relationships/hyperlink" Target="https://twitter.com/JulieThePH/status/705954990985244672" TargetMode="External"/><Relationship Id="rId2405" Type="http://schemas.openxmlformats.org/officeDocument/2006/relationships/hyperlink" Target="https://twitter.com/pastpunditry/status/705925456164491266" TargetMode="External"/><Relationship Id="rId3737" Type="http://schemas.openxmlformats.org/officeDocument/2006/relationships/hyperlink" Target="https://twitter.com/JulieThePH/status/705955032928276480" TargetMode="External"/><Relationship Id="rId2406" Type="http://schemas.openxmlformats.org/officeDocument/2006/relationships/hyperlink" Target="https://pbs.twimg.com/profile_images/704873222802636800/7aFEMOY5_normal.jpg" TargetMode="External"/><Relationship Id="rId3736" Type="http://schemas.openxmlformats.org/officeDocument/2006/relationships/hyperlink" Target="https://twitter.com/JulieThePH" TargetMode="External"/><Relationship Id="rId2407" Type="http://schemas.openxmlformats.org/officeDocument/2006/relationships/hyperlink" Target="https://twitter.com/GHAUmass" TargetMode="External"/><Relationship Id="rId3739" Type="http://schemas.openxmlformats.org/officeDocument/2006/relationships/hyperlink" Target="https://twitter.com/JulieThePH" TargetMode="External"/><Relationship Id="rId2408" Type="http://schemas.openxmlformats.org/officeDocument/2006/relationships/hyperlink" Target="https://twitter.com/GHAUmass/status/705925466604044288" TargetMode="External"/><Relationship Id="rId3738" Type="http://schemas.openxmlformats.org/officeDocument/2006/relationships/hyperlink" Target="https://pbs.twimg.com/profile_images/596509974005686273/AqBblwMR_normal.jpg" TargetMode="External"/><Relationship Id="rId2409" Type="http://schemas.openxmlformats.org/officeDocument/2006/relationships/hyperlink" Target="https://pbs.twimg.com/profile_images/604060333590855682/Fk6r1D7d_normal.jpg" TargetMode="External"/><Relationship Id="rId3731" Type="http://schemas.openxmlformats.org/officeDocument/2006/relationships/hyperlink" Target="https://twitter.com/JulieThePH/status/705954932046831617" TargetMode="External"/><Relationship Id="rId2400" Type="http://schemas.openxmlformats.org/officeDocument/2006/relationships/hyperlink" Target="https://pbs.twimg.com/profile_images/700317732588408832/Ym_-neUi_normal.jpg" TargetMode="External"/><Relationship Id="rId3730" Type="http://schemas.openxmlformats.org/officeDocument/2006/relationships/hyperlink" Target="https://twitter.com/JulieThePH" TargetMode="External"/><Relationship Id="rId3722" Type="http://schemas.openxmlformats.org/officeDocument/2006/relationships/hyperlink" Target="https://twitter.com/frankhenzen/status/705953832421990400" TargetMode="External"/><Relationship Id="rId3721" Type="http://schemas.openxmlformats.org/officeDocument/2006/relationships/hyperlink" Target="https://twitter.com/frankhenzen" TargetMode="External"/><Relationship Id="rId3724" Type="http://schemas.openxmlformats.org/officeDocument/2006/relationships/hyperlink" Target="https://twitter.com/frankhenzen" TargetMode="External"/><Relationship Id="rId3723" Type="http://schemas.openxmlformats.org/officeDocument/2006/relationships/hyperlink" Target="https://pbs.twimg.com/profile_images/378800000267912943/0769ab656548cb7eea7100a67863b1d1_normal.jpeg" TargetMode="External"/><Relationship Id="rId3726" Type="http://schemas.openxmlformats.org/officeDocument/2006/relationships/hyperlink" Target="https://pbs.twimg.com/profile_images/378800000267912943/0769ab656548cb7eea7100a67863b1d1_normal.jpeg" TargetMode="External"/><Relationship Id="rId3725" Type="http://schemas.openxmlformats.org/officeDocument/2006/relationships/hyperlink" Target="https://twitter.com/frankhenzen/status/705953861798854661" TargetMode="External"/><Relationship Id="rId3728" Type="http://schemas.openxmlformats.org/officeDocument/2006/relationships/hyperlink" Target="https://twitter.com/prologuepast/status/705954179496460288" TargetMode="External"/><Relationship Id="rId3727" Type="http://schemas.openxmlformats.org/officeDocument/2006/relationships/hyperlink" Target="https://twitter.com/prologuepast" TargetMode="External"/><Relationship Id="rId3729" Type="http://schemas.openxmlformats.org/officeDocument/2006/relationships/hyperlink" Target="https://pbs.twimg.com/profile_images/1325963049/futureSMALL_normal.jpg" TargetMode="External"/><Relationship Id="rId3720" Type="http://schemas.openxmlformats.org/officeDocument/2006/relationships/hyperlink" Target="https://pbs.twimg.com/profile_images/1246380212/manda_normal.jpg" TargetMode="External"/><Relationship Id="rId4206" Type="http://schemas.openxmlformats.org/officeDocument/2006/relationships/hyperlink" Target="https://pbs.twimg.com/profile_images/604060333590855682/Fk6r1D7d_normal.jpg" TargetMode="External"/><Relationship Id="rId5538" Type="http://schemas.openxmlformats.org/officeDocument/2006/relationships/hyperlink" Target="https://twitter.com/erfagen/status/706252904714407936" TargetMode="External"/><Relationship Id="rId4205" Type="http://schemas.openxmlformats.org/officeDocument/2006/relationships/hyperlink" Target="https://twitter.com/GHAUmass/status/706143218124062721" TargetMode="External"/><Relationship Id="rId5539" Type="http://schemas.openxmlformats.org/officeDocument/2006/relationships/hyperlink" Target="https://pbs.twimg.com/profile_images/638086945722249217/mid_S_BQ_normal.jpg" TargetMode="External"/><Relationship Id="rId4208" Type="http://schemas.openxmlformats.org/officeDocument/2006/relationships/hyperlink" Target="https://twitter.com/GHAUmass/status/706143261824524288" TargetMode="External"/><Relationship Id="rId5536" Type="http://schemas.openxmlformats.org/officeDocument/2006/relationships/hyperlink" Target="https://pbs.twimg.com/profile_images/535167858204893184/DNz9ruRN_normal.jpeg" TargetMode="External"/><Relationship Id="rId4207" Type="http://schemas.openxmlformats.org/officeDocument/2006/relationships/hyperlink" Target="https://twitter.com/GHAUmass" TargetMode="External"/><Relationship Id="rId5537" Type="http://schemas.openxmlformats.org/officeDocument/2006/relationships/hyperlink" Target="https://twitter.com/erfagen" TargetMode="External"/><Relationship Id="rId590" Type="http://schemas.openxmlformats.org/officeDocument/2006/relationships/hyperlink" Target="https://pbs.twimg.com/profile_images/704873222802636800/7aFEMOY5_normal.jpg" TargetMode="External"/><Relationship Id="rId4209" Type="http://schemas.openxmlformats.org/officeDocument/2006/relationships/hyperlink" Target="https://pbs.twimg.com/profile_images/604060333590855682/Fk6r1D7d_normal.jpg" TargetMode="External"/><Relationship Id="rId589" Type="http://schemas.openxmlformats.org/officeDocument/2006/relationships/hyperlink" Target="https://twitter.com/pastpunditry/status/705782289553334273" TargetMode="External"/><Relationship Id="rId588" Type="http://schemas.openxmlformats.org/officeDocument/2006/relationships/hyperlink" Target="https://twitter.com/pastpunditry" TargetMode="External"/><Relationship Id="rId1170" Type="http://schemas.openxmlformats.org/officeDocument/2006/relationships/hyperlink" Target="https://twitter.com/pastpunditry" TargetMode="External"/><Relationship Id="rId1171" Type="http://schemas.openxmlformats.org/officeDocument/2006/relationships/hyperlink" Target="https://twitter.com/pastpunditry/status/705839345043972096" TargetMode="External"/><Relationship Id="rId583" Type="http://schemas.openxmlformats.org/officeDocument/2006/relationships/hyperlink" Target="https://twitter.com/jamiaw/status/705782148901511168" TargetMode="External"/><Relationship Id="rId1172" Type="http://schemas.openxmlformats.org/officeDocument/2006/relationships/hyperlink" Target="https://pbs.twimg.com/profile_images/704873222802636800/7aFEMOY5_normal.jpg" TargetMode="External"/><Relationship Id="rId5530" Type="http://schemas.openxmlformats.org/officeDocument/2006/relationships/hyperlink" Target="https://pbs.twimg.com/profile_images/187613030/me_in_panel_mode_normal.jpg" TargetMode="External"/><Relationship Id="rId582" Type="http://schemas.openxmlformats.org/officeDocument/2006/relationships/hyperlink" Target="https://twitter.com/jamiaw" TargetMode="External"/><Relationship Id="rId1173" Type="http://schemas.openxmlformats.org/officeDocument/2006/relationships/hyperlink" Target="https://twitter.com/samueljredman" TargetMode="External"/><Relationship Id="rId5531" Type="http://schemas.openxmlformats.org/officeDocument/2006/relationships/hyperlink" Target="https://twitter.com/mathhistory" TargetMode="External"/><Relationship Id="rId581" Type="http://schemas.openxmlformats.org/officeDocument/2006/relationships/hyperlink" Target="https://pbs.twimg.com/profile_images/596509974005686273/AqBblwMR_normal.jpg" TargetMode="External"/><Relationship Id="rId1174" Type="http://schemas.openxmlformats.org/officeDocument/2006/relationships/hyperlink" Target="https://twitter.com/samueljredman/status/705839421531234305" TargetMode="External"/><Relationship Id="rId4200" Type="http://schemas.openxmlformats.org/officeDocument/2006/relationships/hyperlink" Target="https://pbs.twimg.com/profile_images/604060333590855682/Fk6r1D7d_normal.jpg" TargetMode="External"/><Relationship Id="rId580" Type="http://schemas.openxmlformats.org/officeDocument/2006/relationships/hyperlink" Target="https://twitter.com/JulieThePH/status/705782099979198466" TargetMode="External"/><Relationship Id="rId1175" Type="http://schemas.openxmlformats.org/officeDocument/2006/relationships/hyperlink" Target="https://pbs.twimg.com/profile_images/548193870278688768/8Dq7gW3U_normal.png" TargetMode="External"/><Relationship Id="rId587" Type="http://schemas.openxmlformats.org/officeDocument/2006/relationships/hyperlink" Target="https://pbs.twimg.com/profile_images/646533311/wam_logo_square_normal.jpg" TargetMode="External"/><Relationship Id="rId1176" Type="http://schemas.openxmlformats.org/officeDocument/2006/relationships/hyperlink" Target="https://twitter.com/pastpunditry" TargetMode="External"/><Relationship Id="rId4202" Type="http://schemas.openxmlformats.org/officeDocument/2006/relationships/hyperlink" Target="https://twitter.com/GHAUmass/status/706143161639374850" TargetMode="External"/><Relationship Id="rId5534" Type="http://schemas.openxmlformats.org/officeDocument/2006/relationships/hyperlink" Target="https://twitter.com/cherylharned" TargetMode="External"/><Relationship Id="rId586" Type="http://schemas.openxmlformats.org/officeDocument/2006/relationships/hyperlink" Target="https://twitter.com/womenactmedia/status/705782148935127041" TargetMode="External"/><Relationship Id="rId1177" Type="http://schemas.openxmlformats.org/officeDocument/2006/relationships/hyperlink" Target="https://twitter.com/pastpunditry/status/705839517157163009" TargetMode="External"/><Relationship Id="rId4201" Type="http://schemas.openxmlformats.org/officeDocument/2006/relationships/hyperlink" Target="https://twitter.com/GHAUmass" TargetMode="External"/><Relationship Id="rId5535" Type="http://schemas.openxmlformats.org/officeDocument/2006/relationships/hyperlink" Target="https://twitter.com/cherylharned/status/706252696521723904" TargetMode="External"/><Relationship Id="rId585" Type="http://schemas.openxmlformats.org/officeDocument/2006/relationships/hyperlink" Target="https://twitter.com/womenactmedia" TargetMode="External"/><Relationship Id="rId1178" Type="http://schemas.openxmlformats.org/officeDocument/2006/relationships/hyperlink" Target="https://pbs.twimg.com/profile_images/704873222802636800/7aFEMOY5_normal.jpg" TargetMode="External"/><Relationship Id="rId4204" Type="http://schemas.openxmlformats.org/officeDocument/2006/relationships/hyperlink" Target="https://twitter.com/GHAUmass" TargetMode="External"/><Relationship Id="rId5532" Type="http://schemas.openxmlformats.org/officeDocument/2006/relationships/hyperlink" Target="https://twitter.com/mathhistory/status/706252259378733057" TargetMode="External"/><Relationship Id="rId584" Type="http://schemas.openxmlformats.org/officeDocument/2006/relationships/hyperlink" Target="https://pbs.twimg.com/profile_images/701102020061753344/5zH70uem_normal.jpg" TargetMode="External"/><Relationship Id="rId1179" Type="http://schemas.openxmlformats.org/officeDocument/2006/relationships/hyperlink" Target="https://twitter.com/tpstigers" TargetMode="External"/><Relationship Id="rId4203" Type="http://schemas.openxmlformats.org/officeDocument/2006/relationships/hyperlink" Target="https://pbs.twimg.com/profile_images/604060333590855682/Fk6r1D7d_normal.jpg" TargetMode="External"/><Relationship Id="rId5533" Type="http://schemas.openxmlformats.org/officeDocument/2006/relationships/hyperlink" Target="https://pbs.twimg.com/profile_images/3034769023/09adfcbebccfeef2a42e39aaac64ede5_normal.jpeg" TargetMode="External"/><Relationship Id="rId1169" Type="http://schemas.openxmlformats.org/officeDocument/2006/relationships/hyperlink" Target="https://pbs.twimg.com/profile_images/2041315590/ad_picture_cp_normal.jpg" TargetMode="External"/><Relationship Id="rId5527" Type="http://schemas.openxmlformats.org/officeDocument/2006/relationships/hyperlink" Target="https://pbs.twimg.com/profile_images/700317732588408832/Ym_-neUi_normal.jpg" TargetMode="External"/><Relationship Id="rId5528" Type="http://schemas.openxmlformats.org/officeDocument/2006/relationships/hyperlink" Target="https://twitter.com/cameshascruggs" TargetMode="External"/><Relationship Id="rId5525" Type="http://schemas.openxmlformats.org/officeDocument/2006/relationships/hyperlink" Target="https://twitter.com/rebekkahrubin" TargetMode="External"/><Relationship Id="rId5526" Type="http://schemas.openxmlformats.org/officeDocument/2006/relationships/hyperlink" Target="https://twitter.com/rebekkahrubin/status/706252106949402624" TargetMode="External"/><Relationship Id="rId5529" Type="http://schemas.openxmlformats.org/officeDocument/2006/relationships/hyperlink" Target="https://twitter.com/cameshascruggs/status/706252228605169664" TargetMode="External"/><Relationship Id="rId579" Type="http://schemas.openxmlformats.org/officeDocument/2006/relationships/hyperlink" Target="https://twitter.com/JulieThePH" TargetMode="External"/><Relationship Id="rId578" Type="http://schemas.openxmlformats.org/officeDocument/2006/relationships/hyperlink" Target="https://pbs.twimg.com/profile_images/609765839051452416/GNW0wSt0_normal.jpg" TargetMode="External"/><Relationship Id="rId577" Type="http://schemas.openxmlformats.org/officeDocument/2006/relationships/hyperlink" Target="https://twitter.com/juliegpeterson/status/705781864422903808" TargetMode="External"/><Relationship Id="rId2490" Type="http://schemas.openxmlformats.org/officeDocument/2006/relationships/hyperlink" Target="https://pbs.twimg.com/profile_images/604060333590855682/Fk6r1D7d_normal.jpg" TargetMode="External"/><Relationship Id="rId1160" Type="http://schemas.openxmlformats.org/officeDocument/2006/relationships/hyperlink" Target="https://pbs.twimg.com/profile_images/565429960/Betsy_Twitter_normal.jpg" TargetMode="External"/><Relationship Id="rId2491" Type="http://schemas.openxmlformats.org/officeDocument/2006/relationships/hyperlink" Target="https://twitter.com/GHAUmass" TargetMode="External"/><Relationship Id="rId572" Type="http://schemas.openxmlformats.org/officeDocument/2006/relationships/hyperlink" Target="https://pbs.twimg.com/profile_images/701102020061753344/5zH70uem_normal.jpg" TargetMode="External"/><Relationship Id="rId1161" Type="http://schemas.openxmlformats.org/officeDocument/2006/relationships/hyperlink" Target="https://twitter.com/AmandaMoniz1" TargetMode="External"/><Relationship Id="rId2492" Type="http://schemas.openxmlformats.org/officeDocument/2006/relationships/hyperlink" Target="https://twitter.com/GHAUmass/status/705926050564476928" TargetMode="External"/><Relationship Id="rId571" Type="http://schemas.openxmlformats.org/officeDocument/2006/relationships/hyperlink" Target="https://twitter.com/jamiaw/status/705781608490668032" TargetMode="External"/><Relationship Id="rId1162" Type="http://schemas.openxmlformats.org/officeDocument/2006/relationships/hyperlink" Target="https://twitter.com/AmandaMoniz1/status/705838779307786240" TargetMode="External"/><Relationship Id="rId2493" Type="http://schemas.openxmlformats.org/officeDocument/2006/relationships/hyperlink" Target="https://pbs.twimg.com/profile_images/604060333590855682/Fk6r1D7d_normal.jpg" TargetMode="External"/><Relationship Id="rId5520" Type="http://schemas.openxmlformats.org/officeDocument/2006/relationships/hyperlink" Target="https://twitter.com/rebekkahrubin/status/706251233644957699" TargetMode="External"/><Relationship Id="rId570" Type="http://schemas.openxmlformats.org/officeDocument/2006/relationships/hyperlink" Target="https://twitter.com/jamiaw" TargetMode="External"/><Relationship Id="rId1163" Type="http://schemas.openxmlformats.org/officeDocument/2006/relationships/hyperlink" Target="https://pbs.twimg.com/profile_images/378800000149111881/7969acf9cec4197748b502a6a6c3d921_normal.jpeg" TargetMode="External"/><Relationship Id="rId2494" Type="http://schemas.openxmlformats.org/officeDocument/2006/relationships/hyperlink" Target="https://twitter.com/MarlaAtUmass" TargetMode="External"/><Relationship Id="rId1164" Type="http://schemas.openxmlformats.org/officeDocument/2006/relationships/hyperlink" Target="https://twitter.com/thecliodotcom" TargetMode="External"/><Relationship Id="rId2495" Type="http://schemas.openxmlformats.org/officeDocument/2006/relationships/hyperlink" Target="https://twitter.com/MarlaAtUmass/status/705926053856940032" TargetMode="External"/><Relationship Id="rId576" Type="http://schemas.openxmlformats.org/officeDocument/2006/relationships/hyperlink" Target="https://twitter.com/juliegpeterson" TargetMode="External"/><Relationship Id="rId1165" Type="http://schemas.openxmlformats.org/officeDocument/2006/relationships/hyperlink" Target="https://twitter.com/thecliodotcom/status/705838910400811013" TargetMode="External"/><Relationship Id="rId2496" Type="http://schemas.openxmlformats.org/officeDocument/2006/relationships/hyperlink" Target="https://pbs.twimg.com/profile_images/565429960/Betsy_Twitter_normal.jpg" TargetMode="External"/><Relationship Id="rId5523" Type="http://schemas.openxmlformats.org/officeDocument/2006/relationships/hyperlink" Target="https://twitter.com/rebekkahrubin/status/706251844000071680" TargetMode="External"/><Relationship Id="rId575" Type="http://schemas.openxmlformats.org/officeDocument/2006/relationships/hyperlink" Target="https://pbs.twimg.com/profile_images/704873222802636800/7aFEMOY5_normal.jpg" TargetMode="External"/><Relationship Id="rId1166" Type="http://schemas.openxmlformats.org/officeDocument/2006/relationships/hyperlink" Target="https://pbs.twimg.com/profile_images/636594907730214912/W77i_f0Q_normal.png" TargetMode="External"/><Relationship Id="rId2497" Type="http://schemas.openxmlformats.org/officeDocument/2006/relationships/hyperlink" Target="https://twitter.com/GHAUmass" TargetMode="External"/><Relationship Id="rId5524" Type="http://schemas.openxmlformats.org/officeDocument/2006/relationships/hyperlink" Target="https://pbs.twimg.com/profile_images/700317732588408832/Ym_-neUi_normal.jpg" TargetMode="External"/><Relationship Id="rId574" Type="http://schemas.openxmlformats.org/officeDocument/2006/relationships/hyperlink" Target="https://twitter.com/pastpunditry/status/705781840171417600" TargetMode="External"/><Relationship Id="rId1167" Type="http://schemas.openxmlformats.org/officeDocument/2006/relationships/hyperlink" Target="https://twitter.com/BenjaminGammon" TargetMode="External"/><Relationship Id="rId2498" Type="http://schemas.openxmlformats.org/officeDocument/2006/relationships/hyperlink" Target="https://twitter.com/GHAUmass/status/705926091295346688" TargetMode="External"/><Relationship Id="rId5521" Type="http://schemas.openxmlformats.org/officeDocument/2006/relationships/hyperlink" Target="https://pbs.twimg.com/profile_images/700317732588408832/Ym_-neUi_normal.jpg" TargetMode="External"/><Relationship Id="rId573" Type="http://schemas.openxmlformats.org/officeDocument/2006/relationships/hyperlink" Target="https://twitter.com/pastpunditry" TargetMode="External"/><Relationship Id="rId1168" Type="http://schemas.openxmlformats.org/officeDocument/2006/relationships/hyperlink" Target="https://twitter.com/BenjaminGammon/status/705838968173162496" TargetMode="External"/><Relationship Id="rId2499" Type="http://schemas.openxmlformats.org/officeDocument/2006/relationships/hyperlink" Target="https://pbs.twimg.com/profile_images/604060333590855682/Fk6r1D7d_normal.jpg" TargetMode="External"/><Relationship Id="rId5522" Type="http://schemas.openxmlformats.org/officeDocument/2006/relationships/hyperlink" Target="https://twitter.com/rebekkahrubin" TargetMode="External"/><Relationship Id="rId4228" Type="http://schemas.openxmlformats.org/officeDocument/2006/relationships/hyperlink" Target="https://twitter.com/j3foley" TargetMode="External"/><Relationship Id="rId4227" Type="http://schemas.openxmlformats.org/officeDocument/2006/relationships/hyperlink" Target="https://pbs.twimg.com/profile_images/627686554861834241/UcDo7crN_normal.jpg" TargetMode="External"/><Relationship Id="rId5558" Type="http://schemas.openxmlformats.org/officeDocument/2006/relationships/hyperlink" Target="https://twitter.com/rebekkahrubin" TargetMode="External"/><Relationship Id="rId4229" Type="http://schemas.openxmlformats.org/officeDocument/2006/relationships/hyperlink" Target="https://twitter.com/j3foley/status/706145617396043777" TargetMode="External"/><Relationship Id="rId5559" Type="http://schemas.openxmlformats.org/officeDocument/2006/relationships/hyperlink" Target="https://twitter.com/rebekkahrubin/status/706255518801780738" TargetMode="External"/><Relationship Id="rId1190" Type="http://schemas.openxmlformats.org/officeDocument/2006/relationships/hyperlink" Target="https://pbs.twimg.com/profile_images/565429960/Betsy_Twitter_normal.jpg" TargetMode="External"/><Relationship Id="rId1191" Type="http://schemas.openxmlformats.org/officeDocument/2006/relationships/hyperlink" Target="https://twitter.com/pastpunditry" TargetMode="External"/><Relationship Id="rId1192" Type="http://schemas.openxmlformats.org/officeDocument/2006/relationships/hyperlink" Target="https://twitter.com/pastpunditry/status/705840009635602432" TargetMode="External"/><Relationship Id="rId1193" Type="http://schemas.openxmlformats.org/officeDocument/2006/relationships/hyperlink" Target="https://pbs.twimg.com/profile_images/704873222802636800/7aFEMOY5_normal.jpg" TargetMode="External"/><Relationship Id="rId1194" Type="http://schemas.openxmlformats.org/officeDocument/2006/relationships/hyperlink" Target="https://twitter.com/pastpunditry" TargetMode="External"/><Relationship Id="rId4220" Type="http://schemas.openxmlformats.org/officeDocument/2006/relationships/hyperlink" Target="https://twitter.com/UMassHistory/status/706144300451700736" TargetMode="External"/><Relationship Id="rId5552" Type="http://schemas.openxmlformats.org/officeDocument/2006/relationships/hyperlink" Target="https://twitter.com/lizl_genealogy" TargetMode="External"/><Relationship Id="rId1195" Type="http://schemas.openxmlformats.org/officeDocument/2006/relationships/hyperlink" Target="https://twitter.com/pastpunditry/status/705840111209062401" TargetMode="External"/><Relationship Id="rId5553" Type="http://schemas.openxmlformats.org/officeDocument/2006/relationships/hyperlink" Target="https://twitter.com/lizl_genealogy/status/706254670440882176" TargetMode="External"/><Relationship Id="rId1196" Type="http://schemas.openxmlformats.org/officeDocument/2006/relationships/hyperlink" Target="https://pbs.twimg.com/profile_images/704873222802636800/7aFEMOY5_normal.jpg" TargetMode="External"/><Relationship Id="rId4222" Type="http://schemas.openxmlformats.org/officeDocument/2006/relationships/hyperlink" Target="https://twitter.com/GHAUmass" TargetMode="External"/><Relationship Id="rId5550" Type="http://schemas.openxmlformats.org/officeDocument/2006/relationships/hyperlink" Target="https://twitter.com/erfagen/status/706254164104507396" TargetMode="External"/><Relationship Id="rId1197" Type="http://schemas.openxmlformats.org/officeDocument/2006/relationships/hyperlink" Target="https://twitter.com/wstoutamire" TargetMode="External"/><Relationship Id="rId4221" Type="http://schemas.openxmlformats.org/officeDocument/2006/relationships/hyperlink" Target="https://pbs.twimg.com/profile_images/3586356040/2875fe2e13ecc978a7c19bbf515b7847_normal.png" TargetMode="External"/><Relationship Id="rId5551" Type="http://schemas.openxmlformats.org/officeDocument/2006/relationships/hyperlink" Target="https://pbs.twimg.com/profile_images/638086945722249217/mid_S_BQ_normal.jpg" TargetMode="External"/><Relationship Id="rId1198" Type="http://schemas.openxmlformats.org/officeDocument/2006/relationships/hyperlink" Target="https://twitter.com/wstoutamire/status/705840407108685824" TargetMode="External"/><Relationship Id="rId4224" Type="http://schemas.openxmlformats.org/officeDocument/2006/relationships/hyperlink" Target="https://pbs.twimg.com/profile_images/604060333590855682/Fk6r1D7d_normal.jpg" TargetMode="External"/><Relationship Id="rId5556" Type="http://schemas.openxmlformats.org/officeDocument/2006/relationships/hyperlink" Target="https://twitter.com/lizcovart/status/706254706042134528" TargetMode="External"/><Relationship Id="rId1199" Type="http://schemas.openxmlformats.org/officeDocument/2006/relationships/hyperlink" Target="https://pbs.twimg.com/profile_images/515605126887636995/Mjh69QxQ_normal.jpeg" TargetMode="External"/><Relationship Id="rId4223" Type="http://schemas.openxmlformats.org/officeDocument/2006/relationships/hyperlink" Target="https://twitter.com/GHAUmass/status/706144422447214593" TargetMode="External"/><Relationship Id="rId5557" Type="http://schemas.openxmlformats.org/officeDocument/2006/relationships/hyperlink" Target="https://pbs.twimg.com/profile_images/689446576201142272/MpeUISSP_normal.jpg" TargetMode="External"/><Relationship Id="rId4226" Type="http://schemas.openxmlformats.org/officeDocument/2006/relationships/hyperlink" Target="https://twitter.com/j3foley/status/706145479256645632" TargetMode="External"/><Relationship Id="rId5554" Type="http://schemas.openxmlformats.org/officeDocument/2006/relationships/hyperlink" Target="https://pbs.twimg.com/profile_images/2700002859/1f2d610ddaf1f03ac7d033dd83847b45_normal.jpeg" TargetMode="External"/><Relationship Id="rId4225" Type="http://schemas.openxmlformats.org/officeDocument/2006/relationships/hyperlink" Target="https://twitter.com/j3foley" TargetMode="External"/><Relationship Id="rId5555" Type="http://schemas.openxmlformats.org/officeDocument/2006/relationships/hyperlink" Target="https://twitter.com/lizcovart" TargetMode="External"/><Relationship Id="rId4217" Type="http://schemas.openxmlformats.org/officeDocument/2006/relationships/hyperlink" Target="https://twitter.com/rebekkahrubin/status/706143910737874944" TargetMode="External"/><Relationship Id="rId5549" Type="http://schemas.openxmlformats.org/officeDocument/2006/relationships/hyperlink" Target="https://twitter.com/erfagen" TargetMode="External"/><Relationship Id="rId4216" Type="http://schemas.openxmlformats.org/officeDocument/2006/relationships/hyperlink" Target="https://twitter.com/rebekkahrubin" TargetMode="External"/><Relationship Id="rId4219" Type="http://schemas.openxmlformats.org/officeDocument/2006/relationships/hyperlink" Target="https://twitter.com/UMassHistory" TargetMode="External"/><Relationship Id="rId5547" Type="http://schemas.openxmlformats.org/officeDocument/2006/relationships/hyperlink" Target="https://twitter.com/erfagen/status/706253029608198144" TargetMode="External"/><Relationship Id="rId4218" Type="http://schemas.openxmlformats.org/officeDocument/2006/relationships/hyperlink" Target="https://pbs.twimg.com/profile_images/700317732588408832/Ym_-neUi_normal.jpg" TargetMode="External"/><Relationship Id="rId5548" Type="http://schemas.openxmlformats.org/officeDocument/2006/relationships/hyperlink" Target="https://pbs.twimg.com/profile_images/638086945722249217/mid_S_BQ_normal.jpg" TargetMode="External"/><Relationship Id="rId599" Type="http://schemas.openxmlformats.org/officeDocument/2006/relationships/hyperlink" Target="https://pbs.twimg.com/profile_images/704873222802636800/7aFEMOY5_normal.jpg" TargetMode="External"/><Relationship Id="rId1180" Type="http://schemas.openxmlformats.org/officeDocument/2006/relationships/hyperlink" Target="https://twitter.com/tpstigers/status/705839602804920320" TargetMode="External"/><Relationship Id="rId1181" Type="http://schemas.openxmlformats.org/officeDocument/2006/relationships/hyperlink" Target="https://pbs.twimg.com/profile_images/614942025306230784/OLnwlWIy_normal.png" TargetMode="External"/><Relationship Id="rId1182" Type="http://schemas.openxmlformats.org/officeDocument/2006/relationships/hyperlink" Target="https://twitter.com/MarlaAtUmass" TargetMode="External"/><Relationship Id="rId594" Type="http://schemas.openxmlformats.org/officeDocument/2006/relationships/hyperlink" Target="https://twitter.com/umassph" TargetMode="External"/><Relationship Id="rId1183" Type="http://schemas.openxmlformats.org/officeDocument/2006/relationships/hyperlink" Target="https://twitter.com/MarlaAtUmass/status/705839763861970944" TargetMode="External"/><Relationship Id="rId5541" Type="http://schemas.openxmlformats.org/officeDocument/2006/relationships/hyperlink" Target="https://twitter.com/erfagen/status/706252987707092992" TargetMode="External"/><Relationship Id="rId593" Type="http://schemas.openxmlformats.org/officeDocument/2006/relationships/hyperlink" Target="https://pbs.twimg.com/profile_images/701102020061753344/5zH70uem_normal.jpg" TargetMode="External"/><Relationship Id="rId1184" Type="http://schemas.openxmlformats.org/officeDocument/2006/relationships/hyperlink" Target="https://pbs.twimg.com/profile_images/565429960/Betsy_Twitter_normal.jpg" TargetMode="External"/><Relationship Id="rId5542" Type="http://schemas.openxmlformats.org/officeDocument/2006/relationships/hyperlink" Target="https://pbs.twimg.com/profile_images/638086945722249217/mid_S_BQ_normal.jpg" TargetMode="External"/><Relationship Id="rId592" Type="http://schemas.openxmlformats.org/officeDocument/2006/relationships/hyperlink" Target="https://twitter.com/jamiaw/status/705782352753074178" TargetMode="External"/><Relationship Id="rId1185" Type="http://schemas.openxmlformats.org/officeDocument/2006/relationships/hyperlink" Target="https://twitter.com/AmandaMoniz1" TargetMode="External"/><Relationship Id="rId4211" Type="http://schemas.openxmlformats.org/officeDocument/2006/relationships/hyperlink" Target="https://twitter.com/GHAUmass/status/706143319508836352" TargetMode="External"/><Relationship Id="rId591" Type="http://schemas.openxmlformats.org/officeDocument/2006/relationships/hyperlink" Target="https://twitter.com/jamiaw" TargetMode="External"/><Relationship Id="rId1186" Type="http://schemas.openxmlformats.org/officeDocument/2006/relationships/hyperlink" Target="https://twitter.com/AmandaMoniz1/status/705839765925584896" TargetMode="External"/><Relationship Id="rId4210" Type="http://schemas.openxmlformats.org/officeDocument/2006/relationships/hyperlink" Target="https://twitter.com/GHAUmass" TargetMode="External"/><Relationship Id="rId5540" Type="http://schemas.openxmlformats.org/officeDocument/2006/relationships/hyperlink" Target="https://twitter.com/erfagen" TargetMode="External"/><Relationship Id="rId598" Type="http://schemas.openxmlformats.org/officeDocument/2006/relationships/hyperlink" Target="https://twitter.com/pastpunditry/status/705782729913270273" TargetMode="External"/><Relationship Id="rId1187" Type="http://schemas.openxmlformats.org/officeDocument/2006/relationships/hyperlink" Target="https://pbs.twimg.com/profile_images/378800000149111881/7969acf9cec4197748b502a6a6c3d921_normal.jpeg" TargetMode="External"/><Relationship Id="rId4213" Type="http://schemas.openxmlformats.org/officeDocument/2006/relationships/hyperlink" Target="https://twitter.com/GHAUmass" TargetMode="External"/><Relationship Id="rId5545" Type="http://schemas.openxmlformats.org/officeDocument/2006/relationships/hyperlink" Target="https://pbs.twimg.com/profile_images/638086945722249217/mid_S_BQ_normal.jpg" TargetMode="External"/><Relationship Id="rId597" Type="http://schemas.openxmlformats.org/officeDocument/2006/relationships/hyperlink" Target="https://twitter.com/pastpunditry" TargetMode="External"/><Relationship Id="rId1188" Type="http://schemas.openxmlformats.org/officeDocument/2006/relationships/hyperlink" Target="https://twitter.com/MarlaAtUmass" TargetMode="External"/><Relationship Id="rId4212" Type="http://schemas.openxmlformats.org/officeDocument/2006/relationships/hyperlink" Target="https://pbs.twimg.com/profile_images/604060333590855682/Fk6r1D7d_normal.jpg" TargetMode="External"/><Relationship Id="rId5546" Type="http://schemas.openxmlformats.org/officeDocument/2006/relationships/hyperlink" Target="https://twitter.com/erfagen" TargetMode="External"/><Relationship Id="rId596" Type="http://schemas.openxmlformats.org/officeDocument/2006/relationships/hyperlink" Target="https://pbs.twimg.com/profile_images/3583165575/54f0bc87a29b2ae8587193829ce07299_normal.jpeg" TargetMode="External"/><Relationship Id="rId1189" Type="http://schemas.openxmlformats.org/officeDocument/2006/relationships/hyperlink" Target="https://twitter.com/MarlaAtUmass/status/705839897886777344" TargetMode="External"/><Relationship Id="rId4215" Type="http://schemas.openxmlformats.org/officeDocument/2006/relationships/hyperlink" Target="https://pbs.twimg.com/profile_images/604060333590855682/Fk6r1D7d_normal.jpg" TargetMode="External"/><Relationship Id="rId5543" Type="http://schemas.openxmlformats.org/officeDocument/2006/relationships/hyperlink" Target="https://twitter.com/erfagen" TargetMode="External"/><Relationship Id="rId595" Type="http://schemas.openxmlformats.org/officeDocument/2006/relationships/hyperlink" Target="https://twitter.com/umassph/status/705782701467504640" TargetMode="External"/><Relationship Id="rId4214" Type="http://schemas.openxmlformats.org/officeDocument/2006/relationships/hyperlink" Target="https://twitter.com/GHAUmass/status/706143494478426112" TargetMode="External"/><Relationship Id="rId5544" Type="http://schemas.openxmlformats.org/officeDocument/2006/relationships/hyperlink" Target="https://twitter.com/erfagen/status/706253014957424640" TargetMode="External"/><Relationship Id="rId1136" Type="http://schemas.openxmlformats.org/officeDocument/2006/relationships/hyperlink" Target="https://pbs.twimg.com/profile_images/701102020061753344/5zH70uem_normal.jpg" TargetMode="External"/><Relationship Id="rId2467" Type="http://schemas.openxmlformats.org/officeDocument/2006/relationships/hyperlink" Target="https://twitter.com/GHAUmass" TargetMode="External"/><Relationship Id="rId3799" Type="http://schemas.openxmlformats.org/officeDocument/2006/relationships/hyperlink" Target="https://twitter.com/JeanniInABottle" TargetMode="External"/><Relationship Id="rId1137" Type="http://schemas.openxmlformats.org/officeDocument/2006/relationships/hyperlink" Target="https://twitter.com/pastpunditry" TargetMode="External"/><Relationship Id="rId2468" Type="http://schemas.openxmlformats.org/officeDocument/2006/relationships/hyperlink" Target="https://twitter.com/GHAUmass/status/705925952300195840" TargetMode="External"/><Relationship Id="rId3798" Type="http://schemas.openxmlformats.org/officeDocument/2006/relationships/hyperlink" Target="https://pbs.twimg.com/profile_images/548193870278688768/8Dq7gW3U_normal.png" TargetMode="External"/><Relationship Id="rId1138" Type="http://schemas.openxmlformats.org/officeDocument/2006/relationships/hyperlink" Target="https://twitter.com/pastpunditry/status/705837557477740544" TargetMode="External"/><Relationship Id="rId2469" Type="http://schemas.openxmlformats.org/officeDocument/2006/relationships/hyperlink" Target="https://pbs.twimg.com/profile_images/604060333590855682/Fk6r1D7d_normal.jpg" TargetMode="External"/><Relationship Id="rId1139" Type="http://schemas.openxmlformats.org/officeDocument/2006/relationships/hyperlink" Target="https://pbs.twimg.com/profile_images/704873222802636800/7aFEMOY5_normal.jpg" TargetMode="External"/><Relationship Id="rId547" Type="http://schemas.openxmlformats.org/officeDocument/2006/relationships/hyperlink" Target="https://twitter.com/pastpunditry/status/705779616288542721" TargetMode="External"/><Relationship Id="rId546" Type="http://schemas.openxmlformats.org/officeDocument/2006/relationships/hyperlink" Target="https://twitter.com/pastpunditry" TargetMode="External"/><Relationship Id="rId545" Type="http://schemas.openxmlformats.org/officeDocument/2006/relationships/hyperlink" Target="https://pbs.twimg.com/profile_images/704873222802636800/7aFEMOY5_normal.jpg" TargetMode="External"/><Relationship Id="rId544" Type="http://schemas.openxmlformats.org/officeDocument/2006/relationships/hyperlink" Target="https://twitter.com/pastpunditry/status/705779604150206464" TargetMode="External"/><Relationship Id="rId549" Type="http://schemas.openxmlformats.org/officeDocument/2006/relationships/hyperlink" Target="https://twitter.com/NickSacco55" TargetMode="External"/><Relationship Id="rId548" Type="http://schemas.openxmlformats.org/officeDocument/2006/relationships/hyperlink" Target="https://pbs.twimg.com/profile_images/704873222802636800/7aFEMOY5_normal.jpg" TargetMode="External"/><Relationship Id="rId3791" Type="http://schemas.openxmlformats.org/officeDocument/2006/relationships/hyperlink" Target="https://twitter.com/JulieThePH/status/705960544482795520" TargetMode="External"/><Relationship Id="rId2460" Type="http://schemas.openxmlformats.org/officeDocument/2006/relationships/hyperlink" Target="https://pbs.twimg.com/profile_images/378800000450415007/82bcc7d0cab85e8d5920dbf5ded6715e_normal.jpeg" TargetMode="External"/><Relationship Id="rId3790" Type="http://schemas.openxmlformats.org/officeDocument/2006/relationships/hyperlink" Target="https://twitter.com/JulieThePH" TargetMode="External"/><Relationship Id="rId1130" Type="http://schemas.openxmlformats.org/officeDocument/2006/relationships/hyperlink" Target="https://pbs.twimg.com/profile_images/704873222802636800/7aFEMOY5_normal.jpg" TargetMode="External"/><Relationship Id="rId2461" Type="http://schemas.openxmlformats.org/officeDocument/2006/relationships/hyperlink" Target="https://twitter.com/erfagen" TargetMode="External"/><Relationship Id="rId3793" Type="http://schemas.openxmlformats.org/officeDocument/2006/relationships/hyperlink" Target="https://twitter.com/JasonSteinhauer" TargetMode="External"/><Relationship Id="rId1131" Type="http://schemas.openxmlformats.org/officeDocument/2006/relationships/hyperlink" Target="https://twitter.com/MarlaAtUmass" TargetMode="External"/><Relationship Id="rId2462" Type="http://schemas.openxmlformats.org/officeDocument/2006/relationships/hyperlink" Target="https://twitter.com/erfagen/status/705925906896969728" TargetMode="External"/><Relationship Id="rId3792" Type="http://schemas.openxmlformats.org/officeDocument/2006/relationships/hyperlink" Target="https://pbs.twimg.com/profile_images/596509974005686273/AqBblwMR_normal.jpg" TargetMode="External"/><Relationship Id="rId543" Type="http://schemas.openxmlformats.org/officeDocument/2006/relationships/hyperlink" Target="https://twitter.com/pastpunditry" TargetMode="External"/><Relationship Id="rId1132" Type="http://schemas.openxmlformats.org/officeDocument/2006/relationships/hyperlink" Target="https://twitter.com/MarlaAtUmass/status/705837385305755648" TargetMode="External"/><Relationship Id="rId2463" Type="http://schemas.openxmlformats.org/officeDocument/2006/relationships/hyperlink" Target="https://pbs.twimg.com/profile_images/638086945722249217/mid_S_BQ_normal.jpg" TargetMode="External"/><Relationship Id="rId3795" Type="http://schemas.openxmlformats.org/officeDocument/2006/relationships/hyperlink" Target="https://pbs.twimg.com/profile_images/531574951107518465/AvUhkliP_normal.jpeg" TargetMode="External"/><Relationship Id="rId542" Type="http://schemas.openxmlformats.org/officeDocument/2006/relationships/hyperlink" Target="https://pbs.twimg.com/profile_images/596509974005686273/AqBblwMR_normal.jpg" TargetMode="External"/><Relationship Id="rId1133" Type="http://schemas.openxmlformats.org/officeDocument/2006/relationships/hyperlink" Target="https://pbs.twimg.com/profile_images/565429960/Betsy_Twitter_normal.jpg" TargetMode="External"/><Relationship Id="rId2464" Type="http://schemas.openxmlformats.org/officeDocument/2006/relationships/hyperlink" Target="https://twitter.com/erfagen" TargetMode="External"/><Relationship Id="rId3794" Type="http://schemas.openxmlformats.org/officeDocument/2006/relationships/hyperlink" Target="https://twitter.com/JasonSteinhauer/status/705960741782855680" TargetMode="External"/><Relationship Id="rId541" Type="http://schemas.openxmlformats.org/officeDocument/2006/relationships/hyperlink" Target="https://twitter.com/JulieThePH/status/705779368384192513" TargetMode="External"/><Relationship Id="rId1134" Type="http://schemas.openxmlformats.org/officeDocument/2006/relationships/hyperlink" Target="https://twitter.com/jamiaw" TargetMode="External"/><Relationship Id="rId2465" Type="http://schemas.openxmlformats.org/officeDocument/2006/relationships/hyperlink" Target="https://twitter.com/erfagen/status/705925943999782912" TargetMode="External"/><Relationship Id="rId3797" Type="http://schemas.openxmlformats.org/officeDocument/2006/relationships/hyperlink" Target="https://twitter.com/samueljredman/status/705963984328003585" TargetMode="External"/><Relationship Id="rId540" Type="http://schemas.openxmlformats.org/officeDocument/2006/relationships/hyperlink" Target="https://twitter.com/JulieThePH" TargetMode="External"/><Relationship Id="rId1135" Type="http://schemas.openxmlformats.org/officeDocument/2006/relationships/hyperlink" Target="https://twitter.com/jamiaw/status/705837403869679616" TargetMode="External"/><Relationship Id="rId2466" Type="http://schemas.openxmlformats.org/officeDocument/2006/relationships/hyperlink" Target="https://pbs.twimg.com/profile_images/638086945722249217/mid_S_BQ_normal.jpg" TargetMode="External"/><Relationship Id="rId3796" Type="http://schemas.openxmlformats.org/officeDocument/2006/relationships/hyperlink" Target="https://twitter.com/samueljredman" TargetMode="External"/><Relationship Id="rId1125" Type="http://schemas.openxmlformats.org/officeDocument/2006/relationships/hyperlink" Target="https://twitter.com/pastpunditry" TargetMode="External"/><Relationship Id="rId2456" Type="http://schemas.openxmlformats.org/officeDocument/2006/relationships/hyperlink" Target="https://twitter.com/pastpunditry/status/705925839725191173" TargetMode="External"/><Relationship Id="rId3788" Type="http://schemas.openxmlformats.org/officeDocument/2006/relationships/hyperlink" Target="https://twitter.com/JulieThePH/status/705959004250501120" TargetMode="External"/><Relationship Id="rId1126" Type="http://schemas.openxmlformats.org/officeDocument/2006/relationships/hyperlink" Target="https://twitter.com/pastpunditry/status/705837106275471361" TargetMode="External"/><Relationship Id="rId2457" Type="http://schemas.openxmlformats.org/officeDocument/2006/relationships/hyperlink" Target="https://pbs.twimg.com/profile_images/704873222802636800/7aFEMOY5_normal.jpg" TargetMode="External"/><Relationship Id="rId3787" Type="http://schemas.openxmlformats.org/officeDocument/2006/relationships/hyperlink" Target="https://twitter.com/JulieThePH" TargetMode="External"/><Relationship Id="rId1127" Type="http://schemas.openxmlformats.org/officeDocument/2006/relationships/hyperlink" Target="https://pbs.twimg.com/profile_images/704873222802636800/7aFEMOY5_normal.jpg" TargetMode="External"/><Relationship Id="rId2458" Type="http://schemas.openxmlformats.org/officeDocument/2006/relationships/hyperlink" Target="https://twitter.com/magmidd" TargetMode="External"/><Relationship Id="rId1128" Type="http://schemas.openxmlformats.org/officeDocument/2006/relationships/hyperlink" Target="https://twitter.com/pastpunditry" TargetMode="External"/><Relationship Id="rId2459" Type="http://schemas.openxmlformats.org/officeDocument/2006/relationships/hyperlink" Target="https://twitter.com/magmidd/status/705925873665347584" TargetMode="External"/><Relationship Id="rId3789" Type="http://schemas.openxmlformats.org/officeDocument/2006/relationships/hyperlink" Target="https://pbs.twimg.com/profile_images/596509974005686273/AqBblwMR_normal.jpg" TargetMode="External"/><Relationship Id="rId1129" Type="http://schemas.openxmlformats.org/officeDocument/2006/relationships/hyperlink" Target="https://twitter.com/pastpunditry/status/705837160381992960" TargetMode="External"/><Relationship Id="rId536" Type="http://schemas.openxmlformats.org/officeDocument/2006/relationships/hyperlink" Target="https://pbs.twimg.com/profile_images/596509974005686273/AqBblwMR_normal.jpg" TargetMode="External"/><Relationship Id="rId535" Type="http://schemas.openxmlformats.org/officeDocument/2006/relationships/hyperlink" Target="https://twitter.com/JulieThePH/status/705779326797611008" TargetMode="External"/><Relationship Id="rId534" Type="http://schemas.openxmlformats.org/officeDocument/2006/relationships/hyperlink" Target="https://twitter.com/JulieThePH" TargetMode="External"/><Relationship Id="rId533" Type="http://schemas.openxmlformats.org/officeDocument/2006/relationships/hyperlink" Target="https://pbs.twimg.com/profile_images/548193870278688768/8Dq7gW3U_normal.png" TargetMode="External"/><Relationship Id="rId539" Type="http://schemas.openxmlformats.org/officeDocument/2006/relationships/hyperlink" Target="https://pbs.twimg.com/profile_images/548193870278688768/8Dq7gW3U_normal.png" TargetMode="External"/><Relationship Id="rId538" Type="http://schemas.openxmlformats.org/officeDocument/2006/relationships/hyperlink" Target="https://twitter.com/samueljredman/status/705779330249596928" TargetMode="External"/><Relationship Id="rId537" Type="http://schemas.openxmlformats.org/officeDocument/2006/relationships/hyperlink" Target="https://twitter.com/samueljredman" TargetMode="External"/><Relationship Id="rId3780" Type="http://schemas.openxmlformats.org/officeDocument/2006/relationships/hyperlink" Target="https://pbs.twimg.com/profile_images/2090305941/Fea_speaking_normal.jpg" TargetMode="External"/><Relationship Id="rId2450" Type="http://schemas.openxmlformats.org/officeDocument/2006/relationships/hyperlink" Target="https://twitter.com/sheishistoric/status/705925816971083776" TargetMode="External"/><Relationship Id="rId3782" Type="http://schemas.openxmlformats.org/officeDocument/2006/relationships/hyperlink" Target="https://twitter.com/GHAUmass/status/705958380750278660" TargetMode="External"/><Relationship Id="rId1120" Type="http://schemas.openxmlformats.org/officeDocument/2006/relationships/hyperlink" Target="https://twitter.com/samueljredman/status/705836235655401472" TargetMode="External"/><Relationship Id="rId2451" Type="http://schemas.openxmlformats.org/officeDocument/2006/relationships/hyperlink" Target="https://pbs.twimg.com/profile_images/650419150620377089/bJxBf---_normal.jpg" TargetMode="External"/><Relationship Id="rId3781" Type="http://schemas.openxmlformats.org/officeDocument/2006/relationships/hyperlink" Target="https://twitter.com/GHAUmass" TargetMode="External"/><Relationship Id="rId532" Type="http://schemas.openxmlformats.org/officeDocument/2006/relationships/hyperlink" Target="https://twitter.com/samueljredman/status/705779286112915456" TargetMode="External"/><Relationship Id="rId1121" Type="http://schemas.openxmlformats.org/officeDocument/2006/relationships/hyperlink" Target="https://pbs.twimg.com/profile_images/548193870278688768/8Dq7gW3U_normal.png" TargetMode="External"/><Relationship Id="rId2452" Type="http://schemas.openxmlformats.org/officeDocument/2006/relationships/hyperlink" Target="https://twitter.com/jamiaw" TargetMode="External"/><Relationship Id="rId3784" Type="http://schemas.openxmlformats.org/officeDocument/2006/relationships/hyperlink" Target="https://twitter.com/GHAUmass" TargetMode="External"/><Relationship Id="rId531" Type="http://schemas.openxmlformats.org/officeDocument/2006/relationships/hyperlink" Target="https://twitter.com/samueljredman" TargetMode="External"/><Relationship Id="rId1122" Type="http://schemas.openxmlformats.org/officeDocument/2006/relationships/hyperlink" Target="https://twitter.com/JulieThePH" TargetMode="External"/><Relationship Id="rId2453" Type="http://schemas.openxmlformats.org/officeDocument/2006/relationships/hyperlink" Target="https://twitter.com/jamiaw/status/705925823027617792" TargetMode="External"/><Relationship Id="rId3783" Type="http://schemas.openxmlformats.org/officeDocument/2006/relationships/hyperlink" Target="https://pbs.twimg.com/profile_images/604060333590855682/Fk6r1D7d_normal.jpg" TargetMode="External"/><Relationship Id="rId530" Type="http://schemas.openxmlformats.org/officeDocument/2006/relationships/hyperlink" Target="https://pbs.twimg.com/profile_images/378800000149111881/7969acf9cec4197748b502a6a6c3d921_normal.jpeg" TargetMode="External"/><Relationship Id="rId1123" Type="http://schemas.openxmlformats.org/officeDocument/2006/relationships/hyperlink" Target="https://twitter.com/JulieThePH/status/705836992119054336" TargetMode="External"/><Relationship Id="rId2454" Type="http://schemas.openxmlformats.org/officeDocument/2006/relationships/hyperlink" Target="https://pbs.twimg.com/profile_images/701102020061753344/5zH70uem_normal.jpg" TargetMode="External"/><Relationship Id="rId3786" Type="http://schemas.openxmlformats.org/officeDocument/2006/relationships/hyperlink" Target="https://pbs.twimg.com/profile_images/604060333590855682/Fk6r1D7d_normal.jpg" TargetMode="External"/><Relationship Id="rId1124" Type="http://schemas.openxmlformats.org/officeDocument/2006/relationships/hyperlink" Target="https://pbs.twimg.com/profile_images/596509974005686273/AqBblwMR_normal.jpg" TargetMode="External"/><Relationship Id="rId2455" Type="http://schemas.openxmlformats.org/officeDocument/2006/relationships/hyperlink" Target="https://twitter.com/pastpunditry" TargetMode="External"/><Relationship Id="rId3785" Type="http://schemas.openxmlformats.org/officeDocument/2006/relationships/hyperlink" Target="https://twitter.com/GHAUmass/status/705958454431592448" TargetMode="External"/><Relationship Id="rId1158" Type="http://schemas.openxmlformats.org/officeDocument/2006/relationships/hyperlink" Target="https://twitter.com/MarlaAtUmass" TargetMode="External"/><Relationship Id="rId2489" Type="http://schemas.openxmlformats.org/officeDocument/2006/relationships/hyperlink" Target="https://twitter.com/GHAUmass/status/705926019635658752" TargetMode="External"/><Relationship Id="rId5516" Type="http://schemas.openxmlformats.org/officeDocument/2006/relationships/hyperlink" Target="https://twitter.com/rebekkahrubin" TargetMode="External"/><Relationship Id="rId1159" Type="http://schemas.openxmlformats.org/officeDocument/2006/relationships/hyperlink" Target="https://twitter.com/MarlaAtUmass/status/705838689784623104" TargetMode="External"/><Relationship Id="rId5517" Type="http://schemas.openxmlformats.org/officeDocument/2006/relationships/hyperlink" Target="https://twitter.com/rebekkahrubin/status/706251012164685824" TargetMode="External"/><Relationship Id="rId5514" Type="http://schemas.openxmlformats.org/officeDocument/2006/relationships/hyperlink" Target="https://twitter.com/rebekkahrubin/status/706250612690853888" TargetMode="External"/><Relationship Id="rId5515" Type="http://schemas.openxmlformats.org/officeDocument/2006/relationships/hyperlink" Target="https://pbs.twimg.com/profile_images/700317732588408832/Ym_-neUi_normal.jpg" TargetMode="External"/><Relationship Id="rId5518" Type="http://schemas.openxmlformats.org/officeDocument/2006/relationships/hyperlink" Target="https://pbs.twimg.com/profile_images/700317732588408832/Ym_-neUi_normal.jpg" TargetMode="External"/><Relationship Id="rId5519" Type="http://schemas.openxmlformats.org/officeDocument/2006/relationships/hyperlink" Target="https://twitter.com/rebekkahrubin" TargetMode="External"/><Relationship Id="rId569" Type="http://schemas.openxmlformats.org/officeDocument/2006/relationships/hyperlink" Target="https://pbs.twimg.com/profile_images/646533311/wam_logo_square_normal.jpg" TargetMode="External"/><Relationship Id="rId568" Type="http://schemas.openxmlformats.org/officeDocument/2006/relationships/hyperlink" Target="https://twitter.com/womenactmedia/status/705781608486473729" TargetMode="External"/><Relationship Id="rId567" Type="http://schemas.openxmlformats.org/officeDocument/2006/relationships/hyperlink" Target="https://twitter.com/womenactmedia" TargetMode="External"/><Relationship Id="rId566" Type="http://schemas.openxmlformats.org/officeDocument/2006/relationships/hyperlink" Target="https://pbs.twimg.com/profile_images/646533311/wam_logo_square_normal.jpg" TargetMode="External"/><Relationship Id="rId2480" Type="http://schemas.openxmlformats.org/officeDocument/2006/relationships/hyperlink" Target="https://twitter.com/allisonhorrocks/status/705925982264434688" TargetMode="External"/><Relationship Id="rId561" Type="http://schemas.openxmlformats.org/officeDocument/2006/relationships/hyperlink" Target="https://twitter.com/jamiaw" TargetMode="External"/><Relationship Id="rId1150" Type="http://schemas.openxmlformats.org/officeDocument/2006/relationships/hyperlink" Target="https://twitter.com/mille24c/status/705838290507833345" TargetMode="External"/><Relationship Id="rId2481" Type="http://schemas.openxmlformats.org/officeDocument/2006/relationships/hyperlink" Target="https://pbs.twimg.com/profile_images/562279222522032128/-phaZgxO_normal.jpeg" TargetMode="External"/><Relationship Id="rId560" Type="http://schemas.openxmlformats.org/officeDocument/2006/relationships/hyperlink" Target="https://pbs.twimg.com/profile_images/456912328651333632/xZNKjSh9_normal.jpeg" TargetMode="External"/><Relationship Id="rId1151" Type="http://schemas.openxmlformats.org/officeDocument/2006/relationships/hyperlink" Target="https://pbs.twimg.com/profile_images/676362182020481024/P0kyLli1_normal.jpg" TargetMode="External"/><Relationship Id="rId2482" Type="http://schemas.openxmlformats.org/officeDocument/2006/relationships/hyperlink" Target="https://twitter.com/pastpunditry" TargetMode="External"/><Relationship Id="rId1152" Type="http://schemas.openxmlformats.org/officeDocument/2006/relationships/hyperlink" Target="https://twitter.com/jamiaw" TargetMode="External"/><Relationship Id="rId2483" Type="http://schemas.openxmlformats.org/officeDocument/2006/relationships/hyperlink" Target="https://twitter.com/pastpunditry/status/705926003886006273" TargetMode="External"/><Relationship Id="rId1153" Type="http://schemas.openxmlformats.org/officeDocument/2006/relationships/hyperlink" Target="https://twitter.com/jamiaw/status/705838420782915585" TargetMode="External"/><Relationship Id="rId2484" Type="http://schemas.openxmlformats.org/officeDocument/2006/relationships/hyperlink" Target="https://pbs.twimg.com/profile_images/704873222802636800/7aFEMOY5_normal.jpg" TargetMode="External"/><Relationship Id="rId565" Type="http://schemas.openxmlformats.org/officeDocument/2006/relationships/hyperlink" Target="https://twitter.com/womenactmedia/status/705781548923166720" TargetMode="External"/><Relationship Id="rId1154" Type="http://schemas.openxmlformats.org/officeDocument/2006/relationships/hyperlink" Target="https://pbs.twimg.com/profile_images/701102020061753344/5zH70uem_normal.jpg" TargetMode="External"/><Relationship Id="rId2485" Type="http://schemas.openxmlformats.org/officeDocument/2006/relationships/hyperlink" Target="https://twitter.com/rebekkahrubin" TargetMode="External"/><Relationship Id="rId5512" Type="http://schemas.openxmlformats.org/officeDocument/2006/relationships/hyperlink" Target="https://pbs.twimg.com/profile_images/700317732588408832/Ym_-neUi_normal.jpg" TargetMode="External"/><Relationship Id="rId564" Type="http://schemas.openxmlformats.org/officeDocument/2006/relationships/hyperlink" Target="https://twitter.com/womenactmedia" TargetMode="External"/><Relationship Id="rId1155" Type="http://schemas.openxmlformats.org/officeDocument/2006/relationships/hyperlink" Target="https://twitter.com/jbjhistory" TargetMode="External"/><Relationship Id="rId2486" Type="http://schemas.openxmlformats.org/officeDocument/2006/relationships/hyperlink" Target="https://twitter.com/rebekkahrubin/status/705926018863927296" TargetMode="External"/><Relationship Id="rId5513" Type="http://schemas.openxmlformats.org/officeDocument/2006/relationships/hyperlink" Target="https://twitter.com/rebekkahrubin" TargetMode="External"/><Relationship Id="rId563" Type="http://schemas.openxmlformats.org/officeDocument/2006/relationships/hyperlink" Target="https://pbs.twimg.com/profile_images/701102020061753344/5zH70uem_normal.jpg" TargetMode="External"/><Relationship Id="rId1156" Type="http://schemas.openxmlformats.org/officeDocument/2006/relationships/hyperlink" Target="https://twitter.com/jbjhistory/status/705838440986894337" TargetMode="External"/><Relationship Id="rId2487" Type="http://schemas.openxmlformats.org/officeDocument/2006/relationships/hyperlink" Target="https://pbs.twimg.com/profile_images/700317732588408832/Ym_-neUi_normal.jpg" TargetMode="External"/><Relationship Id="rId5510" Type="http://schemas.openxmlformats.org/officeDocument/2006/relationships/hyperlink" Target="https://twitter.com/rebekkahrubin" TargetMode="External"/><Relationship Id="rId562" Type="http://schemas.openxmlformats.org/officeDocument/2006/relationships/hyperlink" Target="https://twitter.com/jamiaw/status/705781548910571520" TargetMode="External"/><Relationship Id="rId1157" Type="http://schemas.openxmlformats.org/officeDocument/2006/relationships/hyperlink" Target="https://pbs.twimg.com/profile_images/572584579542691840/6QE8hkeK_normal.jpeg" TargetMode="External"/><Relationship Id="rId2488" Type="http://schemas.openxmlformats.org/officeDocument/2006/relationships/hyperlink" Target="https://twitter.com/GHAUmass" TargetMode="External"/><Relationship Id="rId5511" Type="http://schemas.openxmlformats.org/officeDocument/2006/relationships/hyperlink" Target="https://twitter.com/rebekkahrubin/status/706250381374918657" TargetMode="External"/><Relationship Id="rId1147" Type="http://schemas.openxmlformats.org/officeDocument/2006/relationships/hyperlink" Target="https://twitter.com/JulieThePH/status/705837754857291776" TargetMode="External"/><Relationship Id="rId2478" Type="http://schemas.openxmlformats.org/officeDocument/2006/relationships/hyperlink" Target="https://pbs.twimg.com/profile_images/565429960/Betsy_Twitter_normal.jpg" TargetMode="External"/><Relationship Id="rId5505" Type="http://schemas.openxmlformats.org/officeDocument/2006/relationships/hyperlink" Target="https://twitter.com/GHAUmass/status/706249656565682176" TargetMode="External"/><Relationship Id="rId1148" Type="http://schemas.openxmlformats.org/officeDocument/2006/relationships/hyperlink" Target="https://pbs.twimg.com/profile_images/596509974005686273/AqBblwMR_normal.jpg" TargetMode="External"/><Relationship Id="rId2479" Type="http://schemas.openxmlformats.org/officeDocument/2006/relationships/hyperlink" Target="https://twitter.com/allisonhorrocks" TargetMode="External"/><Relationship Id="rId5506" Type="http://schemas.openxmlformats.org/officeDocument/2006/relationships/hyperlink" Target="https://pbs.twimg.com/profile_images/604060333590855682/Fk6r1D7d_normal.jpg" TargetMode="External"/><Relationship Id="rId1149" Type="http://schemas.openxmlformats.org/officeDocument/2006/relationships/hyperlink" Target="https://twitter.com/mille24c" TargetMode="External"/><Relationship Id="rId5503" Type="http://schemas.openxmlformats.org/officeDocument/2006/relationships/hyperlink" Target="https://pbs.twimg.com/profile_images/700317732588408832/Ym_-neUi_normal.jpg" TargetMode="External"/><Relationship Id="rId5504" Type="http://schemas.openxmlformats.org/officeDocument/2006/relationships/hyperlink" Target="https://twitter.com/GHAUmass" TargetMode="External"/><Relationship Id="rId5509" Type="http://schemas.openxmlformats.org/officeDocument/2006/relationships/hyperlink" Target="https://pbs.twimg.com/profile_images/2700002859/1f2d610ddaf1f03ac7d033dd83847b45_normal.jpeg" TargetMode="External"/><Relationship Id="rId5507" Type="http://schemas.openxmlformats.org/officeDocument/2006/relationships/hyperlink" Target="https://twitter.com/lizl_genealogy" TargetMode="External"/><Relationship Id="rId5508" Type="http://schemas.openxmlformats.org/officeDocument/2006/relationships/hyperlink" Target="https://twitter.com/lizl_genealogy/status/706250207919534080" TargetMode="External"/><Relationship Id="rId558" Type="http://schemas.openxmlformats.org/officeDocument/2006/relationships/hyperlink" Target="https://twitter.com/lemfowler" TargetMode="External"/><Relationship Id="rId557" Type="http://schemas.openxmlformats.org/officeDocument/2006/relationships/hyperlink" Target="https://pbs.twimg.com/profile_images/596509974005686273/AqBblwMR_normal.jpg" TargetMode="External"/><Relationship Id="rId556" Type="http://schemas.openxmlformats.org/officeDocument/2006/relationships/hyperlink" Target="https://twitter.com/JulieThePH/status/705780848524705792" TargetMode="External"/><Relationship Id="rId555" Type="http://schemas.openxmlformats.org/officeDocument/2006/relationships/hyperlink" Target="https://twitter.com/JulieThePH" TargetMode="External"/><Relationship Id="rId559" Type="http://schemas.openxmlformats.org/officeDocument/2006/relationships/hyperlink" Target="https://twitter.com/lemfowler/status/705781368953958401" TargetMode="External"/><Relationship Id="rId550" Type="http://schemas.openxmlformats.org/officeDocument/2006/relationships/hyperlink" Target="https://twitter.com/NickSacco55/status/705780508882509826" TargetMode="External"/><Relationship Id="rId2470" Type="http://schemas.openxmlformats.org/officeDocument/2006/relationships/hyperlink" Target="https://twitter.com/GHAUmass" TargetMode="External"/><Relationship Id="rId1140" Type="http://schemas.openxmlformats.org/officeDocument/2006/relationships/hyperlink" Target="https://twitter.com/pastpunditry" TargetMode="External"/><Relationship Id="rId2471" Type="http://schemas.openxmlformats.org/officeDocument/2006/relationships/hyperlink" Target="https://twitter.com/GHAUmass/status/705925976434339841" TargetMode="External"/><Relationship Id="rId1141" Type="http://schemas.openxmlformats.org/officeDocument/2006/relationships/hyperlink" Target="https://twitter.com/pastpunditry/status/705837579556560896" TargetMode="External"/><Relationship Id="rId2472" Type="http://schemas.openxmlformats.org/officeDocument/2006/relationships/hyperlink" Target="https://pbs.twimg.com/profile_images/604060333590855682/Fk6r1D7d_normal.jpg" TargetMode="External"/><Relationship Id="rId1142" Type="http://schemas.openxmlformats.org/officeDocument/2006/relationships/hyperlink" Target="https://pbs.twimg.com/profile_images/704873222802636800/7aFEMOY5_normal.jpg" TargetMode="External"/><Relationship Id="rId2473" Type="http://schemas.openxmlformats.org/officeDocument/2006/relationships/hyperlink" Target="https://twitter.com/CitizenWald" TargetMode="External"/><Relationship Id="rId554" Type="http://schemas.openxmlformats.org/officeDocument/2006/relationships/hyperlink" Target="https://pbs.twimg.com/profile_images/676362182020481024/P0kyLli1_normal.jpg" TargetMode="External"/><Relationship Id="rId1143" Type="http://schemas.openxmlformats.org/officeDocument/2006/relationships/hyperlink" Target="https://twitter.com/JulieThePH" TargetMode="External"/><Relationship Id="rId2474" Type="http://schemas.openxmlformats.org/officeDocument/2006/relationships/hyperlink" Target="https://twitter.com/CitizenWald/status/705925978309193728" TargetMode="External"/><Relationship Id="rId5501" Type="http://schemas.openxmlformats.org/officeDocument/2006/relationships/hyperlink" Target="https://twitter.com/rebekkahrubin" TargetMode="External"/><Relationship Id="rId553" Type="http://schemas.openxmlformats.org/officeDocument/2006/relationships/hyperlink" Target="https://twitter.com/mille24c/status/705780679364243456" TargetMode="External"/><Relationship Id="rId1144" Type="http://schemas.openxmlformats.org/officeDocument/2006/relationships/hyperlink" Target="https://twitter.com/JulieThePH/status/705837630739636224" TargetMode="External"/><Relationship Id="rId2475" Type="http://schemas.openxmlformats.org/officeDocument/2006/relationships/hyperlink" Target="https://pbs.twimg.com/profile_images/661220280564486144/ZxUrdRVS_normal.jpg" TargetMode="External"/><Relationship Id="rId5502" Type="http://schemas.openxmlformats.org/officeDocument/2006/relationships/hyperlink" Target="https://twitter.com/rebekkahrubin/status/706249331037347842" TargetMode="External"/><Relationship Id="rId552" Type="http://schemas.openxmlformats.org/officeDocument/2006/relationships/hyperlink" Target="https://twitter.com/mille24c" TargetMode="External"/><Relationship Id="rId1145" Type="http://schemas.openxmlformats.org/officeDocument/2006/relationships/hyperlink" Target="https://pbs.twimg.com/profile_images/596509974005686273/AqBblwMR_normal.jpg" TargetMode="External"/><Relationship Id="rId2476" Type="http://schemas.openxmlformats.org/officeDocument/2006/relationships/hyperlink" Target="https://twitter.com/MarlaAtUmass" TargetMode="External"/><Relationship Id="rId551" Type="http://schemas.openxmlformats.org/officeDocument/2006/relationships/hyperlink" Target="https://pbs.twimg.com/profile_images/578883221963718656/EVCuitrj_normal.jpeg" TargetMode="External"/><Relationship Id="rId1146" Type="http://schemas.openxmlformats.org/officeDocument/2006/relationships/hyperlink" Target="https://twitter.com/JulieThePH" TargetMode="External"/><Relationship Id="rId2477" Type="http://schemas.openxmlformats.org/officeDocument/2006/relationships/hyperlink" Target="https://twitter.com/MarlaAtUmass/status/705925980674777088" TargetMode="External"/><Relationship Id="rId5500" Type="http://schemas.openxmlformats.org/officeDocument/2006/relationships/hyperlink" Target="https://pbs.twimg.com/profile_images/548193870278688768/8Dq7gW3U_normal.png" TargetMode="External"/><Relationship Id="rId4280" Type="http://schemas.openxmlformats.org/officeDocument/2006/relationships/hyperlink" Target="https://twitter.com/pastpunditry" TargetMode="External"/><Relationship Id="rId4282" Type="http://schemas.openxmlformats.org/officeDocument/2006/relationships/hyperlink" Target="https://pbs.twimg.com/profile_images/704873222802636800/7aFEMOY5_normal.jpg" TargetMode="External"/><Relationship Id="rId4281" Type="http://schemas.openxmlformats.org/officeDocument/2006/relationships/hyperlink" Target="https://twitter.com/pastpunditry/status/706151221376229376" TargetMode="External"/><Relationship Id="rId4284" Type="http://schemas.openxmlformats.org/officeDocument/2006/relationships/hyperlink" Target="https://twitter.com/JimGrossmanAHA/status/706151238245748736" TargetMode="External"/><Relationship Id="rId4283" Type="http://schemas.openxmlformats.org/officeDocument/2006/relationships/hyperlink" Target="https://twitter.com/JimGrossmanAHA" TargetMode="External"/><Relationship Id="rId4286" Type="http://schemas.openxmlformats.org/officeDocument/2006/relationships/hyperlink" Target="https://twitter.com/RPShapardUNC" TargetMode="External"/><Relationship Id="rId4285" Type="http://schemas.openxmlformats.org/officeDocument/2006/relationships/hyperlink" Target="https://pbs.twimg.com/profile_images/378800000667891782/44d7b181c077bf16ab07b242f7ad81b9_normal.png" TargetMode="External"/><Relationship Id="rId4288" Type="http://schemas.openxmlformats.org/officeDocument/2006/relationships/hyperlink" Target="https://pbs.twimg.com/profile_images/702170386352492544/dy8Nwz3T_normal.jpg" TargetMode="External"/><Relationship Id="rId4287" Type="http://schemas.openxmlformats.org/officeDocument/2006/relationships/hyperlink" Target="https://twitter.com/RPShapardUNC/status/706151347125673984" TargetMode="External"/><Relationship Id="rId4289" Type="http://schemas.openxmlformats.org/officeDocument/2006/relationships/hyperlink" Target="https://twitter.com/jamiaw" TargetMode="External"/><Relationship Id="rId4271" Type="http://schemas.openxmlformats.org/officeDocument/2006/relationships/hyperlink" Target="https://twitter.com/pastpunditry" TargetMode="External"/><Relationship Id="rId4270" Type="http://schemas.openxmlformats.org/officeDocument/2006/relationships/hyperlink" Target="https://pbs.twimg.com/profile_images/596509974005686273/AqBblwMR_normal.jpg" TargetMode="External"/><Relationship Id="rId4273" Type="http://schemas.openxmlformats.org/officeDocument/2006/relationships/hyperlink" Target="https://pbs.twimg.com/profile_images/704873222802636800/7aFEMOY5_normal.jpg" TargetMode="External"/><Relationship Id="rId4272" Type="http://schemas.openxmlformats.org/officeDocument/2006/relationships/hyperlink" Target="https://twitter.com/pastpunditry/status/706151042103255042" TargetMode="External"/><Relationship Id="rId4275" Type="http://schemas.openxmlformats.org/officeDocument/2006/relationships/hyperlink" Target="https://twitter.com/pastpunditry/status/706151062026190849" TargetMode="External"/><Relationship Id="rId4274" Type="http://schemas.openxmlformats.org/officeDocument/2006/relationships/hyperlink" Target="https://twitter.com/pastpunditry" TargetMode="External"/><Relationship Id="rId4277" Type="http://schemas.openxmlformats.org/officeDocument/2006/relationships/hyperlink" Target="https://twitter.com/jamiaw" TargetMode="External"/><Relationship Id="rId4276" Type="http://schemas.openxmlformats.org/officeDocument/2006/relationships/hyperlink" Target="https://pbs.twimg.com/profile_images/704873222802636800/7aFEMOY5_normal.jpg" TargetMode="External"/><Relationship Id="rId4279" Type="http://schemas.openxmlformats.org/officeDocument/2006/relationships/hyperlink" Target="https://pbs.twimg.com/profile_images/701102020061753344/5zH70uem_normal.jpg" TargetMode="External"/><Relationship Id="rId4278" Type="http://schemas.openxmlformats.org/officeDocument/2006/relationships/hyperlink" Target="https://twitter.com/jamiaw/status/706151180767006721" TargetMode="External"/><Relationship Id="rId4291" Type="http://schemas.openxmlformats.org/officeDocument/2006/relationships/hyperlink" Target="https://pbs.twimg.com/profile_images/701102020061753344/5zH70uem_normal.jpg" TargetMode="External"/><Relationship Id="rId4290" Type="http://schemas.openxmlformats.org/officeDocument/2006/relationships/hyperlink" Target="https://twitter.com/jamiaw/status/706151367933620224" TargetMode="External"/><Relationship Id="rId4293" Type="http://schemas.openxmlformats.org/officeDocument/2006/relationships/hyperlink" Target="https://twitter.com/jamiaw/status/706151408387670016" TargetMode="External"/><Relationship Id="rId4292" Type="http://schemas.openxmlformats.org/officeDocument/2006/relationships/hyperlink" Target="https://twitter.com/jamiaw" TargetMode="External"/><Relationship Id="rId4295" Type="http://schemas.openxmlformats.org/officeDocument/2006/relationships/hyperlink" Target="https://twitter.com/rebekkahrubin" TargetMode="External"/><Relationship Id="rId4294" Type="http://schemas.openxmlformats.org/officeDocument/2006/relationships/hyperlink" Target="https://pbs.twimg.com/profile_images/701102020061753344/5zH70uem_normal.jpg" TargetMode="External"/><Relationship Id="rId4297" Type="http://schemas.openxmlformats.org/officeDocument/2006/relationships/hyperlink" Target="https://pbs.twimg.com/profile_images/700317732588408832/Ym_-neUi_normal.jpg" TargetMode="External"/><Relationship Id="rId4296" Type="http://schemas.openxmlformats.org/officeDocument/2006/relationships/hyperlink" Target="https://twitter.com/rebekkahrubin/status/706151420907667457" TargetMode="External"/><Relationship Id="rId4299" Type="http://schemas.openxmlformats.org/officeDocument/2006/relationships/hyperlink" Target="https://twitter.com/rebekkahrubin/status/706151650776518657" TargetMode="External"/><Relationship Id="rId4298" Type="http://schemas.openxmlformats.org/officeDocument/2006/relationships/hyperlink" Target="https://twitter.com/rebekkahrubin" TargetMode="External"/><Relationship Id="rId4249" Type="http://schemas.openxmlformats.org/officeDocument/2006/relationships/hyperlink" Target="https://pbs.twimg.com/profile_images/629227257479999488/SknIeg8e_normal.jpg" TargetMode="External"/><Relationship Id="rId5570" Type="http://schemas.openxmlformats.org/officeDocument/2006/relationships/hyperlink" Target="https://twitter.com/sholalynch" TargetMode="External"/><Relationship Id="rId5571" Type="http://schemas.openxmlformats.org/officeDocument/2006/relationships/hyperlink" Target="https://twitter.com/sholalynch/status/706256362112688128" TargetMode="External"/><Relationship Id="rId4240" Type="http://schemas.openxmlformats.org/officeDocument/2006/relationships/hyperlink" Target="https://twitter.com/cherylharned" TargetMode="External"/><Relationship Id="rId4242" Type="http://schemas.openxmlformats.org/officeDocument/2006/relationships/hyperlink" Target="https://pbs.twimg.com/profile_images/535167858204893184/DNz9ruRN_normal.jpeg" TargetMode="External"/><Relationship Id="rId5574" Type="http://schemas.openxmlformats.org/officeDocument/2006/relationships/hyperlink" Target="https://twitter.com/erfagen/status/706258382920011777" TargetMode="External"/><Relationship Id="rId4241" Type="http://schemas.openxmlformats.org/officeDocument/2006/relationships/hyperlink" Target="https://twitter.com/cherylharned/status/706146966347124736" TargetMode="External"/><Relationship Id="rId5575" Type="http://schemas.openxmlformats.org/officeDocument/2006/relationships/hyperlink" Target="https://pbs.twimg.com/profile_images/638086945722249217/mid_S_BQ_normal.jpg" TargetMode="External"/><Relationship Id="rId4244" Type="http://schemas.openxmlformats.org/officeDocument/2006/relationships/hyperlink" Target="https://twitter.com/jamiaw/status/706147469860728832" TargetMode="External"/><Relationship Id="rId5572" Type="http://schemas.openxmlformats.org/officeDocument/2006/relationships/hyperlink" Target="https://pbs.twimg.com/profile_images/688533447195758593/LTuyp1_c_normal.jpg" TargetMode="External"/><Relationship Id="rId4243" Type="http://schemas.openxmlformats.org/officeDocument/2006/relationships/hyperlink" Target="https://twitter.com/jamiaw" TargetMode="External"/><Relationship Id="rId5573" Type="http://schemas.openxmlformats.org/officeDocument/2006/relationships/hyperlink" Target="https://twitter.com/erfagen" TargetMode="External"/><Relationship Id="rId4246" Type="http://schemas.openxmlformats.org/officeDocument/2006/relationships/hyperlink" Target="http://ctrlq.org/maps/address/" TargetMode="External"/><Relationship Id="rId5578" Type="http://schemas.openxmlformats.org/officeDocument/2006/relationships/hyperlink" Target="https://pbs.twimg.com/profile_images/563057559188172800/imxRLuFq_normal.png" TargetMode="External"/><Relationship Id="rId4245" Type="http://schemas.openxmlformats.org/officeDocument/2006/relationships/hyperlink" Target="https://pbs.twimg.com/profile_images/701102020061753344/5zH70uem_normal.jpg" TargetMode="External"/><Relationship Id="rId5579" Type="http://schemas.openxmlformats.org/officeDocument/2006/relationships/hyperlink" Target="https://twitter.com/jamiaw" TargetMode="External"/><Relationship Id="rId4248" Type="http://schemas.openxmlformats.org/officeDocument/2006/relationships/hyperlink" Target="https://twitter.com/textcultures/status/706147866570563586" TargetMode="External"/><Relationship Id="rId5576" Type="http://schemas.openxmlformats.org/officeDocument/2006/relationships/hyperlink" Target="https://twitter.com/MrPowley" TargetMode="External"/><Relationship Id="rId4247" Type="http://schemas.openxmlformats.org/officeDocument/2006/relationships/hyperlink" Target="https://twitter.com/textcultures" TargetMode="External"/><Relationship Id="rId5577" Type="http://schemas.openxmlformats.org/officeDocument/2006/relationships/hyperlink" Target="https://twitter.com/MrPowley/status/706261285479030784" TargetMode="External"/><Relationship Id="rId4239" Type="http://schemas.openxmlformats.org/officeDocument/2006/relationships/hyperlink" Target="https://pbs.twimg.com/profile_images/621804461862821889/RCXl8z2X_normal.jpg" TargetMode="External"/><Relationship Id="rId4238" Type="http://schemas.openxmlformats.org/officeDocument/2006/relationships/hyperlink" Target="https://twitter.com/JimMoske/status/706146339743277060" TargetMode="External"/><Relationship Id="rId5569" Type="http://schemas.openxmlformats.org/officeDocument/2006/relationships/hyperlink" Target="https://pbs.twimg.com/profile_images/535167858204893184/DNz9ruRN_normal.jpeg" TargetMode="External"/><Relationship Id="rId5560" Type="http://schemas.openxmlformats.org/officeDocument/2006/relationships/hyperlink" Target="https://pbs.twimg.com/profile_images/700317732588408832/Ym_-neUi_normal.jpg" TargetMode="External"/><Relationship Id="rId495" Type="http://schemas.openxmlformats.org/officeDocument/2006/relationships/hyperlink" Target="https://twitter.com/JulieThePH" TargetMode="External"/><Relationship Id="rId4231" Type="http://schemas.openxmlformats.org/officeDocument/2006/relationships/hyperlink" Target="https://twitter.com/rebekkahrubin" TargetMode="External"/><Relationship Id="rId5563" Type="http://schemas.openxmlformats.org/officeDocument/2006/relationships/hyperlink" Target="https://pbs.twimg.com/profile_images/638086945722249217/mid_S_BQ_normal.jpg" TargetMode="External"/><Relationship Id="rId494" Type="http://schemas.openxmlformats.org/officeDocument/2006/relationships/hyperlink" Target="https://pbs.twimg.com/profile_images/378800000667891782/44d7b181c077bf16ab07b242f7ad81b9_normal.png" TargetMode="External"/><Relationship Id="rId4230" Type="http://schemas.openxmlformats.org/officeDocument/2006/relationships/hyperlink" Target="https://pbs.twimg.com/profile_images/627686554861834241/UcDo7crN_normal.jpg" TargetMode="External"/><Relationship Id="rId5564" Type="http://schemas.openxmlformats.org/officeDocument/2006/relationships/hyperlink" Target="https://twitter.com/jamiaw" TargetMode="External"/><Relationship Id="rId493" Type="http://schemas.openxmlformats.org/officeDocument/2006/relationships/hyperlink" Target="https://twitter.com/JimGrossmanAHA/status/705778054031921152" TargetMode="External"/><Relationship Id="rId4233" Type="http://schemas.openxmlformats.org/officeDocument/2006/relationships/hyperlink" Target="https://pbs.twimg.com/profile_images/700317732588408832/Ym_-neUi_normal.jpg" TargetMode="External"/><Relationship Id="rId5561" Type="http://schemas.openxmlformats.org/officeDocument/2006/relationships/hyperlink" Target="https://twitter.com/erfagen" TargetMode="External"/><Relationship Id="rId492" Type="http://schemas.openxmlformats.org/officeDocument/2006/relationships/hyperlink" Target="https://twitter.com/JimGrossmanAHA" TargetMode="External"/><Relationship Id="rId4232" Type="http://schemas.openxmlformats.org/officeDocument/2006/relationships/hyperlink" Target="https://twitter.com/rebekkahrubin/status/706146169823559680" TargetMode="External"/><Relationship Id="rId5562" Type="http://schemas.openxmlformats.org/officeDocument/2006/relationships/hyperlink" Target="https://twitter.com/erfagen/status/706255636783370240" TargetMode="External"/><Relationship Id="rId499" Type="http://schemas.openxmlformats.org/officeDocument/2006/relationships/hyperlink" Target="https://twitter.com/pastpunditry/status/705778105768648704" TargetMode="External"/><Relationship Id="rId4235" Type="http://schemas.openxmlformats.org/officeDocument/2006/relationships/hyperlink" Target="https://twitter.com/MairinOdle/status/706146199859044352" TargetMode="External"/><Relationship Id="rId5567" Type="http://schemas.openxmlformats.org/officeDocument/2006/relationships/hyperlink" Target="https://twitter.com/cherylharned" TargetMode="External"/><Relationship Id="rId498" Type="http://schemas.openxmlformats.org/officeDocument/2006/relationships/hyperlink" Target="https://twitter.com/pastpunditry" TargetMode="External"/><Relationship Id="rId4234" Type="http://schemas.openxmlformats.org/officeDocument/2006/relationships/hyperlink" Target="https://twitter.com/MairinOdle" TargetMode="External"/><Relationship Id="rId5568" Type="http://schemas.openxmlformats.org/officeDocument/2006/relationships/hyperlink" Target="https://twitter.com/cherylharned/status/706256134848512003" TargetMode="External"/><Relationship Id="rId497" Type="http://schemas.openxmlformats.org/officeDocument/2006/relationships/hyperlink" Target="https://pbs.twimg.com/profile_images/596509974005686273/AqBblwMR_normal.jpg" TargetMode="External"/><Relationship Id="rId4237" Type="http://schemas.openxmlformats.org/officeDocument/2006/relationships/hyperlink" Target="https://twitter.com/JimMoske" TargetMode="External"/><Relationship Id="rId5565" Type="http://schemas.openxmlformats.org/officeDocument/2006/relationships/hyperlink" Target="https://twitter.com/jamiaw/status/706256013373140992" TargetMode="External"/><Relationship Id="rId496" Type="http://schemas.openxmlformats.org/officeDocument/2006/relationships/hyperlink" Target="https://twitter.com/JulieThePH/status/705778079323521024" TargetMode="External"/><Relationship Id="rId4236" Type="http://schemas.openxmlformats.org/officeDocument/2006/relationships/hyperlink" Target="https://pbs.twimg.com/profile_images/3579048433/05db027ecea24a966e56a8cbb2105e33_normal.jpeg" TargetMode="External"/><Relationship Id="rId5566" Type="http://schemas.openxmlformats.org/officeDocument/2006/relationships/hyperlink" Target="https://pbs.twimg.com/profile_images/701102020061753344/5zH70uem_normal.jpg" TargetMode="External"/><Relationship Id="rId4260" Type="http://schemas.openxmlformats.org/officeDocument/2006/relationships/hyperlink" Target="https://twitter.com/aglassofhistory/status/706150601902710784" TargetMode="External"/><Relationship Id="rId4262" Type="http://schemas.openxmlformats.org/officeDocument/2006/relationships/hyperlink" Target="https://twitter.com/pastpunditry" TargetMode="External"/><Relationship Id="rId5590" Type="http://schemas.openxmlformats.org/officeDocument/2006/relationships/hyperlink" Target="https://pbs.twimg.com/profile_images/670034143808499712/5uUpStFP_normal.png" TargetMode="External"/><Relationship Id="rId4261" Type="http://schemas.openxmlformats.org/officeDocument/2006/relationships/hyperlink" Target="https://pbs.twimg.com/profile_images/611592888816898048/cGMlIfmz_normal.jpg" TargetMode="External"/><Relationship Id="rId5591" Type="http://schemas.openxmlformats.org/officeDocument/2006/relationships/drawing" Target="../drawings/worksheetdrawing1.xml"/><Relationship Id="rId4264" Type="http://schemas.openxmlformats.org/officeDocument/2006/relationships/hyperlink" Target="https://pbs.twimg.com/profile_images/704873222802636800/7aFEMOY5_normal.jpg" TargetMode="External"/><Relationship Id="rId4263" Type="http://schemas.openxmlformats.org/officeDocument/2006/relationships/hyperlink" Target="https://twitter.com/pastpunditry/status/706150732332933121" TargetMode="External"/><Relationship Id="rId4266" Type="http://schemas.openxmlformats.org/officeDocument/2006/relationships/hyperlink" Target="https://twitter.com/JulieThePH/status/706150790646337536" TargetMode="External"/><Relationship Id="rId4265" Type="http://schemas.openxmlformats.org/officeDocument/2006/relationships/hyperlink" Target="https://twitter.com/JulieThePH" TargetMode="External"/><Relationship Id="rId4268" Type="http://schemas.openxmlformats.org/officeDocument/2006/relationships/hyperlink" Target="https://twitter.com/JulieThePH" TargetMode="External"/><Relationship Id="rId4267" Type="http://schemas.openxmlformats.org/officeDocument/2006/relationships/hyperlink" Target="https://pbs.twimg.com/profile_images/596509974005686273/AqBblwMR_normal.jpg" TargetMode="External"/><Relationship Id="rId4269" Type="http://schemas.openxmlformats.org/officeDocument/2006/relationships/hyperlink" Target="https://twitter.com/JulieThePH/status/706150942744420352" TargetMode="External"/><Relationship Id="rId5581" Type="http://schemas.openxmlformats.org/officeDocument/2006/relationships/hyperlink" Target="https://pbs.twimg.com/profile_images/701102020061753344/5zH70uem_normal.jpg" TargetMode="External"/><Relationship Id="rId5582" Type="http://schemas.openxmlformats.org/officeDocument/2006/relationships/hyperlink" Target="https://twitter.com/JimGrossmanAHA" TargetMode="External"/><Relationship Id="rId4251" Type="http://schemas.openxmlformats.org/officeDocument/2006/relationships/hyperlink" Target="https://twitter.com/jamiaw/status/706148039581372416" TargetMode="External"/><Relationship Id="rId4250" Type="http://schemas.openxmlformats.org/officeDocument/2006/relationships/hyperlink" Target="https://twitter.com/jamiaw" TargetMode="External"/><Relationship Id="rId5580" Type="http://schemas.openxmlformats.org/officeDocument/2006/relationships/hyperlink" Target="https://twitter.com/jamiaw/status/706261579222937600" TargetMode="External"/><Relationship Id="rId4253" Type="http://schemas.openxmlformats.org/officeDocument/2006/relationships/hyperlink" Target="https://twitter.com/pastpunditry" TargetMode="External"/><Relationship Id="rId5585" Type="http://schemas.openxmlformats.org/officeDocument/2006/relationships/hyperlink" Target="https://twitter.com/jmadelman" TargetMode="External"/><Relationship Id="rId4252" Type="http://schemas.openxmlformats.org/officeDocument/2006/relationships/hyperlink" Target="https://pbs.twimg.com/profile_images/701102020061753344/5zH70uem_normal.jpg" TargetMode="External"/><Relationship Id="rId5586" Type="http://schemas.openxmlformats.org/officeDocument/2006/relationships/hyperlink" Target="https://twitter.com/jmadelman/status/706265286568243200" TargetMode="External"/><Relationship Id="rId4255" Type="http://schemas.openxmlformats.org/officeDocument/2006/relationships/hyperlink" Target="https://pbs.twimg.com/profile_images/704873222802636800/7aFEMOY5_normal.jpg" TargetMode="External"/><Relationship Id="rId5583" Type="http://schemas.openxmlformats.org/officeDocument/2006/relationships/hyperlink" Target="https://twitter.com/JimGrossmanAHA/status/706264224880787456" TargetMode="External"/><Relationship Id="rId4254" Type="http://schemas.openxmlformats.org/officeDocument/2006/relationships/hyperlink" Target="https://twitter.com/pastpunditry/status/706149920206692353" TargetMode="External"/><Relationship Id="rId5584" Type="http://schemas.openxmlformats.org/officeDocument/2006/relationships/hyperlink" Target="https://pbs.twimg.com/profile_images/378800000667891782/44d7b181c077bf16ab07b242f7ad81b9_normal.png" TargetMode="External"/><Relationship Id="rId4257" Type="http://schemas.openxmlformats.org/officeDocument/2006/relationships/hyperlink" Target="https://twitter.com/pastpunditry/status/706150374999265280" TargetMode="External"/><Relationship Id="rId5589" Type="http://schemas.openxmlformats.org/officeDocument/2006/relationships/hyperlink" Target="https://twitter.com/SmabAudio/status/706265692077686785" TargetMode="External"/><Relationship Id="rId4256" Type="http://schemas.openxmlformats.org/officeDocument/2006/relationships/hyperlink" Target="https://twitter.com/pastpunditry" TargetMode="External"/><Relationship Id="rId4259" Type="http://schemas.openxmlformats.org/officeDocument/2006/relationships/hyperlink" Target="https://twitter.com/aglassofhistory" TargetMode="External"/><Relationship Id="rId5587" Type="http://schemas.openxmlformats.org/officeDocument/2006/relationships/hyperlink" Target="https://pbs.twimg.com/profile_images/633292774570201089/pdNFZfya_normal.jpg" TargetMode="External"/><Relationship Id="rId4258" Type="http://schemas.openxmlformats.org/officeDocument/2006/relationships/hyperlink" Target="https://pbs.twimg.com/profile_images/704873222802636800/7aFEMOY5_normal.jpg" TargetMode="External"/><Relationship Id="rId5588" Type="http://schemas.openxmlformats.org/officeDocument/2006/relationships/hyperlink" Target="https://twitter.com/SmabAudio" TargetMode="External"/><Relationship Id="rId3810" Type="http://schemas.openxmlformats.org/officeDocument/2006/relationships/hyperlink" Target="https://pbs.twimg.com/profile_images/423134042364858369/GukeR_9H_normal.jpeg" TargetMode="External"/><Relationship Id="rId3812" Type="http://schemas.openxmlformats.org/officeDocument/2006/relationships/hyperlink" Target="https://twitter.com/erfagen/status/705969766079598592" TargetMode="External"/><Relationship Id="rId3811" Type="http://schemas.openxmlformats.org/officeDocument/2006/relationships/hyperlink" Target="https://twitter.com/erfagen" TargetMode="External"/><Relationship Id="rId3814" Type="http://schemas.openxmlformats.org/officeDocument/2006/relationships/hyperlink" Target="https://twitter.com/erfagen" TargetMode="External"/><Relationship Id="rId3813" Type="http://schemas.openxmlformats.org/officeDocument/2006/relationships/hyperlink" Target="https://pbs.twimg.com/profile_images/638086945722249217/mid_S_BQ_normal.jpg" TargetMode="External"/><Relationship Id="rId3816" Type="http://schemas.openxmlformats.org/officeDocument/2006/relationships/hyperlink" Target="https://pbs.twimg.com/profile_images/638086945722249217/mid_S_BQ_normal.jpg" TargetMode="External"/><Relationship Id="rId3815" Type="http://schemas.openxmlformats.org/officeDocument/2006/relationships/hyperlink" Target="https://twitter.com/erfagen/status/705970079314415616" TargetMode="External"/><Relationship Id="rId3818" Type="http://schemas.openxmlformats.org/officeDocument/2006/relationships/hyperlink" Target="https://twitter.com/JasonSteinhauer/status/705970935782834176" TargetMode="External"/><Relationship Id="rId3817" Type="http://schemas.openxmlformats.org/officeDocument/2006/relationships/hyperlink" Target="https://twitter.com/JasonSteinhauer" TargetMode="External"/><Relationship Id="rId3819" Type="http://schemas.openxmlformats.org/officeDocument/2006/relationships/hyperlink" Target="https://pbs.twimg.com/profile_images/531574951107518465/AvUhkliP_normal.jpeg" TargetMode="External"/><Relationship Id="rId3801" Type="http://schemas.openxmlformats.org/officeDocument/2006/relationships/hyperlink" Target="https://pbs.twimg.com/profile_images/701591023227547648/t0uMlufA_normal.jpg" TargetMode="External"/><Relationship Id="rId3800" Type="http://schemas.openxmlformats.org/officeDocument/2006/relationships/hyperlink" Target="https://twitter.com/JeanniInABottle/status/705964196467376128" TargetMode="External"/><Relationship Id="rId3803" Type="http://schemas.openxmlformats.org/officeDocument/2006/relationships/hyperlink" Target="https://twitter.com/aglassofhistory/status/705965416665972737" TargetMode="External"/><Relationship Id="rId3802" Type="http://schemas.openxmlformats.org/officeDocument/2006/relationships/hyperlink" Target="https://twitter.com/aglassofhistory" TargetMode="External"/><Relationship Id="rId3805" Type="http://schemas.openxmlformats.org/officeDocument/2006/relationships/hyperlink" Target="https://twitter.com/aglassofhistory" TargetMode="External"/><Relationship Id="rId3804" Type="http://schemas.openxmlformats.org/officeDocument/2006/relationships/hyperlink" Target="https://pbs.twimg.com/profile_images/611592888816898048/cGMlIfmz_normal.jpg" TargetMode="External"/><Relationship Id="rId3807" Type="http://schemas.openxmlformats.org/officeDocument/2006/relationships/hyperlink" Target="https://pbs.twimg.com/profile_images/611592888816898048/cGMlIfmz_normal.jpg" TargetMode="External"/><Relationship Id="rId3806" Type="http://schemas.openxmlformats.org/officeDocument/2006/relationships/hyperlink" Target="https://twitter.com/aglassofhistory/status/705965609616543744" TargetMode="External"/><Relationship Id="rId3809" Type="http://schemas.openxmlformats.org/officeDocument/2006/relationships/hyperlink" Target="https://twitter.com/justinokc/status/705966841848528896" TargetMode="External"/><Relationship Id="rId3808" Type="http://schemas.openxmlformats.org/officeDocument/2006/relationships/hyperlink" Target="https://twitter.com/justinokc" TargetMode="External"/><Relationship Id="rId1213" Type="http://schemas.openxmlformats.org/officeDocument/2006/relationships/hyperlink" Target="https://twitter.com/JulieThePH/status/705841232644337667" TargetMode="External"/><Relationship Id="rId2544" Type="http://schemas.openxmlformats.org/officeDocument/2006/relationships/hyperlink" Target="https://pbs.twimg.com/profile_images/604060333590855682/Fk6r1D7d_normal.jpg" TargetMode="External"/><Relationship Id="rId3876" Type="http://schemas.openxmlformats.org/officeDocument/2006/relationships/hyperlink" Target="https://pbs.twimg.com/profile_images/548193870278688768/8Dq7gW3U_normal.png" TargetMode="External"/><Relationship Id="rId1214" Type="http://schemas.openxmlformats.org/officeDocument/2006/relationships/hyperlink" Target="https://pbs.twimg.com/profile_images/596509974005686273/AqBblwMR_normal.jpg" TargetMode="External"/><Relationship Id="rId2545" Type="http://schemas.openxmlformats.org/officeDocument/2006/relationships/hyperlink" Target="https://twitter.com/erfagen" TargetMode="External"/><Relationship Id="rId3875" Type="http://schemas.openxmlformats.org/officeDocument/2006/relationships/hyperlink" Target="https://twitter.com/samueljredman/status/706007089609613312" TargetMode="External"/><Relationship Id="rId1215" Type="http://schemas.openxmlformats.org/officeDocument/2006/relationships/hyperlink" Target="https://twitter.com/pastpunditry" TargetMode="External"/><Relationship Id="rId2546" Type="http://schemas.openxmlformats.org/officeDocument/2006/relationships/hyperlink" Target="https://twitter.com/erfagen/status/705926375643938817" TargetMode="External"/><Relationship Id="rId3878" Type="http://schemas.openxmlformats.org/officeDocument/2006/relationships/hyperlink" Target="https://twitter.com/DanielleReed8/status/706047764501831680" TargetMode="External"/><Relationship Id="rId1216" Type="http://schemas.openxmlformats.org/officeDocument/2006/relationships/hyperlink" Target="https://twitter.com/pastpunditry/status/705841789777879042" TargetMode="External"/><Relationship Id="rId2547" Type="http://schemas.openxmlformats.org/officeDocument/2006/relationships/hyperlink" Target="https://pbs.twimg.com/profile_images/638086945722249217/mid_S_BQ_normal.jpg" TargetMode="External"/><Relationship Id="rId3877" Type="http://schemas.openxmlformats.org/officeDocument/2006/relationships/hyperlink" Target="https://twitter.com/DanielleReed8" TargetMode="External"/><Relationship Id="rId1217" Type="http://schemas.openxmlformats.org/officeDocument/2006/relationships/hyperlink" Target="https://pbs.twimg.com/profile_images/704873222802636800/7aFEMOY5_normal.jpg" TargetMode="External"/><Relationship Id="rId2548" Type="http://schemas.openxmlformats.org/officeDocument/2006/relationships/hyperlink" Target="https://twitter.com/umassph" TargetMode="External"/><Relationship Id="rId1218" Type="http://schemas.openxmlformats.org/officeDocument/2006/relationships/hyperlink" Target="https://twitter.com/JimGrossmanAHA" TargetMode="External"/><Relationship Id="rId2549" Type="http://schemas.openxmlformats.org/officeDocument/2006/relationships/hyperlink" Target="https://twitter.com/umassph/status/705926397928316929" TargetMode="External"/><Relationship Id="rId3879" Type="http://schemas.openxmlformats.org/officeDocument/2006/relationships/hyperlink" Target="https://pbs.twimg.com/profile_images/3244875760/3874bc7bb4330d5c7a802b37ecec2aae_normal.jpeg" TargetMode="External"/><Relationship Id="rId1219" Type="http://schemas.openxmlformats.org/officeDocument/2006/relationships/hyperlink" Target="https://twitter.com/JimGrossmanAHA/status/705841792642588675" TargetMode="External"/><Relationship Id="rId3870" Type="http://schemas.openxmlformats.org/officeDocument/2006/relationships/hyperlink" Target="https://pbs.twimg.com/profile_images/604060333590855682/Fk6r1D7d_normal.jpg" TargetMode="External"/><Relationship Id="rId2540" Type="http://schemas.openxmlformats.org/officeDocument/2006/relationships/hyperlink" Target="https://twitter.com/GHAUmass/status/705926316844048384" TargetMode="External"/><Relationship Id="rId3872" Type="http://schemas.openxmlformats.org/officeDocument/2006/relationships/hyperlink" Target="https://twitter.com/rappaport8/status/705984181029875712" TargetMode="External"/><Relationship Id="rId1210" Type="http://schemas.openxmlformats.org/officeDocument/2006/relationships/hyperlink" Target="https://twitter.com/JulieThePH/status/705841185580064768" TargetMode="External"/><Relationship Id="rId2541" Type="http://schemas.openxmlformats.org/officeDocument/2006/relationships/hyperlink" Target="https://pbs.twimg.com/profile_images/604060333590855682/Fk6r1D7d_normal.jpg" TargetMode="External"/><Relationship Id="rId3871" Type="http://schemas.openxmlformats.org/officeDocument/2006/relationships/hyperlink" Target="https://twitter.com/rappaport8" TargetMode="External"/><Relationship Id="rId1211" Type="http://schemas.openxmlformats.org/officeDocument/2006/relationships/hyperlink" Target="https://pbs.twimg.com/profile_images/596509974005686273/AqBblwMR_normal.jpg" TargetMode="External"/><Relationship Id="rId2542" Type="http://schemas.openxmlformats.org/officeDocument/2006/relationships/hyperlink" Target="https://twitter.com/GHAUmass" TargetMode="External"/><Relationship Id="rId3874" Type="http://schemas.openxmlformats.org/officeDocument/2006/relationships/hyperlink" Target="https://twitter.com/samueljredman" TargetMode="External"/><Relationship Id="rId1212" Type="http://schemas.openxmlformats.org/officeDocument/2006/relationships/hyperlink" Target="https://twitter.com/JulieThePH" TargetMode="External"/><Relationship Id="rId2543" Type="http://schemas.openxmlformats.org/officeDocument/2006/relationships/hyperlink" Target="https://twitter.com/GHAUmass/status/705926366890500097" TargetMode="External"/><Relationship Id="rId3873" Type="http://schemas.openxmlformats.org/officeDocument/2006/relationships/hyperlink" Target="https://pbs.twimg.com/profile_images/644297617137004544/tdkWY9fd_normal.jpg" TargetMode="External"/><Relationship Id="rId1202" Type="http://schemas.openxmlformats.org/officeDocument/2006/relationships/hyperlink" Target="https://pbs.twimg.com/profile_images/565429960/Betsy_Twitter_normal.jpg" TargetMode="External"/><Relationship Id="rId2533" Type="http://schemas.openxmlformats.org/officeDocument/2006/relationships/hyperlink" Target="https://twitter.com/pastpunditry" TargetMode="External"/><Relationship Id="rId3865" Type="http://schemas.openxmlformats.org/officeDocument/2006/relationships/hyperlink" Target="https://twitter.com/aglassofhistory" TargetMode="External"/><Relationship Id="rId1203" Type="http://schemas.openxmlformats.org/officeDocument/2006/relationships/hyperlink" Target="https://twitter.com/pastpunditry" TargetMode="External"/><Relationship Id="rId2534" Type="http://schemas.openxmlformats.org/officeDocument/2006/relationships/hyperlink" Target="https://twitter.com/pastpunditry/status/705926311953485825" TargetMode="External"/><Relationship Id="rId3864" Type="http://schemas.openxmlformats.org/officeDocument/2006/relationships/hyperlink" Target="https://pbs.twimg.com/profile_images/2768245700/ffc5be4c2667555f148c99d59e6ce83d_normal.jpeg" TargetMode="External"/><Relationship Id="rId1204" Type="http://schemas.openxmlformats.org/officeDocument/2006/relationships/hyperlink" Target="https://twitter.com/pastpunditry/status/705840942171955200" TargetMode="External"/><Relationship Id="rId2535" Type="http://schemas.openxmlformats.org/officeDocument/2006/relationships/hyperlink" Target="https://pbs.twimg.com/profile_images/704873222802636800/7aFEMOY5_normal.jpg" TargetMode="External"/><Relationship Id="rId3867" Type="http://schemas.openxmlformats.org/officeDocument/2006/relationships/hyperlink" Target="https://pbs.twimg.com/profile_images/611592888816898048/cGMlIfmz_normal.jpg" TargetMode="External"/><Relationship Id="rId1205" Type="http://schemas.openxmlformats.org/officeDocument/2006/relationships/hyperlink" Target="https://pbs.twimg.com/profile_images/704873222802636800/7aFEMOY5_normal.jpg" TargetMode="External"/><Relationship Id="rId2536" Type="http://schemas.openxmlformats.org/officeDocument/2006/relationships/hyperlink" Target="https://twitter.com/JimGrossmanAHA" TargetMode="External"/><Relationship Id="rId3866" Type="http://schemas.openxmlformats.org/officeDocument/2006/relationships/hyperlink" Target="https://twitter.com/aglassofhistory/status/705981634198282240" TargetMode="External"/><Relationship Id="rId1206" Type="http://schemas.openxmlformats.org/officeDocument/2006/relationships/hyperlink" Target="https://twitter.com/pastpunditry" TargetMode="External"/><Relationship Id="rId2537" Type="http://schemas.openxmlformats.org/officeDocument/2006/relationships/hyperlink" Target="https://twitter.com/JimGrossmanAHA/status/705926315023720448" TargetMode="External"/><Relationship Id="rId3869" Type="http://schemas.openxmlformats.org/officeDocument/2006/relationships/hyperlink" Target="https://twitter.com/GHAUmass/status/705981890898083841" TargetMode="External"/><Relationship Id="rId1207" Type="http://schemas.openxmlformats.org/officeDocument/2006/relationships/hyperlink" Target="https://twitter.com/pastpunditry/status/705841165095014400" TargetMode="External"/><Relationship Id="rId2538" Type="http://schemas.openxmlformats.org/officeDocument/2006/relationships/hyperlink" Target="https://pbs.twimg.com/profile_images/378800000667891782/44d7b181c077bf16ab07b242f7ad81b9_normal.png" TargetMode="External"/><Relationship Id="rId3868" Type="http://schemas.openxmlformats.org/officeDocument/2006/relationships/hyperlink" Target="https://twitter.com/GHAUmass" TargetMode="External"/><Relationship Id="rId1208" Type="http://schemas.openxmlformats.org/officeDocument/2006/relationships/hyperlink" Target="https://pbs.twimg.com/profile_images/704873222802636800/7aFEMOY5_normal.jpg" TargetMode="External"/><Relationship Id="rId2539" Type="http://schemas.openxmlformats.org/officeDocument/2006/relationships/hyperlink" Target="https://twitter.com/GHAUmass" TargetMode="External"/><Relationship Id="rId1209" Type="http://schemas.openxmlformats.org/officeDocument/2006/relationships/hyperlink" Target="https://twitter.com/JulieThePH" TargetMode="External"/><Relationship Id="rId3861" Type="http://schemas.openxmlformats.org/officeDocument/2006/relationships/hyperlink" Target="https://pbs.twimg.com/profile_images/562279222522032128/-phaZgxO_normal.jpeg" TargetMode="External"/><Relationship Id="rId2530" Type="http://schemas.openxmlformats.org/officeDocument/2006/relationships/hyperlink" Target="https://twitter.com/pastpunditry" TargetMode="External"/><Relationship Id="rId3860" Type="http://schemas.openxmlformats.org/officeDocument/2006/relationships/hyperlink" Target="https://twitter.com/allisonhorrocks/status/705979282816962562" TargetMode="External"/><Relationship Id="rId1200" Type="http://schemas.openxmlformats.org/officeDocument/2006/relationships/hyperlink" Target="https://twitter.com/MarlaAtUmass" TargetMode="External"/><Relationship Id="rId2531" Type="http://schemas.openxmlformats.org/officeDocument/2006/relationships/hyperlink" Target="https://twitter.com/pastpunditry/status/705926290533171200" TargetMode="External"/><Relationship Id="rId3863" Type="http://schemas.openxmlformats.org/officeDocument/2006/relationships/hyperlink" Target="https://twitter.com/megankatenelson/status/705979821440937985" TargetMode="External"/><Relationship Id="rId1201" Type="http://schemas.openxmlformats.org/officeDocument/2006/relationships/hyperlink" Target="https://twitter.com/MarlaAtUmass/status/705840908860833792" TargetMode="External"/><Relationship Id="rId2532" Type="http://schemas.openxmlformats.org/officeDocument/2006/relationships/hyperlink" Target="https://pbs.twimg.com/profile_images/704873222802636800/7aFEMOY5_normal.jpg" TargetMode="External"/><Relationship Id="rId3862" Type="http://schemas.openxmlformats.org/officeDocument/2006/relationships/hyperlink" Target="https://twitter.com/megankatenelson" TargetMode="External"/><Relationship Id="rId1235" Type="http://schemas.openxmlformats.org/officeDocument/2006/relationships/hyperlink" Target="https://pbs.twimg.com/profile_images/658759109425037313/2ujnaUuG_normal.jpg" TargetMode="External"/><Relationship Id="rId2566" Type="http://schemas.openxmlformats.org/officeDocument/2006/relationships/hyperlink" Target="https://twitter.com/pastpunditry" TargetMode="External"/><Relationship Id="rId3898" Type="http://schemas.openxmlformats.org/officeDocument/2006/relationships/hyperlink" Target="https://twitter.com/jomac1867" TargetMode="External"/><Relationship Id="rId1236" Type="http://schemas.openxmlformats.org/officeDocument/2006/relationships/hyperlink" Target="https://twitter.com/MarlaAtUmass" TargetMode="External"/><Relationship Id="rId2567" Type="http://schemas.openxmlformats.org/officeDocument/2006/relationships/hyperlink" Target="https://twitter.com/pastpunditry/status/705926575309590528" TargetMode="External"/><Relationship Id="rId3897" Type="http://schemas.openxmlformats.org/officeDocument/2006/relationships/hyperlink" Target="https://pbs.twimg.com/profile_images/548193870278688768/8Dq7gW3U_normal.png" TargetMode="External"/><Relationship Id="rId1237" Type="http://schemas.openxmlformats.org/officeDocument/2006/relationships/hyperlink" Target="https://twitter.com/MarlaAtUmass/status/705842557419397121" TargetMode="External"/><Relationship Id="rId2568" Type="http://schemas.openxmlformats.org/officeDocument/2006/relationships/hyperlink" Target="https://pbs.twimg.com/profile_images/704873222802636800/7aFEMOY5_normal.jpg" TargetMode="External"/><Relationship Id="rId1238" Type="http://schemas.openxmlformats.org/officeDocument/2006/relationships/hyperlink" Target="https://pbs.twimg.com/profile_images/565429960/Betsy_Twitter_normal.jpg" TargetMode="External"/><Relationship Id="rId2569" Type="http://schemas.openxmlformats.org/officeDocument/2006/relationships/hyperlink" Target="https://twitter.com/pastpunditry" TargetMode="External"/><Relationship Id="rId3899" Type="http://schemas.openxmlformats.org/officeDocument/2006/relationships/hyperlink" Target="https://twitter.com/jomac1867/status/706100062699577344" TargetMode="External"/><Relationship Id="rId1239" Type="http://schemas.openxmlformats.org/officeDocument/2006/relationships/hyperlink" Target="https://twitter.com/pastpunditry" TargetMode="External"/><Relationship Id="rId409" Type="http://schemas.openxmlformats.org/officeDocument/2006/relationships/hyperlink" Target="https://twitter.com/pastpunditry/status/705769556808232961" TargetMode="External"/><Relationship Id="rId404" Type="http://schemas.openxmlformats.org/officeDocument/2006/relationships/hyperlink" Target="https://pbs.twimg.com/profile_images/596509974005686273/AqBblwMR_normal.jpg" TargetMode="External"/><Relationship Id="rId403" Type="http://schemas.openxmlformats.org/officeDocument/2006/relationships/hyperlink" Target="https://twitter.com/JulieThePH/status/705769388344004608" TargetMode="External"/><Relationship Id="rId402" Type="http://schemas.openxmlformats.org/officeDocument/2006/relationships/hyperlink" Target="https://twitter.com/JulieThePH" TargetMode="External"/><Relationship Id="rId401" Type="http://schemas.openxmlformats.org/officeDocument/2006/relationships/hyperlink" Target="https://pbs.twimg.com/profile_images/596509974005686273/AqBblwMR_normal.jpg" TargetMode="External"/><Relationship Id="rId408" Type="http://schemas.openxmlformats.org/officeDocument/2006/relationships/hyperlink" Target="https://twitter.com/pastpunditry" TargetMode="External"/><Relationship Id="rId407" Type="http://schemas.openxmlformats.org/officeDocument/2006/relationships/hyperlink" Target="https://pbs.twimg.com/profile_images/704873222802636800/7aFEMOY5_normal.jpg" TargetMode="External"/><Relationship Id="rId406" Type="http://schemas.openxmlformats.org/officeDocument/2006/relationships/hyperlink" Target="https://twitter.com/pastpunditry/status/705769493033783297" TargetMode="External"/><Relationship Id="rId405" Type="http://schemas.openxmlformats.org/officeDocument/2006/relationships/hyperlink" Target="https://twitter.com/pastpunditry" TargetMode="External"/><Relationship Id="rId3890" Type="http://schemas.openxmlformats.org/officeDocument/2006/relationships/hyperlink" Target="https://twitter.com/MarlaAtUmass/status/706096369476444160" TargetMode="External"/><Relationship Id="rId2560" Type="http://schemas.openxmlformats.org/officeDocument/2006/relationships/hyperlink" Target="https://twitter.com/sheishistoric" TargetMode="External"/><Relationship Id="rId3892" Type="http://schemas.openxmlformats.org/officeDocument/2006/relationships/hyperlink" Target="https://twitter.com/MarlaAtUmass" TargetMode="External"/><Relationship Id="rId1230" Type="http://schemas.openxmlformats.org/officeDocument/2006/relationships/hyperlink" Target="https://twitter.com/JulieThePH" TargetMode="External"/><Relationship Id="rId2561" Type="http://schemas.openxmlformats.org/officeDocument/2006/relationships/hyperlink" Target="https://twitter.com/sheishistoric/status/705926497064886273" TargetMode="External"/><Relationship Id="rId3891" Type="http://schemas.openxmlformats.org/officeDocument/2006/relationships/hyperlink" Target="https://pbs.twimg.com/profile_images/565429960/Betsy_Twitter_normal.jpg" TargetMode="External"/><Relationship Id="rId400" Type="http://schemas.openxmlformats.org/officeDocument/2006/relationships/hyperlink" Target="https://twitter.com/JulieThePH/status/705769109947031554" TargetMode="External"/><Relationship Id="rId1231" Type="http://schemas.openxmlformats.org/officeDocument/2006/relationships/hyperlink" Target="https://twitter.com/JulieThePH/status/705842403060670464" TargetMode="External"/><Relationship Id="rId2562" Type="http://schemas.openxmlformats.org/officeDocument/2006/relationships/hyperlink" Target="https://pbs.twimg.com/profile_images/650419150620377089/bJxBf---_normal.jpg" TargetMode="External"/><Relationship Id="rId3894" Type="http://schemas.openxmlformats.org/officeDocument/2006/relationships/hyperlink" Target="https://pbs.twimg.com/profile_images/565429960/Betsy_Twitter_normal.jpg" TargetMode="External"/><Relationship Id="rId1232" Type="http://schemas.openxmlformats.org/officeDocument/2006/relationships/hyperlink" Target="https://pbs.twimg.com/profile_images/596509974005686273/AqBblwMR_normal.jpg" TargetMode="External"/><Relationship Id="rId2563" Type="http://schemas.openxmlformats.org/officeDocument/2006/relationships/hyperlink" Target="https://twitter.com/JulieThePH" TargetMode="External"/><Relationship Id="rId3893" Type="http://schemas.openxmlformats.org/officeDocument/2006/relationships/hyperlink" Target="https://twitter.com/MarlaAtUmass/status/706097558045724672" TargetMode="External"/><Relationship Id="rId1233" Type="http://schemas.openxmlformats.org/officeDocument/2006/relationships/hyperlink" Target="https://twitter.com/BoneRoomsBook" TargetMode="External"/><Relationship Id="rId2564" Type="http://schemas.openxmlformats.org/officeDocument/2006/relationships/hyperlink" Target="https://twitter.com/JulieThePH/status/705926551066558464" TargetMode="External"/><Relationship Id="rId3896" Type="http://schemas.openxmlformats.org/officeDocument/2006/relationships/hyperlink" Target="https://twitter.com/samueljredman/status/706097946803224576" TargetMode="External"/><Relationship Id="rId1234" Type="http://schemas.openxmlformats.org/officeDocument/2006/relationships/hyperlink" Target="https://twitter.com/BoneRoomsBook/status/705842494609747968" TargetMode="External"/><Relationship Id="rId2565" Type="http://schemas.openxmlformats.org/officeDocument/2006/relationships/hyperlink" Target="https://pbs.twimg.com/profile_images/596509974005686273/AqBblwMR_normal.jpg" TargetMode="External"/><Relationship Id="rId3895" Type="http://schemas.openxmlformats.org/officeDocument/2006/relationships/hyperlink" Target="https://twitter.com/samueljredman" TargetMode="External"/><Relationship Id="rId1224" Type="http://schemas.openxmlformats.org/officeDocument/2006/relationships/hyperlink" Target="https://twitter.com/samueljredman" TargetMode="External"/><Relationship Id="rId2555" Type="http://schemas.openxmlformats.org/officeDocument/2006/relationships/hyperlink" Target="https://twitter.com/sheishistoric/status/705926412050558976" TargetMode="External"/><Relationship Id="rId3887" Type="http://schemas.openxmlformats.org/officeDocument/2006/relationships/hyperlink" Target="https://twitter.com/alucchesi/status/706093924654383104" TargetMode="External"/><Relationship Id="rId1225" Type="http://schemas.openxmlformats.org/officeDocument/2006/relationships/hyperlink" Target="https://twitter.com/samueljredman/status/705842290670043136" TargetMode="External"/><Relationship Id="rId2556" Type="http://schemas.openxmlformats.org/officeDocument/2006/relationships/hyperlink" Target="https://pbs.twimg.com/profile_images/650419150620377089/bJxBf---_normal.jpg" TargetMode="External"/><Relationship Id="rId3886" Type="http://schemas.openxmlformats.org/officeDocument/2006/relationships/hyperlink" Target="https://twitter.com/alucchesi" TargetMode="External"/><Relationship Id="rId1226" Type="http://schemas.openxmlformats.org/officeDocument/2006/relationships/hyperlink" Target="https://pbs.twimg.com/profile_images/548193870278688768/8Dq7gW3U_normal.png" TargetMode="External"/><Relationship Id="rId2557" Type="http://schemas.openxmlformats.org/officeDocument/2006/relationships/hyperlink" Target="https://twitter.com/umassph" TargetMode="External"/><Relationship Id="rId3889" Type="http://schemas.openxmlformats.org/officeDocument/2006/relationships/hyperlink" Target="https://twitter.com/MarlaAtUmass" TargetMode="External"/><Relationship Id="rId1227" Type="http://schemas.openxmlformats.org/officeDocument/2006/relationships/hyperlink" Target="https://twitter.com/samueljredman" TargetMode="External"/><Relationship Id="rId2558" Type="http://schemas.openxmlformats.org/officeDocument/2006/relationships/hyperlink" Target="https://twitter.com/umassph/status/705926428999749632" TargetMode="External"/><Relationship Id="rId3888" Type="http://schemas.openxmlformats.org/officeDocument/2006/relationships/hyperlink" Target="https://pbs.twimg.com/profile_images/696535450790576128/f7Gi3WsP_normal.jpg" TargetMode="External"/><Relationship Id="rId1228" Type="http://schemas.openxmlformats.org/officeDocument/2006/relationships/hyperlink" Target="https://twitter.com/samueljredman/status/705842345594494976" TargetMode="External"/><Relationship Id="rId2559" Type="http://schemas.openxmlformats.org/officeDocument/2006/relationships/hyperlink" Target="https://pbs.twimg.com/profile_images/3583165575/54f0bc87a29b2ae8587193829ce07299_normal.jpeg" TargetMode="External"/><Relationship Id="rId1229" Type="http://schemas.openxmlformats.org/officeDocument/2006/relationships/hyperlink" Target="https://pbs.twimg.com/profile_images/548193870278688768/8Dq7gW3U_normal.png" TargetMode="External"/><Relationship Id="rId3881" Type="http://schemas.openxmlformats.org/officeDocument/2006/relationships/hyperlink" Target="https://twitter.com/jp5morin/status/706089016601477120" TargetMode="External"/><Relationship Id="rId2550" Type="http://schemas.openxmlformats.org/officeDocument/2006/relationships/hyperlink" Target="https://pbs.twimg.com/profile_images/3583165575/54f0bc87a29b2ae8587193829ce07299_normal.jpeg" TargetMode="External"/><Relationship Id="rId3880" Type="http://schemas.openxmlformats.org/officeDocument/2006/relationships/hyperlink" Target="https://twitter.com/jp5morin" TargetMode="External"/><Relationship Id="rId1220" Type="http://schemas.openxmlformats.org/officeDocument/2006/relationships/hyperlink" Target="https://pbs.twimg.com/profile_images/378800000667891782/44d7b181c077bf16ab07b242f7ad81b9_normal.png" TargetMode="External"/><Relationship Id="rId2551" Type="http://schemas.openxmlformats.org/officeDocument/2006/relationships/hyperlink" Target="https://twitter.com/pastpunditry" TargetMode="External"/><Relationship Id="rId3883" Type="http://schemas.openxmlformats.org/officeDocument/2006/relationships/hyperlink" Target="https://twitter.com/alucchesi" TargetMode="External"/><Relationship Id="rId1221" Type="http://schemas.openxmlformats.org/officeDocument/2006/relationships/hyperlink" Target="https://twitter.com/AmandaMoniz1" TargetMode="External"/><Relationship Id="rId2552" Type="http://schemas.openxmlformats.org/officeDocument/2006/relationships/hyperlink" Target="https://twitter.com/pastpunditry/status/705926409768845312" TargetMode="External"/><Relationship Id="rId3882" Type="http://schemas.openxmlformats.org/officeDocument/2006/relationships/hyperlink" Target="https://pbs.twimg.com/profile_images/615838990827167744/4mzyCX5f_normal.jpg" TargetMode="External"/><Relationship Id="rId1222" Type="http://schemas.openxmlformats.org/officeDocument/2006/relationships/hyperlink" Target="https://twitter.com/AmandaMoniz1/status/705841917528051712" TargetMode="External"/><Relationship Id="rId2553" Type="http://schemas.openxmlformats.org/officeDocument/2006/relationships/hyperlink" Target="https://pbs.twimg.com/profile_images/704873222802636800/7aFEMOY5_normal.jpg" TargetMode="External"/><Relationship Id="rId3885" Type="http://schemas.openxmlformats.org/officeDocument/2006/relationships/hyperlink" Target="https://pbs.twimg.com/profile_images/696535450790576128/f7Gi3WsP_normal.jpg" TargetMode="External"/><Relationship Id="rId1223" Type="http://schemas.openxmlformats.org/officeDocument/2006/relationships/hyperlink" Target="https://pbs.twimg.com/profile_images/378800000149111881/7969acf9cec4197748b502a6a6c3d921_normal.jpeg" TargetMode="External"/><Relationship Id="rId2554" Type="http://schemas.openxmlformats.org/officeDocument/2006/relationships/hyperlink" Target="https://twitter.com/sheishistoric" TargetMode="External"/><Relationship Id="rId3884" Type="http://schemas.openxmlformats.org/officeDocument/2006/relationships/hyperlink" Target="https://twitter.com/alucchesi/status/706092570691182592" TargetMode="External"/><Relationship Id="rId2500" Type="http://schemas.openxmlformats.org/officeDocument/2006/relationships/hyperlink" Target="https://twitter.com/JulieThePH" TargetMode="External"/><Relationship Id="rId3832" Type="http://schemas.openxmlformats.org/officeDocument/2006/relationships/hyperlink" Target="https://twitter.com/allisonhorrocks" TargetMode="External"/><Relationship Id="rId2501" Type="http://schemas.openxmlformats.org/officeDocument/2006/relationships/hyperlink" Target="https://twitter.com/JulieThePH/status/705926107116249088" TargetMode="External"/><Relationship Id="rId3831" Type="http://schemas.openxmlformats.org/officeDocument/2006/relationships/hyperlink" Target="https://abs.twimg.com/sticky/default_profile_images/default_profile_5_normal.png" TargetMode="External"/><Relationship Id="rId2502" Type="http://schemas.openxmlformats.org/officeDocument/2006/relationships/hyperlink" Target="https://pbs.twimg.com/profile_images/596509974005686273/AqBblwMR_normal.jpg" TargetMode="External"/><Relationship Id="rId3834" Type="http://schemas.openxmlformats.org/officeDocument/2006/relationships/hyperlink" Target="https://pbs.twimg.com/profile_images/562279222522032128/-phaZgxO_normal.jpeg" TargetMode="External"/><Relationship Id="rId2503" Type="http://schemas.openxmlformats.org/officeDocument/2006/relationships/hyperlink" Target="https://twitter.com/historein" TargetMode="External"/><Relationship Id="rId3833" Type="http://schemas.openxmlformats.org/officeDocument/2006/relationships/hyperlink" Target="https://twitter.com/allisonhorrocks/status/705974939908706305" TargetMode="External"/><Relationship Id="rId2504" Type="http://schemas.openxmlformats.org/officeDocument/2006/relationships/hyperlink" Target="https://twitter.com/historein/status/705926108672184320" TargetMode="External"/><Relationship Id="rId3836" Type="http://schemas.openxmlformats.org/officeDocument/2006/relationships/hyperlink" Target="https://twitter.com/GHAUmass/status/705974978932580352" TargetMode="External"/><Relationship Id="rId2505" Type="http://schemas.openxmlformats.org/officeDocument/2006/relationships/hyperlink" Target="https://pbs.twimg.com/profile_images/636901483401904128/cxbavncr_normal.jpg" TargetMode="External"/><Relationship Id="rId3835" Type="http://schemas.openxmlformats.org/officeDocument/2006/relationships/hyperlink" Target="https://twitter.com/GHAUmass" TargetMode="External"/><Relationship Id="rId2506" Type="http://schemas.openxmlformats.org/officeDocument/2006/relationships/hyperlink" Target="https://twitter.com/juliegpeterson" TargetMode="External"/><Relationship Id="rId3838" Type="http://schemas.openxmlformats.org/officeDocument/2006/relationships/hyperlink" Target="https://twitter.com/nicolebelolan" TargetMode="External"/><Relationship Id="rId2507" Type="http://schemas.openxmlformats.org/officeDocument/2006/relationships/hyperlink" Target="https://twitter.com/juliegpeterson/status/705926144953032704" TargetMode="External"/><Relationship Id="rId3837" Type="http://schemas.openxmlformats.org/officeDocument/2006/relationships/hyperlink" Target="https://pbs.twimg.com/profile_images/604060333590855682/Fk6r1D7d_normal.jpg" TargetMode="External"/><Relationship Id="rId2508" Type="http://schemas.openxmlformats.org/officeDocument/2006/relationships/hyperlink" Target="https://pbs.twimg.com/profile_images/609765839051452416/GNW0wSt0_normal.jpg" TargetMode="External"/><Relationship Id="rId2509" Type="http://schemas.openxmlformats.org/officeDocument/2006/relationships/hyperlink" Target="https://twitter.com/GHAUmass" TargetMode="External"/><Relationship Id="rId3839" Type="http://schemas.openxmlformats.org/officeDocument/2006/relationships/hyperlink" Target="https://twitter.com/nicolebelolan/status/705975479535345664" TargetMode="External"/><Relationship Id="rId3830" Type="http://schemas.openxmlformats.org/officeDocument/2006/relationships/hyperlink" Target="https://twitter.com/KSW_la/status/705974800452182016" TargetMode="External"/><Relationship Id="rId3821" Type="http://schemas.openxmlformats.org/officeDocument/2006/relationships/hyperlink" Target="https://twitter.com/lamaryanne/status/705972476744966144" TargetMode="External"/><Relationship Id="rId3820" Type="http://schemas.openxmlformats.org/officeDocument/2006/relationships/hyperlink" Target="https://twitter.com/lamaryanne" TargetMode="External"/><Relationship Id="rId3823" Type="http://schemas.openxmlformats.org/officeDocument/2006/relationships/hyperlink" Target="https://twitter.com/ATErickson" TargetMode="External"/><Relationship Id="rId3822" Type="http://schemas.openxmlformats.org/officeDocument/2006/relationships/hyperlink" Target="https://pbs.twimg.com/profile_images/597136197706625024/fK0AXFCy_normal.jpg" TargetMode="External"/><Relationship Id="rId3825" Type="http://schemas.openxmlformats.org/officeDocument/2006/relationships/hyperlink" Target="https://pbs.twimg.com/profile_images/686322140753301505/1O3R49E1_normal.jpg" TargetMode="External"/><Relationship Id="rId3824" Type="http://schemas.openxmlformats.org/officeDocument/2006/relationships/hyperlink" Target="https://twitter.com/ATErickson/status/705972828349272064" TargetMode="External"/><Relationship Id="rId3827" Type="http://schemas.openxmlformats.org/officeDocument/2006/relationships/hyperlink" Target="https://twitter.com/RMGallenberger/status/705973278771433472" TargetMode="External"/><Relationship Id="rId3826" Type="http://schemas.openxmlformats.org/officeDocument/2006/relationships/hyperlink" Target="https://twitter.com/RMGallenberger" TargetMode="External"/><Relationship Id="rId3829" Type="http://schemas.openxmlformats.org/officeDocument/2006/relationships/hyperlink" Target="https://twitter.com/KSW_la" TargetMode="External"/><Relationship Id="rId3828" Type="http://schemas.openxmlformats.org/officeDocument/2006/relationships/hyperlink" Target="https://abs.twimg.com/sticky/default_profile_images/default_profile_6_normal.png" TargetMode="External"/><Relationship Id="rId2522" Type="http://schemas.openxmlformats.org/officeDocument/2006/relationships/hyperlink" Target="https://twitter.com/ProfRankin/status/705926237827538944" TargetMode="External"/><Relationship Id="rId3854" Type="http://schemas.openxmlformats.org/officeDocument/2006/relationships/hyperlink" Target="https://twitter.com/justinokc/status/705975928015294464" TargetMode="External"/><Relationship Id="rId2523" Type="http://schemas.openxmlformats.org/officeDocument/2006/relationships/hyperlink" Target="https://pbs.twimg.com/profile_images/2478717806/dragon_distilling_oven_normal.jpg" TargetMode="External"/><Relationship Id="rId3853" Type="http://schemas.openxmlformats.org/officeDocument/2006/relationships/hyperlink" Target="https://twitter.com/justinokc" TargetMode="External"/><Relationship Id="rId2524" Type="http://schemas.openxmlformats.org/officeDocument/2006/relationships/hyperlink" Target="https://twitter.com/pastpunditry" TargetMode="External"/><Relationship Id="rId3856" Type="http://schemas.openxmlformats.org/officeDocument/2006/relationships/hyperlink" Target="https://twitter.com/allisonhorrocks" TargetMode="External"/><Relationship Id="rId2525" Type="http://schemas.openxmlformats.org/officeDocument/2006/relationships/hyperlink" Target="https://twitter.com/pastpunditry/status/705926263769341952" TargetMode="External"/><Relationship Id="rId3855" Type="http://schemas.openxmlformats.org/officeDocument/2006/relationships/hyperlink" Target="https://pbs.twimg.com/profile_images/423134042364858369/GukeR_9H_normal.jpeg" TargetMode="External"/><Relationship Id="rId2526" Type="http://schemas.openxmlformats.org/officeDocument/2006/relationships/hyperlink" Target="https://pbs.twimg.com/profile_images/704873222802636800/7aFEMOY5_normal.jpg" TargetMode="External"/><Relationship Id="rId3858" Type="http://schemas.openxmlformats.org/officeDocument/2006/relationships/hyperlink" Target="https://pbs.twimg.com/profile_images/562279222522032128/-phaZgxO_normal.jpeg" TargetMode="External"/><Relationship Id="rId2527" Type="http://schemas.openxmlformats.org/officeDocument/2006/relationships/hyperlink" Target="https://twitter.com/GHAUmass" TargetMode="External"/><Relationship Id="rId3857" Type="http://schemas.openxmlformats.org/officeDocument/2006/relationships/hyperlink" Target="https://twitter.com/allisonhorrocks/status/705978714148962304" TargetMode="External"/><Relationship Id="rId2528" Type="http://schemas.openxmlformats.org/officeDocument/2006/relationships/hyperlink" Target="https://twitter.com/GHAUmass/status/705926271965007872" TargetMode="External"/><Relationship Id="rId2529" Type="http://schemas.openxmlformats.org/officeDocument/2006/relationships/hyperlink" Target="https://pbs.twimg.com/profile_images/604060333590855682/Fk6r1D7d_normal.jpg" TargetMode="External"/><Relationship Id="rId3859" Type="http://schemas.openxmlformats.org/officeDocument/2006/relationships/hyperlink" Target="https://twitter.com/allisonhorrocks" TargetMode="External"/><Relationship Id="rId3850" Type="http://schemas.openxmlformats.org/officeDocument/2006/relationships/hyperlink" Target="https://twitter.com/kathleenmaho" TargetMode="External"/><Relationship Id="rId2520" Type="http://schemas.openxmlformats.org/officeDocument/2006/relationships/hyperlink" Target="https://pbs.twimg.com/profile_images/704873222802636800/7aFEMOY5_normal.jpg" TargetMode="External"/><Relationship Id="rId3852" Type="http://schemas.openxmlformats.org/officeDocument/2006/relationships/hyperlink" Target="https://pbs.twimg.com/profile_images/701284256308445184/aN59p2Zn_normal.jpg" TargetMode="External"/><Relationship Id="rId2521" Type="http://schemas.openxmlformats.org/officeDocument/2006/relationships/hyperlink" Target="https://twitter.com/ProfRankin" TargetMode="External"/><Relationship Id="rId3851" Type="http://schemas.openxmlformats.org/officeDocument/2006/relationships/hyperlink" Target="https://twitter.com/kathleenmaho/status/705975906041511937" TargetMode="External"/><Relationship Id="rId2511" Type="http://schemas.openxmlformats.org/officeDocument/2006/relationships/hyperlink" Target="https://pbs.twimg.com/profile_images/604060333590855682/Fk6r1D7d_normal.jpg" TargetMode="External"/><Relationship Id="rId3843" Type="http://schemas.openxmlformats.org/officeDocument/2006/relationships/hyperlink" Target="https://pbs.twimg.com/profile_images/423134042364858369/GukeR_9H_normal.jpeg" TargetMode="External"/><Relationship Id="rId2512" Type="http://schemas.openxmlformats.org/officeDocument/2006/relationships/hyperlink" Target="https://twitter.com/MarlaAtUmass" TargetMode="External"/><Relationship Id="rId3842" Type="http://schemas.openxmlformats.org/officeDocument/2006/relationships/hyperlink" Target="https://twitter.com/justinokc/status/705975812747452416" TargetMode="External"/><Relationship Id="rId2513" Type="http://schemas.openxmlformats.org/officeDocument/2006/relationships/hyperlink" Target="https://twitter.com/MarlaAtUmass/status/705926181170913281" TargetMode="External"/><Relationship Id="rId3845" Type="http://schemas.openxmlformats.org/officeDocument/2006/relationships/hyperlink" Target="https://twitter.com/justinokc/status/705975879072002048" TargetMode="External"/><Relationship Id="rId2514" Type="http://schemas.openxmlformats.org/officeDocument/2006/relationships/hyperlink" Target="https://pbs.twimg.com/profile_images/565429960/Betsy_Twitter_normal.jpg" TargetMode="External"/><Relationship Id="rId3844" Type="http://schemas.openxmlformats.org/officeDocument/2006/relationships/hyperlink" Target="https://twitter.com/justinokc" TargetMode="External"/><Relationship Id="rId2515" Type="http://schemas.openxmlformats.org/officeDocument/2006/relationships/hyperlink" Target="https://twitter.com/GHAUmass" TargetMode="External"/><Relationship Id="rId3847" Type="http://schemas.openxmlformats.org/officeDocument/2006/relationships/hyperlink" Target="https://twitter.com/justinokc" TargetMode="External"/><Relationship Id="rId2516" Type="http://schemas.openxmlformats.org/officeDocument/2006/relationships/hyperlink" Target="https://twitter.com/GHAUmass/status/705926196912119808" TargetMode="External"/><Relationship Id="rId3846" Type="http://schemas.openxmlformats.org/officeDocument/2006/relationships/hyperlink" Target="https://pbs.twimg.com/profile_images/423134042364858369/GukeR_9H_normal.jpeg" TargetMode="External"/><Relationship Id="rId2517" Type="http://schemas.openxmlformats.org/officeDocument/2006/relationships/hyperlink" Target="https://pbs.twimg.com/profile_images/604060333590855682/Fk6r1D7d_normal.jpg" TargetMode="External"/><Relationship Id="rId3849" Type="http://schemas.openxmlformats.org/officeDocument/2006/relationships/hyperlink" Target="https://pbs.twimg.com/profile_images/423134042364858369/GukeR_9H_normal.jpeg" TargetMode="External"/><Relationship Id="rId2518" Type="http://schemas.openxmlformats.org/officeDocument/2006/relationships/hyperlink" Target="https://twitter.com/pastpunditry" TargetMode="External"/><Relationship Id="rId3848" Type="http://schemas.openxmlformats.org/officeDocument/2006/relationships/hyperlink" Target="https://twitter.com/justinokc/status/705975895807234048" TargetMode="External"/><Relationship Id="rId2519" Type="http://schemas.openxmlformats.org/officeDocument/2006/relationships/hyperlink" Target="https://twitter.com/pastpunditry/status/705926233431920641" TargetMode="External"/><Relationship Id="rId3841" Type="http://schemas.openxmlformats.org/officeDocument/2006/relationships/hyperlink" Target="https://twitter.com/justinokc" TargetMode="External"/><Relationship Id="rId2510" Type="http://schemas.openxmlformats.org/officeDocument/2006/relationships/hyperlink" Target="https://twitter.com/GHAUmass/status/705926152058249216" TargetMode="External"/><Relationship Id="rId3840" Type="http://schemas.openxmlformats.org/officeDocument/2006/relationships/hyperlink" Target="https://pbs.twimg.com/profile_images/627952946601459712/3TKA59o0_normal.jpg" TargetMode="External"/><Relationship Id="rId4327" Type="http://schemas.openxmlformats.org/officeDocument/2006/relationships/hyperlink" Target="https://pbs.twimg.com/profile_images/704873222802636800/7aFEMOY5_normal.jpg" TargetMode="External"/><Relationship Id="rId4326" Type="http://schemas.openxmlformats.org/officeDocument/2006/relationships/hyperlink" Target="https://twitter.com/pastpunditry/status/706152930945191936" TargetMode="External"/><Relationship Id="rId4329" Type="http://schemas.openxmlformats.org/officeDocument/2006/relationships/hyperlink" Target="https://twitter.com/pastpunditry/status/706153019562446849" TargetMode="External"/><Relationship Id="rId4328" Type="http://schemas.openxmlformats.org/officeDocument/2006/relationships/hyperlink" Target="https://twitter.com/pastpunditry" TargetMode="External"/><Relationship Id="rId469" Type="http://schemas.openxmlformats.org/officeDocument/2006/relationships/hyperlink" Target="https://twitter.com/pastpunditry/status/705776178972512257" TargetMode="External"/><Relationship Id="rId468" Type="http://schemas.openxmlformats.org/officeDocument/2006/relationships/hyperlink" Target="https://twitter.com/pastpunditry" TargetMode="External"/><Relationship Id="rId467" Type="http://schemas.openxmlformats.org/officeDocument/2006/relationships/hyperlink" Target="https://pbs.twimg.com/profile_images/378800000667891782/44d7b181c077bf16ab07b242f7ad81b9_normal.png" TargetMode="External"/><Relationship Id="rId1290" Type="http://schemas.openxmlformats.org/officeDocument/2006/relationships/hyperlink" Target="https://twitter.com/paige_roberts" TargetMode="External"/><Relationship Id="rId1291" Type="http://schemas.openxmlformats.org/officeDocument/2006/relationships/hyperlink" Target="https://twitter.com/paige_roberts/status/705845156705136640" TargetMode="External"/><Relationship Id="rId1292" Type="http://schemas.openxmlformats.org/officeDocument/2006/relationships/hyperlink" Target="https://pbs.twimg.com/profile_images/625092349425750016/cZ_A7mTc_normal.jpg" TargetMode="External"/><Relationship Id="rId462" Type="http://schemas.openxmlformats.org/officeDocument/2006/relationships/hyperlink" Target="https://twitter.com/pastpunditry" TargetMode="External"/><Relationship Id="rId1293" Type="http://schemas.openxmlformats.org/officeDocument/2006/relationships/hyperlink" Target="https://twitter.com/MarlaAtUmass" TargetMode="External"/><Relationship Id="rId461" Type="http://schemas.openxmlformats.org/officeDocument/2006/relationships/hyperlink" Target="https://pbs.twimg.com/profile_images/565429960/Betsy_Twitter_normal.jpg" TargetMode="External"/><Relationship Id="rId1294" Type="http://schemas.openxmlformats.org/officeDocument/2006/relationships/hyperlink" Target="https://twitter.com/MarlaAtUmass/status/705845324712124416" TargetMode="External"/><Relationship Id="rId460" Type="http://schemas.openxmlformats.org/officeDocument/2006/relationships/hyperlink" Target="https://twitter.com/MarlaAtUmass/status/705775757503627266" TargetMode="External"/><Relationship Id="rId1295" Type="http://schemas.openxmlformats.org/officeDocument/2006/relationships/hyperlink" Target="https://pbs.twimg.com/profile_images/565429960/Betsy_Twitter_normal.jpg" TargetMode="External"/><Relationship Id="rId4321" Type="http://schemas.openxmlformats.org/officeDocument/2006/relationships/hyperlink" Target="https://pbs.twimg.com/profile_images/629489328272592896/BDQ7tdkf_normal.jpg" TargetMode="External"/><Relationship Id="rId1296" Type="http://schemas.openxmlformats.org/officeDocument/2006/relationships/hyperlink" Target="https://twitter.com/JulieThePH" TargetMode="External"/><Relationship Id="rId4320" Type="http://schemas.openxmlformats.org/officeDocument/2006/relationships/hyperlink" Target="https://twitter.com/brianleechphd/status/706152733368254465" TargetMode="External"/><Relationship Id="rId466" Type="http://schemas.openxmlformats.org/officeDocument/2006/relationships/hyperlink" Target="https://twitter.com/JimGrossmanAHA/status/705776045916626944" TargetMode="External"/><Relationship Id="rId1297" Type="http://schemas.openxmlformats.org/officeDocument/2006/relationships/hyperlink" Target="https://twitter.com/JulieThePH/status/705845326335352833" TargetMode="External"/><Relationship Id="rId4323" Type="http://schemas.openxmlformats.org/officeDocument/2006/relationships/hyperlink" Target="https://twitter.com/brianleechphd/status/706152739512963072" TargetMode="External"/><Relationship Id="rId465" Type="http://schemas.openxmlformats.org/officeDocument/2006/relationships/hyperlink" Target="https://twitter.com/JimGrossmanAHA" TargetMode="External"/><Relationship Id="rId1298" Type="http://schemas.openxmlformats.org/officeDocument/2006/relationships/hyperlink" Target="https://pbs.twimg.com/profile_images/596509974005686273/AqBblwMR_normal.jpg" TargetMode="External"/><Relationship Id="rId4322" Type="http://schemas.openxmlformats.org/officeDocument/2006/relationships/hyperlink" Target="https://twitter.com/brianleechphd" TargetMode="External"/><Relationship Id="rId464" Type="http://schemas.openxmlformats.org/officeDocument/2006/relationships/hyperlink" Target="https://pbs.twimg.com/profile_images/704873222802636800/7aFEMOY5_normal.jpg" TargetMode="External"/><Relationship Id="rId1299" Type="http://schemas.openxmlformats.org/officeDocument/2006/relationships/hyperlink" Target="https://twitter.com/pastpunditry" TargetMode="External"/><Relationship Id="rId4325" Type="http://schemas.openxmlformats.org/officeDocument/2006/relationships/hyperlink" Target="https://twitter.com/pastpunditry" TargetMode="External"/><Relationship Id="rId463" Type="http://schemas.openxmlformats.org/officeDocument/2006/relationships/hyperlink" Target="https://twitter.com/pastpunditry/status/705775866211602433" TargetMode="External"/><Relationship Id="rId4324" Type="http://schemas.openxmlformats.org/officeDocument/2006/relationships/hyperlink" Target="https://pbs.twimg.com/profile_images/629489328272592896/BDQ7tdkf_normal.jpg" TargetMode="External"/><Relationship Id="rId4316" Type="http://schemas.openxmlformats.org/officeDocument/2006/relationships/hyperlink" Target="https://twitter.com/pastpunditry" TargetMode="External"/><Relationship Id="rId4315" Type="http://schemas.openxmlformats.org/officeDocument/2006/relationships/hyperlink" Target="https://pbs.twimg.com/profile_images/704873222802636800/7aFEMOY5_normal.jpg" TargetMode="External"/><Relationship Id="rId4318" Type="http://schemas.openxmlformats.org/officeDocument/2006/relationships/hyperlink" Target="https://pbs.twimg.com/profile_images/704873222802636800/7aFEMOY5_normal.jpg" TargetMode="External"/><Relationship Id="rId4317" Type="http://schemas.openxmlformats.org/officeDocument/2006/relationships/hyperlink" Target="https://twitter.com/pastpunditry/status/706152663218520064" TargetMode="External"/><Relationship Id="rId4319" Type="http://schemas.openxmlformats.org/officeDocument/2006/relationships/hyperlink" Target="https://twitter.com/brianleechphd" TargetMode="External"/><Relationship Id="rId459" Type="http://schemas.openxmlformats.org/officeDocument/2006/relationships/hyperlink" Target="https://twitter.com/MarlaAtUmass" TargetMode="External"/><Relationship Id="rId458" Type="http://schemas.openxmlformats.org/officeDocument/2006/relationships/hyperlink" Target="https://pbs.twimg.com/profile_images/596509974005686273/AqBblwMR_normal.jpg" TargetMode="External"/><Relationship Id="rId457" Type="http://schemas.openxmlformats.org/officeDocument/2006/relationships/hyperlink" Target="https://twitter.com/JulieThePH/status/705775497494532097" TargetMode="External"/><Relationship Id="rId456" Type="http://schemas.openxmlformats.org/officeDocument/2006/relationships/hyperlink" Target="https://twitter.com/JulieThePH" TargetMode="External"/><Relationship Id="rId1280" Type="http://schemas.openxmlformats.org/officeDocument/2006/relationships/hyperlink" Target="https://pbs.twimg.com/profile_images/378800000149111881/7969acf9cec4197748b502a6a6c3d921_normal.jpeg" TargetMode="External"/><Relationship Id="rId1281" Type="http://schemas.openxmlformats.org/officeDocument/2006/relationships/hyperlink" Target="https://twitter.com/pastpunditry" TargetMode="External"/><Relationship Id="rId451" Type="http://schemas.openxmlformats.org/officeDocument/2006/relationships/hyperlink" Target="https://twitter.com/JulieThePH/status/705773772675162112" TargetMode="External"/><Relationship Id="rId1282" Type="http://schemas.openxmlformats.org/officeDocument/2006/relationships/hyperlink" Target="https://twitter.com/pastpunditry/status/705844510866149376" TargetMode="External"/><Relationship Id="rId450" Type="http://schemas.openxmlformats.org/officeDocument/2006/relationships/hyperlink" Target="https://twitter.com/JulieThePH" TargetMode="External"/><Relationship Id="rId1283" Type="http://schemas.openxmlformats.org/officeDocument/2006/relationships/hyperlink" Target="https://pbs.twimg.com/profile_images/704873222802636800/7aFEMOY5_normal.jpg" TargetMode="External"/><Relationship Id="rId1284" Type="http://schemas.openxmlformats.org/officeDocument/2006/relationships/hyperlink" Target="https://twitter.com/mathhistory" TargetMode="External"/><Relationship Id="rId4310" Type="http://schemas.openxmlformats.org/officeDocument/2006/relationships/hyperlink" Target="https://twitter.com/JulieThePH" TargetMode="External"/><Relationship Id="rId1285" Type="http://schemas.openxmlformats.org/officeDocument/2006/relationships/hyperlink" Target="https://twitter.com/mathhistory/status/705844924181291012" TargetMode="External"/><Relationship Id="rId455" Type="http://schemas.openxmlformats.org/officeDocument/2006/relationships/hyperlink" Target="https://pbs.twimg.com/profile_images/1918642476/2YogIkK0_normal" TargetMode="External"/><Relationship Id="rId1286" Type="http://schemas.openxmlformats.org/officeDocument/2006/relationships/hyperlink" Target="https://pbs.twimg.com/profile_images/3034769023/09adfcbebccfeef2a42e39aaac64ede5_normal.jpeg" TargetMode="External"/><Relationship Id="rId4312" Type="http://schemas.openxmlformats.org/officeDocument/2006/relationships/hyperlink" Target="https://pbs.twimg.com/profile_images/596509974005686273/AqBblwMR_normal.jpg" TargetMode="External"/><Relationship Id="rId454" Type="http://schemas.openxmlformats.org/officeDocument/2006/relationships/hyperlink" Target="https://twitter.com/uofcfreethinker/status/705773964283531264" TargetMode="External"/><Relationship Id="rId1287" Type="http://schemas.openxmlformats.org/officeDocument/2006/relationships/hyperlink" Target="https://twitter.com/pastpunditry" TargetMode="External"/><Relationship Id="rId4311" Type="http://schemas.openxmlformats.org/officeDocument/2006/relationships/hyperlink" Target="https://twitter.com/JulieThePH/status/706152345256722432" TargetMode="External"/><Relationship Id="rId453" Type="http://schemas.openxmlformats.org/officeDocument/2006/relationships/hyperlink" Target="https://twitter.com/uofcfreethinker" TargetMode="External"/><Relationship Id="rId1288" Type="http://schemas.openxmlformats.org/officeDocument/2006/relationships/hyperlink" Target="https://twitter.com/pastpunditry/status/705844974387118081" TargetMode="External"/><Relationship Id="rId4314" Type="http://schemas.openxmlformats.org/officeDocument/2006/relationships/hyperlink" Target="https://twitter.com/pastpunditry/status/706152567240265728" TargetMode="External"/><Relationship Id="rId452" Type="http://schemas.openxmlformats.org/officeDocument/2006/relationships/hyperlink" Target="https://pbs.twimg.com/profile_images/596509974005686273/AqBblwMR_normal.jpg" TargetMode="External"/><Relationship Id="rId1289" Type="http://schemas.openxmlformats.org/officeDocument/2006/relationships/hyperlink" Target="https://pbs.twimg.com/profile_images/704873222802636800/7aFEMOY5_normal.jpg" TargetMode="External"/><Relationship Id="rId4313" Type="http://schemas.openxmlformats.org/officeDocument/2006/relationships/hyperlink" Target="https://twitter.com/pastpunditry" TargetMode="External"/><Relationship Id="rId3018" Type="http://schemas.openxmlformats.org/officeDocument/2006/relationships/hyperlink" Target="https://pbs.twimg.com/profile_images/378800000149111881/7969acf9cec4197748b502a6a6c3d921_normal.jpeg" TargetMode="External"/><Relationship Id="rId4349" Type="http://schemas.openxmlformats.org/officeDocument/2006/relationships/hyperlink" Target="https://twitter.com/UMassHistory" TargetMode="External"/><Relationship Id="rId3017" Type="http://schemas.openxmlformats.org/officeDocument/2006/relationships/hyperlink" Target="https://twitter.com/AmandaMoniz1/status/705931448574988288" TargetMode="External"/><Relationship Id="rId4348" Type="http://schemas.openxmlformats.org/officeDocument/2006/relationships/hyperlink" Target="https://pbs.twimg.com/profile_images/704873222802636800/7aFEMOY5_normal.jpg" TargetMode="External"/><Relationship Id="rId3019" Type="http://schemas.openxmlformats.org/officeDocument/2006/relationships/hyperlink" Target="https://twitter.com/rebekkahrubin" TargetMode="External"/><Relationship Id="rId491" Type="http://schemas.openxmlformats.org/officeDocument/2006/relationships/hyperlink" Target="https://pbs.twimg.com/profile_images/655217817395077121/kJLvzPfP_normal.jpg" TargetMode="External"/><Relationship Id="rId490" Type="http://schemas.openxmlformats.org/officeDocument/2006/relationships/hyperlink" Target="https://twitter.com/dvhunter/status/705777914877386754" TargetMode="External"/><Relationship Id="rId489" Type="http://schemas.openxmlformats.org/officeDocument/2006/relationships/hyperlink" Target="https://twitter.com/dvhunter" TargetMode="External"/><Relationship Id="rId484" Type="http://schemas.openxmlformats.org/officeDocument/2006/relationships/hyperlink" Target="https://twitter.com/JenHoward/status/705777145625387008" TargetMode="External"/><Relationship Id="rId3010" Type="http://schemas.openxmlformats.org/officeDocument/2006/relationships/hyperlink" Target="https://twitter.com/pastpunditry" TargetMode="External"/><Relationship Id="rId4341" Type="http://schemas.openxmlformats.org/officeDocument/2006/relationships/hyperlink" Target="https://twitter.com/Welcome2History/status/706154426273308672" TargetMode="External"/><Relationship Id="rId483" Type="http://schemas.openxmlformats.org/officeDocument/2006/relationships/hyperlink" Target="https://twitter.com/JenHoward" TargetMode="External"/><Relationship Id="rId4340" Type="http://schemas.openxmlformats.org/officeDocument/2006/relationships/hyperlink" Target="https://twitter.com/Welcome2History" TargetMode="External"/><Relationship Id="rId482" Type="http://schemas.openxmlformats.org/officeDocument/2006/relationships/hyperlink" Target="https://pbs.twimg.com/profile_images/704873222802636800/7aFEMOY5_normal.jpg" TargetMode="External"/><Relationship Id="rId3012" Type="http://schemas.openxmlformats.org/officeDocument/2006/relationships/hyperlink" Target="https://pbs.twimg.com/profile_images/704873222802636800/7aFEMOY5_normal.jpg" TargetMode="External"/><Relationship Id="rId4343" Type="http://schemas.openxmlformats.org/officeDocument/2006/relationships/hyperlink" Target="https://twitter.com/monicaMedHist" TargetMode="External"/><Relationship Id="rId481" Type="http://schemas.openxmlformats.org/officeDocument/2006/relationships/hyperlink" Target="https://twitter.com/pastpunditry/status/705777043418583040" TargetMode="External"/><Relationship Id="rId3011" Type="http://schemas.openxmlformats.org/officeDocument/2006/relationships/hyperlink" Target="https://twitter.com/pastpunditry/status/705931348536598529" TargetMode="External"/><Relationship Id="rId4342" Type="http://schemas.openxmlformats.org/officeDocument/2006/relationships/hyperlink" Target="https://pbs.twimg.com/profile_images/622972421163724800/aDxe6tur_normal.jpg" TargetMode="External"/><Relationship Id="rId488" Type="http://schemas.openxmlformats.org/officeDocument/2006/relationships/hyperlink" Target="https://pbs.twimg.com/profile_images/562649272173068288/zFENKIgW_normal.png" TargetMode="External"/><Relationship Id="rId3014" Type="http://schemas.openxmlformats.org/officeDocument/2006/relationships/hyperlink" Target="https://twitter.com/erfagen/status/705931448130387968" TargetMode="External"/><Relationship Id="rId4345" Type="http://schemas.openxmlformats.org/officeDocument/2006/relationships/hyperlink" Target="https://pbs.twimg.com/profile_images/539540473967157248/zsI9F9Mw_normal.jpeg" TargetMode="External"/><Relationship Id="rId487" Type="http://schemas.openxmlformats.org/officeDocument/2006/relationships/hyperlink" Target="https://twitter.com/JL_McPherson_/status/705777570684338176" TargetMode="External"/><Relationship Id="rId3013" Type="http://schemas.openxmlformats.org/officeDocument/2006/relationships/hyperlink" Target="https://twitter.com/erfagen" TargetMode="External"/><Relationship Id="rId4344" Type="http://schemas.openxmlformats.org/officeDocument/2006/relationships/hyperlink" Target="https://twitter.com/monicaMedHist/status/706154671954460672" TargetMode="External"/><Relationship Id="rId486" Type="http://schemas.openxmlformats.org/officeDocument/2006/relationships/hyperlink" Target="https://twitter.com/JL_McPherson_" TargetMode="External"/><Relationship Id="rId3016" Type="http://schemas.openxmlformats.org/officeDocument/2006/relationships/hyperlink" Target="https://twitter.com/AmandaMoniz1" TargetMode="External"/><Relationship Id="rId4347" Type="http://schemas.openxmlformats.org/officeDocument/2006/relationships/hyperlink" Target="https://twitter.com/pastpunditry/status/706154899050995712" TargetMode="External"/><Relationship Id="rId485" Type="http://schemas.openxmlformats.org/officeDocument/2006/relationships/hyperlink" Target="https://pbs.twimg.com/profile_images/59085983/LelaCatPicture_normal.jpg" TargetMode="External"/><Relationship Id="rId3015" Type="http://schemas.openxmlformats.org/officeDocument/2006/relationships/hyperlink" Target="https://pbs.twimg.com/profile_images/638086945722249217/mid_S_BQ_normal.jpg" TargetMode="External"/><Relationship Id="rId4346" Type="http://schemas.openxmlformats.org/officeDocument/2006/relationships/hyperlink" Target="https://twitter.com/pastpunditry" TargetMode="External"/><Relationship Id="rId3007" Type="http://schemas.openxmlformats.org/officeDocument/2006/relationships/hyperlink" Target="https://twitter.com/JulieThePH" TargetMode="External"/><Relationship Id="rId4338" Type="http://schemas.openxmlformats.org/officeDocument/2006/relationships/hyperlink" Target="https://twitter.com/pastpunditry/status/706154196760961024" TargetMode="External"/><Relationship Id="rId3006" Type="http://schemas.openxmlformats.org/officeDocument/2006/relationships/hyperlink" Target="https://pbs.twimg.com/profile_images/604060333590855682/Fk6r1D7d_normal.jpg" TargetMode="External"/><Relationship Id="rId4337" Type="http://schemas.openxmlformats.org/officeDocument/2006/relationships/hyperlink" Target="https://twitter.com/pastpunditry" TargetMode="External"/><Relationship Id="rId3009" Type="http://schemas.openxmlformats.org/officeDocument/2006/relationships/hyperlink" Target="https://pbs.twimg.com/profile_images/596509974005686273/AqBblwMR_normal.jpg" TargetMode="External"/><Relationship Id="rId3008" Type="http://schemas.openxmlformats.org/officeDocument/2006/relationships/hyperlink" Target="https://twitter.com/JulieThePH/status/705931324612349952" TargetMode="External"/><Relationship Id="rId4339" Type="http://schemas.openxmlformats.org/officeDocument/2006/relationships/hyperlink" Target="https://pbs.twimg.com/profile_images/704873222802636800/7aFEMOY5_normal.jpg" TargetMode="External"/><Relationship Id="rId480" Type="http://schemas.openxmlformats.org/officeDocument/2006/relationships/hyperlink" Target="https://twitter.com/pastpunditry" TargetMode="External"/><Relationship Id="rId479" Type="http://schemas.openxmlformats.org/officeDocument/2006/relationships/hyperlink" Target="https://pbs.twimg.com/profile_images/596509974005686273/AqBblwMR_normal.jpg" TargetMode="External"/><Relationship Id="rId478" Type="http://schemas.openxmlformats.org/officeDocument/2006/relationships/hyperlink" Target="https://twitter.com/JulieThePH/status/705777014125498368" TargetMode="External"/><Relationship Id="rId473" Type="http://schemas.openxmlformats.org/officeDocument/2006/relationships/hyperlink" Target="https://pbs.twimg.com/profile_images/548193870278688768/8Dq7gW3U_normal.png" TargetMode="External"/><Relationship Id="rId4330" Type="http://schemas.openxmlformats.org/officeDocument/2006/relationships/hyperlink" Target="https://pbs.twimg.com/profile_images/704873222802636800/7aFEMOY5_normal.jpg" TargetMode="External"/><Relationship Id="rId472" Type="http://schemas.openxmlformats.org/officeDocument/2006/relationships/hyperlink" Target="https://twitter.com/samueljredman/status/705776812354359296" TargetMode="External"/><Relationship Id="rId471" Type="http://schemas.openxmlformats.org/officeDocument/2006/relationships/hyperlink" Target="https://twitter.com/samueljredman" TargetMode="External"/><Relationship Id="rId3001" Type="http://schemas.openxmlformats.org/officeDocument/2006/relationships/hyperlink" Target="https://twitter.com/pastpunditry" TargetMode="External"/><Relationship Id="rId4332" Type="http://schemas.openxmlformats.org/officeDocument/2006/relationships/hyperlink" Target="https://twitter.com/pastpunditry/status/706153437503877121" TargetMode="External"/><Relationship Id="rId470" Type="http://schemas.openxmlformats.org/officeDocument/2006/relationships/hyperlink" Target="https://pbs.twimg.com/profile_images/704873222802636800/7aFEMOY5_normal.jpg" TargetMode="External"/><Relationship Id="rId3000" Type="http://schemas.openxmlformats.org/officeDocument/2006/relationships/hyperlink" Target="https://pbs.twimg.com/profile_images/700317732588408832/Ym_-neUi_normal.jpg" TargetMode="External"/><Relationship Id="rId4331" Type="http://schemas.openxmlformats.org/officeDocument/2006/relationships/hyperlink" Target="https://twitter.com/pastpunditry" TargetMode="External"/><Relationship Id="rId477" Type="http://schemas.openxmlformats.org/officeDocument/2006/relationships/hyperlink" Target="https://twitter.com/JulieThePH" TargetMode="External"/><Relationship Id="rId3003" Type="http://schemas.openxmlformats.org/officeDocument/2006/relationships/hyperlink" Target="https://pbs.twimg.com/profile_images/704873222802636800/7aFEMOY5_normal.jpg" TargetMode="External"/><Relationship Id="rId4334" Type="http://schemas.openxmlformats.org/officeDocument/2006/relationships/hyperlink" Target="https://twitter.com/UqamCuratrix" TargetMode="External"/><Relationship Id="rId476" Type="http://schemas.openxmlformats.org/officeDocument/2006/relationships/hyperlink" Target="https://pbs.twimg.com/profile_images/548193870278688768/8Dq7gW3U_normal.png" TargetMode="External"/><Relationship Id="rId3002" Type="http://schemas.openxmlformats.org/officeDocument/2006/relationships/hyperlink" Target="https://twitter.com/pastpunditry/status/705931286435729409" TargetMode="External"/><Relationship Id="rId4333" Type="http://schemas.openxmlformats.org/officeDocument/2006/relationships/hyperlink" Target="https://pbs.twimg.com/profile_images/704873222802636800/7aFEMOY5_normal.jpg" TargetMode="External"/><Relationship Id="rId475" Type="http://schemas.openxmlformats.org/officeDocument/2006/relationships/hyperlink" Target="https://twitter.com/samueljredman/status/705776878846668802" TargetMode="External"/><Relationship Id="rId3005" Type="http://schemas.openxmlformats.org/officeDocument/2006/relationships/hyperlink" Target="https://twitter.com/GHAUmass/status/705931300495101953" TargetMode="External"/><Relationship Id="rId4336" Type="http://schemas.openxmlformats.org/officeDocument/2006/relationships/hyperlink" Target="https://pbs.twimg.com/profile_images/702621818444591104/zsYe3P8C_normal.jpg" TargetMode="External"/><Relationship Id="rId474" Type="http://schemas.openxmlformats.org/officeDocument/2006/relationships/hyperlink" Target="https://twitter.com/samueljredman" TargetMode="External"/><Relationship Id="rId3004" Type="http://schemas.openxmlformats.org/officeDocument/2006/relationships/hyperlink" Target="https://twitter.com/GHAUmass" TargetMode="External"/><Relationship Id="rId4335" Type="http://schemas.openxmlformats.org/officeDocument/2006/relationships/hyperlink" Target="https://twitter.com/UqamCuratrix/status/706154129798897664" TargetMode="External"/><Relationship Id="rId1257" Type="http://schemas.openxmlformats.org/officeDocument/2006/relationships/hyperlink" Target="https://twitter.com/historein" TargetMode="External"/><Relationship Id="rId2588" Type="http://schemas.openxmlformats.org/officeDocument/2006/relationships/hyperlink" Target="https://twitter.com/maggieyancey/status/705926677277253632" TargetMode="External"/><Relationship Id="rId1258" Type="http://schemas.openxmlformats.org/officeDocument/2006/relationships/hyperlink" Target="https://twitter.com/historein/status/705843787017408512" TargetMode="External"/><Relationship Id="rId2589" Type="http://schemas.openxmlformats.org/officeDocument/2006/relationships/hyperlink" Target="https://pbs.twimg.com/profile_images/640729706988376064/DpVJupDX_normal.jpg" TargetMode="External"/><Relationship Id="rId1259" Type="http://schemas.openxmlformats.org/officeDocument/2006/relationships/hyperlink" Target="https://pbs.twimg.com/profile_images/636901483401904128/cxbavncr_normal.jpg" TargetMode="External"/><Relationship Id="rId426" Type="http://schemas.openxmlformats.org/officeDocument/2006/relationships/hyperlink" Target="https://twitter.com/JulieThePH" TargetMode="External"/><Relationship Id="rId425" Type="http://schemas.openxmlformats.org/officeDocument/2006/relationships/hyperlink" Target="https://pbs.twimg.com/profile_images/638086945722249217/mid_S_BQ_normal.jpg" TargetMode="External"/><Relationship Id="rId424" Type="http://schemas.openxmlformats.org/officeDocument/2006/relationships/hyperlink" Target="https://twitter.com/erfagen/status/705770934607749121" TargetMode="External"/><Relationship Id="rId423" Type="http://schemas.openxmlformats.org/officeDocument/2006/relationships/hyperlink" Target="https://twitter.com/erfagen" TargetMode="External"/><Relationship Id="rId429" Type="http://schemas.openxmlformats.org/officeDocument/2006/relationships/hyperlink" Target="https://twitter.com/pastpunditry" TargetMode="External"/><Relationship Id="rId428" Type="http://schemas.openxmlformats.org/officeDocument/2006/relationships/hyperlink" Target="https://pbs.twimg.com/profile_images/596509974005686273/AqBblwMR_normal.jpg" TargetMode="External"/><Relationship Id="rId427" Type="http://schemas.openxmlformats.org/officeDocument/2006/relationships/hyperlink" Target="https://twitter.com/JulieThePH/status/705770951011651585" TargetMode="External"/><Relationship Id="rId2580" Type="http://schemas.openxmlformats.org/officeDocument/2006/relationships/hyperlink" Target="https://pbs.twimg.com/profile_images/640729706988376064/DpVJupDX_normal.jpg" TargetMode="External"/><Relationship Id="rId1250" Type="http://schemas.openxmlformats.org/officeDocument/2006/relationships/hyperlink" Target="https://pbs.twimg.com/profile_images/378800000149111881/7969acf9cec4197748b502a6a6c3d921_normal.jpeg" TargetMode="External"/><Relationship Id="rId2581" Type="http://schemas.openxmlformats.org/officeDocument/2006/relationships/hyperlink" Target="https://twitter.com/pastpunditry" TargetMode="External"/><Relationship Id="rId1251" Type="http://schemas.openxmlformats.org/officeDocument/2006/relationships/hyperlink" Target="https://twitter.com/JulieThePH" TargetMode="External"/><Relationship Id="rId2582" Type="http://schemas.openxmlformats.org/officeDocument/2006/relationships/hyperlink" Target="https://twitter.com/pastpunditry/status/705926648475095040" TargetMode="External"/><Relationship Id="rId1252" Type="http://schemas.openxmlformats.org/officeDocument/2006/relationships/hyperlink" Target="https://twitter.com/JulieThePH/status/705843194769055744" TargetMode="External"/><Relationship Id="rId2583" Type="http://schemas.openxmlformats.org/officeDocument/2006/relationships/hyperlink" Target="https://pbs.twimg.com/profile_images/704873222802636800/7aFEMOY5_normal.jpg" TargetMode="External"/><Relationship Id="rId422" Type="http://schemas.openxmlformats.org/officeDocument/2006/relationships/hyperlink" Target="https://pbs.twimg.com/profile_images/673967026277257216/Uuzu-Oax_normal.png" TargetMode="External"/><Relationship Id="rId1253" Type="http://schemas.openxmlformats.org/officeDocument/2006/relationships/hyperlink" Target="https://pbs.twimg.com/profile_images/596509974005686273/AqBblwMR_normal.jpg" TargetMode="External"/><Relationship Id="rId2584" Type="http://schemas.openxmlformats.org/officeDocument/2006/relationships/hyperlink" Target="https://twitter.com/rebekkahrubin" TargetMode="External"/><Relationship Id="rId421" Type="http://schemas.openxmlformats.org/officeDocument/2006/relationships/hyperlink" Target="https://twitter.com/LindseyBMaxwell/status/705770840978231298" TargetMode="External"/><Relationship Id="rId1254" Type="http://schemas.openxmlformats.org/officeDocument/2006/relationships/hyperlink" Target="https://twitter.com/pastpunditry" TargetMode="External"/><Relationship Id="rId2585" Type="http://schemas.openxmlformats.org/officeDocument/2006/relationships/hyperlink" Target="https://twitter.com/rebekkahrubin/status/705926651360710657" TargetMode="External"/><Relationship Id="rId420" Type="http://schemas.openxmlformats.org/officeDocument/2006/relationships/hyperlink" Target="https://twitter.com/LindseyBMaxwell" TargetMode="External"/><Relationship Id="rId1255" Type="http://schemas.openxmlformats.org/officeDocument/2006/relationships/hyperlink" Target="https://twitter.com/pastpunditry/status/705843399916724224" TargetMode="External"/><Relationship Id="rId2586" Type="http://schemas.openxmlformats.org/officeDocument/2006/relationships/hyperlink" Target="https://pbs.twimg.com/profile_images/700317732588408832/Ym_-neUi_normal.jpg" TargetMode="External"/><Relationship Id="rId1256" Type="http://schemas.openxmlformats.org/officeDocument/2006/relationships/hyperlink" Target="https://pbs.twimg.com/profile_images/704873222802636800/7aFEMOY5_normal.jpg" TargetMode="External"/><Relationship Id="rId2587" Type="http://schemas.openxmlformats.org/officeDocument/2006/relationships/hyperlink" Target="https://twitter.com/maggieyancey" TargetMode="External"/><Relationship Id="rId1246" Type="http://schemas.openxmlformats.org/officeDocument/2006/relationships/hyperlink" Target="https://twitter.com/pastpunditry/status/705842754522374145" TargetMode="External"/><Relationship Id="rId2577" Type="http://schemas.openxmlformats.org/officeDocument/2006/relationships/hyperlink" Target="https://pbs.twimg.com/profile_images/378800000667891782/44d7b181c077bf16ab07b242f7ad81b9_normal.png" TargetMode="External"/><Relationship Id="rId1247" Type="http://schemas.openxmlformats.org/officeDocument/2006/relationships/hyperlink" Target="https://pbs.twimg.com/profile_images/704873222802636800/7aFEMOY5_normal.jpg" TargetMode="External"/><Relationship Id="rId2578" Type="http://schemas.openxmlformats.org/officeDocument/2006/relationships/hyperlink" Target="https://twitter.com/maggieyancey" TargetMode="External"/><Relationship Id="rId1248" Type="http://schemas.openxmlformats.org/officeDocument/2006/relationships/hyperlink" Target="https://twitter.com/AmandaMoniz1" TargetMode="External"/><Relationship Id="rId2579" Type="http://schemas.openxmlformats.org/officeDocument/2006/relationships/hyperlink" Target="https://twitter.com/maggieyancey/status/705926646889451520" TargetMode="External"/><Relationship Id="rId1249" Type="http://schemas.openxmlformats.org/officeDocument/2006/relationships/hyperlink" Target="https://twitter.com/AmandaMoniz1/status/705842990590328833" TargetMode="External"/><Relationship Id="rId415" Type="http://schemas.openxmlformats.org/officeDocument/2006/relationships/hyperlink" Target="https://twitter.com/AmandaMoniz1/status/705770265486163968" TargetMode="External"/><Relationship Id="rId414" Type="http://schemas.openxmlformats.org/officeDocument/2006/relationships/hyperlink" Target="https://twitter.com/AmandaMoniz1" TargetMode="External"/><Relationship Id="rId413" Type="http://schemas.openxmlformats.org/officeDocument/2006/relationships/hyperlink" Target="https://pbs.twimg.com/profile_images/378800000149111881/7969acf9cec4197748b502a6a6c3d921_normal.jpeg" TargetMode="External"/><Relationship Id="rId412" Type="http://schemas.openxmlformats.org/officeDocument/2006/relationships/hyperlink" Target="https://twitter.com/AmandaMoniz1/status/705770204152913921" TargetMode="External"/><Relationship Id="rId419" Type="http://schemas.openxmlformats.org/officeDocument/2006/relationships/hyperlink" Target="https://pbs.twimg.com/profile_images/596509974005686273/AqBblwMR_normal.jpg" TargetMode="External"/><Relationship Id="rId418" Type="http://schemas.openxmlformats.org/officeDocument/2006/relationships/hyperlink" Target="https://twitter.com/JulieThePH/status/705770305105563648" TargetMode="External"/><Relationship Id="rId417" Type="http://schemas.openxmlformats.org/officeDocument/2006/relationships/hyperlink" Target="https://twitter.com/JulieThePH" TargetMode="External"/><Relationship Id="rId416" Type="http://schemas.openxmlformats.org/officeDocument/2006/relationships/hyperlink" Target="https://pbs.twimg.com/profile_images/378800000149111881/7969acf9cec4197748b502a6a6c3d921_normal.jpeg" TargetMode="External"/><Relationship Id="rId2570" Type="http://schemas.openxmlformats.org/officeDocument/2006/relationships/hyperlink" Target="https://twitter.com/pastpunditry/status/705926596469911552" TargetMode="External"/><Relationship Id="rId1240" Type="http://schemas.openxmlformats.org/officeDocument/2006/relationships/hyperlink" Target="https://twitter.com/pastpunditry/status/705842728874209280" TargetMode="External"/><Relationship Id="rId2571" Type="http://schemas.openxmlformats.org/officeDocument/2006/relationships/hyperlink" Target="https://pbs.twimg.com/profile_images/704873222802636800/7aFEMOY5_normal.jpg" TargetMode="External"/><Relationship Id="rId1241" Type="http://schemas.openxmlformats.org/officeDocument/2006/relationships/hyperlink" Target="https://pbs.twimg.com/profile_images/704873222802636800/7aFEMOY5_normal.jpg" TargetMode="External"/><Relationship Id="rId2572" Type="http://schemas.openxmlformats.org/officeDocument/2006/relationships/hyperlink" Target="https://twitter.com/maggieyancey" TargetMode="External"/><Relationship Id="rId411" Type="http://schemas.openxmlformats.org/officeDocument/2006/relationships/hyperlink" Target="https://twitter.com/AmandaMoniz1" TargetMode="External"/><Relationship Id="rId1242" Type="http://schemas.openxmlformats.org/officeDocument/2006/relationships/hyperlink" Target="https://twitter.com/TradeCardCarl" TargetMode="External"/><Relationship Id="rId2573" Type="http://schemas.openxmlformats.org/officeDocument/2006/relationships/hyperlink" Target="https://twitter.com/maggieyancey/status/705926624223502336" TargetMode="External"/><Relationship Id="rId410" Type="http://schemas.openxmlformats.org/officeDocument/2006/relationships/hyperlink" Target="https://pbs.twimg.com/profile_images/704873222802636800/7aFEMOY5_normal.jpg" TargetMode="External"/><Relationship Id="rId1243" Type="http://schemas.openxmlformats.org/officeDocument/2006/relationships/hyperlink" Target="https://twitter.com/TradeCardCarl/status/705842737556357121" TargetMode="External"/><Relationship Id="rId2574" Type="http://schemas.openxmlformats.org/officeDocument/2006/relationships/hyperlink" Target="https://pbs.twimg.com/profile_images/640729706988376064/DpVJupDX_normal.jpg" TargetMode="External"/><Relationship Id="rId1244" Type="http://schemas.openxmlformats.org/officeDocument/2006/relationships/hyperlink" Target="https://pbs.twimg.com/profile_images/605887014114754560/z-GNNui4_normal.jpg" TargetMode="External"/><Relationship Id="rId2575" Type="http://schemas.openxmlformats.org/officeDocument/2006/relationships/hyperlink" Target="https://twitter.com/JimGrossmanAHA" TargetMode="External"/><Relationship Id="rId1245" Type="http://schemas.openxmlformats.org/officeDocument/2006/relationships/hyperlink" Target="https://twitter.com/pastpunditry" TargetMode="External"/><Relationship Id="rId2576" Type="http://schemas.openxmlformats.org/officeDocument/2006/relationships/hyperlink" Target="https://twitter.com/JimGrossmanAHA/status/705926624647225346" TargetMode="External"/><Relationship Id="rId1279" Type="http://schemas.openxmlformats.org/officeDocument/2006/relationships/hyperlink" Target="https://twitter.com/AmandaMoniz1/status/705844377747378177" TargetMode="External"/><Relationship Id="rId4305" Type="http://schemas.openxmlformats.org/officeDocument/2006/relationships/hyperlink" Target="https://twitter.com/pastpunditry/status/706152186393337858" TargetMode="External"/><Relationship Id="rId4304" Type="http://schemas.openxmlformats.org/officeDocument/2006/relationships/hyperlink" Target="https://twitter.com/pastpunditry" TargetMode="External"/><Relationship Id="rId4307" Type="http://schemas.openxmlformats.org/officeDocument/2006/relationships/hyperlink" Target="https://twitter.com/erfagen" TargetMode="External"/><Relationship Id="rId4306" Type="http://schemas.openxmlformats.org/officeDocument/2006/relationships/hyperlink" Target="https://pbs.twimg.com/profile_images/704873222802636800/7aFEMOY5_normal.jpg" TargetMode="External"/><Relationship Id="rId4309" Type="http://schemas.openxmlformats.org/officeDocument/2006/relationships/hyperlink" Target="https://pbs.twimg.com/profile_images/638086945722249217/mid_S_BQ_normal.jpg" TargetMode="External"/><Relationship Id="rId4308" Type="http://schemas.openxmlformats.org/officeDocument/2006/relationships/hyperlink" Target="https://twitter.com/erfagen/status/706152224662167552" TargetMode="External"/><Relationship Id="rId448" Type="http://schemas.openxmlformats.org/officeDocument/2006/relationships/hyperlink" Target="https://twitter.com/pastpunditry/status/705773658787205120" TargetMode="External"/><Relationship Id="rId447" Type="http://schemas.openxmlformats.org/officeDocument/2006/relationships/hyperlink" Target="https://twitter.com/pastpunditry" TargetMode="External"/><Relationship Id="rId446" Type="http://schemas.openxmlformats.org/officeDocument/2006/relationships/hyperlink" Target="https://pbs.twimg.com/profile_images/596509974005686273/AqBblwMR_normal.jpg" TargetMode="External"/><Relationship Id="rId445" Type="http://schemas.openxmlformats.org/officeDocument/2006/relationships/hyperlink" Target="https://twitter.com/JulieThePH/status/705773368562327552" TargetMode="External"/><Relationship Id="rId449" Type="http://schemas.openxmlformats.org/officeDocument/2006/relationships/hyperlink" Target="https://pbs.twimg.com/profile_images/704873222802636800/7aFEMOY5_normal.jpg" TargetMode="External"/><Relationship Id="rId1270" Type="http://schemas.openxmlformats.org/officeDocument/2006/relationships/hyperlink" Target="https://twitter.com/historycampaign/status/705843952604336128" TargetMode="External"/><Relationship Id="rId440" Type="http://schemas.openxmlformats.org/officeDocument/2006/relationships/hyperlink" Target="https://pbs.twimg.com/profile_images/378800000149111881/7969acf9cec4197748b502a6a6c3d921_normal.jpeg" TargetMode="External"/><Relationship Id="rId1271" Type="http://schemas.openxmlformats.org/officeDocument/2006/relationships/hyperlink" Target="https://pbs.twimg.com/profile_images/673691030139609088/8v7ab61D_normal.jpg" TargetMode="External"/><Relationship Id="rId1272" Type="http://schemas.openxmlformats.org/officeDocument/2006/relationships/hyperlink" Target="https://twitter.com/pastpunditry" TargetMode="External"/><Relationship Id="rId1273" Type="http://schemas.openxmlformats.org/officeDocument/2006/relationships/hyperlink" Target="https://twitter.com/pastpunditry/status/705844141910040577" TargetMode="External"/><Relationship Id="rId1274" Type="http://schemas.openxmlformats.org/officeDocument/2006/relationships/hyperlink" Target="https://pbs.twimg.com/profile_images/704873222802636800/7aFEMOY5_normal.jpg" TargetMode="External"/><Relationship Id="rId444" Type="http://schemas.openxmlformats.org/officeDocument/2006/relationships/hyperlink" Target="https://twitter.com/JulieThePH" TargetMode="External"/><Relationship Id="rId1275" Type="http://schemas.openxmlformats.org/officeDocument/2006/relationships/hyperlink" Target="https://twitter.com/JulieThePH" TargetMode="External"/><Relationship Id="rId4301" Type="http://schemas.openxmlformats.org/officeDocument/2006/relationships/hyperlink" Target="https://twitter.com/SelenaMMoon" TargetMode="External"/><Relationship Id="rId443" Type="http://schemas.openxmlformats.org/officeDocument/2006/relationships/hyperlink" Target="https://pbs.twimg.com/profile_images/378800000667891782/44d7b181c077bf16ab07b242f7ad81b9_normal.png" TargetMode="External"/><Relationship Id="rId1276" Type="http://schemas.openxmlformats.org/officeDocument/2006/relationships/hyperlink" Target="https://twitter.com/JulieThePH/status/705844242959212544" TargetMode="External"/><Relationship Id="rId4300" Type="http://schemas.openxmlformats.org/officeDocument/2006/relationships/hyperlink" Target="https://pbs.twimg.com/profile_images/700317732588408832/Ym_-neUi_normal.jpg" TargetMode="External"/><Relationship Id="rId442" Type="http://schemas.openxmlformats.org/officeDocument/2006/relationships/hyperlink" Target="https://twitter.com/JimGrossmanAHA/status/705772382250782720" TargetMode="External"/><Relationship Id="rId1277" Type="http://schemas.openxmlformats.org/officeDocument/2006/relationships/hyperlink" Target="https://pbs.twimg.com/profile_images/596509974005686273/AqBblwMR_normal.jpg" TargetMode="External"/><Relationship Id="rId4303" Type="http://schemas.openxmlformats.org/officeDocument/2006/relationships/hyperlink" Target="https://pbs.twimg.com/profile_images/675332082030280704/gQfq9RVj_normal.jpg" TargetMode="External"/><Relationship Id="rId441" Type="http://schemas.openxmlformats.org/officeDocument/2006/relationships/hyperlink" Target="https://twitter.com/JimGrossmanAHA" TargetMode="External"/><Relationship Id="rId1278" Type="http://schemas.openxmlformats.org/officeDocument/2006/relationships/hyperlink" Target="https://twitter.com/AmandaMoniz1" TargetMode="External"/><Relationship Id="rId4302" Type="http://schemas.openxmlformats.org/officeDocument/2006/relationships/hyperlink" Target="https://twitter.com/SelenaMMoon/status/706152086896033792" TargetMode="External"/><Relationship Id="rId1268" Type="http://schemas.openxmlformats.org/officeDocument/2006/relationships/hyperlink" Target="https://pbs.twimg.com/profile_images/466273187697655809/ZC13qM3X_normal.jpeg" TargetMode="External"/><Relationship Id="rId2599" Type="http://schemas.openxmlformats.org/officeDocument/2006/relationships/hyperlink" Target="https://twitter.com/JulieThePH" TargetMode="External"/><Relationship Id="rId1269" Type="http://schemas.openxmlformats.org/officeDocument/2006/relationships/hyperlink" Target="https://twitter.com/historycampaign" TargetMode="External"/><Relationship Id="rId437" Type="http://schemas.openxmlformats.org/officeDocument/2006/relationships/hyperlink" Target="https://pbs.twimg.com/profile_images/596509974005686273/AqBblwMR_normal.jpg" TargetMode="External"/><Relationship Id="rId436" Type="http://schemas.openxmlformats.org/officeDocument/2006/relationships/hyperlink" Target="https://twitter.com/JulieThePH/status/705771466869096448" TargetMode="External"/><Relationship Id="rId435" Type="http://schemas.openxmlformats.org/officeDocument/2006/relationships/hyperlink" Target="https://twitter.com/JulieThePH" TargetMode="External"/><Relationship Id="rId434" Type="http://schemas.openxmlformats.org/officeDocument/2006/relationships/hyperlink" Target="https://pbs.twimg.com/profile_images/704873222802636800/7aFEMOY5_normal.jpg" TargetMode="External"/><Relationship Id="rId439" Type="http://schemas.openxmlformats.org/officeDocument/2006/relationships/hyperlink" Target="https://twitter.com/AmandaMoniz1/status/705771938447290368" TargetMode="External"/><Relationship Id="rId438" Type="http://schemas.openxmlformats.org/officeDocument/2006/relationships/hyperlink" Target="https://twitter.com/AmandaMoniz1" TargetMode="External"/><Relationship Id="rId2590" Type="http://schemas.openxmlformats.org/officeDocument/2006/relationships/hyperlink" Target="https://twitter.com/jaheppler" TargetMode="External"/><Relationship Id="rId1260" Type="http://schemas.openxmlformats.org/officeDocument/2006/relationships/hyperlink" Target="https://twitter.com/pastpunditry" TargetMode="External"/><Relationship Id="rId2591" Type="http://schemas.openxmlformats.org/officeDocument/2006/relationships/hyperlink" Target="https://twitter.com/jaheppler/status/705926804985360384" TargetMode="External"/><Relationship Id="rId1261" Type="http://schemas.openxmlformats.org/officeDocument/2006/relationships/hyperlink" Target="https://twitter.com/pastpunditry/status/705843824397049856" TargetMode="External"/><Relationship Id="rId2592" Type="http://schemas.openxmlformats.org/officeDocument/2006/relationships/hyperlink" Target="https://pbs.twimg.com/profile_images/436607137188290560/UM-U3wT1_normal.jpeg" TargetMode="External"/><Relationship Id="rId1262" Type="http://schemas.openxmlformats.org/officeDocument/2006/relationships/hyperlink" Target="https://pbs.twimg.com/profile_images/704873222802636800/7aFEMOY5_normal.jpg" TargetMode="External"/><Relationship Id="rId2593" Type="http://schemas.openxmlformats.org/officeDocument/2006/relationships/hyperlink" Target="https://twitter.com/erfagen" TargetMode="External"/><Relationship Id="rId1263" Type="http://schemas.openxmlformats.org/officeDocument/2006/relationships/hyperlink" Target="https://twitter.com/MarlaAtUmass" TargetMode="External"/><Relationship Id="rId2594" Type="http://schemas.openxmlformats.org/officeDocument/2006/relationships/hyperlink" Target="https://twitter.com/erfagen/status/705926964947902464" TargetMode="External"/><Relationship Id="rId433" Type="http://schemas.openxmlformats.org/officeDocument/2006/relationships/hyperlink" Target="https://twitter.com/pastpunditry/status/705771416134815744" TargetMode="External"/><Relationship Id="rId1264" Type="http://schemas.openxmlformats.org/officeDocument/2006/relationships/hyperlink" Target="https://twitter.com/MarlaAtUmass/status/705843860333793282" TargetMode="External"/><Relationship Id="rId2595" Type="http://schemas.openxmlformats.org/officeDocument/2006/relationships/hyperlink" Target="https://pbs.twimg.com/profile_images/638086945722249217/mid_S_BQ_normal.jpg" TargetMode="External"/><Relationship Id="rId432" Type="http://schemas.openxmlformats.org/officeDocument/2006/relationships/hyperlink" Target="https://twitter.com/pastpunditry" TargetMode="External"/><Relationship Id="rId1265" Type="http://schemas.openxmlformats.org/officeDocument/2006/relationships/hyperlink" Target="https://pbs.twimg.com/profile_images/565429960/Betsy_Twitter_normal.jpg" TargetMode="External"/><Relationship Id="rId2596" Type="http://schemas.openxmlformats.org/officeDocument/2006/relationships/hyperlink" Target="https://twitter.com/sheishistoric" TargetMode="External"/><Relationship Id="rId431" Type="http://schemas.openxmlformats.org/officeDocument/2006/relationships/hyperlink" Target="https://pbs.twimg.com/profile_images/704873222802636800/7aFEMOY5_normal.jpg" TargetMode="External"/><Relationship Id="rId1266" Type="http://schemas.openxmlformats.org/officeDocument/2006/relationships/hyperlink" Target="https://twitter.com/CorsairQueen" TargetMode="External"/><Relationship Id="rId2597" Type="http://schemas.openxmlformats.org/officeDocument/2006/relationships/hyperlink" Target="https://twitter.com/sheishistoric/status/705926977568559105" TargetMode="External"/><Relationship Id="rId430" Type="http://schemas.openxmlformats.org/officeDocument/2006/relationships/hyperlink" Target="https://twitter.com/pastpunditry/status/705770979553886208" TargetMode="External"/><Relationship Id="rId1267" Type="http://schemas.openxmlformats.org/officeDocument/2006/relationships/hyperlink" Target="https://twitter.com/CorsairQueen/status/705843917657411584" TargetMode="External"/><Relationship Id="rId2598" Type="http://schemas.openxmlformats.org/officeDocument/2006/relationships/hyperlink" Target="https://pbs.twimg.com/profile_images/650419150620377089/bJxBf---_normal.jpg" TargetMode="External"/><Relationship Id="rId3070" Type="http://schemas.openxmlformats.org/officeDocument/2006/relationships/hyperlink" Target="https://twitter.com/erfagen" TargetMode="External"/><Relationship Id="rId3072" Type="http://schemas.openxmlformats.org/officeDocument/2006/relationships/hyperlink" Target="https://pbs.twimg.com/profile_images/638086945722249217/mid_S_BQ_normal.jpg" TargetMode="External"/><Relationship Id="rId3071" Type="http://schemas.openxmlformats.org/officeDocument/2006/relationships/hyperlink" Target="https://twitter.com/erfagen/status/705931855648923648" TargetMode="External"/><Relationship Id="rId3074" Type="http://schemas.openxmlformats.org/officeDocument/2006/relationships/hyperlink" Target="https://twitter.com/GHAUmass/status/705931906236469249" TargetMode="External"/><Relationship Id="rId3073" Type="http://schemas.openxmlformats.org/officeDocument/2006/relationships/hyperlink" Target="https://twitter.com/GHAUmass" TargetMode="External"/><Relationship Id="rId3076" Type="http://schemas.openxmlformats.org/officeDocument/2006/relationships/hyperlink" Target="https://twitter.com/rebekkahrubin" TargetMode="External"/><Relationship Id="rId3075" Type="http://schemas.openxmlformats.org/officeDocument/2006/relationships/hyperlink" Target="https://pbs.twimg.com/profile_images/604060333590855682/Fk6r1D7d_normal.jpg" TargetMode="External"/><Relationship Id="rId3078" Type="http://schemas.openxmlformats.org/officeDocument/2006/relationships/hyperlink" Target="https://pbs.twimg.com/profile_images/700317732588408832/Ym_-neUi_normal.jpg" TargetMode="External"/><Relationship Id="rId3077" Type="http://schemas.openxmlformats.org/officeDocument/2006/relationships/hyperlink" Target="https://twitter.com/rebekkahrubin/status/705931916097224705" TargetMode="External"/><Relationship Id="rId3079" Type="http://schemas.openxmlformats.org/officeDocument/2006/relationships/hyperlink" Target="https://twitter.com/artstuffmatters" TargetMode="External"/><Relationship Id="rId4390" Type="http://schemas.openxmlformats.org/officeDocument/2006/relationships/hyperlink" Target="https://pbs.twimg.com/profile_images/704873222802636800/7aFEMOY5_normal.jpg" TargetMode="External"/><Relationship Id="rId3061" Type="http://schemas.openxmlformats.org/officeDocument/2006/relationships/hyperlink" Target="https://twitter.com/pastpunditry" TargetMode="External"/><Relationship Id="rId4392" Type="http://schemas.openxmlformats.org/officeDocument/2006/relationships/hyperlink" Target="https://twitter.com/JulieThePH/status/706158246902497282" TargetMode="External"/><Relationship Id="rId3060" Type="http://schemas.openxmlformats.org/officeDocument/2006/relationships/hyperlink" Target="https://pbs.twimg.com/profile_images/701102020061753344/5zH70uem_normal.jpg" TargetMode="External"/><Relationship Id="rId4391" Type="http://schemas.openxmlformats.org/officeDocument/2006/relationships/hyperlink" Target="https://twitter.com/JulieThePH" TargetMode="External"/><Relationship Id="rId3063" Type="http://schemas.openxmlformats.org/officeDocument/2006/relationships/hyperlink" Target="https://pbs.twimg.com/profile_images/704873222802636800/7aFEMOY5_normal.jpg" TargetMode="External"/><Relationship Id="rId4394" Type="http://schemas.openxmlformats.org/officeDocument/2006/relationships/hyperlink" Target="https://twitter.com/pastpunditry" TargetMode="External"/><Relationship Id="rId3062" Type="http://schemas.openxmlformats.org/officeDocument/2006/relationships/hyperlink" Target="https://twitter.com/pastpunditry/status/705931777873993728" TargetMode="External"/><Relationship Id="rId4393" Type="http://schemas.openxmlformats.org/officeDocument/2006/relationships/hyperlink" Target="https://pbs.twimg.com/profile_images/596509974005686273/AqBblwMR_normal.jpg" TargetMode="External"/><Relationship Id="rId3065" Type="http://schemas.openxmlformats.org/officeDocument/2006/relationships/hyperlink" Target="https://twitter.com/pastpunditry/status/705931807796105216" TargetMode="External"/><Relationship Id="rId4396" Type="http://schemas.openxmlformats.org/officeDocument/2006/relationships/hyperlink" Target="https://pbs.twimg.com/profile_images/704873222802636800/7aFEMOY5_normal.jpg" TargetMode="External"/><Relationship Id="rId3064" Type="http://schemas.openxmlformats.org/officeDocument/2006/relationships/hyperlink" Target="https://twitter.com/pastpunditry" TargetMode="External"/><Relationship Id="rId4395" Type="http://schemas.openxmlformats.org/officeDocument/2006/relationships/hyperlink" Target="https://twitter.com/pastpunditry/status/706158282008825861" TargetMode="External"/><Relationship Id="rId3067" Type="http://schemas.openxmlformats.org/officeDocument/2006/relationships/hyperlink" Target="https://twitter.com/CitizenWald" TargetMode="External"/><Relationship Id="rId4398" Type="http://schemas.openxmlformats.org/officeDocument/2006/relationships/hyperlink" Target="https://twitter.com/jamiaw/status/706158323641552897" TargetMode="External"/><Relationship Id="rId3066" Type="http://schemas.openxmlformats.org/officeDocument/2006/relationships/hyperlink" Target="https://pbs.twimg.com/profile_images/704873222802636800/7aFEMOY5_normal.jpg" TargetMode="External"/><Relationship Id="rId4397" Type="http://schemas.openxmlformats.org/officeDocument/2006/relationships/hyperlink" Target="https://twitter.com/jamiaw" TargetMode="External"/><Relationship Id="rId3069" Type="http://schemas.openxmlformats.org/officeDocument/2006/relationships/hyperlink" Target="https://pbs.twimg.com/profile_images/661220280564486144/ZxUrdRVS_normal.jpg" TargetMode="External"/><Relationship Id="rId3068" Type="http://schemas.openxmlformats.org/officeDocument/2006/relationships/hyperlink" Target="https://twitter.com/CitizenWald/status/705931827203149824" TargetMode="External"/><Relationship Id="rId4399" Type="http://schemas.openxmlformats.org/officeDocument/2006/relationships/hyperlink" Target="https://pbs.twimg.com/profile_images/701102020061753344/5zH70uem_normal.jpg" TargetMode="External"/><Relationship Id="rId3090" Type="http://schemas.openxmlformats.org/officeDocument/2006/relationships/hyperlink" Target="https://pbs.twimg.com/profile_images/704599416414543872/xCxGpRvc_normal.jpg" TargetMode="External"/><Relationship Id="rId3092" Type="http://schemas.openxmlformats.org/officeDocument/2006/relationships/hyperlink" Target="https://twitter.com/historycampaign/status/705932246935404546" TargetMode="External"/><Relationship Id="rId3091" Type="http://schemas.openxmlformats.org/officeDocument/2006/relationships/hyperlink" Target="https://twitter.com/historycampaign" TargetMode="External"/><Relationship Id="rId3094" Type="http://schemas.openxmlformats.org/officeDocument/2006/relationships/hyperlink" Target="https://twitter.com/GHAUmass" TargetMode="External"/><Relationship Id="rId3093" Type="http://schemas.openxmlformats.org/officeDocument/2006/relationships/hyperlink" Target="https://pbs.twimg.com/profile_images/673691030139609088/8v7ab61D_normal.jpg" TargetMode="External"/><Relationship Id="rId3096" Type="http://schemas.openxmlformats.org/officeDocument/2006/relationships/hyperlink" Target="https://pbs.twimg.com/profile_images/604060333590855682/Fk6r1D7d_normal.jpg" TargetMode="External"/><Relationship Id="rId3095" Type="http://schemas.openxmlformats.org/officeDocument/2006/relationships/hyperlink" Target="https://twitter.com/GHAUmass/status/705932247296315392" TargetMode="External"/><Relationship Id="rId3098" Type="http://schemas.openxmlformats.org/officeDocument/2006/relationships/hyperlink" Target="https://twitter.com/KosherSoul/status/705932251859697664" TargetMode="External"/><Relationship Id="rId3097" Type="http://schemas.openxmlformats.org/officeDocument/2006/relationships/hyperlink" Target="https://twitter.com/KosherSoul" TargetMode="External"/><Relationship Id="rId3099" Type="http://schemas.openxmlformats.org/officeDocument/2006/relationships/hyperlink" Target="https://pbs.twimg.com/profile_images/704599416414543872/xCxGpRvc_normal.jpg" TargetMode="External"/><Relationship Id="rId3081" Type="http://schemas.openxmlformats.org/officeDocument/2006/relationships/hyperlink" Target="https://pbs.twimg.com/profile_images/378800000442526064/3916a3694ffd1425486aff9897a52f2b_normal.jpeg" TargetMode="External"/><Relationship Id="rId3080" Type="http://schemas.openxmlformats.org/officeDocument/2006/relationships/hyperlink" Target="https://twitter.com/artstuffmatters/status/705932076718145536" TargetMode="External"/><Relationship Id="rId3083" Type="http://schemas.openxmlformats.org/officeDocument/2006/relationships/hyperlink" Target="https://twitter.com/pastpunditry/status/705932079725453312" TargetMode="External"/><Relationship Id="rId3082" Type="http://schemas.openxmlformats.org/officeDocument/2006/relationships/hyperlink" Target="https://twitter.com/pastpunditry" TargetMode="External"/><Relationship Id="rId3085" Type="http://schemas.openxmlformats.org/officeDocument/2006/relationships/hyperlink" Target="https://twitter.com/juliegpeterson" TargetMode="External"/><Relationship Id="rId3084" Type="http://schemas.openxmlformats.org/officeDocument/2006/relationships/hyperlink" Target="https://pbs.twimg.com/profile_images/704873222802636800/7aFEMOY5_normal.jpg" TargetMode="External"/><Relationship Id="rId3087" Type="http://schemas.openxmlformats.org/officeDocument/2006/relationships/hyperlink" Target="https://pbs.twimg.com/profile_images/609765839051452416/GNW0wSt0_normal.jpg" TargetMode="External"/><Relationship Id="rId3086" Type="http://schemas.openxmlformats.org/officeDocument/2006/relationships/hyperlink" Target="https://twitter.com/juliegpeterson/status/705932137493618689" TargetMode="External"/><Relationship Id="rId3089" Type="http://schemas.openxmlformats.org/officeDocument/2006/relationships/hyperlink" Target="https://twitter.com/KosherSoul/status/705932205235769344" TargetMode="External"/><Relationship Id="rId3088" Type="http://schemas.openxmlformats.org/officeDocument/2006/relationships/hyperlink" Target="https://twitter.com/KosherSoul" TargetMode="External"/><Relationship Id="rId3039" Type="http://schemas.openxmlformats.org/officeDocument/2006/relationships/hyperlink" Target="https://pbs.twimg.com/profile_images/604060333590855682/Fk6r1D7d_normal.jpg" TargetMode="External"/><Relationship Id="rId1" Type="http://schemas.openxmlformats.org/officeDocument/2006/relationships/hyperlink" Target="https://twitter.com/UMassHistory" TargetMode="External"/><Relationship Id="rId2" Type="http://schemas.openxmlformats.org/officeDocument/2006/relationships/hyperlink" Target="https://twitter.com/UMassHistory/status/703308686068834307" TargetMode="External"/><Relationship Id="rId3" Type="http://schemas.openxmlformats.org/officeDocument/2006/relationships/hyperlink" Target="https://pbs.twimg.com/profile_images/3586356040/2875fe2e13ecc978a7c19bbf515b7847_normal.png" TargetMode="External"/><Relationship Id="rId4" Type="http://schemas.openxmlformats.org/officeDocument/2006/relationships/hyperlink" Target="https://twitter.com/juliegpeterson" TargetMode="External"/><Relationship Id="rId3030" Type="http://schemas.openxmlformats.org/officeDocument/2006/relationships/hyperlink" Target="https://pbs.twimg.com/profile_images/550495191849644032/qEniLfQu_normal.png" TargetMode="External"/><Relationship Id="rId4361" Type="http://schemas.openxmlformats.org/officeDocument/2006/relationships/hyperlink" Target="https://twitter.com/pastpunditry" TargetMode="External"/><Relationship Id="rId4360" Type="http://schemas.openxmlformats.org/officeDocument/2006/relationships/hyperlink" Target="https://pbs.twimg.com/profile_images/704873222802636800/7aFEMOY5_normal.jpg" TargetMode="External"/><Relationship Id="rId9" Type="http://schemas.openxmlformats.org/officeDocument/2006/relationships/hyperlink" Target="https://pbs.twimg.com/profile_images/3586356040/2875fe2e13ecc978a7c19bbf515b7847_normal.png" TargetMode="External"/><Relationship Id="rId3032" Type="http://schemas.openxmlformats.org/officeDocument/2006/relationships/hyperlink" Target="https://twitter.com/GHAUmass/status/705931580607500288" TargetMode="External"/><Relationship Id="rId4363" Type="http://schemas.openxmlformats.org/officeDocument/2006/relationships/hyperlink" Target="https://pbs.twimg.com/profile_images/704873222802636800/7aFEMOY5_normal.jpg" TargetMode="External"/><Relationship Id="rId3031" Type="http://schemas.openxmlformats.org/officeDocument/2006/relationships/hyperlink" Target="https://twitter.com/GHAUmass" TargetMode="External"/><Relationship Id="rId4362" Type="http://schemas.openxmlformats.org/officeDocument/2006/relationships/hyperlink" Target="https://twitter.com/pastpunditry/status/706155724125110272" TargetMode="External"/><Relationship Id="rId3034" Type="http://schemas.openxmlformats.org/officeDocument/2006/relationships/hyperlink" Target="https://twitter.com/erfagen" TargetMode="External"/><Relationship Id="rId4365" Type="http://schemas.openxmlformats.org/officeDocument/2006/relationships/hyperlink" Target="https://twitter.com/pastpunditry/status/706156041143197696" TargetMode="External"/><Relationship Id="rId3033" Type="http://schemas.openxmlformats.org/officeDocument/2006/relationships/hyperlink" Target="https://pbs.twimg.com/profile_images/604060333590855682/Fk6r1D7d_normal.jpg" TargetMode="External"/><Relationship Id="rId4364" Type="http://schemas.openxmlformats.org/officeDocument/2006/relationships/hyperlink" Target="https://twitter.com/pastpunditry" TargetMode="External"/><Relationship Id="rId5" Type="http://schemas.openxmlformats.org/officeDocument/2006/relationships/hyperlink" Target="https://twitter.com/juliegpeterson/status/704270541247619072" TargetMode="External"/><Relationship Id="rId3036" Type="http://schemas.openxmlformats.org/officeDocument/2006/relationships/hyperlink" Target="https://pbs.twimg.com/profile_images/638086945722249217/mid_S_BQ_normal.jpg" TargetMode="External"/><Relationship Id="rId4367" Type="http://schemas.openxmlformats.org/officeDocument/2006/relationships/hyperlink" Target="https://twitter.com/pastpunditry" TargetMode="External"/><Relationship Id="rId6" Type="http://schemas.openxmlformats.org/officeDocument/2006/relationships/hyperlink" Target="https://pbs.twimg.com/profile_images/609765839051452416/GNW0wSt0_normal.jpg" TargetMode="External"/><Relationship Id="rId3035" Type="http://schemas.openxmlformats.org/officeDocument/2006/relationships/hyperlink" Target="https://twitter.com/erfagen/status/705931595123990528" TargetMode="External"/><Relationship Id="rId4366" Type="http://schemas.openxmlformats.org/officeDocument/2006/relationships/hyperlink" Target="https://pbs.twimg.com/profile_images/704873222802636800/7aFEMOY5_normal.jpg" TargetMode="External"/><Relationship Id="rId7" Type="http://schemas.openxmlformats.org/officeDocument/2006/relationships/hyperlink" Target="https://twitter.com/UMassHistory" TargetMode="External"/><Relationship Id="rId3038" Type="http://schemas.openxmlformats.org/officeDocument/2006/relationships/hyperlink" Target="https://twitter.com/GHAUmass/status/705931616510742530" TargetMode="External"/><Relationship Id="rId4369" Type="http://schemas.openxmlformats.org/officeDocument/2006/relationships/hyperlink" Target="https://pbs.twimg.com/profile_images/704873222802636800/7aFEMOY5_normal.jpg" TargetMode="External"/><Relationship Id="rId8" Type="http://schemas.openxmlformats.org/officeDocument/2006/relationships/hyperlink" Target="https://twitter.com/UMassHistory/status/704282541654720513" TargetMode="External"/><Relationship Id="rId3037" Type="http://schemas.openxmlformats.org/officeDocument/2006/relationships/hyperlink" Target="https://twitter.com/GHAUmass" TargetMode="External"/><Relationship Id="rId4368" Type="http://schemas.openxmlformats.org/officeDocument/2006/relationships/hyperlink" Target="https://twitter.com/pastpunditry/status/706156250174787584" TargetMode="External"/><Relationship Id="rId3029" Type="http://schemas.openxmlformats.org/officeDocument/2006/relationships/hyperlink" Target="https://twitter.com/Red_Shirt_no2/status/705931564744642560" TargetMode="External"/><Relationship Id="rId3028" Type="http://schemas.openxmlformats.org/officeDocument/2006/relationships/hyperlink" Target="https://twitter.com/Red_Shirt_no2" TargetMode="External"/><Relationship Id="rId4359" Type="http://schemas.openxmlformats.org/officeDocument/2006/relationships/hyperlink" Target="https://twitter.com/pastpunditry/status/706155585289457664" TargetMode="External"/><Relationship Id="rId4350" Type="http://schemas.openxmlformats.org/officeDocument/2006/relationships/hyperlink" Target="https://twitter.com/UMassHistory/status/706154905241849856" TargetMode="External"/><Relationship Id="rId3021" Type="http://schemas.openxmlformats.org/officeDocument/2006/relationships/hyperlink" Target="https://pbs.twimg.com/profile_images/700317732588408832/Ym_-neUi_normal.jpg" TargetMode="External"/><Relationship Id="rId4352" Type="http://schemas.openxmlformats.org/officeDocument/2006/relationships/hyperlink" Target="https://twitter.com/singingscholar" TargetMode="External"/><Relationship Id="rId3020" Type="http://schemas.openxmlformats.org/officeDocument/2006/relationships/hyperlink" Target="https://twitter.com/rebekkahrubin/status/705931507832131584" TargetMode="External"/><Relationship Id="rId4351" Type="http://schemas.openxmlformats.org/officeDocument/2006/relationships/hyperlink" Target="https://pbs.twimg.com/profile_images/3586356040/2875fe2e13ecc978a7c19bbf515b7847_normal.png" TargetMode="External"/><Relationship Id="rId3023" Type="http://schemas.openxmlformats.org/officeDocument/2006/relationships/hyperlink" Target="https://twitter.com/GHAUmass/status/705931523107766272" TargetMode="External"/><Relationship Id="rId4354" Type="http://schemas.openxmlformats.org/officeDocument/2006/relationships/hyperlink" Target="https://pbs.twimg.com/profile_images/699264491356233728/JgpTqWjk_normal.jpg" TargetMode="External"/><Relationship Id="rId3022" Type="http://schemas.openxmlformats.org/officeDocument/2006/relationships/hyperlink" Target="https://twitter.com/GHAUmass" TargetMode="External"/><Relationship Id="rId4353" Type="http://schemas.openxmlformats.org/officeDocument/2006/relationships/hyperlink" Target="https://twitter.com/singingscholar/status/706155005976387584" TargetMode="External"/><Relationship Id="rId3025" Type="http://schemas.openxmlformats.org/officeDocument/2006/relationships/hyperlink" Target="https://twitter.com/pastpunditry" TargetMode="External"/><Relationship Id="rId4356" Type="http://schemas.openxmlformats.org/officeDocument/2006/relationships/hyperlink" Target="https://twitter.com/dataylor1/status/706155120518680576" TargetMode="External"/><Relationship Id="rId3024" Type="http://schemas.openxmlformats.org/officeDocument/2006/relationships/hyperlink" Target="https://pbs.twimg.com/profile_images/604060333590855682/Fk6r1D7d_normal.jpg" TargetMode="External"/><Relationship Id="rId4355" Type="http://schemas.openxmlformats.org/officeDocument/2006/relationships/hyperlink" Target="https://twitter.com/dataylor1" TargetMode="External"/><Relationship Id="rId3027" Type="http://schemas.openxmlformats.org/officeDocument/2006/relationships/hyperlink" Target="https://pbs.twimg.com/profile_images/704873222802636800/7aFEMOY5_normal.jpg" TargetMode="External"/><Relationship Id="rId4358" Type="http://schemas.openxmlformats.org/officeDocument/2006/relationships/hyperlink" Target="https://twitter.com/pastpunditry" TargetMode="External"/><Relationship Id="rId3026" Type="http://schemas.openxmlformats.org/officeDocument/2006/relationships/hyperlink" Target="https://twitter.com/pastpunditry/status/705931547745058817" TargetMode="External"/><Relationship Id="rId4357" Type="http://schemas.openxmlformats.org/officeDocument/2006/relationships/hyperlink" Target="https://pbs.twimg.com/profile_images/503250078715228160/25elVMXy_normal.jpeg" TargetMode="External"/><Relationship Id="rId3050" Type="http://schemas.openxmlformats.org/officeDocument/2006/relationships/hyperlink" Target="https://twitter.com/pastpunditry/status/705931735771570177" TargetMode="External"/><Relationship Id="rId4381" Type="http://schemas.openxmlformats.org/officeDocument/2006/relationships/hyperlink" Target="https://pbs.twimg.com/profile_images/704873222802636800/7aFEMOY5_normal.jpg" TargetMode="External"/><Relationship Id="rId4380" Type="http://schemas.openxmlformats.org/officeDocument/2006/relationships/hyperlink" Target="https://twitter.com/pastpunditry/status/706157247655780352" TargetMode="External"/><Relationship Id="rId3052" Type="http://schemas.openxmlformats.org/officeDocument/2006/relationships/hyperlink" Target="https://twitter.com/pastpunditry" TargetMode="External"/><Relationship Id="rId4383" Type="http://schemas.openxmlformats.org/officeDocument/2006/relationships/hyperlink" Target="https://twitter.com/pastpunditry/status/706157564183101441" TargetMode="External"/><Relationship Id="rId3051" Type="http://schemas.openxmlformats.org/officeDocument/2006/relationships/hyperlink" Target="https://pbs.twimg.com/profile_images/704873222802636800/7aFEMOY5_normal.jpg" TargetMode="External"/><Relationship Id="rId4382" Type="http://schemas.openxmlformats.org/officeDocument/2006/relationships/hyperlink" Target="https://twitter.com/pastpunditry" TargetMode="External"/><Relationship Id="rId3054" Type="http://schemas.openxmlformats.org/officeDocument/2006/relationships/hyperlink" Target="https://pbs.twimg.com/profile_images/704873222802636800/7aFEMOY5_normal.jpg" TargetMode="External"/><Relationship Id="rId4385" Type="http://schemas.openxmlformats.org/officeDocument/2006/relationships/hyperlink" Target="https://twitter.com/pastpunditry" TargetMode="External"/><Relationship Id="rId3053" Type="http://schemas.openxmlformats.org/officeDocument/2006/relationships/hyperlink" Target="https://twitter.com/pastpunditry/status/705931752297144321" TargetMode="External"/><Relationship Id="rId4384" Type="http://schemas.openxmlformats.org/officeDocument/2006/relationships/hyperlink" Target="https://pbs.twimg.com/profile_images/704873222802636800/7aFEMOY5_normal.jpg" TargetMode="External"/><Relationship Id="rId3056" Type="http://schemas.openxmlformats.org/officeDocument/2006/relationships/hyperlink" Target="https://twitter.com/juliegpeterson/status/705931752661983233" TargetMode="External"/><Relationship Id="rId4387" Type="http://schemas.openxmlformats.org/officeDocument/2006/relationships/hyperlink" Target="https://pbs.twimg.com/profile_images/704873222802636800/7aFEMOY5_normal.jpg" TargetMode="External"/><Relationship Id="rId3055" Type="http://schemas.openxmlformats.org/officeDocument/2006/relationships/hyperlink" Target="https://twitter.com/juliegpeterson" TargetMode="External"/><Relationship Id="rId4386" Type="http://schemas.openxmlformats.org/officeDocument/2006/relationships/hyperlink" Target="https://twitter.com/pastpunditry/status/706157972175642624" TargetMode="External"/><Relationship Id="rId3058" Type="http://schemas.openxmlformats.org/officeDocument/2006/relationships/hyperlink" Target="https://twitter.com/jamiaw" TargetMode="External"/><Relationship Id="rId4389" Type="http://schemas.openxmlformats.org/officeDocument/2006/relationships/hyperlink" Target="https://twitter.com/pastpunditry/status/706158245770088448" TargetMode="External"/><Relationship Id="rId3057" Type="http://schemas.openxmlformats.org/officeDocument/2006/relationships/hyperlink" Target="https://pbs.twimg.com/profile_images/609765839051452416/GNW0wSt0_normal.jpg" TargetMode="External"/><Relationship Id="rId4388" Type="http://schemas.openxmlformats.org/officeDocument/2006/relationships/hyperlink" Target="https://twitter.com/pastpunditry" TargetMode="External"/><Relationship Id="rId3059" Type="http://schemas.openxmlformats.org/officeDocument/2006/relationships/hyperlink" Target="https://twitter.com/jamiaw/status/705931759242895360" TargetMode="External"/><Relationship Id="rId4370" Type="http://schemas.openxmlformats.org/officeDocument/2006/relationships/hyperlink" Target="https://twitter.com/pastpunditry" TargetMode="External"/><Relationship Id="rId3041" Type="http://schemas.openxmlformats.org/officeDocument/2006/relationships/hyperlink" Target="https://twitter.com/GHAUmass/status/705931638874775552" TargetMode="External"/><Relationship Id="rId4372" Type="http://schemas.openxmlformats.org/officeDocument/2006/relationships/hyperlink" Target="https://pbs.twimg.com/profile_images/704873222802636800/7aFEMOY5_normal.jpg" TargetMode="External"/><Relationship Id="rId3040" Type="http://schemas.openxmlformats.org/officeDocument/2006/relationships/hyperlink" Target="https://twitter.com/GHAUmass" TargetMode="External"/><Relationship Id="rId4371" Type="http://schemas.openxmlformats.org/officeDocument/2006/relationships/hyperlink" Target="https://twitter.com/pastpunditry/status/706156422061494272" TargetMode="External"/><Relationship Id="rId3043" Type="http://schemas.openxmlformats.org/officeDocument/2006/relationships/hyperlink" Target="https://twitter.com/JulieThePH" TargetMode="External"/><Relationship Id="rId4374" Type="http://schemas.openxmlformats.org/officeDocument/2006/relationships/hyperlink" Target="https://twitter.com/pastpunditry/status/706156559383064577" TargetMode="External"/><Relationship Id="rId3042" Type="http://schemas.openxmlformats.org/officeDocument/2006/relationships/hyperlink" Target="https://pbs.twimg.com/profile_images/604060333590855682/Fk6r1D7d_normal.jpg" TargetMode="External"/><Relationship Id="rId4373" Type="http://schemas.openxmlformats.org/officeDocument/2006/relationships/hyperlink" Target="https://twitter.com/pastpunditry" TargetMode="External"/><Relationship Id="rId3045" Type="http://schemas.openxmlformats.org/officeDocument/2006/relationships/hyperlink" Target="https://pbs.twimg.com/profile_images/596509974005686273/AqBblwMR_normal.jpg" TargetMode="External"/><Relationship Id="rId4376" Type="http://schemas.openxmlformats.org/officeDocument/2006/relationships/hyperlink" Target="https://twitter.com/pastpunditry" TargetMode="External"/><Relationship Id="rId3044" Type="http://schemas.openxmlformats.org/officeDocument/2006/relationships/hyperlink" Target="https://twitter.com/JulieThePH/status/705931683393118208" TargetMode="External"/><Relationship Id="rId4375" Type="http://schemas.openxmlformats.org/officeDocument/2006/relationships/hyperlink" Target="https://pbs.twimg.com/profile_images/704873222802636800/7aFEMOY5_normal.jpg" TargetMode="External"/><Relationship Id="rId3047" Type="http://schemas.openxmlformats.org/officeDocument/2006/relationships/hyperlink" Target="https://twitter.com/defactofecteau/status/705931696898752513" TargetMode="External"/><Relationship Id="rId4378" Type="http://schemas.openxmlformats.org/officeDocument/2006/relationships/hyperlink" Target="https://pbs.twimg.com/profile_images/704873222802636800/7aFEMOY5_normal.jpg" TargetMode="External"/><Relationship Id="rId3046" Type="http://schemas.openxmlformats.org/officeDocument/2006/relationships/hyperlink" Target="https://twitter.com/defactofecteau" TargetMode="External"/><Relationship Id="rId4377" Type="http://schemas.openxmlformats.org/officeDocument/2006/relationships/hyperlink" Target="https://twitter.com/pastpunditry/status/706156979929096192" TargetMode="External"/><Relationship Id="rId3049" Type="http://schemas.openxmlformats.org/officeDocument/2006/relationships/hyperlink" Target="https://twitter.com/pastpunditry" TargetMode="External"/><Relationship Id="rId3048" Type="http://schemas.openxmlformats.org/officeDocument/2006/relationships/hyperlink" Target="https://pbs.twimg.com/profile_images/434404729263648768/vsAZLFtj_normal.jpeg" TargetMode="External"/><Relationship Id="rId4379" Type="http://schemas.openxmlformats.org/officeDocument/2006/relationships/hyperlink" Target="https://twitter.com/pastpunditry" TargetMode="External"/><Relationship Id="rId3911" Type="http://schemas.openxmlformats.org/officeDocument/2006/relationships/hyperlink" Target="https://twitter.com/JulioCapoJr/status/706110753955254272" TargetMode="External"/><Relationship Id="rId3910" Type="http://schemas.openxmlformats.org/officeDocument/2006/relationships/hyperlink" Target="https://twitter.com/JulioCapoJr" TargetMode="External"/><Relationship Id="rId3913" Type="http://schemas.openxmlformats.org/officeDocument/2006/relationships/hyperlink" Target="https://twitter.com/fefenifi" TargetMode="External"/><Relationship Id="rId3912" Type="http://schemas.openxmlformats.org/officeDocument/2006/relationships/hyperlink" Target="https://pbs.twimg.com/profile_images/446458450932150274/5bSg3mny_normal.jpeg" TargetMode="External"/><Relationship Id="rId3915" Type="http://schemas.openxmlformats.org/officeDocument/2006/relationships/hyperlink" Target="https://pbs.twimg.com/profile_images/678387998577135616/E7-0NNJV_normal.jpg" TargetMode="External"/><Relationship Id="rId3914" Type="http://schemas.openxmlformats.org/officeDocument/2006/relationships/hyperlink" Target="https://twitter.com/fefenifi/status/706111031488065538" TargetMode="External"/><Relationship Id="rId3917" Type="http://schemas.openxmlformats.org/officeDocument/2006/relationships/hyperlink" Target="https://twitter.com/jmadelman/status/706112025961865216" TargetMode="External"/><Relationship Id="rId3916" Type="http://schemas.openxmlformats.org/officeDocument/2006/relationships/hyperlink" Target="https://twitter.com/jmadelman" TargetMode="External"/><Relationship Id="rId3919" Type="http://schemas.openxmlformats.org/officeDocument/2006/relationships/hyperlink" Target="https://twitter.com/TradeCardCarl" TargetMode="External"/><Relationship Id="rId3918" Type="http://schemas.openxmlformats.org/officeDocument/2006/relationships/hyperlink" Target="https://pbs.twimg.com/profile_images/633292774570201089/pdNFZfya_normal.jpg" TargetMode="External"/><Relationship Id="rId3900" Type="http://schemas.openxmlformats.org/officeDocument/2006/relationships/hyperlink" Target="https://pbs.twimg.com/profile_images/674233655779328000/QFONMQg9_normal.jpg" TargetMode="External"/><Relationship Id="rId3902" Type="http://schemas.openxmlformats.org/officeDocument/2006/relationships/hyperlink" Target="https://twitter.com/evfaue_faue/status/706106690291236865" TargetMode="External"/><Relationship Id="rId3901" Type="http://schemas.openxmlformats.org/officeDocument/2006/relationships/hyperlink" Target="https://twitter.com/evfaue_faue" TargetMode="External"/><Relationship Id="rId3904" Type="http://schemas.openxmlformats.org/officeDocument/2006/relationships/hyperlink" Target="https://twitter.com/MarlaAtUmass" TargetMode="External"/><Relationship Id="rId3903" Type="http://schemas.openxmlformats.org/officeDocument/2006/relationships/hyperlink" Target="https://pbs.twimg.com/profile_images/517068162261475328/STzSsAhL_normal.jpeg" TargetMode="External"/><Relationship Id="rId3906" Type="http://schemas.openxmlformats.org/officeDocument/2006/relationships/hyperlink" Target="https://pbs.twimg.com/profile_images/565429960/Betsy_Twitter_normal.jpg" TargetMode="External"/><Relationship Id="rId3905" Type="http://schemas.openxmlformats.org/officeDocument/2006/relationships/hyperlink" Target="https://twitter.com/MarlaAtUmass/status/706108288845352960" TargetMode="External"/><Relationship Id="rId3908" Type="http://schemas.openxmlformats.org/officeDocument/2006/relationships/hyperlink" Target="https://twitter.com/MedeaCulpa/status/706110624707833856" TargetMode="External"/><Relationship Id="rId3907" Type="http://schemas.openxmlformats.org/officeDocument/2006/relationships/hyperlink" Target="https://twitter.com/MedeaCulpa" TargetMode="External"/><Relationship Id="rId3909" Type="http://schemas.openxmlformats.org/officeDocument/2006/relationships/hyperlink" Target="https://pbs.twimg.com/profile_images/702272676837068800/xO5D7apz_normal.jpg" TargetMode="External"/><Relationship Id="rId3931" Type="http://schemas.openxmlformats.org/officeDocument/2006/relationships/hyperlink" Target="https://twitter.com/pastpunditry" TargetMode="External"/><Relationship Id="rId2600" Type="http://schemas.openxmlformats.org/officeDocument/2006/relationships/hyperlink" Target="https://twitter.com/JulieThePH/status/705927036452397060" TargetMode="External"/><Relationship Id="rId3930" Type="http://schemas.openxmlformats.org/officeDocument/2006/relationships/hyperlink" Target="https://pbs.twimg.com/profile_images/535167858204893184/DNz9ruRN_normal.jpeg" TargetMode="External"/><Relationship Id="rId2601" Type="http://schemas.openxmlformats.org/officeDocument/2006/relationships/hyperlink" Target="https://pbs.twimg.com/profile_images/596509974005686273/AqBblwMR_normal.jpg" TargetMode="External"/><Relationship Id="rId3933" Type="http://schemas.openxmlformats.org/officeDocument/2006/relationships/hyperlink" Target="https://pbs.twimg.com/profile_images/704873222802636800/7aFEMOY5_normal.jpg" TargetMode="External"/><Relationship Id="rId2602" Type="http://schemas.openxmlformats.org/officeDocument/2006/relationships/hyperlink" Target="https://twitter.com/pastpunditry" TargetMode="External"/><Relationship Id="rId3932" Type="http://schemas.openxmlformats.org/officeDocument/2006/relationships/hyperlink" Target="https://twitter.com/pastpunditry/status/706117870409924608" TargetMode="External"/><Relationship Id="rId2603" Type="http://schemas.openxmlformats.org/officeDocument/2006/relationships/hyperlink" Target="https://twitter.com/pastpunditry/status/705927101208203264" TargetMode="External"/><Relationship Id="rId3935" Type="http://schemas.openxmlformats.org/officeDocument/2006/relationships/hyperlink" Target="https://twitter.com/cherylharned/status/706117901175164928" TargetMode="External"/><Relationship Id="rId2604" Type="http://schemas.openxmlformats.org/officeDocument/2006/relationships/hyperlink" Target="https://pbs.twimg.com/profile_images/704873222802636800/7aFEMOY5_normal.jpg" TargetMode="External"/><Relationship Id="rId3934" Type="http://schemas.openxmlformats.org/officeDocument/2006/relationships/hyperlink" Target="https://twitter.com/cherylharned" TargetMode="External"/><Relationship Id="rId2605" Type="http://schemas.openxmlformats.org/officeDocument/2006/relationships/hyperlink" Target="https://twitter.com/erfagen" TargetMode="External"/><Relationship Id="rId3937" Type="http://schemas.openxmlformats.org/officeDocument/2006/relationships/hyperlink" Target="https://twitter.com/cherylharned" TargetMode="External"/><Relationship Id="rId2606" Type="http://schemas.openxmlformats.org/officeDocument/2006/relationships/hyperlink" Target="https://twitter.com/erfagen/status/705927119570870273" TargetMode="External"/><Relationship Id="rId3936" Type="http://schemas.openxmlformats.org/officeDocument/2006/relationships/hyperlink" Target="https://pbs.twimg.com/profile_images/535167858204893184/DNz9ruRN_normal.jpeg" TargetMode="External"/><Relationship Id="rId808" Type="http://schemas.openxmlformats.org/officeDocument/2006/relationships/hyperlink" Target="https://pbs.twimg.com/profile_images/548193870278688768/8Dq7gW3U_normal.png" TargetMode="External"/><Relationship Id="rId2607" Type="http://schemas.openxmlformats.org/officeDocument/2006/relationships/hyperlink" Target="https://pbs.twimg.com/profile_images/638086945722249217/mid_S_BQ_normal.jpg" TargetMode="External"/><Relationship Id="rId3939" Type="http://schemas.openxmlformats.org/officeDocument/2006/relationships/hyperlink" Target="https://pbs.twimg.com/profile_images/535167858204893184/DNz9ruRN_normal.jpeg" TargetMode="External"/><Relationship Id="rId807" Type="http://schemas.openxmlformats.org/officeDocument/2006/relationships/hyperlink" Target="https://twitter.com/samueljredman/status/705805320950521856" TargetMode="External"/><Relationship Id="rId2608" Type="http://schemas.openxmlformats.org/officeDocument/2006/relationships/hyperlink" Target="https://twitter.com/JulieThePH" TargetMode="External"/><Relationship Id="rId3938" Type="http://schemas.openxmlformats.org/officeDocument/2006/relationships/hyperlink" Target="https://twitter.com/cherylharned/status/706118573970886656" TargetMode="External"/><Relationship Id="rId806" Type="http://schemas.openxmlformats.org/officeDocument/2006/relationships/hyperlink" Target="https://twitter.com/samueljredman" TargetMode="External"/><Relationship Id="rId2609" Type="http://schemas.openxmlformats.org/officeDocument/2006/relationships/hyperlink" Target="https://twitter.com/JulieThePH/status/705927282712551424" TargetMode="External"/><Relationship Id="rId805" Type="http://schemas.openxmlformats.org/officeDocument/2006/relationships/hyperlink" Target="https://pbs.twimg.com/profile_images/548193870278688768/8Dq7gW3U_normal.png" TargetMode="External"/><Relationship Id="rId809" Type="http://schemas.openxmlformats.org/officeDocument/2006/relationships/hyperlink" Target="https://twitter.com/samueljredman" TargetMode="External"/><Relationship Id="rId800" Type="http://schemas.openxmlformats.org/officeDocument/2006/relationships/hyperlink" Target="https://twitter.com/samueljredman" TargetMode="External"/><Relationship Id="rId804" Type="http://schemas.openxmlformats.org/officeDocument/2006/relationships/hyperlink" Target="https://twitter.com/samueljredman/status/705805288021094401" TargetMode="External"/><Relationship Id="rId803" Type="http://schemas.openxmlformats.org/officeDocument/2006/relationships/hyperlink" Target="https://twitter.com/samueljredman" TargetMode="External"/><Relationship Id="rId802" Type="http://schemas.openxmlformats.org/officeDocument/2006/relationships/hyperlink" Target="https://pbs.twimg.com/profile_images/548193870278688768/8Dq7gW3U_normal.png" TargetMode="External"/><Relationship Id="rId801" Type="http://schemas.openxmlformats.org/officeDocument/2006/relationships/hyperlink" Target="https://twitter.com/samueljredman/status/705805259164270592" TargetMode="External"/><Relationship Id="rId3920" Type="http://schemas.openxmlformats.org/officeDocument/2006/relationships/hyperlink" Target="https://twitter.com/TradeCardCarl/status/706114069909118976" TargetMode="External"/><Relationship Id="rId3922" Type="http://schemas.openxmlformats.org/officeDocument/2006/relationships/hyperlink" Target="https://twitter.com/GHAUmass" TargetMode="External"/><Relationship Id="rId3921" Type="http://schemas.openxmlformats.org/officeDocument/2006/relationships/hyperlink" Target="https://pbs.twimg.com/profile_images/605887014114754560/z-GNNui4_normal.jpg" TargetMode="External"/><Relationship Id="rId3924" Type="http://schemas.openxmlformats.org/officeDocument/2006/relationships/hyperlink" Target="https://pbs.twimg.com/profile_images/604060333590855682/Fk6r1D7d_normal.jpg" TargetMode="External"/><Relationship Id="rId3923" Type="http://schemas.openxmlformats.org/officeDocument/2006/relationships/hyperlink" Target="https://twitter.com/GHAUmass/status/706114330933239809" TargetMode="External"/><Relationship Id="rId3926" Type="http://schemas.openxmlformats.org/officeDocument/2006/relationships/hyperlink" Target="https://twitter.com/GHAUmass/status/706114364223463425" TargetMode="External"/><Relationship Id="rId3925" Type="http://schemas.openxmlformats.org/officeDocument/2006/relationships/hyperlink" Target="https://twitter.com/GHAUmass" TargetMode="External"/><Relationship Id="rId3928" Type="http://schemas.openxmlformats.org/officeDocument/2006/relationships/hyperlink" Target="https://twitter.com/cherylharned" TargetMode="External"/><Relationship Id="rId3927" Type="http://schemas.openxmlformats.org/officeDocument/2006/relationships/hyperlink" Target="https://pbs.twimg.com/profile_images/604060333590855682/Fk6r1D7d_normal.jpg" TargetMode="External"/><Relationship Id="rId3929" Type="http://schemas.openxmlformats.org/officeDocument/2006/relationships/hyperlink" Target="https://twitter.com/cherylharned/status/706115485201371136" TargetMode="External"/><Relationship Id="rId1334" Type="http://schemas.openxmlformats.org/officeDocument/2006/relationships/hyperlink" Target="https://pbs.twimg.com/profile_images/701102020061753344/5zH70uem_normal.jpg" TargetMode="External"/><Relationship Id="rId2665" Type="http://schemas.openxmlformats.org/officeDocument/2006/relationships/hyperlink" Target="https://twitter.com/pastpunditry" TargetMode="External"/><Relationship Id="rId3997" Type="http://schemas.openxmlformats.org/officeDocument/2006/relationships/hyperlink" Target="https://twitter.com/MedeaCulpa" TargetMode="External"/><Relationship Id="rId1335" Type="http://schemas.openxmlformats.org/officeDocument/2006/relationships/hyperlink" Target="https://twitter.com/womenactmedia" TargetMode="External"/><Relationship Id="rId2666" Type="http://schemas.openxmlformats.org/officeDocument/2006/relationships/hyperlink" Target="https://twitter.com/pastpunditry/status/705927688582729728" TargetMode="External"/><Relationship Id="rId3996" Type="http://schemas.openxmlformats.org/officeDocument/2006/relationships/hyperlink" Target="https://pbs.twimg.com/profile_images/702272676837068800/xO5D7apz_normal.jpg" TargetMode="External"/><Relationship Id="rId1336" Type="http://schemas.openxmlformats.org/officeDocument/2006/relationships/hyperlink" Target="https://twitter.com/womenactmedia/status/705847881522159616" TargetMode="External"/><Relationship Id="rId2667" Type="http://schemas.openxmlformats.org/officeDocument/2006/relationships/hyperlink" Target="https://pbs.twimg.com/profile_images/704873222802636800/7aFEMOY5_normal.jpg" TargetMode="External"/><Relationship Id="rId3999" Type="http://schemas.openxmlformats.org/officeDocument/2006/relationships/hyperlink" Target="https://pbs.twimg.com/profile_images/702272676837068800/xO5D7apz_normal.jpg" TargetMode="External"/><Relationship Id="rId1337" Type="http://schemas.openxmlformats.org/officeDocument/2006/relationships/hyperlink" Target="https://pbs.twimg.com/profile_images/646533311/wam_logo_square_normal.jpg" TargetMode="External"/><Relationship Id="rId2668" Type="http://schemas.openxmlformats.org/officeDocument/2006/relationships/hyperlink" Target="https://twitter.com/GHAUmass" TargetMode="External"/><Relationship Id="rId3998" Type="http://schemas.openxmlformats.org/officeDocument/2006/relationships/hyperlink" Target="https://twitter.com/MedeaCulpa/status/706129869151805440" TargetMode="External"/><Relationship Id="rId1338" Type="http://schemas.openxmlformats.org/officeDocument/2006/relationships/hyperlink" Target="https://twitter.com/MBZepedaCortes" TargetMode="External"/><Relationship Id="rId2669" Type="http://schemas.openxmlformats.org/officeDocument/2006/relationships/hyperlink" Target="https://twitter.com/GHAUmass/status/705927689627111424" TargetMode="External"/><Relationship Id="rId1339" Type="http://schemas.openxmlformats.org/officeDocument/2006/relationships/hyperlink" Target="https://twitter.com/MBZepedaCortes/status/705847986497175552" TargetMode="External"/><Relationship Id="rId745" Type="http://schemas.openxmlformats.org/officeDocument/2006/relationships/hyperlink" Target="https://pbs.twimg.com/profile_images/704873222802636800/7aFEMOY5_normal.jpg" TargetMode="External"/><Relationship Id="rId744" Type="http://schemas.openxmlformats.org/officeDocument/2006/relationships/hyperlink" Target="https://twitter.com/pastpunditry/status/705800935453360129" TargetMode="External"/><Relationship Id="rId743" Type="http://schemas.openxmlformats.org/officeDocument/2006/relationships/hyperlink" Target="https://twitter.com/pastpunditry" TargetMode="External"/><Relationship Id="rId742" Type="http://schemas.openxmlformats.org/officeDocument/2006/relationships/hyperlink" Target="https://pbs.twimg.com/profile_images/704873222802636800/7aFEMOY5_normal.jpg" TargetMode="External"/><Relationship Id="rId749" Type="http://schemas.openxmlformats.org/officeDocument/2006/relationships/hyperlink" Target="https://twitter.com/samueljredman" TargetMode="External"/><Relationship Id="rId748" Type="http://schemas.openxmlformats.org/officeDocument/2006/relationships/hyperlink" Target="https://pbs.twimg.com/profile_images/548193870278688768/8Dq7gW3U_normal.png" TargetMode="External"/><Relationship Id="rId747" Type="http://schemas.openxmlformats.org/officeDocument/2006/relationships/hyperlink" Target="https://twitter.com/samueljredman/status/705801176269332480" TargetMode="External"/><Relationship Id="rId746" Type="http://schemas.openxmlformats.org/officeDocument/2006/relationships/hyperlink" Target="https://twitter.com/samueljredman" TargetMode="External"/><Relationship Id="rId3991" Type="http://schemas.openxmlformats.org/officeDocument/2006/relationships/hyperlink" Target="https://twitter.com/MarlaAtUmass" TargetMode="External"/><Relationship Id="rId2660" Type="http://schemas.openxmlformats.org/officeDocument/2006/relationships/hyperlink" Target="https://twitter.com/sheishistoric/status/705927654424375297" TargetMode="External"/><Relationship Id="rId3990" Type="http://schemas.openxmlformats.org/officeDocument/2006/relationships/hyperlink" Target="https://pbs.twimg.com/profile_images/582971468058791936/-AjbqTgD_normal.jpg" TargetMode="External"/><Relationship Id="rId741" Type="http://schemas.openxmlformats.org/officeDocument/2006/relationships/hyperlink" Target="https://twitter.com/pastpunditry/status/705800806520512515" TargetMode="External"/><Relationship Id="rId1330" Type="http://schemas.openxmlformats.org/officeDocument/2006/relationships/hyperlink" Target="https://twitter.com/jamiaw/status/705847659131740160" TargetMode="External"/><Relationship Id="rId2661" Type="http://schemas.openxmlformats.org/officeDocument/2006/relationships/hyperlink" Target="https://pbs.twimg.com/profile_images/650419150620377089/bJxBf---_normal.jpg" TargetMode="External"/><Relationship Id="rId3993" Type="http://schemas.openxmlformats.org/officeDocument/2006/relationships/hyperlink" Target="https://pbs.twimg.com/profile_images/565429960/Betsy_Twitter_normal.jpg" TargetMode="External"/><Relationship Id="rId740" Type="http://schemas.openxmlformats.org/officeDocument/2006/relationships/hyperlink" Target="https://twitter.com/pastpunditry" TargetMode="External"/><Relationship Id="rId1331" Type="http://schemas.openxmlformats.org/officeDocument/2006/relationships/hyperlink" Target="https://pbs.twimg.com/profile_images/701102020061753344/5zH70uem_normal.jpg" TargetMode="External"/><Relationship Id="rId2662" Type="http://schemas.openxmlformats.org/officeDocument/2006/relationships/hyperlink" Target="https://twitter.com/GHAUmass" TargetMode="External"/><Relationship Id="rId3992" Type="http://schemas.openxmlformats.org/officeDocument/2006/relationships/hyperlink" Target="https://twitter.com/MarlaAtUmass/status/706129048628551682" TargetMode="External"/><Relationship Id="rId1332" Type="http://schemas.openxmlformats.org/officeDocument/2006/relationships/hyperlink" Target="https://twitter.com/jamiaw" TargetMode="External"/><Relationship Id="rId2663" Type="http://schemas.openxmlformats.org/officeDocument/2006/relationships/hyperlink" Target="https://twitter.com/GHAUmass/status/705927668567515136" TargetMode="External"/><Relationship Id="rId3995" Type="http://schemas.openxmlformats.org/officeDocument/2006/relationships/hyperlink" Target="https://twitter.com/MedeaCulpa/status/706129490703941632" TargetMode="External"/><Relationship Id="rId1333" Type="http://schemas.openxmlformats.org/officeDocument/2006/relationships/hyperlink" Target="https://twitter.com/jamiaw/status/705847881492787200" TargetMode="External"/><Relationship Id="rId2664" Type="http://schemas.openxmlformats.org/officeDocument/2006/relationships/hyperlink" Target="https://pbs.twimg.com/profile_images/604060333590855682/Fk6r1D7d_normal.jpg" TargetMode="External"/><Relationship Id="rId3994" Type="http://schemas.openxmlformats.org/officeDocument/2006/relationships/hyperlink" Target="https://twitter.com/MedeaCulpa" TargetMode="External"/><Relationship Id="rId1323" Type="http://schemas.openxmlformats.org/officeDocument/2006/relationships/hyperlink" Target="https://twitter.com/samueljredman" TargetMode="External"/><Relationship Id="rId2654" Type="http://schemas.openxmlformats.org/officeDocument/2006/relationships/hyperlink" Target="https://twitter.com/GHAUmass/status/705927585247711232" TargetMode="External"/><Relationship Id="rId3986" Type="http://schemas.openxmlformats.org/officeDocument/2006/relationships/hyperlink" Target="https://twitter.com/2brwngirls/status/706128470200299522" TargetMode="External"/><Relationship Id="rId1324" Type="http://schemas.openxmlformats.org/officeDocument/2006/relationships/hyperlink" Target="https://twitter.com/samueljredman/status/705846325816991745" TargetMode="External"/><Relationship Id="rId2655" Type="http://schemas.openxmlformats.org/officeDocument/2006/relationships/hyperlink" Target="https://pbs.twimg.com/profile_images/604060333590855682/Fk6r1D7d_normal.jpg" TargetMode="External"/><Relationship Id="rId3985" Type="http://schemas.openxmlformats.org/officeDocument/2006/relationships/hyperlink" Target="https://twitter.com/2brwngirls" TargetMode="External"/><Relationship Id="rId1325" Type="http://schemas.openxmlformats.org/officeDocument/2006/relationships/hyperlink" Target="https://pbs.twimg.com/profile_images/548193870278688768/8Dq7gW3U_normal.png" TargetMode="External"/><Relationship Id="rId2656" Type="http://schemas.openxmlformats.org/officeDocument/2006/relationships/hyperlink" Target="https://twitter.com/sheishistoric" TargetMode="External"/><Relationship Id="rId3988" Type="http://schemas.openxmlformats.org/officeDocument/2006/relationships/hyperlink" Target="https://twitter.com/MelanieKiechle" TargetMode="External"/><Relationship Id="rId1326" Type="http://schemas.openxmlformats.org/officeDocument/2006/relationships/hyperlink" Target="https://twitter.com/musepolsci" TargetMode="External"/><Relationship Id="rId2657" Type="http://schemas.openxmlformats.org/officeDocument/2006/relationships/hyperlink" Target="https://twitter.com/sheishistoric/status/705927648841699332" TargetMode="External"/><Relationship Id="rId3987" Type="http://schemas.openxmlformats.org/officeDocument/2006/relationships/hyperlink" Target="https://pbs.twimg.com/profile_images/592353555853357057/w2U8qYNX_normal.png" TargetMode="External"/><Relationship Id="rId1327" Type="http://schemas.openxmlformats.org/officeDocument/2006/relationships/hyperlink" Target="https://twitter.com/musepolsci/status/705847583298576385" TargetMode="External"/><Relationship Id="rId2658" Type="http://schemas.openxmlformats.org/officeDocument/2006/relationships/hyperlink" Target="https://pbs.twimg.com/profile_images/650419150620377089/bJxBf---_normal.jpg" TargetMode="External"/><Relationship Id="rId1328" Type="http://schemas.openxmlformats.org/officeDocument/2006/relationships/hyperlink" Target="https://pbs.twimg.com/profile_images/675360673388367872/TCCGiJc1_normal.jpg" TargetMode="External"/><Relationship Id="rId2659" Type="http://schemas.openxmlformats.org/officeDocument/2006/relationships/hyperlink" Target="https://twitter.com/sheishistoric" TargetMode="External"/><Relationship Id="rId3989" Type="http://schemas.openxmlformats.org/officeDocument/2006/relationships/hyperlink" Target="https://twitter.com/MelanieKiechle/status/706128949282279424" TargetMode="External"/><Relationship Id="rId1329" Type="http://schemas.openxmlformats.org/officeDocument/2006/relationships/hyperlink" Target="https://twitter.com/jamiaw" TargetMode="External"/><Relationship Id="rId739" Type="http://schemas.openxmlformats.org/officeDocument/2006/relationships/hyperlink" Target="https://pbs.twimg.com/profile_images/611592888816898048/cGMlIfmz_normal.jpg" TargetMode="External"/><Relationship Id="rId734" Type="http://schemas.openxmlformats.org/officeDocument/2006/relationships/hyperlink" Target="https://twitter.com/JohnFea1" TargetMode="External"/><Relationship Id="rId733" Type="http://schemas.openxmlformats.org/officeDocument/2006/relationships/hyperlink" Target="https://pbs.twimg.com/profile_images/2090305941/Fea_speaking_normal.jpg" TargetMode="External"/><Relationship Id="rId732" Type="http://schemas.openxmlformats.org/officeDocument/2006/relationships/hyperlink" Target="https://twitter.com/JohnFea1/status/705799360727093249" TargetMode="External"/><Relationship Id="rId731" Type="http://schemas.openxmlformats.org/officeDocument/2006/relationships/hyperlink" Target="https://twitter.com/JohnFea1" TargetMode="External"/><Relationship Id="rId738" Type="http://schemas.openxmlformats.org/officeDocument/2006/relationships/hyperlink" Target="https://twitter.com/aglassofhistory/status/705800798530367488" TargetMode="External"/><Relationship Id="rId737" Type="http://schemas.openxmlformats.org/officeDocument/2006/relationships/hyperlink" Target="https://twitter.com/aglassofhistory" TargetMode="External"/><Relationship Id="rId736" Type="http://schemas.openxmlformats.org/officeDocument/2006/relationships/hyperlink" Target="https://pbs.twimg.com/profile_images/2090305941/Fea_speaking_normal.jpg" TargetMode="External"/><Relationship Id="rId735" Type="http://schemas.openxmlformats.org/officeDocument/2006/relationships/hyperlink" Target="https://twitter.com/JohnFea1/status/705799502184239104" TargetMode="External"/><Relationship Id="rId3980" Type="http://schemas.openxmlformats.org/officeDocument/2006/relationships/hyperlink" Target="https://twitter.com/Ravon_Ashley/status/706128058210627584" TargetMode="External"/><Relationship Id="rId730" Type="http://schemas.openxmlformats.org/officeDocument/2006/relationships/hyperlink" Target="https://pbs.twimg.com/profile_images/646533311/wam_logo_square_normal.jpg" TargetMode="External"/><Relationship Id="rId2650" Type="http://schemas.openxmlformats.org/officeDocument/2006/relationships/hyperlink" Target="https://twitter.com/erfagen" TargetMode="External"/><Relationship Id="rId3982" Type="http://schemas.openxmlformats.org/officeDocument/2006/relationships/hyperlink" Target="https://twitter.com/MedeaCulpa" TargetMode="External"/><Relationship Id="rId1320" Type="http://schemas.openxmlformats.org/officeDocument/2006/relationships/hyperlink" Target="https://twitter.com/samueljredman" TargetMode="External"/><Relationship Id="rId2651" Type="http://schemas.openxmlformats.org/officeDocument/2006/relationships/hyperlink" Target="https://twitter.com/erfagen/status/705927569498087425" TargetMode="External"/><Relationship Id="rId3981" Type="http://schemas.openxmlformats.org/officeDocument/2006/relationships/hyperlink" Target="https://pbs.twimg.com/profile_images/698618357755551745/q55PDqjo_normal.jpg" TargetMode="External"/><Relationship Id="rId1321" Type="http://schemas.openxmlformats.org/officeDocument/2006/relationships/hyperlink" Target="https://twitter.com/samueljredman/status/705846294397460480" TargetMode="External"/><Relationship Id="rId2652" Type="http://schemas.openxmlformats.org/officeDocument/2006/relationships/hyperlink" Target="https://pbs.twimg.com/profile_images/638086945722249217/mid_S_BQ_normal.jpg" TargetMode="External"/><Relationship Id="rId3984" Type="http://schemas.openxmlformats.org/officeDocument/2006/relationships/hyperlink" Target="https://pbs.twimg.com/profile_images/702272676837068800/xO5D7apz_normal.jpg" TargetMode="External"/><Relationship Id="rId1322" Type="http://schemas.openxmlformats.org/officeDocument/2006/relationships/hyperlink" Target="https://pbs.twimg.com/profile_images/548193870278688768/8Dq7gW3U_normal.png" TargetMode="External"/><Relationship Id="rId2653" Type="http://schemas.openxmlformats.org/officeDocument/2006/relationships/hyperlink" Target="https://twitter.com/GHAUmass" TargetMode="External"/><Relationship Id="rId3983" Type="http://schemas.openxmlformats.org/officeDocument/2006/relationships/hyperlink" Target="https://twitter.com/MedeaCulpa/status/706128403905323008" TargetMode="External"/><Relationship Id="rId1356" Type="http://schemas.openxmlformats.org/officeDocument/2006/relationships/hyperlink" Target="https://twitter.com/ColdWarScience" TargetMode="External"/><Relationship Id="rId2687" Type="http://schemas.openxmlformats.org/officeDocument/2006/relationships/hyperlink" Target="https://twitter.com/TheHistoryList/status/705927913346969600" TargetMode="External"/><Relationship Id="rId1357" Type="http://schemas.openxmlformats.org/officeDocument/2006/relationships/hyperlink" Target="https://twitter.com/ColdWarScience/status/705849734393683970" TargetMode="External"/><Relationship Id="rId2688" Type="http://schemas.openxmlformats.org/officeDocument/2006/relationships/hyperlink" Target="https://pbs.twimg.com/profile_images/2232523539/Screen_Shot_2012-05-19_at_1.51.23_PM_normal.png" TargetMode="External"/><Relationship Id="rId1358" Type="http://schemas.openxmlformats.org/officeDocument/2006/relationships/hyperlink" Target="https://pbs.twimg.com/profile_images/472064708774608896/AH_grhCw_normal.jpeg" TargetMode="External"/><Relationship Id="rId2689" Type="http://schemas.openxmlformats.org/officeDocument/2006/relationships/hyperlink" Target="https://twitter.com/erfagen" TargetMode="External"/><Relationship Id="rId1359" Type="http://schemas.openxmlformats.org/officeDocument/2006/relationships/hyperlink" Target="https://twitter.com/pastpunditry" TargetMode="External"/><Relationship Id="rId767" Type="http://schemas.openxmlformats.org/officeDocument/2006/relationships/hyperlink" Target="https://twitter.com/pastpunditry" TargetMode="External"/><Relationship Id="rId766" Type="http://schemas.openxmlformats.org/officeDocument/2006/relationships/hyperlink" Target="https://pbs.twimg.com/profile_images/704873222802636800/7aFEMOY5_normal.jpg" TargetMode="External"/><Relationship Id="rId765" Type="http://schemas.openxmlformats.org/officeDocument/2006/relationships/hyperlink" Target="https://twitter.com/pastpunditry/status/705802037976555520" TargetMode="External"/><Relationship Id="rId764" Type="http://schemas.openxmlformats.org/officeDocument/2006/relationships/hyperlink" Target="https://twitter.com/pastpunditry" TargetMode="External"/><Relationship Id="rId769" Type="http://schemas.openxmlformats.org/officeDocument/2006/relationships/hyperlink" Target="https://pbs.twimg.com/profile_images/704873222802636800/7aFEMOY5_normal.jpg" TargetMode="External"/><Relationship Id="rId768" Type="http://schemas.openxmlformats.org/officeDocument/2006/relationships/hyperlink" Target="https://twitter.com/pastpunditry/status/705803183080214529" TargetMode="External"/><Relationship Id="rId2680" Type="http://schemas.openxmlformats.org/officeDocument/2006/relationships/hyperlink" Target="https://twitter.com/pastpunditry" TargetMode="External"/><Relationship Id="rId1350" Type="http://schemas.openxmlformats.org/officeDocument/2006/relationships/hyperlink" Target="https://twitter.com/pastpunditry" TargetMode="External"/><Relationship Id="rId2681" Type="http://schemas.openxmlformats.org/officeDocument/2006/relationships/hyperlink" Target="https://twitter.com/pastpunditry/status/705927876328214530" TargetMode="External"/><Relationship Id="rId1351" Type="http://schemas.openxmlformats.org/officeDocument/2006/relationships/hyperlink" Target="https://twitter.com/pastpunditry/status/705849030547546113" TargetMode="External"/><Relationship Id="rId2682" Type="http://schemas.openxmlformats.org/officeDocument/2006/relationships/hyperlink" Target="https://pbs.twimg.com/profile_images/704873222802636800/7aFEMOY5_normal.jpg" TargetMode="External"/><Relationship Id="rId763" Type="http://schemas.openxmlformats.org/officeDocument/2006/relationships/hyperlink" Target="https://pbs.twimg.com/profile_images/704873222802636800/7aFEMOY5_normal.jpg" TargetMode="External"/><Relationship Id="rId1352" Type="http://schemas.openxmlformats.org/officeDocument/2006/relationships/hyperlink" Target="https://pbs.twimg.com/profile_images/704873222802636800/7aFEMOY5_normal.jpg" TargetMode="External"/><Relationship Id="rId2683" Type="http://schemas.openxmlformats.org/officeDocument/2006/relationships/hyperlink" Target="https://twitter.com/rebekkahrubin" TargetMode="External"/><Relationship Id="rId762" Type="http://schemas.openxmlformats.org/officeDocument/2006/relationships/hyperlink" Target="https://twitter.com/pastpunditry/status/705801542046244864" TargetMode="External"/><Relationship Id="rId1353" Type="http://schemas.openxmlformats.org/officeDocument/2006/relationships/hyperlink" Target="https://twitter.com/pastpunditry" TargetMode="External"/><Relationship Id="rId2684" Type="http://schemas.openxmlformats.org/officeDocument/2006/relationships/hyperlink" Target="https://twitter.com/rebekkahrubin/status/705927913280049153" TargetMode="External"/><Relationship Id="rId761" Type="http://schemas.openxmlformats.org/officeDocument/2006/relationships/hyperlink" Target="https://twitter.com/pastpunditry" TargetMode="External"/><Relationship Id="rId1354" Type="http://schemas.openxmlformats.org/officeDocument/2006/relationships/hyperlink" Target="https://twitter.com/pastpunditry/status/705849495674867712" TargetMode="External"/><Relationship Id="rId2685" Type="http://schemas.openxmlformats.org/officeDocument/2006/relationships/hyperlink" Target="https://pbs.twimg.com/profile_images/700317732588408832/Ym_-neUi_normal.jpg" TargetMode="External"/><Relationship Id="rId760" Type="http://schemas.openxmlformats.org/officeDocument/2006/relationships/hyperlink" Target="https://pbs.twimg.com/profile_images/548193870278688768/8Dq7gW3U_normal.png" TargetMode="External"/><Relationship Id="rId1355" Type="http://schemas.openxmlformats.org/officeDocument/2006/relationships/hyperlink" Target="https://pbs.twimg.com/profile_images/704873222802636800/7aFEMOY5_normal.jpg" TargetMode="External"/><Relationship Id="rId2686" Type="http://schemas.openxmlformats.org/officeDocument/2006/relationships/hyperlink" Target="https://twitter.com/TheHistoryList" TargetMode="External"/><Relationship Id="rId1345" Type="http://schemas.openxmlformats.org/officeDocument/2006/relationships/hyperlink" Target="https://twitter.com/pastpunditry/status/705848756546183170" TargetMode="External"/><Relationship Id="rId2676" Type="http://schemas.openxmlformats.org/officeDocument/2006/relationships/hyperlink" Target="https://pbs.twimg.com/profile_images/604060333590855682/Fk6r1D7d_normal.jpg" TargetMode="External"/><Relationship Id="rId1346" Type="http://schemas.openxmlformats.org/officeDocument/2006/relationships/hyperlink" Target="https://pbs.twimg.com/profile_images/704873222802636800/7aFEMOY5_normal.jpg" TargetMode="External"/><Relationship Id="rId2677" Type="http://schemas.openxmlformats.org/officeDocument/2006/relationships/hyperlink" Target="https://twitter.com/allisonhorrocks" TargetMode="External"/><Relationship Id="rId1347" Type="http://schemas.openxmlformats.org/officeDocument/2006/relationships/hyperlink" Target="https://twitter.com/JulieThePH" TargetMode="External"/><Relationship Id="rId2678" Type="http://schemas.openxmlformats.org/officeDocument/2006/relationships/hyperlink" Target="https://twitter.com/allisonhorrocks/status/705927872846950400" TargetMode="External"/><Relationship Id="rId1348" Type="http://schemas.openxmlformats.org/officeDocument/2006/relationships/hyperlink" Target="https://twitter.com/JulieThePH/status/705848912427536386" TargetMode="External"/><Relationship Id="rId2679" Type="http://schemas.openxmlformats.org/officeDocument/2006/relationships/hyperlink" Target="https://pbs.twimg.com/profile_images/562279222522032128/-phaZgxO_normal.jpeg" TargetMode="External"/><Relationship Id="rId1349" Type="http://schemas.openxmlformats.org/officeDocument/2006/relationships/hyperlink" Target="https://pbs.twimg.com/profile_images/596509974005686273/AqBblwMR_normal.jpg" TargetMode="External"/><Relationship Id="rId756" Type="http://schemas.openxmlformats.org/officeDocument/2006/relationships/hyperlink" Target="https://twitter.com/pastpunditry/status/705801235509714946" TargetMode="External"/><Relationship Id="rId755" Type="http://schemas.openxmlformats.org/officeDocument/2006/relationships/hyperlink" Target="https://twitter.com/pastpunditry" TargetMode="External"/><Relationship Id="rId754" Type="http://schemas.openxmlformats.org/officeDocument/2006/relationships/hyperlink" Target="https://pbs.twimg.com/profile_images/548193870278688768/8Dq7gW3U_normal.png" TargetMode="External"/><Relationship Id="rId753" Type="http://schemas.openxmlformats.org/officeDocument/2006/relationships/hyperlink" Target="https://twitter.com/samueljredman/status/705801213242175488" TargetMode="External"/><Relationship Id="rId759" Type="http://schemas.openxmlformats.org/officeDocument/2006/relationships/hyperlink" Target="https://twitter.com/samueljredman/status/705801310201839616" TargetMode="External"/><Relationship Id="rId758" Type="http://schemas.openxmlformats.org/officeDocument/2006/relationships/hyperlink" Target="https://twitter.com/samueljredman" TargetMode="External"/><Relationship Id="rId757" Type="http://schemas.openxmlformats.org/officeDocument/2006/relationships/hyperlink" Target="https://pbs.twimg.com/profile_images/704873222802636800/7aFEMOY5_normal.jpg" TargetMode="External"/><Relationship Id="rId2670" Type="http://schemas.openxmlformats.org/officeDocument/2006/relationships/hyperlink" Target="https://pbs.twimg.com/profile_images/604060333590855682/Fk6r1D7d_normal.jpg" TargetMode="External"/><Relationship Id="rId1340" Type="http://schemas.openxmlformats.org/officeDocument/2006/relationships/hyperlink" Target="https://pbs.twimg.com/profile_images/649599562542379008/gJLeVDR__normal.jpg" TargetMode="External"/><Relationship Id="rId2671" Type="http://schemas.openxmlformats.org/officeDocument/2006/relationships/hyperlink" Target="https://twitter.com/sheishistoric" TargetMode="External"/><Relationship Id="rId752" Type="http://schemas.openxmlformats.org/officeDocument/2006/relationships/hyperlink" Target="https://twitter.com/samueljredman" TargetMode="External"/><Relationship Id="rId1341" Type="http://schemas.openxmlformats.org/officeDocument/2006/relationships/hyperlink" Target="https://twitter.com/MarlaAtUmass" TargetMode="External"/><Relationship Id="rId2672" Type="http://schemas.openxmlformats.org/officeDocument/2006/relationships/hyperlink" Target="https://twitter.com/sheishistoric/status/705927696694558720" TargetMode="External"/><Relationship Id="rId751" Type="http://schemas.openxmlformats.org/officeDocument/2006/relationships/hyperlink" Target="https://pbs.twimg.com/profile_images/548193870278688768/8Dq7gW3U_normal.png" TargetMode="External"/><Relationship Id="rId1342" Type="http://schemas.openxmlformats.org/officeDocument/2006/relationships/hyperlink" Target="https://twitter.com/MarlaAtUmass/status/705848720726888449" TargetMode="External"/><Relationship Id="rId2673" Type="http://schemas.openxmlformats.org/officeDocument/2006/relationships/hyperlink" Target="https://pbs.twimg.com/profile_images/650419150620377089/bJxBf---_normal.jpg" TargetMode="External"/><Relationship Id="rId750" Type="http://schemas.openxmlformats.org/officeDocument/2006/relationships/hyperlink" Target="https://twitter.com/samueljredman/status/705801185173905408" TargetMode="External"/><Relationship Id="rId1343" Type="http://schemas.openxmlformats.org/officeDocument/2006/relationships/hyperlink" Target="https://pbs.twimg.com/profile_images/565429960/Betsy_Twitter_normal.jpg" TargetMode="External"/><Relationship Id="rId2674" Type="http://schemas.openxmlformats.org/officeDocument/2006/relationships/hyperlink" Target="https://twitter.com/GHAUmass" TargetMode="External"/><Relationship Id="rId1344" Type="http://schemas.openxmlformats.org/officeDocument/2006/relationships/hyperlink" Target="https://twitter.com/pastpunditry" TargetMode="External"/><Relationship Id="rId2675" Type="http://schemas.openxmlformats.org/officeDocument/2006/relationships/hyperlink" Target="https://twitter.com/GHAUmass/status/705927704022028288" TargetMode="External"/><Relationship Id="rId2621" Type="http://schemas.openxmlformats.org/officeDocument/2006/relationships/hyperlink" Target="https://twitter.com/erfagen/status/705927382327238656" TargetMode="External"/><Relationship Id="rId3953" Type="http://schemas.openxmlformats.org/officeDocument/2006/relationships/hyperlink" Target="https://twitter.com/cherylharned/status/706125233573515264" TargetMode="External"/><Relationship Id="rId2622" Type="http://schemas.openxmlformats.org/officeDocument/2006/relationships/hyperlink" Target="https://pbs.twimg.com/profile_images/638086945722249217/mid_S_BQ_normal.jpg" TargetMode="External"/><Relationship Id="rId3952" Type="http://schemas.openxmlformats.org/officeDocument/2006/relationships/hyperlink" Target="https://twitter.com/cherylharned" TargetMode="External"/><Relationship Id="rId2623" Type="http://schemas.openxmlformats.org/officeDocument/2006/relationships/hyperlink" Target="https://twitter.com/GHAUmass" TargetMode="External"/><Relationship Id="rId3955" Type="http://schemas.openxmlformats.org/officeDocument/2006/relationships/hyperlink" Target="https://twitter.com/magmidd" TargetMode="External"/><Relationship Id="rId2624" Type="http://schemas.openxmlformats.org/officeDocument/2006/relationships/hyperlink" Target="https://twitter.com/GHAUmass/status/705927423343378433" TargetMode="External"/><Relationship Id="rId3954" Type="http://schemas.openxmlformats.org/officeDocument/2006/relationships/hyperlink" Target="https://pbs.twimg.com/profile_images/535167858204893184/DNz9ruRN_normal.jpeg" TargetMode="External"/><Relationship Id="rId2625" Type="http://schemas.openxmlformats.org/officeDocument/2006/relationships/hyperlink" Target="https://pbs.twimg.com/profile_images/604060333590855682/Fk6r1D7d_normal.jpg" TargetMode="External"/><Relationship Id="rId3957" Type="http://schemas.openxmlformats.org/officeDocument/2006/relationships/hyperlink" Target="https://pbs.twimg.com/profile_images/378800000450415007/82bcc7d0cab85e8d5920dbf5ded6715e_normal.jpeg" TargetMode="External"/><Relationship Id="rId2626" Type="http://schemas.openxmlformats.org/officeDocument/2006/relationships/hyperlink" Target="https://twitter.com/CitizenWald" TargetMode="External"/><Relationship Id="rId3956" Type="http://schemas.openxmlformats.org/officeDocument/2006/relationships/hyperlink" Target="https://twitter.com/magmidd/status/706125252124930049" TargetMode="External"/><Relationship Id="rId2627" Type="http://schemas.openxmlformats.org/officeDocument/2006/relationships/hyperlink" Target="https://twitter.com/CitizenWald/status/705927442662367232" TargetMode="External"/><Relationship Id="rId3959" Type="http://schemas.openxmlformats.org/officeDocument/2006/relationships/hyperlink" Target="https://twitter.com/MedeaCulpa/status/706125636272783361" TargetMode="External"/><Relationship Id="rId2628" Type="http://schemas.openxmlformats.org/officeDocument/2006/relationships/hyperlink" Target="https://pbs.twimg.com/profile_images/661220280564486144/ZxUrdRVS_normal.jpg" TargetMode="External"/><Relationship Id="rId3958" Type="http://schemas.openxmlformats.org/officeDocument/2006/relationships/hyperlink" Target="https://twitter.com/MedeaCulpa" TargetMode="External"/><Relationship Id="rId709" Type="http://schemas.openxmlformats.org/officeDocument/2006/relationships/hyperlink" Target="https://pbs.twimg.com/profile_images/460795104903442432/94uhSQON_normal.jpeg" TargetMode="External"/><Relationship Id="rId2629" Type="http://schemas.openxmlformats.org/officeDocument/2006/relationships/hyperlink" Target="https://twitter.com/CLMcWhirter" TargetMode="External"/><Relationship Id="rId708" Type="http://schemas.openxmlformats.org/officeDocument/2006/relationships/hyperlink" Target="https://twitter.com/gothamscholar/status/705797318986096640" TargetMode="External"/><Relationship Id="rId707" Type="http://schemas.openxmlformats.org/officeDocument/2006/relationships/hyperlink" Target="https://twitter.com/gothamscholar" TargetMode="External"/><Relationship Id="rId706" Type="http://schemas.openxmlformats.org/officeDocument/2006/relationships/hyperlink" Target="https://pbs.twimg.com/profile_images/460795104903442432/94uhSQON_normal.jpeg" TargetMode="External"/><Relationship Id="rId701" Type="http://schemas.openxmlformats.org/officeDocument/2006/relationships/hyperlink" Target="https://twitter.com/pastpunditry" TargetMode="External"/><Relationship Id="rId700" Type="http://schemas.openxmlformats.org/officeDocument/2006/relationships/hyperlink" Target="https://pbs.twimg.com/profile_images/704873222802636800/7aFEMOY5_normal.jpg" TargetMode="External"/><Relationship Id="rId705" Type="http://schemas.openxmlformats.org/officeDocument/2006/relationships/hyperlink" Target="https://twitter.com/gothamscholar/status/705797184986476544" TargetMode="External"/><Relationship Id="rId704" Type="http://schemas.openxmlformats.org/officeDocument/2006/relationships/hyperlink" Target="https://twitter.com/gothamscholar" TargetMode="External"/><Relationship Id="rId703" Type="http://schemas.openxmlformats.org/officeDocument/2006/relationships/hyperlink" Target="https://pbs.twimg.com/profile_images/704873222802636800/7aFEMOY5_normal.jpg" TargetMode="External"/><Relationship Id="rId702" Type="http://schemas.openxmlformats.org/officeDocument/2006/relationships/hyperlink" Target="https://twitter.com/pastpunditry/status/705797143743823872" TargetMode="External"/><Relationship Id="rId3951" Type="http://schemas.openxmlformats.org/officeDocument/2006/relationships/hyperlink" Target="https://pbs.twimg.com/profile_images/3429109899/7b1290e07101b43b52049d0218ae5eaa_normal.jpeg" TargetMode="External"/><Relationship Id="rId2620" Type="http://schemas.openxmlformats.org/officeDocument/2006/relationships/hyperlink" Target="https://twitter.com/erfagen" TargetMode="External"/><Relationship Id="rId3950" Type="http://schemas.openxmlformats.org/officeDocument/2006/relationships/hyperlink" Target="https://twitter.com/NickBrownAuthor/status/706124783918956544" TargetMode="External"/><Relationship Id="rId2610" Type="http://schemas.openxmlformats.org/officeDocument/2006/relationships/hyperlink" Target="https://pbs.twimg.com/profile_images/596509974005686273/AqBblwMR_normal.jpg" TargetMode="External"/><Relationship Id="rId3942" Type="http://schemas.openxmlformats.org/officeDocument/2006/relationships/hyperlink" Target="https://pbs.twimg.com/profile_images/3589049977/99b9697d3528b5c52cea9aa0070370e5_normal.jpeg" TargetMode="External"/><Relationship Id="rId2611" Type="http://schemas.openxmlformats.org/officeDocument/2006/relationships/hyperlink" Target="https://twitter.com/pastpunditry" TargetMode="External"/><Relationship Id="rId3941" Type="http://schemas.openxmlformats.org/officeDocument/2006/relationships/hyperlink" Target="https://twitter.com/mubarberino/status/706120840434176000" TargetMode="External"/><Relationship Id="rId2612" Type="http://schemas.openxmlformats.org/officeDocument/2006/relationships/hyperlink" Target="https://twitter.com/pastpunditry/status/705927294783758336" TargetMode="External"/><Relationship Id="rId3944" Type="http://schemas.openxmlformats.org/officeDocument/2006/relationships/hyperlink" Target="https://twitter.com/GHAUmass/status/706122223048892416" TargetMode="External"/><Relationship Id="rId2613" Type="http://schemas.openxmlformats.org/officeDocument/2006/relationships/hyperlink" Target="https://pbs.twimg.com/profile_images/704873222802636800/7aFEMOY5_normal.jpg" TargetMode="External"/><Relationship Id="rId3943" Type="http://schemas.openxmlformats.org/officeDocument/2006/relationships/hyperlink" Target="https://twitter.com/GHAUmass" TargetMode="External"/><Relationship Id="rId2614" Type="http://schemas.openxmlformats.org/officeDocument/2006/relationships/hyperlink" Target="https://twitter.com/pastpunditry" TargetMode="External"/><Relationship Id="rId3946" Type="http://schemas.openxmlformats.org/officeDocument/2006/relationships/hyperlink" Target="https://twitter.com/juliegpeterson" TargetMode="External"/><Relationship Id="rId2615" Type="http://schemas.openxmlformats.org/officeDocument/2006/relationships/hyperlink" Target="https://twitter.com/pastpunditry/status/705927310030065664" TargetMode="External"/><Relationship Id="rId3945" Type="http://schemas.openxmlformats.org/officeDocument/2006/relationships/hyperlink" Target="https://pbs.twimg.com/profile_images/604060333590855682/Fk6r1D7d_normal.jpg" TargetMode="External"/><Relationship Id="rId2616" Type="http://schemas.openxmlformats.org/officeDocument/2006/relationships/hyperlink" Target="https://pbs.twimg.com/profile_images/704873222802636800/7aFEMOY5_normal.jpg" TargetMode="External"/><Relationship Id="rId3948" Type="http://schemas.openxmlformats.org/officeDocument/2006/relationships/hyperlink" Target="https://pbs.twimg.com/profile_images/609765839051452416/GNW0wSt0_normal.jpg" TargetMode="External"/><Relationship Id="rId2617" Type="http://schemas.openxmlformats.org/officeDocument/2006/relationships/hyperlink" Target="https://twitter.com/juliegpeterson" TargetMode="External"/><Relationship Id="rId3947" Type="http://schemas.openxmlformats.org/officeDocument/2006/relationships/hyperlink" Target="https://twitter.com/juliegpeterson/status/706122264987770881" TargetMode="External"/><Relationship Id="rId2618" Type="http://schemas.openxmlformats.org/officeDocument/2006/relationships/hyperlink" Target="https://twitter.com/juliegpeterson/status/705927339708915712" TargetMode="External"/><Relationship Id="rId2619" Type="http://schemas.openxmlformats.org/officeDocument/2006/relationships/hyperlink" Target="https://pbs.twimg.com/profile_images/609765839051452416/GNW0wSt0_normal.jpg" TargetMode="External"/><Relationship Id="rId3949" Type="http://schemas.openxmlformats.org/officeDocument/2006/relationships/hyperlink" Target="https://twitter.com/NickBrownAuthor" TargetMode="External"/><Relationship Id="rId3940" Type="http://schemas.openxmlformats.org/officeDocument/2006/relationships/hyperlink" Target="https://twitter.com/mubarberino" TargetMode="External"/><Relationship Id="rId1312" Type="http://schemas.openxmlformats.org/officeDocument/2006/relationships/hyperlink" Target="https://twitter.com/JulieThePH/status/705846087475716097" TargetMode="External"/><Relationship Id="rId2643" Type="http://schemas.openxmlformats.org/officeDocument/2006/relationships/hyperlink" Target="https://pbs.twimg.com/profile_images/604060333590855682/Fk6r1D7d_normal.jpg" TargetMode="External"/><Relationship Id="rId3975" Type="http://schemas.openxmlformats.org/officeDocument/2006/relationships/hyperlink" Target="https://pbs.twimg.com/profile_images/702272676837068800/xO5D7apz_normal.jpg" TargetMode="External"/><Relationship Id="rId1313" Type="http://schemas.openxmlformats.org/officeDocument/2006/relationships/hyperlink" Target="https://pbs.twimg.com/profile_images/596509974005686273/AqBblwMR_normal.jpg" TargetMode="External"/><Relationship Id="rId2644" Type="http://schemas.openxmlformats.org/officeDocument/2006/relationships/hyperlink" Target="https://twitter.com/jamiaw" TargetMode="External"/><Relationship Id="rId3974" Type="http://schemas.openxmlformats.org/officeDocument/2006/relationships/hyperlink" Target="https://twitter.com/MedeaCulpa/status/706127651954630656" TargetMode="External"/><Relationship Id="rId1314" Type="http://schemas.openxmlformats.org/officeDocument/2006/relationships/hyperlink" Target="https://twitter.com/leilasedai" TargetMode="External"/><Relationship Id="rId2645" Type="http://schemas.openxmlformats.org/officeDocument/2006/relationships/hyperlink" Target="https://twitter.com/jamiaw/status/705927523960537089" TargetMode="External"/><Relationship Id="rId3977" Type="http://schemas.openxmlformats.org/officeDocument/2006/relationships/hyperlink" Target="https://twitter.com/MedeaCulpa/status/706128028527685632" TargetMode="External"/><Relationship Id="rId1315" Type="http://schemas.openxmlformats.org/officeDocument/2006/relationships/hyperlink" Target="https://twitter.com/leilasedai/status/705846128734920704" TargetMode="External"/><Relationship Id="rId2646" Type="http://schemas.openxmlformats.org/officeDocument/2006/relationships/hyperlink" Target="https://pbs.twimg.com/profile_images/701102020061753344/5zH70uem_normal.jpg" TargetMode="External"/><Relationship Id="rId3976" Type="http://schemas.openxmlformats.org/officeDocument/2006/relationships/hyperlink" Target="https://twitter.com/MedeaCulpa" TargetMode="External"/><Relationship Id="rId1316" Type="http://schemas.openxmlformats.org/officeDocument/2006/relationships/hyperlink" Target="https://pbs.twimg.com/profile_images/704308066691383296/rW3e7Ehb_normal.jpg" TargetMode="External"/><Relationship Id="rId2647" Type="http://schemas.openxmlformats.org/officeDocument/2006/relationships/hyperlink" Target="https://twitter.com/GHAUmass" TargetMode="External"/><Relationship Id="rId3979" Type="http://schemas.openxmlformats.org/officeDocument/2006/relationships/hyperlink" Target="https://twitter.com/Ravon_Ashley" TargetMode="External"/><Relationship Id="rId1317" Type="http://schemas.openxmlformats.org/officeDocument/2006/relationships/hyperlink" Target="https://twitter.com/pastpunditry" TargetMode="External"/><Relationship Id="rId2648" Type="http://schemas.openxmlformats.org/officeDocument/2006/relationships/hyperlink" Target="https://twitter.com/GHAUmass/status/705927564506828803" TargetMode="External"/><Relationship Id="rId3978" Type="http://schemas.openxmlformats.org/officeDocument/2006/relationships/hyperlink" Target="https://pbs.twimg.com/profile_images/702272676837068800/xO5D7apz_normal.jpg" TargetMode="External"/><Relationship Id="rId1318" Type="http://schemas.openxmlformats.org/officeDocument/2006/relationships/hyperlink" Target="https://twitter.com/pastpunditry/status/705846213246132225" TargetMode="External"/><Relationship Id="rId2649" Type="http://schemas.openxmlformats.org/officeDocument/2006/relationships/hyperlink" Target="https://pbs.twimg.com/profile_images/604060333590855682/Fk6r1D7d_normal.jpg" TargetMode="External"/><Relationship Id="rId1319" Type="http://schemas.openxmlformats.org/officeDocument/2006/relationships/hyperlink" Target="https://pbs.twimg.com/profile_images/704873222802636800/7aFEMOY5_normal.jpg" TargetMode="External"/><Relationship Id="rId729" Type="http://schemas.openxmlformats.org/officeDocument/2006/relationships/hyperlink" Target="https://twitter.com/womenactmedia/status/705799058183561217" TargetMode="External"/><Relationship Id="rId728" Type="http://schemas.openxmlformats.org/officeDocument/2006/relationships/hyperlink" Target="https://twitter.com/womenactmedia" TargetMode="External"/><Relationship Id="rId723" Type="http://schemas.openxmlformats.org/officeDocument/2006/relationships/hyperlink" Target="https://twitter.com/jamiaw/status/705798734853120001" TargetMode="External"/><Relationship Id="rId722" Type="http://schemas.openxmlformats.org/officeDocument/2006/relationships/hyperlink" Target="https://twitter.com/jamiaw" TargetMode="External"/><Relationship Id="rId721" Type="http://schemas.openxmlformats.org/officeDocument/2006/relationships/hyperlink" Target="https://pbs.twimg.com/profile_images/460795104903442432/94uhSQON_normal.jpeg" TargetMode="External"/><Relationship Id="rId720" Type="http://schemas.openxmlformats.org/officeDocument/2006/relationships/hyperlink" Target="https://twitter.com/gothamscholar/status/705798231289163776" TargetMode="External"/><Relationship Id="rId727" Type="http://schemas.openxmlformats.org/officeDocument/2006/relationships/hyperlink" Target="https://pbs.twimg.com/profile_images/704873222802636800/7aFEMOY5_normal.jpg" TargetMode="External"/><Relationship Id="rId726" Type="http://schemas.openxmlformats.org/officeDocument/2006/relationships/hyperlink" Target="https://twitter.com/pastpunditry/status/705799030178189312" TargetMode="External"/><Relationship Id="rId725" Type="http://schemas.openxmlformats.org/officeDocument/2006/relationships/hyperlink" Target="https://twitter.com/pastpunditry" TargetMode="External"/><Relationship Id="rId724" Type="http://schemas.openxmlformats.org/officeDocument/2006/relationships/hyperlink" Target="https://pbs.twimg.com/profile_images/701102020061753344/5zH70uem_normal.jpg" TargetMode="External"/><Relationship Id="rId3971" Type="http://schemas.openxmlformats.org/officeDocument/2006/relationships/hyperlink" Target="https://twitter.com/MedeaCulpa/status/706127125196247042" TargetMode="External"/><Relationship Id="rId2640" Type="http://schemas.openxmlformats.org/officeDocument/2006/relationships/hyperlink" Target="https://pbs.twimg.com/profile_images/701102020061753344/5zH70uem_normal.jpg" TargetMode="External"/><Relationship Id="rId3970" Type="http://schemas.openxmlformats.org/officeDocument/2006/relationships/hyperlink" Target="https://twitter.com/MedeaCulpa" TargetMode="External"/><Relationship Id="rId1310" Type="http://schemas.openxmlformats.org/officeDocument/2006/relationships/hyperlink" Target="https://pbs.twimg.com/profile_images/704873222802636800/7aFEMOY5_normal.jpg" TargetMode="External"/><Relationship Id="rId2641" Type="http://schemas.openxmlformats.org/officeDocument/2006/relationships/hyperlink" Target="https://twitter.com/GHAUmass" TargetMode="External"/><Relationship Id="rId3973" Type="http://schemas.openxmlformats.org/officeDocument/2006/relationships/hyperlink" Target="https://twitter.com/MedeaCulpa" TargetMode="External"/><Relationship Id="rId1311" Type="http://schemas.openxmlformats.org/officeDocument/2006/relationships/hyperlink" Target="https://twitter.com/JulieThePH" TargetMode="External"/><Relationship Id="rId2642" Type="http://schemas.openxmlformats.org/officeDocument/2006/relationships/hyperlink" Target="https://twitter.com/GHAUmass/status/705927500803735552" TargetMode="External"/><Relationship Id="rId3972" Type="http://schemas.openxmlformats.org/officeDocument/2006/relationships/hyperlink" Target="https://pbs.twimg.com/profile_images/702272676837068800/xO5D7apz_normal.jpg" TargetMode="External"/><Relationship Id="rId1301" Type="http://schemas.openxmlformats.org/officeDocument/2006/relationships/hyperlink" Target="https://pbs.twimg.com/profile_images/704873222802636800/7aFEMOY5_normal.jpg" TargetMode="External"/><Relationship Id="rId2632" Type="http://schemas.openxmlformats.org/officeDocument/2006/relationships/hyperlink" Target="https://twitter.com/jamiaw" TargetMode="External"/><Relationship Id="rId3964" Type="http://schemas.openxmlformats.org/officeDocument/2006/relationships/hyperlink" Target="https://twitter.com/20sto60sMaia" TargetMode="External"/><Relationship Id="rId1302" Type="http://schemas.openxmlformats.org/officeDocument/2006/relationships/hyperlink" Target="https://twitter.com/pastpunditry" TargetMode="External"/><Relationship Id="rId2633" Type="http://schemas.openxmlformats.org/officeDocument/2006/relationships/hyperlink" Target="https://twitter.com/jamiaw/status/705927465118601217" TargetMode="External"/><Relationship Id="rId3963" Type="http://schemas.openxmlformats.org/officeDocument/2006/relationships/hyperlink" Target="https://pbs.twimg.com/profile_images/702272676837068800/xO5D7apz_normal.jpg" TargetMode="External"/><Relationship Id="rId1303" Type="http://schemas.openxmlformats.org/officeDocument/2006/relationships/hyperlink" Target="https://twitter.com/pastpunditry/status/705845545739411457" TargetMode="External"/><Relationship Id="rId2634" Type="http://schemas.openxmlformats.org/officeDocument/2006/relationships/hyperlink" Target="https://pbs.twimg.com/profile_images/701102020061753344/5zH70uem_normal.jpg" TargetMode="External"/><Relationship Id="rId3966" Type="http://schemas.openxmlformats.org/officeDocument/2006/relationships/hyperlink" Target="https://pbs.twimg.com/profile_images/687113621231529984/qLnmIKIk_normal.jpg" TargetMode="External"/><Relationship Id="rId1304" Type="http://schemas.openxmlformats.org/officeDocument/2006/relationships/hyperlink" Target="https://pbs.twimg.com/profile_images/704873222802636800/7aFEMOY5_normal.jpg" TargetMode="External"/><Relationship Id="rId2635" Type="http://schemas.openxmlformats.org/officeDocument/2006/relationships/hyperlink" Target="https://twitter.com/pastpunditry" TargetMode="External"/><Relationship Id="rId3965" Type="http://schemas.openxmlformats.org/officeDocument/2006/relationships/hyperlink" Target="https://twitter.com/20sto60sMaia/status/706126516980228098" TargetMode="External"/><Relationship Id="rId1305" Type="http://schemas.openxmlformats.org/officeDocument/2006/relationships/hyperlink" Target="https://twitter.com/JimGrossmanAHA" TargetMode="External"/><Relationship Id="rId2636" Type="http://schemas.openxmlformats.org/officeDocument/2006/relationships/hyperlink" Target="https://twitter.com/pastpunditry/status/705927481136644096" TargetMode="External"/><Relationship Id="rId3968" Type="http://schemas.openxmlformats.org/officeDocument/2006/relationships/hyperlink" Target="https://twitter.com/magmidd/status/706126770320351232" TargetMode="External"/><Relationship Id="rId1306" Type="http://schemas.openxmlformats.org/officeDocument/2006/relationships/hyperlink" Target="https://twitter.com/JimGrossmanAHA/status/705845667848167429" TargetMode="External"/><Relationship Id="rId2637" Type="http://schemas.openxmlformats.org/officeDocument/2006/relationships/hyperlink" Target="https://pbs.twimg.com/profile_images/704873222802636800/7aFEMOY5_normal.jpg" TargetMode="External"/><Relationship Id="rId3967" Type="http://schemas.openxmlformats.org/officeDocument/2006/relationships/hyperlink" Target="https://twitter.com/magmidd" TargetMode="External"/><Relationship Id="rId1307" Type="http://schemas.openxmlformats.org/officeDocument/2006/relationships/hyperlink" Target="https://pbs.twimg.com/profile_images/378800000667891782/44d7b181c077bf16ab07b242f7ad81b9_normal.png" TargetMode="External"/><Relationship Id="rId2638" Type="http://schemas.openxmlformats.org/officeDocument/2006/relationships/hyperlink" Target="https://twitter.com/jamiaw" TargetMode="External"/><Relationship Id="rId1308" Type="http://schemas.openxmlformats.org/officeDocument/2006/relationships/hyperlink" Target="https://twitter.com/pastpunditry" TargetMode="External"/><Relationship Id="rId2639" Type="http://schemas.openxmlformats.org/officeDocument/2006/relationships/hyperlink" Target="https://twitter.com/jamiaw/status/705927486027251713" TargetMode="External"/><Relationship Id="rId3969" Type="http://schemas.openxmlformats.org/officeDocument/2006/relationships/hyperlink" Target="https://pbs.twimg.com/profile_images/378800000450415007/82bcc7d0cab85e8d5920dbf5ded6715e_normal.jpeg" TargetMode="External"/><Relationship Id="rId1309" Type="http://schemas.openxmlformats.org/officeDocument/2006/relationships/hyperlink" Target="https://twitter.com/pastpunditry/status/705846000947236864" TargetMode="External"/><Relationship Id="rId719" Type="http://schemas.openxmlformats.org/officeDocument/2006/relationships/hyperlink" Target="https://twitter.com/gothamscholar" TargetMode="External"/><Relationship Id="rId718" Type="http://schemas.openxmlformats.org/officeDocument/2006/relationships/hyperlink" Target="https://pbs.twimg.com/profile_images/704873222802636800/7aFEMOY5_normal.jpg" TargetMode="External"/><Relationship Id="rId717" Type="http://schemas.openxmlformats.org/officeDocument/2006/relationships/hyperlink" Target="https://twitter.com/pastpunditry/status/705798026795810817" TargetMode="External"/><Relationship Id="rId712" Type="http://schemas.openxmlformats.org/officeDocument/2006/relationships/hyperlink" Target="https://pbs.twimg.com/profile_images/676362182020481024/P0kyLli1_normal.jpg" TargetMode="External"/><Relationship Id="rId711" Type="http://schemas.openxmlformats.org/officeDocument/2006/relationships/hyperlink" Target="https://twitter.com/mille24c/status/705797515271135234" TargetMode="External"/><Relationship Id="rId710" Type="http://schemas.openxmlformats.org/officeDocument/2006/relationships/hyperlink" Target="https://twitter.com/mille24c" TargetMode="External"/><Relationship Id="rId716" Type="http://schemas.openxmlformats.org/officeDocument/2006/relationships/hyperlink" Target="https://twitter.com/pastpunditry" TargetMode="External"/><Relationship Id="rId715" Type="http://schemas.openxmlformats.org/officeDocument/2006/relationships/hyperlink" Target="https://pbs.twimg.com/profile_images/704873222802636800/7aFEMOY5_normal.jpg" TargetMode="External"/><Relationship Id="rId714" Type="http://schemas.openxmlformats.org/officeDocument/2006/relationships/hyperlink" Target="https://twitter.com/pastpunditry/status/705797698063048705" TargetMode="External"/><Relationship Id="rId713" Type="http://schemas.openxmlformats.org/officeDocument/2006/relationships/hyperlink" Target="https://twitter.com/pastpunditry" TargetMode="External"/><Relationship Id="rId3960" Type="http://schemas.openxmlformats.org/officeDocument/2006/relationships/hyperlink" Target="https://pbs.twimg.com/profile_images/702272676837068800/xO5D7apz_normal.jpg" TargetMode="External"/><Relationship Id="rId2630" Type="http://schemas.openxmlformats.org/officeDocument/2006/relationships/hyperlink" Target="https://twitter.com/CLMcWhirter/status/705927463281553408" TargetMode="External"/><Relationship Id="rId3962" Type="http://schemas.openxmlformats.org/officeDocument/2006/relationships/hyperlink" Target="https://twitter.com/MedeaCulpa/status/706126457316184064" TargetMode="External"/><Relationship Id="rId1300" Type="http://schemas.openxmlformats.org/officeDocument/2006/relationships/hyperlink" Target="https://twitter.com/pastpunditry/status/705845529188687873" TargetMode="External"/><Relationship Id="rId2631" Type="http://schemas.openxmlformats.org/officeDocument/2006/relationships/hyperlink" Target="https://pbs.twimg.com/profile_images/539158065589678080/_JOBYuna_normal.jpeg" TargetMode="External"/><Relationship Id="rId3961" Type="http://schemas.openxmlformats.org/officeDocument/2006/relationships/hyperlink" Target="https://twitter.com/MedeaCulpa" TargetMode="External"/><Relationship Id="rId3117" Type="http://schemas.openxmlformats.org/officeDocument/2006/relationships/hyperlink" Target="https://pbs.twimg.com/profile_images/704873222802636800/7aFEMOY5_normal.jpg" TargetMode="External"/><Relationship Id="rId4448" Type="http://schemas.openxmlformats.org/officeDocument/2006/relationships/hyperlink" Target="https://twitter.com/pastpunditry" TargetMode="External"/><Relationship Id="rId3116" Type="http://schemas.openxmlformats.org/officeDocument/2006/relationships/hyperlink" Target="https://twitter.com/pastpunditry/status/705932432374177793" TargetMode="External"/><Relationship Id="rId4447" Type="http://schemas.openxmlformats.org/officeDocument/2006/relationships/hyperlink" Target="https://pbs.twimg.com/profile_images/3357790300/e80f72cc154c4bfa4bc8dc718fbc525b_normal.jpeg" TargetMode="External"/><Relationship Id="rId3119" Type="http://schemas.openxmlformats.org/officeDocument/2006/relationships/hyperlink" Target="https://twitter.com/magmidd/status/705932464640827392" TargetMode="External"/><Relationship Id="rId3118" Type="http://schemas.openxmlformats.org/officeDocument/2006/relationships/hyperlink" Target="https://twitter.com/magmidd" TargetMode="External"/><Relationship Id="rId4449" Type="http://schemas.openxmlformats.org/officeDocument/2006/relationships/hyperlink" Target="https://twitter.com/pastpunditry/status/706163520249991168" TargetMode="External"/><Relationship Id="rId4440" Type="http://schemas.openxmlformats.org/officeDocument/2006/relationships/hyperlink" Target="https://twitter.com/pastpunditry/status/706161731383529472" TargetMode="External"/><Relationship Id="rId3111" Type="http://schemas.openxmlformats.org/officeDocument/2006/relationships/hyperlink" Target="https://pbs.twimg.com/profile_images/609765839051452416/GNW0wSt0_normal.jpg" TargetMode="External"/><Relationship Id="rId4442" Type="http://schemas.openxmlformats.org/officeDocument/2006/relationships/hyperlink" Target="https://twitter.com/JulieThePH" TargetMode="External"/><Relationship Id="rId3110" Type="http://schemas.openxmlformats.org/officeDocument/2006/relationships/hyperlink" Target="https://twitter.com/juliegpeterson/status/705932395061633024" TargetMode="External"/><Relationship Id="rId4441" Type="http://schemas.openxmlformats.org/officeDocument/2006/relationships/hyperlink" Target="https://pbs.twimg.com/profile_images/704873222802636800/7aFEMOY5_normal.jpg" TargetMode="External"/><Relationship Id="rId3113" Type="http://schemas.openxmlformats.org/officeDocument/2006/relationships/hyperlink" Target="https://twitter.com/pastpunditry/status/705932416075038720" TargetMode="External"/><Relationship Id="rId4444" Type="http://schemas.openxmlformats.org/officeDocument/2006/relationships/hyperlink" Target="https://pbs.twimg.com/profile_images/596509974005686273/AqBblwMR_normal.jpg" TargetMode="External"/><Relationship Id="rId3112" Type="http://schemas.openxmlformats.org/officeDocument/2006/relationships/hyperlink" Target="https://twitter.com/pastpunditry" TargetMode="External"/><Relationship Id="rId4443" Type="http://schemas.openxmlformats.org/officeDocument/2006/relationships/hyperlink" Target="https://twitter.com/JulieThePH/status/706162080232169472" TargetMode="External"/><Relationship Id="rId3115" Type="http://schemas.openxmlformats.org/officeDocument/2006/relationships/hyperlink" Target="https://twitter.com/pastpunditry" TargetMode="External"/><Relationship Id="rId4446" Type="http://schemas.openxmlformats.org/officeDocument/2006/relationships/hyperlink" Target="https://twitter.com/abreimaier/status/706163366071574529" TargetMode="External"/><Relationship Id="rId3114" Type="http://schemas.openxmlformats.org/officeDocument/2006/relationships/hyperlink" Target="https://pbs.twimg.com/profile_images/704873222802636800/7aFEMOY5_normal.jpg" TargetMode="External"/><Relationship Id="rId4445" Type="http://schemas.openxmlformats.org/officeDocument/2006/relationships/hyperlink" Target="https://twitter.com/abreimaier" TargetMode="External"/><Relationship Id="rId3106" Type="http://schemas.openxmlformats.org/officeDocument/2006/relationships/hyperlink" Target="https://twitter.com/erfagen" TargetMode="External"/><Relationship Id="rId4437" Type="http://schemas.openxmlformats.org/officeDocument/2006/relationships/hyperlink" Target="https://twitter.com/JimGrossmanAHA/status/706161549224878081" TargetMode="External"/><Relationship Id="rId3105" Type="http://schemas.openxmlformats.org/officeDocument/2006/relationships/hyperlink" Target="https://pbs.twimg.com/profile_images/1368672632/MC_logo_normal.jpg" TargetMode="External"/><Relationship Id="rId4436" Type="http://schemas.openxmlformats.org/officeDocument/2006/relationships/hyperlink" Target="https://twitter.com/JimGrossmanAHA" TargetMode="External"/><Relationship Id="rId3108" Type="http://schemas.openxmlformats.org/officeDocument/2006/relationships/hyperlink" Target="https://pbs.twimg.com/profile_images/638086945722249217/mid_S_BQ_normal.jpg" TargetMode="External"/><Relationship Id="rId4439" Type="http://schemas.openxmlformats.org/officeDocument/2006/relationships/hyperlink" Target="https://twitter.com/pastpunditry" TargetMode="External"/><Relationship Id="rId3107" Type="http://schemas.openxmlformats.org/officeDocument/2006/relationships/hyperlink" Target="https://twitter.com/erfagen/status/705932366078996480" TargetMode="External"/><Relationship Id="rId4438" Type="http://schemas.openxmlformats.org/officeDocument/2006/relationships/hyperlink" Target="https://pbs.twimg.com/profile_images/378800000667891782/44d7b181c077bf16ab07b242f7ad81b9_normal.png" TargetMode="External"/><Relationship Id="rId3109" Type="http://schemas.openxmlformats.org/officeDocument/2006/relationships/hyperlink" Target="https://twitter.com/juliegpeterson" TargetMode="External"/><Relationship Id="rId3100" Type="http://schemas.openxmlformats.org/officeDocument/2006/relationships/hyperlink" Target="https://twitter.com/GHAUmass" TargetMode="External"/><Relationship Id="rId4431" Type="http://schemas.openxmlformats.org/officeDocument/2006/relationships/hyperlink" Target="https://twitter.com/Indicaworld/status/706161330483503105" TargetMode="External"/><Relationship Id="rId4430" Type="http://schemas.openxmlformats.org/officeDocument/2006/relationships/hyperlink" Target="https://twitter.com/Indicaworld" TargetMode="External"/><Relationship Id="rId3102" Type="http://schemas.openxmlformats.org/officeDocument/2006/relationships/hyperlink" Target="https://pbs.twimg.com/profile_images/604060333590855682/Fk6r1D7d_normal.jpg" TargetMode="External"/><Relationship Id="rId4433" Type="http://schemas.openxmlformats.org/officeDocument/2006/relationships/hyperlink" Target="https://twitter.com/thecliodotcom" TargetMode="External"/><Relationship Id="rId3101" Type="http://schemas.openxmlformats.org/officeDocument/2006/relationships/hyperlink" Target="https://twitter.com/GHAUmass/status/705932290598301696" TargetMode="External"/><Relationship Id="rId4432" Type="http://schemas.openxmlformats.org/officeDocument/2006/relationships/hyperlink" Target="https://pbs.twimg.com/profile_images/378800000735123774/e2ecc33272eaed1ad26c5b77d773f70b_normal.jpeg" TargetMode="External"/><Relationship Id="rId3104" Type="http://schemas.openxmlformats.org/officeDocument/2006/relationships/hyperlink" Target="https://twitter.com/Miller_Center/status/705932315906711552" TargetMode="External"/><Relationship Id="rId4435" Type="http://schemas.openxmlformats.org/officeDocument/2006/relationships/hyperlink" Target="https://pbs.twimg.com/profile_images/636594907730214912/W77i_f0Q_normal.png" TargetMode="External"/><Relationship Id="rId3103" Type="http://schemas.openxmlformats.org/officeDocument/2006/relationships/hyperlink" Target="https://twitter.com/Miller_Center" TargetMode="External"/><Relationship Id="rId4434" Type="http://schemas.openxmlformats.org/officeDocument/2006/relationships/hyperlink" Target="https://twitter.com/thecliodotcom/status/706161407478231040" TargetMode="External"/><Relationship Id="rId3139" Type="http://schemas.openxmlformats.org/officeDocument/2006/relationships/hyperlink" Target="https://twitter.com/pastpunditry" TargetMode="External"/><Relationship Id="rId3138" Type="http://schemas.openxmlformats.org/officeDocument/2006/relationships/hyperlink" Target="https://pbs.twimg.com/profile_images/378800000667891782/44d7b181c077bf16ab07b242f7ad81b9_normal.png" TargetMode="External"/><Relationship Id="rId4469" Type="http://schemas.openxmlformats.org/officeDocument/2006/relationships/hyperlink" Target="https://twitter.com/DeviantReader" TargetMode="External"/><Relationship Id="rId4460" Type="http://schemas.openxmlformats.org/officeDocument/2006/relationships/hyperlink" Target="https://twitter.com/MBZepedaCortes" TargetMode="External"/><Relationship Id="rId3131" Type="http://schemas.openxmlformats.org/officeDocument/2006/relationships/hyperlink" Target="https://twitter.com/defactofecteau/status/705932584547688448" TargetMode="External"/><Relationship Id="rId4462" Type="http://schemas.openxmlformats.org/officeDocument/2006/relationships/hyperlink" Target="https://pbs.twimg.com/profile_images/649599562542379008/gJLeVDR__normal.jpg" TargetMode="External"/><Relationship Id="rId3130" Type="http://schemas.openxmlformats.org/officeDocument/2006/relationships/hyperlink" Target="https://twitter.com/defactofecteau" TargetMode="External"/><Relationship Id="rId4461" Type="http://schemas.openxmlformats.org/officeDocument/2006/relationships/hyperlink" Target="https://twitter.com/MBZepedaCortes/status/706164279297363968" TargetMode="External"/><Relationship Id="rId3133" Type="http://schemas.openxmlformats.org/officeDocument/2006/relationships/hyperlink" Target="https://twitter.com/rebekkahrubin" TargetMode="External"/><Relationship Id="rId4464" Type="http://schemas.openxmlformats.org/officeDocument/2006/relationships/hyperlink" Target="https://twitter.com/MBZepedaCortes/status/706164514572673025" TargetMode="External"/><Relationship Id="rId3132" Type="http://schemas.openxmlformats.org/officeDocument/2006/relationships/hyperlink" Target="https://pbs.twimg.com/profile_images/434404729263648768/vsAZLFtj_normal.jpeg" TargetMode="External"/><Relationship Id="rId4463" Type="http://schemas.openxmlformats.org/officeDocument/2006/relationships/hyperlink" Target="https://twitter.com/MBZepedaCortes" TargetMode="External"/><Relationship Id="rId3135" Type="http://schemas.openxmlformats.org/officeDocument/2006/relationships/hyperlink" Target="https://pbs.twimg.com/profile_images/700317732588408832/Ym_-neUi_normal.jpg" TargetMode="External"/><Relationship Id="rId4466" Type="http://schemas.openxmlformats.org/officeDocument/2006/relationships/hyperlink" Target="https://twitter.com/erfagen" TargetMode="External"/><Relationship Id="rId3134" Type="http://schemas.openxmlformats.org/officeDocument/2006/relationships/hyperlink" Target="https://twitter.com/rebekkahrubin/status/705932598711865345" TargetMode="External"/><Relationship Id="rId4465" Type="http://schemas.openxmlformats.org/officeDocument/2006/relationships/hyperlink" Target="https://pbs.twimg.com/profile_images/649599562542379008/gJLeVDR__normal.jpg" TargetMode="External"/><Relationship Id="rId3137" Type="http://schemas.openxmlformats.org/officeDocument/2006/relationships/hyperlink" Target="https://twitter.com/JimGrossmanAHA/status/705932600704155648" TargetMode="External"/><Relationship Id="rId4468" Type="http://schemas.openxmlformats.org/officeDocument/2006/relationships/hyperlink" Target="https://pbs.twimg.com/profile_images/638086945722249217/mid_S_BQ_normal.jpg" TargetMode="External"/><Relationship Id="rId3136" Type="http://schemas.openxmlformats.org/officeDocument/2006/relationships/hyperlink" Target="https://twitter.com/JimGrossmanAHA" TargetMode="External"/><Relationship Id="rId4467" Type="http://schemas.openxmlformats.org/officeDocument/2006/relationships/hyperlink" Target="https://twitter.com/erfagen/status/706164923370442752" TargetMode="External"/><Relationship Id="rId3128" Type="http://schemas.openxmlformats.org/officeDocument/2006/relationships/hyperlink" Target="https://twitter.com/erfagen/status/705932566902263808" TargetMode="External"/><Relationship Id="rId4459" Type="http://schemas.openxmlformats.org/officeDocument/2006/relationships/hyperlink" Target="https://pbs.twimg.com/profile_images/1734334224/research-photo-cropped_normal.jpg" TargetMode="External"/><Relationship Id="rId3127" Type="http://schemas.openxmlformats.org/officeDocument/2006/relationships/hyperlink" Target="https://twitter.com/erfagen" TargetMode="External"/><Relationship Id="rId4458" Type="http://schemas.openxmlformats.org/officeDocument/2006/relationships/hyperlink" Target="https://twitter.com/s_schwinghamer/status/706163932004659200" TargetMode="External"/><Relationship Id="rId3129" Type="http://schemas.openxmlformats.org/officeDocument/2006/relationships/hyperlink" Target="https://pbs.twimg.com/profile_images/638086945722249217/mid_S_BQ_normal.jpg" TargetMode="External"/><Relationship Id="rId3120" Type="http://schemas.openxmlformats.org/officeDocument/2006/relationships/hyperlink" Target="https://pbs.twimg.com/profile_images/378800000450415007/82bcc7d0cab85e8d5920dbf5ded6715e_normal.jpeg" TargetMode="External"/><Relationship Id="rId4451" Type="http://schemas.openxmlformats.org/officeDocument/2006/relationships/hyperlink" Target="https://twitter.com/ceeCeeTeeCee" TargetMode="External"/><Relationship Id="rId4450" Type="http://schemas.openxmlformats.org/officeDocument/2006/relationships/hyperlink" Target="https://pbs.twimg.com/profile_images/704873222802636800/7aFEMOY5_normal.jpg" TargetMode="External"/><Relationship Id="rId3122" Type="http://schemas.openxmlformats.org/officeDocument/2006/relationships/hyperlink" Target="https://twitter.com/AmandaMoniz1/status/705932536682303488" TargetMode="External"/><Relationship Id="rId4453" Type="http://schemas.openxmlformats.org/officeDocument/2006/relationships/hyperlink" Target="https://pbs.twimg.com/profile_images/659074525959737345/vkwkSEQN_normal.jpg" TargetMode="External"/><Relationship Id="rId3121" Type="http://schemas.openxmlformats.org/officeDocument/2006/relationships/hyperlink" Target="https://twitter.com/AmandaMoniz1" TargetMode="External"/><Relationship Id="rId4452" Type="http://schemas.openxmlformats.org/officeDocument/2006/relationships/hyperlink" Target="https://twitter.com/ceeCeeTeeCee/status/706163536762957824" TargetMode="External"/><Relationship Id="rId3124" Type="http://schemas.openxmlformats.org/officeDocument/2006/relationships/hyperlink" Target="https://twitter.com/rebekkahrubin" TargetMode="External"/><Relationship Id="rId4455" Type="http://schemas.openxmlformats.org/officeDocument/2006/relationships/hyperlink" Target="https://twitter.com/pastpunditry/status/706163917316333568" TargetMode="External"/><Relationship Id="rId3123" Type="http://schemas.openxmlformats.org/officeDocument/2006/relationships/hyperlink" Target="https://pbs.twimg.com/profile_images/378800000149111881/7969acf9cec4197748b502a6a6c3d921_normal.jpeg" TargetMode="External"/><Relationship Id="rId4454" Type="http://schemas.openxmlformats.org/officeDocument/2006/relationships/hyperlink" Target="https://twitter.com/pastpunditry" TargetMode="External"/><Relationship Id="rId3126" Type="http://schemas.openxmlformats.org/officeDocument/2006/relationships/hyperlink" Target="https://pbs.twimg.com/profile_images/700317732588408832/Ym_-neUi_normal.jpg" TargetMode="External"/><Relationship Id="rId4457" Type="http://schemas.openxmlformats.org/officeDocument/2006/relationships/hyperlink" Target="https://twitter.com/s_schwinghamer" TargetMode="External"/><Relationship Id="rId3125" Type="http://schemas.openxmlformats.org/officeDocument/2006/relationships/hyperlink" Target="https://twitter.com/rebekkahrubin/status/705932540406861824" TargetMode="External"/><Relationship Id="rId4456" Type="http://schemas.openxmlformats.org/officeDocument/2006/relationships/hyperlink" Target="https://pbs.twimg.com/profile_images/704873222802636800/7aFEMOY5_normal.jpg" TargetMode="External"/><Relationship Id="rId1378" Type="http://schemas.openxmlformats.org/officeDocument/2006/relationships/hyperlink" Target="https://twitter.com/pastpunditry/status/705850550290612226" TargetMode="External"/><Relationship Id="rId4404" Type="http://schemas.openxmlformats.org/officeDocument/2006/relationships/hyperlink" Target="https://twitter.com/pastpunditry/status/706158459985731584" TargetMode="External"/><Relationship Id="rId1379" Type="http://schemas.openxmlformats.org/officeDocument/2006/relationships/hyperlink" Target="https://pbs.twimg.com/profile_images/704873222802636800/7aFEMOY5_normal.jpg" TargetMode="External"/><Relationship Id="rId4403" Type="http://schemas.openxmlformats.org/officeDocument/2006/relationships/hyperlink" Target="https://twitter.com/pastpunditry" TargetMode="External"/><Relationship Id="rId4406" Type="http://schemas.openxmlformats.org/officeDocument/2006/relationships/hyperlink" Target="https://twitter.com/pastpunditry" TargetMode="External"/><Relationship Id="rId4405" Type="http://schemas.openxmlformats.org/officeDocument/2006/relationships/hyperlink" Target="https://pbs.twimg.com/profile_images/704873222802636800/7aFEMOY5_normal.jpg" TargetMode="External"/><Relationship Id="rId4408" Type="http://schemas.openxmlformats.org/officeDocument/2006/relationships/hyperlink" Target="https://pbs.twimg.com/profile_images/704873222802636800/7aFEMOY5_normal.jpg" TargetMode="External"/><Relationship Id="rId4407" Type="http://schemas.openxmlformats.org/officeDocument/2006/relationships/hyperlink" Target="https://twitter.com/pastpunditry/status/706158750592176128" TargetMode="External"/><Relationship Id="rId4409" Type="http://schemas.openxmlformats.org/officeDocument/2006/relationships/hyperlink" Target="https://twitter.com/jamiaw" TargetMode="External"/><Relationship Id="rId789" Type="http://schemas.openxmlformats.org/officeDocument/2006/relationships/hyperlink" Target="https://twitter.com/pastpunditry/status/705804588692205568" TargetMode="External"/><Relationship Id="rId788" Type="http://schemas.openxmlformats.org/officeDocument/2006/relationships/hyperlink" Target="https://twitter.com/pastpunditry" TargetMode="External"/><Relationship Id="rId787" Type="http://schemas.openxmlformats.org/officeDocument/2006/relationships/hyperlink" Target="https://pbs.twimg.com/profile_images/596509974005686273/AqBblwMR_normal.jpg" TargetMode="External"/><Relationship Id="rId786" Type="http://schemas.openxmlformats.org/officeDocument/2006/relationships/hyperlink" Target="https://twitter.com/JulieThePH/status/705804565208285184" TargetMode="External"/><Relationship Id="rId781" Type="http://schemas.openxmlformats.org/officeDocument/2006/relationships/hyperlink" Target="https://pbs.twimg.com/profile_images/704873222802636800/7aFEMOY5_normal.jpg" TargetMode="External"/><Relationship Id="rId1370" Type="http://schemas.openxmlformats.org/officeDocument/2006/relationships/hyperlink" Target="https://pbs.twimg.com/profile_images/704873222802636800/7aFEMOY5_normal.jpg" TargetMode="External"/><Relationship Id="rId780" Type="http://schemas.openxmlformats.org/officeDocument/2006/relationships/hyperlink" Target="https://twitter.com/pastpunditry/status/705804291475378179" TargetMode="External"/><Relationship Id="rId1371" Type="http://schemas.openxmlformats.org/officeDocument/2006/relationships/hyperlink" Target="https://twitter.com/pastpunditry" TargetMode="External"/><Relationship Id="rId1372" Type="http://schemas.openxmlformats.org/officeDocument/2006/relationships/hyperlink" Target="https://twitter.com/pastpunditry/status/705850251706499072" TargetMode="External"/><Relationship Id="rId1373" Type="http://schemas.openxmlformats.org/officeDocument/2006/relationships/hyperlink" Target="https://pbs.twimg.com/profile_images/704873222802636800/7aFEMOY5_normal.jpg" TargetMode="External"/><Relationship Id="rId785" Type="http://schemas.openxmlformats.org/officeDocument/2006/relationships/hyperlink" Target="https://twitter.com/JulieThePH" TargetMode="External"/><Relationship Id="rId1374" Type="http://schemas.openxmlformats.org/officeDocument/2006/relationships/hyperlink" Target="https://twitter.com/pastpunditry" TargetMode="External"/><Relationship Id="rId4400" Type="http://schemas.openxmlformats.org/officeDocument/2006/relationships/hyperlink" Target="https://twitter.com/jamiaw" TargetMode="External"/><Relationship Id="rId784" Type="http://schemas.openxmlformats.org/officeDocument/2006/relationships/hyperlink" Target="https://pbs.twimg.com/profile_images/704873222802636800/7aFEMOY5_normal.jpg" TargetMode="External"/><Relationship Id="rId1375" Type="http://schemas.openxmlformats.org/officeDocument/2006/relationships/hyperlink" Target="https://twitter.com/pastpunditry/status/705850264738254850" TargetMode="External"/><Relationship Id="rId783" Type="http://schemas.openxmlformats.org/officeDocument/2006/relationships/hyperlink" Target="https://twitter.com/pastpunditry/status/705804460002508800" TargetMode="External"/><Relationship Id="rId1376" Type="http://schemas.openxmlformats.org/officeDocument/2006/relationships/hyperlink" Target="https://pbs.twimg.com/profile_images/704873222802636800/7aFEMOY5_normal.jpg" TargetMode="External"/><Relationship Id="rId4402" Type="http://schemas.openxmlformats.org/officeDocument/2006/relationships/hyperlink" Target="https://pbs.twimg.com/profile_images/701102020061753344/5zH70uem_normal.jpg" TargetMode="External"/><Relationship Id="rId782" Type="http://schemas.openxmlformats.org/officeDocument/2006/relationships/hyperlink" Target="https://twitter.com/pastpunditry" TargetMode="External"/><Relationship Id="rId1377" Type="http://schemas.openxmlformats.org/officeDocument/2006/relationships/hyperlink" Target="https://twitter.com/pastpunditry" TargetMode="External"/><Relationship Id="rId4401" Type="http://schemas.openxmlformats.org/officeDocument/2006/relationships/hyperlink" Target="https://twitter.com/jamiaw/status/706158385394274305" TargetMode="External"/><Relationship Id="rId1367" Type="http://schemas.openxmlformats.org/officeDocument/2006/relationships/hyperlink" Target="https://pbs.twimg.com/profile_images/565429960/Betsy_Twitter_normal.jpg" TargetMode="External"/><Relationship Id="rId2698" Type="http://schemas.openxmlformats.org/officeDocument/2006/relationships/hyperlink" Target="https://twitter.com/rebekkahrubin" TargetMode="External"/><Relationship Id="rId1368" Type="http://schemas.openxmlformats.org/officeDocument/2006/relationships/hyperlink" Target="https://twitter.com/pastpunditry" TargetMode="External"/><Relationship Id="rId2699" Type="http://schemas.openxmlformats.org/officeDocument/2006/relationships/hyperlink" Target="https://twitter.com/rebekkahrubin/status/705928054376415236" TargetMode="External"/><Relationship Id="rId1369" Type="http://schemas.openxmlformats.org/officeDocument/2006/relationships/hyperlink" Target="https://twitter.com/pastpunditry/status/705850238687436800" TargetMode="External"/><Relationship Id="rId778" Type="http://schemas.openxmlformats.org/officeDocument/2006/relationships/hyperlink" Target="https://pbs.twimg.com/profile_images/692379060840824834/ZPgEeZXq_normal.jpg" TargetMode="External"/><Relationship Id="rId777" Type="http://schemas.openxmlformats.org/officeDocument/2006/relationships/hyperlink" Target="https://twitter.com/LeahRigueur/status/705803874402177025" TargetMode="External"/><Relationship Id="rId776" Type="http://schemas.openxmlformats.org/officeDocument/2006/relationships/hyperlink" Target="https://twitter.com/LeahRigueur" TargetMode="External"/><Relationship Id="rId775" Type="http://schemas.openxmlformats.org/officeDocument/2006/relationships/hyperlink" Target="https://pbs.twimg.com/profile_images/704873222802636800/7aFEMOY5_normal.jpg" TargetMode="External"/><Relationship Id="rId779" Type="http://schemas.openxmlformats.org/officeDocument/2006/relationships/hyperlink" Target="https://twitter.com/pastpunditry" TargetMode="External"/><Relationship Id="rId770" Type="http://schemas.openxmlformats.org/officeDocument/2006/relationships/hyperlink" Target="https://twitter.com/ATErickson" TargetMode="External"/><Relationship Id="rId2690" Type="http://schemas.openxmlformats.org/officeDocument/2006/relationships/hyperlink" Target="https://twitter.com/erfagen/status/705927989041750017" TargetMode="External"/><Relationship Id="rId1360" Type="http://schemas.openxmlformats.org/officeDocument/2006/relationships/hyperlink" Target="https://twitter.com/pastpunditry/status/705849758104035331" TargetMode="External"/><Relationship Id="rId2691" Type="http://schemas.openxmlformats.org/officeDocument/2006/relationships/hyperlink" Target="https://pbs.twimg.com/profile_images/638086945722249217/mid_S_BQ_normal.jpg" TargetMode="External"/><Relationship Id="rId1361" Type="http://schemas.openxmlformats.org/officeDocument/2006/relationships/hyperlink" Target="https://pbs.twimg.com/profile_images/704873222802636800/7aFEMOY5_normal.jpg" TargetMode="External"/><Relationship Id="rId2692" Type="http://schemas.openxmlformats.org/officeDocument/2006/relationships/hyperlink" Target="https://twitter.com/pastpunditry" TargetMode="External"/><Relationship Id="rId1362" Type="http://schemas.openxmlformats.org/officeDocument/2006/relationships/hyperlink" Target="https://twitter.com/MarlaAtUmass" TargetMode="External"/><Relationship Id="rId2693" Type="http://schemas.openxmlformats.org/officeDocument/2006/relationships/hyperlink" Target="https://twitter.com/pastpunditry/status/705928026656260096" TargetMode="External"/><Relationship Id="rId774" Type="http://schemas.openxmlformats.org/officeDocument/2006/relationships/hyperlink" Target="https://twitter.com/pastpunditry/status/705803864772059136" TargetMode="External"/><Relationship Id="rId1363" Type="http://schemas.openxmlformats.org/officeDocument/2006/relationships/hyperlink" Target="https://twitter.com/MarlaAtUmass/status/705849820133593088" TargetMode="External"/><Relationship Id="rId2694" Type="http://schemas.openxmlformats.org/officeDocument/2006/relationships/hyperlink" Target="https://pbs.twimg.com/profile_images/704873222802636800/7aFEMOY5_normal.jpg" TargetMode="External"/><Relationship Id="rId773" Type="http://schemas.openxmlformats.org/officeDocument/2006/relationships/hyperlink" Target="https://twitter.com/pastpunditry" TargetMode="External"/><Relationship Id="rId1364" Type="http://schemas.openxmlformats.org/officeDocument/2006/relationships/hyperlink" Target="https://pbs.twimg.com/profile_images/565429960/Betsy_Twitter_normal.jpg" TargetMode="External"/><Relationship Id="rId2695" Type="http://schemas.openxmlformats.org/officeDocument/2006/relationships/hyperlink" Target="https://twitter.com/juliegpeterson" TargetMode="External"/><Relationship Id="rId772" Type="http://schemas.openxmlformats.org/officeDocument/2006/relationships/hyperlink" Target="https://pbs.twimg.com/profile_images/686322140753301505/1O3R49E1_normal.jpg" TargetMode="External"/><Relationship Id="rId1365" Type="http://schemas.openxmlformats.org/officeDocument/2006/relationships/hyperlink" Target="https://twitter.com/MarlaAtUmass" TargetMode="External"/><Relationship Id="rId2696" Type="http://schemas.openxmlformats.org/officeDocument/2006/relationships/hyperlink" Target="https://twitter.com/juliegpeterson/status/705928030921875456" TargetMode="External"/><Relationship Id="rId771" Type="http://schemas.openxmlformats.org/officeDocument/2006/relationships/hyperlink" Target="https://twitter.com/ATErickson/status/705803830450118656" TargetMode="External"/><Relationship Id="rId1366" Type="http://schemas.openxmlformats.org/officeDocument/2006/relationships/hyperlink" Target="https://twitter.com/MarlaAtUmass/status/705850179174449152" TargetMode="External"/><Relationship Id="rId2697" Type="http://schemas.openxmlformats.org/officeDocument/2006/relationships/hyperlink" Target="https://pbs.twimg.com/profile_images/609765839051452416/GNW0wSt0_normal.jpg" TargetMode="External"/><Relationship Id="rId4426" Type="http://schemas.openxmlformats.org/officeDocument/2006/relationships/hyperlink" Target="https://pbs.twimg.com/profile_images/704873222802636800/7aFEMOY5_normal.jpg" TargetMode="External"/><Relationship Id="rId4425" Type="http://schemas.openxmlformats.org/officeDocument/2006/relationships/hyperlink" Target="https://twitter.com/pastpunditry/status/706160110452744192" TargetMode="External"/><Relationship Id="rId4428" Type="http://schemas.openxmlformats.org/officeDocument/2006/relationships/hyperlink" Target="https://twitter.com/mattdelmont/status/706161166486106113" TargetMode="External"/><Relationship Id="rId4427" Type="http://schemas.openxmlformats.org/officeDocument/2006/relationships/hyperlink" Target="https://twitter.com/mattdelmont" TargetMode="External"/><Relationship Id="rId4429" Type="http://schemas.openxmlformats.org/officeDocument/2006/relationships/hyperlink" Target="https://pbs.twimg.com/profile_images/1762571664/POY_photo_-_web_normal.jpg" TargetMode="External"/><Relationship Id="rId1390" Type="http://schemas.openxmlformats.org/officeDocument/2006/relationships/hyperlink" Target="https://twitter.com/samueljredman/status/705851859655909378" TargetMode="External"/><Relationship Id="rId1391" Type="http://schemas.openxmlformats.org/officeDocument/2006/relationships/hyperlink" Target="https://pbs.twimg.com/profile_images/548193870278688768/8Dq7gW3U_normal.png" TargetMode="External"/><Relationship Id="rId1392" Type="http://schemas.openxmlformats.org/officeDocument/2006/relationships/hyperlink" Target="https://twitter.com/pastpunditry" TargetMode="External"/><Relationship Id="rId1393" Type="http://schemas.openxmlformats.org/officeDocument/2006/relationships/hyperlink" Target="https://twitter.com/pastpunditry/status/705851951842500610" TargetMode="External"/><Relationship Id="rId1394" Type="http://schemas.openxmlformats.org/officeDocument/2006/relationships/hyperlink" Target="https://pbs.twimg.com/profile_images/704873222802636800/7aFEMOY5_normal.jpg" TargetMode="External"/><Relationship Id="rId4420" Type="http://schemas.openxmlformats.org/officeDocument/2006/relationships/hyperlink" Target="https://pbs.twimg.com/profile_images/704873222802636800/7aFEMOY5_normal.jpg" TargetMode="External"/><Relationship Id="rId1395" Type="http://schemas.openxmlformats.org/officeDocument/2006/relationships/hyperlink" Target="https://twitter.com/pastpunditry" TargetMode="External"/><Relationship Id="rId1396" Type="http://schemas.openxmlformats.org/officeDocument/2006/relationships/hyperlink" Target="https://twitter.com/pastpunditry/status/705852627339382793" TargetMode="External"/><Relationship Id="rId4422" Type="http://schemas.openxmlformats.org/officeDocument/2006/relationships/hyperlink" Target="https://twitter.com/JulieThePH/status/706159803148718080" TargetMode="External"/><Relationship Id="rId1397" Type="http://schemas.openxmlformats.org/officeDocument/2006/relationships/hyperlink" Target="https://pbs.twimg.com/profile_images/704873222802636800/7aFEMOY5_normal.jpg" TargetMode="External"/><Relationship Id="rId4421" Type="http://schemas.openxmlformats.org/officeDocument/2006/relationships/hyperlink" Target="https://twitter.com/JulieThePH" TargetMode="External"/><Relationship Id="rId1398" Type="http://schemas.openxmlformats.org/officeDocument/2006/relationships/hyperlink" Target="https://twitter.com/pastpunditry" TargetMode="External"/><Relationship Id="rId4424" Type="http://schemas.openxmlformats.org/officeDocument/2006/relationships/hyperlink" Target="https://twitter.com/pastpunditry" TargetMode="External"/><Relationship Id="rId1399" Type="http://schemas.openxmlformats.org/officeDocument/2006/relationships/hyperlink" Target="https://twitter.com/pastpunditry/status/705853781792202756" TargetMode="External"/><Relationship Id="rId4423" Type="http://schemas.openxmlformats.org/officeDocument/2006/relationships/hyperlink" Target="https://pbs.twimg.com/profile_images/596509974005686273/AqBblwMR_normal.jpg" TargetMode="External"/><Relationship Id="rId1389" Type="http://schemas.openxmlformats.org/officeDocument/2006/relationships/hyperlink" Target="https://twitter.com/samueljredman" TargetMode="External"/><Relationship Id="rId4415" Type="http://schemas.openxmlformats.org/officeDocument/2006/relationships/hyperlink" Target="https://twitter.com/pastpunditry" TargetMode="External"/><Relationship Id="rId4414" Type="http://schemas.openxmlformats.org/officeDocument/2006/relationships/hyperlink" Target="https://pbs.twimg.com/profile_images/701102020061753344/5zH70uem_normal.jpg" TargetMode="External"/><Relationship Id="rId4417" Type="http://schemas.openxmlformats.org/officeDocument/2006/relationships/hyperlink" Target="https://pbs.twimg.com/profile_images/704873222802636800/7aFEMOY5_normal.jpg" TargetMode="External"/><Relationship Id="rId4416" Type="http://schemas.openxmlformats.org/officeDocument/2006/relationships/hyperlink" Target="https://twitter.com/pastpunditry/status/706159402789773312" TargetMode="External"/><Relationship Id="rId4419" Type="http://schemas.openxmlformats.org/officeDocument/2006/relationships/hyperlink" Target="https://twitter.com/pastpunditry/status/706159718323118080" TargetMode="External"/><Relationship Id="rId4418" Type="http://schemas.openxmlformats.org/officeDocument/2006/relationships/hyperlink" Target="https://twitter.com/pastpunditry" TargetMode="External"/><Relationship Id="rId799" Type="http://schemas.openxmlformats.org/officeDocument/2006/relationships/hyperlink" Target="https://pbs.twimg.com/profile_images/565429960/Betsy_Twitter_normal.jpg" TargetMode="External"/><Relationship Id="rId798" Type="http://schemas.openxmlformats.org/officeDocument/2006/relationships/hyperlink" Target="https://twitter.com/MarlaAtUmass/status/705805091652116480" TargetMode="External"/><Relationship Id="rId797" Type="http://schemas.openxmlformats.org/officeDocument/2006/relationships/hyperlink" Target="https://twitter.com/MarlaAtUmass" TargetMode="External"/><Relationship Id="rId1380" Type="http://schemas.openxmlformats.org/officeDocument/2006/relationships/hyperlink" Target="https://twitter.com/samueljredman" TargetMode="External"/><Relationship Id="rId792" Type="http://schemas.openxmlformats.org/officeDocument/2006/relationships/hyperlink" Target="https://twitter.com/pastpunditry/status/705804796666781696" TargetMode="External"/><Relationship Id="rId1381" Type="http://schemas.openxmlformats.org/officeDocument/2006/relationships/hyperlink" Target="https://twitter.com/samueljredman/status/705850860107120640" TargetMode="External"/><Relationship Id="rId791" Type="http://schemas.openxmlformats.org/officeDocument/2006/relationships/hyperlink" Target="https://twitter.com/pastpunditry" TargetMode="External"/><Relationship Id="rId1382" Type="http://schemas.openxmlformats.org/officeDocument/2006/relationships/hyperlink" Target="https://pbs.twimg.com/profile_images/548193870278688768/8Dq7gW3U_normal.png" TargetMode="External"/><Relationship Id="rId790" Type="http://schemas.openxmlformats.org/officeDocument/2006/relationships/hyperlink" Target="https://pbs.twimg.com/profile_images/704873222802636800/7aFEMOY5_normal.jpg" TargetMode="External"/><Relationship Id="rId1383" Type="http://schemas.openxmlformats.org/officeDocument/2006/relationships/hyperlink" Target="https://twitter.com/samueljredman" TargetMode="External"/><Relationship Id="rId1384" Type="http://schemas.openxmlformats.org/officeDocument/2006/relationships/hyperlink" Target="https://twitter.com/samueljredman/status/705851044555853828" TargetMode="External"/><Relationship Id="rId796" Type="http://schemas.openxmlformats.org/officeDocument/2006/relationships/hyperlink" Target="https://pbs.twimg.com/profile_images/596509974005686273/AqBblwMR_normal.jpg" TargetMode="External"/><Relationship Id="rId1385" Type="http://schemas.openxmlformats.org/officeDocument/2006/relationships/hyperlink" Target="https://pbs.twimg.com/profile_images/548193870278688768/8Dq7gW3U_normal.png" TargetMode="External"/><Relationship Id="rId4411" Type="http://schemas.openxmlformats.org/officeDocument/2006/relationships/hyperlink" Target="https://pbs.twimg.com/profile_images/701102020061753344/5zH70uem_normal.jpg" TargetMode="External"/><Relationship Id="rId795" Type="http://schemas.openxmlformats.org/officeDocument/2006/relationships/hyperlink" Target="https://twitter.com/JulieThePH/status/705804988380016640" TargetMode="External"/><Relationship Id="rId1386" Type="http://schemas.openxmlformats.org/officeDocument/2006/relationships/hyperlink" Target="https://twitter.com/pastpunditry" TargetMode="External"/><Relationship Id="rId4410" Type="http://schemas.openxmlformats.org/officeDocument/2006/relationships/hyperlink" Target="https://twitter.com/jamiaw/status/706159072110899201" TargetMode="External"/><Relationship Id="rId794" Type="http://schemas.openxmlformats.org/officeDocument/2006/relationships/hyperlink" Target="https://twitter.com/JulieThePH" TargetMode="External"/><Relationship Id="rId1387" Type="http://schemas.openxmlformats.org/officeDocument/2006/relationships/hyperlink" Target="https://twitter.com/pastpunditry/status/705851568718028800" TargetMode="External"/><Relationship Id="rId4413" Type="http://schemas.openxmlformats.org/officeDocument/2006/relationships/hyperlink" Target="https://twitter.com/jamiaw/status/706159223680401410" TargetMode="External"/><Relationship Id="rId793" Type="http://schemas.openxmlformats.org/officeDocument/2006/relationships/hyperlink" Target="https://pbs.twimg.com/profile_images/704873222802636800/7aFEMOY5_normal.jpg" TargetMode="External"/><Relationship Id="rId1388" Type="http://schemas.openxmlformats.org/officeDocument/2006/relationships/hyperlink" Target="https://pbs.twimg.com/profile_images/704873222802636800/7aFEMOY5_normal.jpg" TargetMode="External"/><Relationship Id="rId4412" Type="http://schemas.openxmlformats.org/officeDocument/2006/relationships/hyperlink" Target="https://twitter.com/jamiaw" TargetMode="External"/><Relationship Id="rId3191" Type="http://schemas.openxmlformats.org/officeDocument/2006/relationships/hyperlink" Target="https://twitter.com/juliegpeterson/status/705933053567377409" TargetMode="External"/><Relationship Id="rId3190" Type="http://schemas.openxmlformats.org/officeDocument/2006/relationships/hyperlink" Target="https://twitter.com/juliegpeterson" TargetMode="External"/><Relationship Id="rId3193" Type="http://schemas.openxmlformats.org/officeDocument/2006/relationships/hyperlink" Target="https://twitter.com/cameshascruggs" TargetMode="External"/><Relationship Id="rId3192" Type="http://schemas.openxmlformats.org/officeDocument/2006/relationships/hyperlink" Target="https://pbs.twimg.com/profile_images/609765839051452416/GNW0wSt0_normal.jpg" TargetMode="External"/><Relationship Id="rId3195" Type="http://schemas.openxmlformats.org/officeDocument/2006/relationships/hyperlink" Target="https://pbs.twimg.com/profile_images/187613030/me_in_panel_mode_normal.jpg" TargetMode="External"/><Relationship Id="rId3194" Type="http://schemas.openxmlformats.org/officeDocument/2006/relationships/hyperlink" Target="https://twitter.com/cameshascruggs/status/705933058306936834" TargetMode="External"/><Relationship Id="rId3197" Type="http://schemas.openxmlformats.org/officeDocument/2006/relationships/hyperlink" Target="https://twitter.com/pastpunditry/status/705933153580425216" TargetMode="External"/><Relationship Id="rId3196" Type="http://schemas.openxmlformats.org/officeDocument/2006/relationships/hyperlink" Target="https://twitter.com/pastpunditry" TargetMode="External"/><Relationship Id="rId3199" Type="http://schemas.openxmlformats.org/officeDocument/2006/relationships/hyperlink" Target="https://twitter.com/erfagen" TargetMode="External"/><Relationship Id="rId3198" Type="http://schemas.openxmlformats.org/officeDocument/2006/relationships/hyperlink" Target="https://pbs.twimg.com/profile_images/704873222802636800/7aFEMOY5_normal.jpg" TargetMode="External"/><Relationship Id="rId3180" Type="http://schemas.openxmlformats.org/officeDocument/2006/relationships/hyperlink" Target="https://pbs.twimg.com/profile_images/673691030139609088/8v7ab61D_normal.jpg" TargetMode="External"/><Relationship Id="rId3182" Type="http://schemas.openxmlformats.org/officeDocument/2006/relationships/hyperlink" Target="https://twitter.com/GHAUmass/status/705932986278158336" TargetMode="External"/><Relationship Id="rId3181" Type="http://schemas.openxmlformats.org/officeDocument/2006/relationships/hyperlink" Target="https://twitter.com/GHAUmass" TargetMode="External"/><Relationship Id="rId3184" Type="http://schemas.openxmlformats.org/officeDocument/2006/relationships/hyperlink" Target="https://twitter.com/pastpunditry" TargetMode="External"/><Relationship Id="rId3183" Type="http://schemas.openxmlformats.org/officeDocument/2006/relationships/hyperlink" Target="https://pbs.twimg.com/profile_images/604060333590855682/Fk6r1D7d_normal.jpg" TargetMode="External"/><Relationship Id="rId3186" Type="http://schemas.openxmlformats.org/officeDocument/2006/relationships/hyperlink" Target="https://pbs.twimg.com/profile_images/704873222802636800/7aFEMOY5_normal.jpg" TargetMode="External"/><Relationship Id="rId3185" Type="http://schemas.openxmlformats.org/officeDocument/2006/relationships/hyperlink" Target="https://twitter.com/pastpunditry/status/705932996893921280" TargetMode="External"/><Relationship Id="rId3188" Type="http://schemas.openxmlformats.org/officeDocument/2006/relationships/hyperlink" Target="https://twitter.com/pastpunditry/status/705933024630849537" TargetMode="External"/><Relationship Id="rId3187" Type="http://schemas.openxmlformats.org/officeDocument/2006/relationships/hyperlink" Target="https://twitter.com/pastpunditry" TargetMode="External"/><Relationship Id="rId3189" Type="http://schemas.openxmlformats.org/officeDocument/2006/relationships/hyperlink" Target="https://pbs.twimg.com/profile_images/704873222802636800/7aFEMOY5_normal.jpg" TargetMode="External"/><Relationship Id="rId4480" Type="http://schemas.openxmlformats.org/officeDocument/2006/relationships/hyperlink" Target="https://pbs.twimg.com/profile_images/436607137188290560/UM-U3wT1_normal.jpeg" TargetMode="External"/><Relationship Id="rId3151" Type="http://schemas.openxmlformats.org/officeDocument/2006/relationships/hyperlink" Target="https://twitter.com/pastpunditry" TargetMode="External"/><Relationship Id="rId4482" Type="http://schemas.openxmlformats.org/officeDocument/2006/relationships/hyperlink" Target="https://twitter.com/jaheppler/status/706166471810879488" TargetMode="External"/><Relationship Id="rId3150" Type="http://schemas.openxmlformats.org/officeDocument/2006/relationships/hyperlink" Target="https://pbs.twimg.com/profile_images/701102020061753344/5zH70uem_normal.jpg" TargetMode="External"/><Relationship Id="rId4481" Type="http://schemas.openxmlformats.org/officeDocument/2006/relationships/hyperlink" Target="https://twitter.com/jaheppler" TargetMode="External"/><Relationship Id="rId3153" Type="http://schemas.openxmlformats.org/officeDocument/2006/relationships/hyperlink" Target="https://pbs.twimg.com/profile_images/704873222802636800/7aFEMOY5_normal.jpg" TargetMode="External"/><Relationship Id="rId4484" Type="http://schemas.openxmlformats.org/officeDocument/2006/relationships/hyperlink" Target="https://twitter.com/samueljredman" TargetMode="External"/><Relationship Id="rId3152" Type="http://schemas.openxmlformats.org/officeDocument/2006/relationships/hyperlink" Target="https://twitter.com/pastpunditry/status/705932659126628352" TargetMode="External"/><Relationship Id="rId4483" Type="http://schemas.openxmlformats.org/officeDocument/2006/relationships/hyperlink" Target="https://pbs.twimg.com/profile_images/436607137188290560/UM-U3wT1_normal.jpeg" TargetMode="External"/><Relationship Id="rId3155" Type="http://schemas.openxmlformats.org/officeDocument/2006/relationships/hyperlink" Target="https://twitter.com/pastpunditry/status/705932681662566400" TargetMode="External"/><Relationship Id="rId4486" Type="http://schemas.openxmlformats.org/officeDocument/2006/relationships/hyperlink" Target="https://pbs.twimg.com/profile_images/548193870278688768/8Dq7gW3U_normal.png" TargetMode="External"/><Relationship Id="rId3154" Type="http://schemas.openxmlformats.org/officeDocument/2006/relationships/hyperlink" Target="https://twitter.com/pastpunditry" TargetMode="External"/><Relationship Id="rId4485" Type="http://schemas.openxmlformats.org/officeDocument/2006/relationships/hyperlink" Target="https://twitter.com/samueljredman/status/706169305600299008" TargetMode="External"/><Relationship Id="rId3157" Type="http://schemas.openxmlformats.org/officeDocument/2006/relationships/hyperlink" Target="https://twitter.com/jamiaw" TargetMode="External"/><Relationship Id="rId4488" Type="http://schemas.openxmlformats.org/officeDocument/2006/relationships/hyperlink" Target="https://twitter.com/samueljredman/status/706169432108883969" TargetMode="External"/><Relationship Id="rId3156" Type="http://schemas.openxmlformats.org/officeDocument/2006/relationships/hyperlink" Target="https://pbs.twimg.com/profile_images/704873222802636800/7aFEMOY5_normal.jpg" TargetMode="External"/><Relationship Id="rId4487" Type="http://schemas.openxmlformats.org/officeDocument/2006/relationships/hyperlink" Target="https://twitter.com/samueljredman" TargetMode="External"/><Relationship Id="rId3159" Type="http://schemas.openxmlformats.org/officeDocument/2006/relationships/hyperlink" Target="https://pbs.twimg.com/profile_images/701102020061753344/5zH70uem_normal.jpg" TargetMode="External"/><Relationship Id="rId3158" Type="http://schemas.openxmlformats.org/officeDocument/2006/relationships/hyperlink" Target="https://twitter.com/jamiaw/status/705932760893005825" TargetMode="External"/><Relationship Id="rId4489" Type="http://schemas.openxmlformats.org/officeDocument/2006/relationships/hyperlink" Target="https://pbs.twimg.com/profile_images/548193870278688768/8Dq7gW3U_normal.png" TargetMode="External"/><Relationship Id="rId3149" Type="http://schemas.openxmlformats.org/officeDocument/2006/relationships/hyperlink" Target="https://twitter.com/jamiaw/status/705932642164842496" TargetMode="External"/><Relationship Id="rId3140" Type="http://schemas.openxmlformats.org/officeDocument/2006/relationships/hyperlink" Target="https://twitter.com/pastpunditry/status/705932617045118976" TargetMode="External"/><Relationship Id="rId4471" Type="http://schemas.openxmlformats.org/officeDocument/2006/relationships/hyperlink" Target="https://pbs.twimg.com/profile_images/378800000768149718/c3ada20045c55343b6bb186b7db7c1a4_normal.jpeg" TargetMode="External"/><Relationship Id="rId4470" Type="http://schemas.openxmlformats.org/officeDocument/2006/relationships/hyperlink" Target="https://twitter.com/DeviantReader/status/706165003758473216" TargetMode="External"/><Relationship Id="rId3142" Type="http://schemas.openxmlformats.org/officeDocument/2006/relationships/hyperlink" Target="https://twitter.com/juliegpeterson" TargetMode="External"/><Relationship Id="rId4473" Type="http://schemas.openxmlformats.org/officeDocument/2006/relationships/hyperlink" Target="https://twitter.com/j3foley/status/706165060289347584" TargetMode="External"/><Relationship Id="rId3141" Type="http://schemas.openxmlformats.org/officeDocument/2006/relationships/hyperlink" Target="https://pbs.twimg.com/profile_images/704873222802636800/7aFEMOY5_normal.jpg" TargetMode="External"/><Relationship Id="rId4472" Type="http://schemas.openxmlformats.org/officeDocument/2006/relationships/hyperlink" Target="https://twitter.com/j3foley" TargetMode="External"/><Relationship Id="rId3144" Type="http://schemas.openxmlformats.org/officeDocument/2006/relationships/hyperlink" Target="https://pbs.twimg.com/profile_images/609765839051452416/GNW0wSt0_normal.jpg" TargetMode="External"/><Relationship Id="rId4475" Type="http://schemas.openxmlformats.org/officeDocument/2006/relationships/hyperlink" Target="https://twitter.com/j3foley" TargetMode="External"/><Relationship Id="rId3143" Type="http://schemas.openxmlformats.org/officeDocument/2006/relationships/hyperlink" Target="https://twitter.com/juliegpeterson/status/705932623818969088" TargetMode="External"/><Relationship Id="rId4474" Type="http://schemas.openxmlformats.org/officeDocument/2006/relationships/hyperlink" Target="https://pbs.twimg.com/profile_images/627686554861834241/UcDo7crN_normal.jpg" TargetMode="External"/><Relationship Id="rId3146" Type="http://schemas.openxmlformats.org/officeDocument/2006/relationships/hyperlink" Target="https://twitter.com/pastpunditry/status/705932636607418369" TargetMode="External"/><Relationship Id="rId4477" Type="http://schemas.openxmlformats.org/officeDocument/2006/relationships/hyperlink" Target="https://pbs.twimg.com/profile_images/627686554861834241/UcDo7crN_normal.jpg" TargetMode="External"/><Relationship Id="rId3145" Type="http://schemas.openxmlformats.org/officeDocument/2006/relationships/hyperlink" Target="https://twitter.com/pastpunditry" TargetMode="External"/><Relationship Id="rId4476" Type="http://schemas.openxmlformats.org/officeDocument/2006/relationships/hyperlink" Target="https://twitter.com/j3foley/status/706165514599587840" TargetMode="External"/><Relationship Id="rId3148" Type="http://schemas.openxmlformats.org/officeDocument/2006/relationships/hyperlink" Target="https://twitter.com/jamiaw" TargetMode="External"/><Relationship Id="rId4479" Type="http://schemas.openxmlformats.org/officeDocument/2006/relationships/hyperlink" Target="https://twitter.com/jaheppler/status/706166354630410240" TargetMode="External"/><Relationship Id="rId3147" Type="http://schemas.openxmlformats.org/officeDocument/2006/relationships/hyperlink" Target="https://pbs.twimg.com/profile_images/704873222802636800/7aFEMOY5_normal.jpg" TargetMode="External"/><Relationship Id="rId4478" Type="http://schemas.openxmlformats.org/officeDocument/2006/relationships/hyperlink" Target="https://twitter.com/jaheppler" TargetMode="External"/><Relationship Id="rId3171" Type="http://schemas.openxmlformats.org/officeDocument/2006/relationships/hyperlink" Target="https://pbs.twimg.com/profile_images/701102020061753344/5zH70uem_normal.jpg" TargetMode="External"/><Relationship Id="rId3170" Type="http://schemas.openxmlformats.org/officeDocument/2006/relationships/hyperlink" Target="https://twitter.com/jamiaw/status/705932788986474498" TargetMode="External"/><Relationship Id="rId3173" Type="http://schemas.openxmlformats.org/officeDocument/2006/relationships/hyperlink" Target="https://twitter.com/AmandaMoniz1/status/705932944846811136" TargetMode="External"/><Relationship Id="rId3172" Type="http://schemas.openxmlformats.org/officeDocument/2006/relationships/hyperlink" Target="https://twitter.com/AmandaMoniz1" TargetMode="External"/><Relationship Id="rId3175" Type="http://schemas.openxmlformats.org/officeDocument/2006/relationships/hyperlink" Target="https://twitter.com/GHAUmass" TargetMode="External"/><Relationship Id="rId3174" Type="http://schemas.openxmlformats.org/officeDocument/2006/relationships/hyperlink" Target="https://pbs.twimg.com/profile_images/378800000149111881/7969acf9cec4197748b502a6a6c3d921_normal.jpeg" TargetMode="External"/><Relationship Id="rId3177" Type="http://schemas.openxmlformats.org/officeDocument/2006/relationships/hyperlink" Target="https://pbs.twimg.com/profile_images/604060333590855682/Fk6r1D7d_normal.jpg" TargetMode="External"/><Relationship Id="rId3176" Type="http://schemas.openxmlformats.org/officeDocument/2006/relationships/hyperlink" Target="https://twitter.com/GHAUmass/status/705932946675470336" TargetMode="External"/><Relationship Id="rId3179" Type="http://schemas.openxmlformats.org/officeDocument/2006/relationships/hyperlink" Target="https://twitter.com/historycampaign/status/705932949359755265" TargetMode="External"/><Relationship Id="rId3178" Type="http://schemas.openxmlformats.org/officeDocument/2006/relationships/hyperlink" Target="https://twitter.com/historycampaign" TargetMode="External"/><Relationship Id="rId3160" Type="http://schemas.openxmlformats.org/officeDocument/2006/relationships/hyperlink" Target="https://twitter.com/GHAUmass" TargetMode="External"/><Relationship Id="rId4491" Type="http://schemas.openxmlformats.org/officeDocument/2006/relationships/hyperlink" Target="https://twitter.com/samueljredman/status/706169480334938113" TargetMode="External"/><Relationship Id="rId4490" Type="http://schemas.openxmlformats.org/officeDocument/2006/relationships/hyperlink" Target="https://twitter.com/samueljredman" TargetMode="External"/><Relationship Id="rId3162" Type="http://schemas.openxmlformats.org/officeDocument/2006/relationships/hyperlink" Target="https://pbs.twimg.com/profile_images/604060333590855682/Fk6r1D7d_normal.jpg" TargetMode="External"/><Relationship Id="rId4493" Type="http://schemas.openxmlformats.org/officeDocument/2006/relationships/hyperlink" Target="https://twitter.com/ASUPublicHist" TargetMode="External"/><Relationship Id="rId3161" Type="http://schemas.openxmlformats.org/officeDocument/2006/relationships/hyperlink" Target="https://twitter.com/GHAUmass/status/705932763774451712" TargetMode="External"/><Relationship Id="rId4492" Type="http://schemas.openxmlformats.org/officeDocument/2006/relationships/hyperlink" Target="https://pbs.twimg.com/profile_images/548193870278688768/8Dq7gW3U_normal.png" TargetMode="External"/><Relationship Id="rId3164" Type="http://schemas.openxmlformats.org/officeDocument/2006/relationships/hyperlink" Target="https://twitter.com/GHAUmass/status/705932779033399296" TargetMode="External"/><Relationship Id="rId4495" Type="http://schemas.openxmlformats.org/officeDocument/2006/relationships/hyperlink" Target="https://pbs.twimg.com/profile_images/579006785048088577/NRmUrZVy_normal.jpeg" TargetMode="External"/><Relationship Id="rId3163" Type="http://schemas.openxmlformats.org/officeDocument/2006/relationships/hyperlink" Target="https://twitter.com/GHAUmass" TargetMode="External"/><Relationship Id="rId4494" Type="http://schemas.openxmlformats.org/officeDocument/2006/relationships/hyperlink" Target="https://twitter.com/ASUPublicHist/status/706169638049087488" TargetMode="External"/><Relationship Id="rId3166" Type="http://schemas.openxmlformats.org/officeDocument/2006/relationships/hyperlink" Target="https://twitter.com/rebekkahrubin" TargetMode="External"/><Relationship Id="rId4497" Type="http://schemas.openxmlformats.org/officeDocument/2006/relationships/hyperlink" Target="https://twitter.com/samueljredman/status/706169655006724097" TargetMode="External"/><Relationship Id="rId3165" Type="http://schemas.openxmlformats.org/officeDocument/2006/relationships/hyperlink" Target="https://pbs.twimg.com/profile_images/604060333590855682/Fk6r1D7d_normal.jpg" TargetMode="External"/><Relationship Id="rId4496" Type="http://schemas.openxmlformats.org/officeDocument/2006/relationships/hyperlink" Target="https://twitter.com/samueljredman" TargetMode="External"/><Relationship Id="rId3168" Type="http://schemas.openxmlformats.org/officeDocument/2006/relationships/hyperlink" Target="https://pbs.twimg.com/profile_images/700317732588408832/Ym_-neUi_normal.jpg" TargetMode="External"/><Relationship Id="rId4499" Type="http://schemas.openxmlformats.org/officeDocument/2006/relationships/hyperlink" Target="https://twitter.com/samueljredman" TargetMode="External"/><Relationship Id="rId3167" Type="http://schemas.openxmlformats.org/officeDocument/2006/relationships/hyperlink" Target="https://twitter.com/rebekkahrubin/status/705932779960320001" TargetMode="External"/><Relationship Id="rId4498" Type="http://schemas.openxmlformats.org/officeDocument/2006/relationships/hyperlink" Target="https://pbs.twimg.com/profile_images/548193870278688768/8Dq7gW3U_normal.png" TargetMode="External"/><Relationship Id="rId3169" Type="http://schemas.openxmlformats.org/officeDocument/2006/relationships/hyperlink" Target="https://twitter.com/jamiaw" TargetMode="External"/><Relationship Id="rId2700" Type="http://schemas.openxmlformats.org/officeDocument/2006/relationships/hyperlink" Target="https://pbs.twimg.com/profile_images/700317732588408832/Ym_-neUi_normal.jpg" TargetMode="External"/><Relationship Id="rId2701" Type="http://schemas.openxmlformats.org/officeDocument/2006/relationships/hyperlink" Target="https://twitter.com/GHAUmass" TargetMode="External"/><Relationship Id="rId2702" Type="http://schemas.openxmlformats.org/officeDocument/2006/relationships/hyperlink" Target="https://twitter.com/GHAUmass/status/705928064912515072" TargetMode="External"/><Relationship Id="rId2703" Type="http://schemas.openxmlformats.org/officeDocument/2006/relationships/hyperlink" Target="https://pbs.twimg.com/profile_images/604060333590855682/Fk6r1D7d_normal.jpg" TargetMode="External"/><Relationship Id="rId2704" Type="http://schemas.openxmlformats.org/officeDocument/2006/relationships/hyperlink" Target="https://twitter.com/GHAUmass" TargetMode="External"/><Relationship Id="rId2705" Type="http://schemas.openxmlformats.org/officeDocument/2006/relationships/hyperlink" Target="https://twitter.com/GHAUmass/status/705928074869792768" TargetMode="External"/><Relationship Id="rId2706" Type="http://schemas.openxmlformats.org/officeDocument/2006/relationships/hyperlink" Target="https://pbs.twimg.com/profile_images/604060333590855682/Fk6r1D7d_normal.jpg" TargetMode="External"/><Relationship Id="rId2707" Type="http://schemas.openxmlformats.org/officeDocument/2006/relationships/hyperlink" Target="https://twitter.com/magmidd" TargetMode="External"/><Relationship Id="rId2708" Type="http://schemas.openxmlformats.org/officeDocument/2006/relationships/hyperlink" Target="https://twitter.com/magmidd/status/705928115323670529" TargetMode="External"/><Relationship Id="rId2709" Type="http://schemas.openxmlformats.org/officeDocument/2006/relationships/hyperlink" Target="https://pbs.twimg.com/profile_images/378800000450415007/82bcc7d0cab85e8d5920dbf5ded6715e_normal.jpeg" TargetMode="External"/><Relationship Id="rId2720" Type="http://schemas.openxmlformats.org/officeDocument/2006/relationships/hyperlink" Target="https://twitter.com/rebekkahrubin/status/705928261323395072" TargetMode="External"/><Relationship Id="rId2721" Type="http://schemas.openxmlformats.org/officeDocument/2006/relationships/hyperlink" Target="https://pbs.twimg.com/profile_images/700317732588408832/Ym_-neUi_normal.jpg" TargetMode="External"/><Relationship Id="rId2722" Type="http://schemas.openxmlformats.org/officeDocument/2006/relationships/hyperlink" Target="https://twitter.com/pastpunditry" TargetMode="External"/><Relationship Id="rId2723" Type="http://schemas.openxmlformats.org/officeDocument/2006/relationships/hyperlink" Target="https://twitter.com/pastpunditry/status/705928290020827136" TargetMode="External"/><Relationship Id="rId2724" Type="http://schemas.openxmlformats.org/officeDocument/2006/relationships/hyperlink" Target="https://pbs.twimg.com/profile_images/704873222802636800/7aFEMOY5_normal.jpg" TargetMode="External"/><Relationship Id="rId2725" Type="http://schemas.openxmlformats.org/officeDocument/2006/relationships/hyperlink" Target="https://twitter.com/rebekkahrubin" TargetMode="External"/><Relationship Id="rId2726" Type="http://schemas.openxmlformats.org/officeDocument/2006/relationships/hyperlink" Target="https://twitter.com/rebekkahrubin/status/705928325848498177" TargetMode="External"/><Relationship Id="rId2727" Type="http://schemas.openxmlformats.org/officeDocument/2006/relationships/hyperlink" Target="https://pbs.twimg.com/profile_images/700317732588408832/Ym_-neUi_normal.jpg" TargetMode="External"/><Relationship Id="rId2728" Type="http://schemas.openxmlformats.org/officeDocument/2006/relationships/hyperlink" Target="https://twitter.com/juliegpeterson" TargetMode="External"/><Relationship Id="rId2729" Type="http://schemas.openxmlformats.org/officeDocument/2006/relationships/hyperlink" Target="https://twitter.com/juliegpeterson/status/705928339652005888" TargetMode="External"/><Relationship Id="rId2710" Type="http://schemas.openxmlformats.org/officeDocument/2006/relationships/hyperlink" Target="https://twitter.com/JulieThePH" TargetMode="External"/><Relationship Id="rId2711" Type="http://schemas.openxmlformats.org/officeDocument/2006/relationships/hyperlink" Target="https://twitter.com/JulieThePH/status/705928198001917952" TargetMode="External"/><Relationship Id="rId2712" Type="http://schemas.openxmlformats.org/officeDocument/2006/relationships/hyperlink" Target="https://pbs.twimg.com/profile_images/596509974005686273/AqBblwMR_normal.jpg" TargetMode="External"/><Relationship Id="rId2713" Type="http://schemas.openxmlformats.org/officeDocument/2006/relationships/hyperlink" Target="https://twitter.com/sheishistoric" TargetMode="External"/><Relationship Id="rId2714" Type="http://schemas.openxmlformats.org/officeDocument/2006/relationships/hyperlink" Target="https://twitter.com/sheishistoric/status/705928201579667456" TargetMode="External"/><Relationship Id="rId2715" Type="http://schemas.openxmlformats.org/officeDocument/2006/relationships/hyperlink" Target="https://pbs.twimg.com/profile_images/650419150620377089/bJxBf---_normal.jpg" TargetMode="External"/><Relationship Id="rId2716" Type="http://schemas.openxmlformats.org/officeDocument/2006/relationships/hyperlink" Target="https://twitter.com/pastpunditry" TargetMode="External"/><Relationship Id="rId2717" Type="http://schemas.openxmlformats.org/officeDocument/2006/relationships/hyperlink" Target="https://twitter.com/pastpunditry/status/705928235880730624" TargetMode="External"/><Relationship Id="rId2718" Type="http://schemas.openxmlformats.org/officeDocument/2006/relationships/hyperlink" Target="https://pbs.twimg.com/profile_images/704873222802636800/7aFEMOY5_normal.jpg" TargetMode="External"/><Relationship Id="rId2719" Type="http://schemas.openxmlformats.org/officeDocument/2006/relationships/hyperlink" Target="https://twitter.com/rebekkahrubin" TargetMode="External"/><Relationship Id="rId1455" Type="http://schemas.openxmlformats.org/officeDocument/2006/relationships/hyperlink" Target="https://twitter.com/pastpunditry" TargetMode="External"/><Relationship Id="rId2786" Type="http://schemas.openxmlformats.org/officeDocument/2006/relationships/hyperlink" Target="https://twitter.com/JulieThePH/status/705928902863167490" TargetMode="External"/><Relationship Id="rId1456" Type="http://schemas.openxmlformats.org/officeDocument/2006/relationships/hyperlink" Target="https://twitter.com/pastpunditry/status/705859880243093504" TargetMode="External"/><Relationship Id="rId2787" Type="http://schemas.openxmlformats.org/officeDocument/2006/relationships/hyperlink" Target="https://pbs.twimg.com/profile_images/596509974005686273/AqBblwMR_normal.jpg" TargetMode="External"/><Relationship Id="rId1457" Type="http://schemas.openxmlformats.org/officeDocument/2006/relationships/hyperlink" Target="https://pbs.twimg.com/profile_images/704873222802636800/7aFEMOY5_normal.jpg" TargetMode="External"/><Relationship Id="rId2788" Type="http://schemas.openxmlformats.org/officeDocument/2006/relationships/hyperlink" Target="https://twitter.com/erfagen" TargetMode="External"/><Relationship Id="rId1458" Type="http://schemas.openxmlformats.org/officeDocument/2006/relationships/hyperlink" Target="https://twitter.com/juliegpeterson" TargetMode="External"/><Relationship Id="rId2789" Type="http://schemas.openxmlformats.org/officeDocument/2006/relationships/hyperlink" Target="https://twitter.com/erfagen/status/705928908173086722" TargetMode="External"/><Relationship Id="rId1459" Type="http://schemas.openxmlformats.org/officeDocument/2006/relationships/hyperlink" Target="https://twitter.com/juliegpeterson/status/705860058559725568" TargetMode="External"/><Relationship Id="rId629" Type="http://schemas.openxmlformats.org/officeDocument/2006/relationships/hyperlink" Target="https://twitter.com/JimGrossmanAHA/status/705791049520648192" TargetMode="External"/><Relationship Id="rId624" Type="http://schemas.openxmlformats.org/officeDocument/2006/relationships/hyperlink" Target="https://pbs.twimg.com/profile_images/3034769023/09adfcbebccfeef2a42e39aaac64ede5_normal.jpeg" TargetMode="External"/><Relationship Id="rId623" Type="http://schemas.openxmlformats.org/officeDocument/2006/relationships/hyperlink" Target="https://twitter.com/mathhistory/status/705789910058459136" TargetMode="External"/><Relationship Id="rId622" Type="http://schemas.openxmlformats.org/officeDocument/2006/relationships/hyperlink" Target="https://twitter.com/mathhistory" TargetMode="External"/><Relationship Id="rId621" Type="http://schemas.openxmlformats.org/officeDocument/2006/relationships/hyperlink" Target="https://pbs.twimg.com/profile_images/3583165575/54f0bc87a29b2ae8587193829ce07299_normal.jpeg" TargetMode="External"/><Relationship Id="rId628" Type="http://schemas.openxmlformats.org/officeDocument/2006/relationships/hyperlink" Target="https://twitter.com/JimGrossmanAHA" TargetMode="External"/><Relationship Id="rId627" Type="http://schemas.openxmlformats.org/officeDocument/2006/relationships/hyperlink" Target="https://pbs.twimg.com/profile_images/636901483401904128/cxbavncr_normal.jpg" TargetMode="External"/><Relationship Id="rId626" Type="http://schemas.openxmlformats.org/officeDocument/2006/relationships/hyperlink" Target="https://twitter.com/historein/status/705790910680973312" TargetMode="External"/><Relationship Id="rId625" Type="http://schemas.openxmlformats.org/officeDocument/2006/relationships/hyperlink" Target="https://twitter.com/historein" TargetMode="External"/><Relationship Id="rId2780" Type="http://schemas.openxmlformats.org/officeDocument/2006/relationships/hyperlink" Target="https://twitter.com/sheishistoric/status/705928785300996096" TargetMode="External"/><Relationship Id="rId1450" Type="http://schemas.openxmlformats.org/officeDocument/2006/relationships/hyperlink" Target="https://twitter.com/JulieThePH/status/705859677062602752" TargetMode="External"/><Relationship Id="rId2781" Type="http://schemas.openxmlformats.org/officeDocument/2006/relationships/hyperlink" Target="https://pbs.twimg.com/profile_images/650419150620377089/bJxBf---_normal.jpg" TargetMode="External"/><Relationship Id="rId620" Type="http://schemas.openxmlformats.org/officeDocument/2006/relationships/hyperlink" Target="https://twitter.com/umassph/status/705789743896911872" TargetMode="External"/><Relationship Id="rId1451" Type="http://schemas.openxmlformats.org/officeDocument/2006/relationships/hyperlink" Target="https://pbs.twimg.com/profile_images/596509974005686273/AqBblwMR_normal.jpg" TargetMode="External"/><Relationship Id="rId2782" Type="http://schemas.openxmlformats.org/officeDocument/2006/relationships/hyperlink" Target="https://twitter.com/defactofecteau" TargetMode="External"/><Relationship Id="rId1452" Type="http://schemas.openxmlformats.org/officeDocument/2006/relationships/hyperlink" Target="https://twitter.com/TaylorCBye" TargetMode="External"/><Relationship Id="rId2783" Type="http://schemas.openxmlformats.org/officeDocument/2006/relationships/hyperlink" Target="https://twitter.com/defactofecteau/status/705928785850458113" TargetMode="External"/><Relationship Id="rId1453" Type="http://schemas.openxmlformats.org/officeDocument/2006/relationships/hyperlink" Target="https://twitter.com/TaylorCBye/status/705859797657198598" TargetMode="External"/><Relationship Id="rId2784" Type="http://schemas.openxmlformats.org/officeDocument/2006/relationships/hyperlink" Target="https://pbs.twimg.com/profile_images/434404729263648768/vsAZLFtj_normal.jpeg" TargetMode="External"/><Relationship Id="rId1454" Type="http://schemas.openxmlformats.org/officeDocument/2006/relationships/hyperlink" Target="https://pbs.twimg.com/profile_images/573663409763414016/W0JncYqV_normal.jpeg" TargetMode="External"/><Relationship Id="rId2785" Type="http://schemas.openxmlformats.org/officeDocument/2006/relationships/hyperlink" Target="https://twitter.com/JulieThePH" TargetMode="External"/><Relationship Id="rId1444" Type="http://schemas.openxmlformats.org/officeDocument/2006/relationships/hyperlink" Target="https://twitter.com/mille24c/status/705859028606394370" TargetMode="External"/><Relationship Id="rId2775" Type="http://schemas.openxmlformats.org/officeDocument/2006/relationships/hyperlink" Target="https://pbs.twimg.com/profile_images/704873222802636800/7aFEMOY5_normal.jpg" TargetMode="External"/><Relationship Id="rId1445" Type="http://schemas.openxmlformats.org/officeDocument/2006/relationships/hyperlink" Target="https://pbs.twimg.com/profile_images/676362182020481024/P0kyLli1_normal.jpg" TargetMode="External"/><Relationship Id="rId2776" Type="http://schemas.openxmlformats.org/officeDocument/2006/relationships/hyperlink" Target="https://twitter.com/juliegpeterson" TargetMode="External"/><Relationship Id="rId1446" Type="http://schemas.openxmlformats.org/officeDocument/2006/relationships/hyperlink" Target="https://twitter.com/JulieThePH" TargetMode="External"/><Relationship Id="rId2777" Type="http://schemas.openxmlformats.org/officeDocument/2006/relationships/hyperlink" Target="https://twitter.com/juliegpeterson/status/705928768418914304" TargetMode="External"/><Relationship Id="rId1447" Type="http://schemas.openxmlformats.org/officeDocument/2006/relationships/hyperlink" Target="https://twitter.com/JulieThePH/status/705859622352113665" TargetMode="External"/><Relationship Id="rId2778" Type="http://schemas.openxmlformats.org/officeDocument/2006/relationships/hyperlink" Target="https://pbs.twimg.com/profile_images/609765839051452416/GNW0wSt0_normal.jpg" TargetMode="External"/><Relationship Id="rId1448" Type="http://schemas.openxmlformats.org/officeDocument/2006/relationships/hyperlink" Target="https://pbs.twimg.com/profile_images/596509974005686273/AqBblwMR_normal.jpg" TargetMode="External"/><Relationship Id="rId2779" Type="http://schemas.openxmlformats.org/officeDocument/2006/relationships/hyperlink" Target="https://twitter.com/sheishistoric" TargetMode="External"/><Relationship Id="rId1449" Type="http://schemas.openxmlformats.org/officeDocument/2006/relationships/hyperlink" Target="https://twitter.com/JulieThePH" TargetMode="External"/><Relationship Id="rId619" Type="http://schemas.openxmlformats.org/officeDocument/2006/relationships/hyperlink" Target="https://twitter.com/umassph" TargetMode="External"/><Relationship Id="rId618" Type="http://schemas.openxmlformats.org/officeDocument/2006/relationships/hyperlink" Target="https://pbs.twimg.com/profile_images/704873222802636800/7aFEMOY5_normal.jpg" TargetMode="External"/><Relationship Id="rId613" Type="http://schemas.openxmlformats.org/officeDocument/2006/relationships/hyperlink" Target="https://twitter.com/pastpunditry" TargetMode="External"/><Relationship Id="rId612" Type="http://schemas.openxmlformats.org/officeDocument/2006/relationships/hyperlink" Target="https://pbs.twimg.com/profile_images/596509974005686273/AqBblwMR_normal.jpg" TargetMode="External"/><Relationship Id="rId611" Type="http://schemas.openxmlformats.org/officeDocument/2006/relationships/hyperlink" Target="https://twitter.com/JulieThePH/status/705789471019638784" TargetMode="External"/><Relationship Id="rId610" Type="http://schemas.openxmlformats.org/officeDocument/2006/relationships/hyperlink" Target="https://twitter.com/JulieThePH" TargetMode="External"/><Relationship Id="rId617" Type="http://schemas.openxmlformats.org/officeDocument/2006/relationships/hyperlink" Target="https://twitter.com/pastpunditry/status/705789715186843649" TargetMode="External"/><Relationship Id="rId616" Type="http://schemas.openxmlformats.org/officeDocument/2006/relationships/hyperlink" Target="https://twitter.com/pastpunditry" TargetMode="External"/><Relationship Id="rId615" Type="http://schemas.openxmlformats.org/officeDocument/2006/relationships/hyperlink" Target="https://pbs.twimg.com/profile_images/704873222802636800/7aFEMOY5_normal.jpg" TargetMode="External"/><Relationship Id="rId614" Type="http://schemas.openxmlformats.org/officeDocument/2006/relationships/hyperlink" Target="https://twitter.com/pastpunditry/status/705789488753152000" TargetMode="External"/><Relationship Id="rId2770" Type="http://schemas.openxmlformats.org/officeDocument/2006/relationships/hyperlink" Target="https://twitter.com/JimGrossmanAHA" TargetMode="External"/><Relationship Id="rId1440" Type="http://schemas.openxmlformats.org/officeDocument/2006/relationships/hyperlink" Target="https://twitter.com/pastpunditry" TargetMode="External"/><Relationship Id="rId2771" Type="http://schemas.openxmlformats.org/officeDocument/2006/relationships/hyperlink" Target="https://twitter.com/JimGrossmanAHA/status/705928726480089088" TargetMode="External"/><Relationship Id="rId1441" Type="http://schemas.openxmlformats.org/officeDocument/2006/relationships/hyperlink" Target="https://twitter.com/pastpunditry/status/705858438149095424" TargetMode="External"/><Relationship Id="rId2772" Type="http://schemas.openxmlformats.org/officeDocument/2006/relationships/hyperlink" Target="https://pbs.twimg.com/profile_images/378800000667891782/44d7b181c077bf16ab07b242f7ad81b9_normal.png" TargetMode="External"/><Relationship Id="rId1442" Type="http://schemas.openxmlformats.org/officeDocument/2006/relationships/hyperlink" Target="https://pbs.twimg.com/profile_images/704873222802636800/7aFEMOY5_normal.jpg" TargetMode="External"/><Relationship Id="rId2773" Type="http://schemas.openxmlformats.org/officeDocument/2006/relationships/hyperlink" Target="https://twitter.com/pastpunditry" TargetMode="External"/><Relationship Id="rId1443" Type="http://schemas.openxmlformats.org/officeDocument/2006/relationships/hyperlink" Target="https://twitter.com/mille24c" TargetMode="External"/><Relationship Id="rId2774" Type="http://schemas.openxmlformats.org/officeDocument/2006/relationships/hyperlink" Target="https://twitter.com/pastpunditry/status/705928761309589504" TargetMode="External"/><Relationship Id="rId1477" Type="http://schemas.openxmlformats.org/officeDocument/2006/relationships/hyperlink" Target="https://twitter.com/AmandaMoniz1/status/705861136265187329" TargetMode="External"/><Relationship Id="rId4503" Type="http://schemas.openxmlformats.org/officeDocument/2006/relationships/hyperlink" Target="https://twitter.com/samueljredman/status/706169733842919424" TargetMode="External"/><Relationship Id="rId1478" Type="http://schemas.openxmlformats.org/officeDocument/2006/relationships/hyperlink" Target="https://pbs.twimg.com/profile_images/378800000149111881/7969acf9cec4197748b502a6a6c3d921_normal.jpeg" TargetMode="External"/><Relationship Id="rId4502" Type="http://schemas.openxmlformats.org/officeDocument/2006/relationships/hyperlink" Target="https://twitter.com/samueljredman" TargetMode="External"/><Relationship Id="rId1479" Type="http://schemas.openxmlformats.org/officeDocument/2006/relationships/hyperlink" Target="https://twitter.com/pastpunditry" TargetMode="External"/><Relationship Id="rId4505" Type="http://schemas.openxmlformats.org/officeDocument/2006/relationships/hyperlink" Target="https://twitter.com/samueljredman" TargetMode="External"/><Relationship Id="rId4504" Type="http://schemas.openxmlformats.org/officeDocument/2006/relationships/hyperlink" Target="https://pbs.twimg.com/profile_images/548193870278688768/8Dq7gW3U_normal.png" TargetMode="External"/><Relationship Id="rId4507" Type="http://schemas.openxmlformats.org/officeDocument/2006/relationships/hyperlink" Target="https://pbs.twimg.com/profile_images/548193870278688768/8Dq7gW3U_normal.png" TargetMode="External"/><Relationship Id="rId4506" Type="http://schemas.openxmlformats.org/officeDocument/2006/relationships/hyperlink" Target="https://twitter.com/samueljredman/status/706170075968098304" TargetMode="External"/><Relationship Id="rId4509" Type="http://schemas.openxmlformats.org/officeDocument/2006/relationships/hyperlink" Target="https://twitter.com/samueljredman/status/706170098927718406" TargetMode="External"/><Relationship Id="rId4508" Type="http://schemas.openxmlformats.org/officeDocument/2006/relationships/hyperlink" Target="https://twitter.com/samueljredman" TargetMode="External"/><Relationship Id="rId646" Type="http://schemas.openxmlformats.org/officeDocument/2006/relationships/hyperlink" Target="https://pbs.twimg.com/profile_images/676362182020481024/P0kyLli1_normal.jpg" TargetMode="External"/><Relationship Id="rId645" Type="http://schemas.openxmlformats.org/officeDocument/2006/relationships/hyperlink" Target="https://twitter.com/mille24c/status/705792667381325824" TargetMode="External"/><Relationship Id="rId644" Type="http://schemas.openxmlformats.org/officeDocument/2006/relationships/hyperlink" Target="https://twitter.com/mille24c" TargetMode="External"/><Relationship Id="rId643" Type="http://schemas.openxmlformats.org/officeDocument/2006/relationships/hyperlink" Target="https://pbs.twimg.com/profile_images/532916202662682624/yIN4DbeM_normal.png" TargetMode="External"/><Relationship Id="rId649" Type="http://schemas.openxmlformats.org/officeDocument/2006/relationships/hyperlink" Target="https://pbs.twimg.com/profile_images/604060333590855682/Fk6r1D7d_normal.jpg" TargetMode="External"/><Relationship Id="rId648" Type="http://schemas.openxmlformats.org/officeDocument/2006/relationships/hyperlink" Target="https://twitter.com/GHAUmass/status/705793454287233024" TargetMode="External"/><Relationship Id="rId647" Type="http://schemas.openxmlformats.org/officeDocument/2006/relationships/hyperlink" Target="https://twitter.com/GHAUmass" TargetMode="External"/><Relationship Id="rId1470" Type="http://schemas.openxmlformats.org/officeDocument/2006/relationships/hyperlink" Target="https://twitter.com/pastpunditry" TargetMode="External"/><Relationship Id="rId1471" Type="http://schemas.openxmlformats.org/officeDocument/2006/relationships/hyperlink" Target="https://twitter.com/pastpunditry/status/705860738129248256" TargetMode="External"/><Relationship Id="rId1472" Type="http://schemas.openxmlformats.org/officeDocument/2006/relationships/hyperlink" Target="https://pbs.twimg.com/profile_images/704873222802636800/7aFEMOY5_normal.jpg" TargetMode="External"/><Relationship Id="rId642" Type="http://schemas.openxmlformats.org/officeDocument/2006/relationships/hyperlink" Target="https://twitter.com/NCPHnewgrad/status/705792349465665536" TargetMode="External"/><Relationship Id="rId1473" Type="http://schemas.openxmlformats.org/officeDocument/2006/relationships/hyperlink" Target="https://twitter.com/pastpunditry" TargetMode="External"/><Relationship Id="rId641" Type="http://schemas.openxmlformats.org/officeDocument/2006/relationships/hyperlink" Target="https://twitter.com/NCPHnewgrad" TargetMode="External"/><Relationship Id="rId1474" Type="http://schemas.openxmlformats.org/officeDocument/2006/relationships/hyperlink" Target="https://twitter.com/pastpunditry/status/705860759423750144" TargetMode="External"/><Relationship Id="rId640" Type="http://schemas.openxmlformats.org/officeDocument/2006/relationships/hyperlink" Target="https://pbs.twimg.com/profile_images/565429960/Betsy_Twitter_normal.jpg" TargetMode="External"/><Relationship Id="rId1475" Type="http://schemas.openxmlformats.org/officeDocument/2006/relationships/hyperlink" Target="https://pbs.twimg.com/profile_images/704873222802636800/7aFEMOY5_normal.jpg" TargetMode="External"/><Relationship Id="rId4501" Type="http://schemas.openxmlformats.org/officeDocument/2006/relationships/hyperlink" Target="https://pbs.twimg.com/profile_images/548193870278688768/8Dq7gW3U_normal.png" TargetMode="External"/><Relationship Id="rId1476" Type="http://schemas.openxmlformats.org/officeDocument/2006/relationships/hyperlink" Target="https://twitter.com/AmandaMoniz1" TargetMode="External"/><Relationship Id="rId4500" Type="http://schemas.openxmlformats.org/officeDocument/2006/relationships/hyperlink" Target="https://twitter.com/samueljredman/status/706169687164510208" TargetMode="External"/><Relationship Id="rId1466" Type="http://schemas.openxmlformats.org/officeDocument/2006/relationships/hyperlink" Target="https://pbs.twimg.com/profile_images/609765839051452416/GNW0wSt0_normal.jpg" TargetMode="External"/><Relationship Id="rId2797" Type="http://schemas.openxmlformats.org/officeDocument/2006/relationships/hyperlink" Target="https://twitter.com/erfagen" TargetMode="External"/><Relationship Id="rId1467" Type="http://schemas.openxmlformats.org/officeDocument/2006/relationships/hyperlink" Target="https://twitter.com/MarlaAtUmass" TargetMode="External"/><Relationship Id="rId2798" Type="http://schemas.openxmlformats.org/officeDocument/2006/relationships/hyperlink" Target="https://twitter.com/erfagen/status/705928957875585024" TargetMode="External"/><Relationship Id="rId1468" Type="http://schemas.openxmlformats.org/officeDocument/2006/relationships/hyperlink" Target="https://twitter.com/MarlaAtUmass/status/705860327049732096" TargetMode="External"/><Relationship Id="rId2799" Type="http://schemas.openxmlformats.org/officeDocument/2006/relationships/hyperlink" Target="https://pbs.twimg.com/profile_images/638086945722249217/mid_S_BQ_normal.jpg" TargetMode="External"/><Relationship Id="rId1469" Type="http://schemas.openxmlformats.org/officeDocument/2006/relationships/hyperlink" Target="https://pbs.twimg.com/profile_images/565429960/Betsy_Twitter_normal.jpg" TargetMode="External"/><Relationship Id="rId635" Type="http://schemas.openxmlformats.org/officeDocument/2006/relationships/hyperlink" Target="https://twitter.com/mathhistory" TargetMode="External"/><Relationship Id="rId634" Type="http://schemas.openxmlformats.org/officeDocument/2006/relationships/hyperlink" Target="http://ctrlq.org/maps/address/" TargetMode="External"/><Relationship Id="rId633" Type="http://schemas.openxmlformats.org/officeDocument/2006/relationships/hyperlink" Target="https://pbs.twimg.com/profile_images/676362182020481024/P0kyLli1_normal.jpg" TargetMode="External"/><Relationship Id="rId632" Type="http://schemas.openxmlformats.org/officeDocument/2006/relationships/hyperlink" Target="https://twitter.com/mille24c/status/705791814847111169" TargetMode="External"/><Relationship Id="rId639" Type="http://schemas.openxmlformats.org/officeDocument/2006/relationships/hyperlink" Target="https://twitter.com/MarlaAtUmass/status/705792319807733760" TargetMode="External"/><Relationship Id="rId638" Type="http://schemas.openxmlformats.org/officeDocument/2006/relationships/hyperlink" Target="https://twitter.com/MarlaAtUmass" TargetMode="External"/><Relationship Id="rId637" Type="http://schemas.openxmlformats.org/officeDocument/2006/relationships/hyperlink" Target="https://pbs.twimg.com/profile_images/3034769023/09adfcbebccfeef2a42e39aaac64ede5_normal.jpeg" TargetMode="External"/><Relationship Id="rId636" Type="http://schemas.openxmlformats.org/officeDocument/2006/relationships/hyperlink" Target="https://twitter.com/mathhistory/status/705792315462385664" TargetMode="External"/><Relationship Id="rId2790" Type="http://schemas.openxmlformats.org/officeDocument/2006/relationships/hyperlink" Target="https://pbs.twimg.com/profile_images/638086945722249217/mid_S_BQ_normal.jpg" TargetMode="External"/><Relationship Id="rId1460" Type="http://schemas.openxmlformats.org/officeDocument/2006/relationships/hyperlink" Target="https://pbs.twimg.com/profile_images/609765839051452416/GNW0wSt0_normal.jpg" TargetMode="External"/><Relationship Id="rId2791" Type="http://schemas.openxmlformats.org/officeDocument/2006/relationships/hyperlink" Target="https://twitter.com/pastpunditry" TargetMode="External"/><Relationship Id="rId1461" Type="http://schemas.openxmlformats.org/officeDocument/2006/relationships/hyperlink" Target="https://twitter.com/pastpunditry" TargetMode="External"/><Relationship Id="rId2792" Type="http://schemas.openxmlformats.org/officeDocument/2006/relationships/hyperlink" Target="https://twitter.com/pastpunditry/status/705928921968222212" TargetMode="External"/><Relationship Id="rId631" Type="http://schemas.openxmlformats.org/officeDocument/2006/relationships/hyperlink" Target="https://twitter.com/mille24c" TargetMode="External"/><Relationship Id="rId1462" Type="http://schemas.openxmlformats.org/officeDocument/2006/relationships/hyperlink" Target="https://twitter.com/pastpunditry/status/705860069024518144" TargetMode="External"/><Relationship Id="rId2793" Type="http://schemas.openxmlformats.org/officeDocument/2006/relationships/hyperlink" Target="https://pbs.twimg.com/profile_images/704873222802636800/7aFEMOY5_normal.jpg" TargetMode="External"/><Relationship Id="rId630" Type="http://schemas.openxmlformats.org/officeDocument/2006/relationships/hyperlink" Target="https://pbs.twimg.com/profile_images/378800000667891782/44d7b181c077bf16ab07b242f7ad81b9_normal.png" TargetMode="External"/><Relationship Id="rId1463" Type="http://schemas.openxmlformats.org/officeDocument/2006/relationships/hyperlink" Target="https://pbs.twimg.com/profile_images/704873222802636800/7aFEMOY5_normal.jpg" TargetMode="External"/><Relationship Id="rId2794" Type="http://schemas.openxmlformats.org/officeDocument/2006/relationships/hyperlink" Target="https://twitter.com/rebekkahrubin" TargetMode="External"/><Relationship Id="rId1464" Type="http://schemas.openxmlformats.org/officeDocument/2006/relationships/hyperlink" Target="https://twitter.com/juliegpeterson" TargetMode="External"/><Relationship Id="rId2795" Type="http://schemas.openxmlformats.org/officeDocument/2006/relationships/hyperlink" Target="https://twitter.com/rebekkahrubin/status/705928942226706432" TargetMode="External"/><Relationship Id="rId1465" Type="http://schemas.openxmlformats.org/officeDocument/2006/relationships/hyperlink" Target="https://twitter.com/juliegpeterson/status/705860100762816512" TargetMode="External"/><Relationship Id="rId2796" Type="http://schemas.openxmlformats.org/officeDocument/2006/relationships/hyperlink" Target="https://pbs.twimg.com/profile_images/700317732588408832/Ym_-neUi_normal.jpg" TargetMode="External"/><Relationship Id="rId1411" Type="http://schemas.openxmlformats.org/officeDocument/2006/relationships/hyperlink" Target="https://twitter.com/pastpunditry/status/705854983640633345" TargetMode="External"/><Relationship Id="rId2742" Type="http://schemas.openxmlformats.org/officeDocument/2006/relationships/hyperlink" Target="https://pbs.twimg.com/profile_images/604060333590855682/Fk6r1D7d_normal.jpg" TargetMode="External"/><Relationship Id="rId1412" Type="http://schemas.openxmlformats.org/officeDocument/2006/relationships/hyperlink" Target="https://pbs.twimg.com/profile_images/704873222802636800/7aFEMOY5_normal.jpg" TargetMode="External"/><Relationship Id="rId2743" Type="http://schemas.openxmlformats.org/officeDocument/2006/relationships/hyperlink" Target="https://twitter.com/MedeaCulpa" TargetMode="External"/><Relationship Id="rId1413" Type="http://schemas.openxmlformats.org/officeDocument/2006/relationships/hyperlink" Target="https://twitter.com/JimGrossmanAHA" TargetMode="External"/><Relationship Id="rId2744" Type="http://schemas.openxmlformats.org/officeDocument/2006/relationships/hyperlink" Target="https://twitter.com/MedeaCulpa/status/705928447089049600" TargetMode="External"/><Relationship Id="rId1414" Type="http://schemas.openxmlformats.org/officeDocument/2006/relationships/hyperlink" Target="https://twitter.com/JimGrossmanAHA/status/705855186103836672" TargetMode="External"/><Relationship Id="rId2745" Type="http://schemas.openxmlformats.org/officeDocument/2006/relationships/hyperlink" Target="https://pbs.twimg.com/profile_images/702272676837068800/xO5D7apz_normal.jpg" TargetMode="External"/><Relationship Id="rId1415" Type="http://schemas.openxmlformats.org/officeDocument/2006/relationships/hyperlink" Target="https://pbs.twimg.com/profile_images/378800000667891782/44d7b181c077bf16ab07b242f7ad81b9_normal.png" TargetMode="External"/><Relationship Id="rId2746" Type="http://schemas.openxmlformats.org/officeDocument/2006/relationships/hyperlink" Target="https://twitter.com/JimGrossmanAHA" TargetMode="External"/><Relationship Id="rId1416" Type="http://schemas.openxmlformats.org/officeDocument/2006/relationships/hyperlink" Target="https://twitter.com/pastpunditry" TargetMode="External"/><Relationship Id="rId2747" Type="http://schemas.openxmlformats.org/officeDocument/2006/relationships/hyperlink" Target="https://twitter.com/JimGrossmanAHA/status/705928497492058112" TargetMode="External"/><Relationship Id="rId1417" Type="http://schemas.openxmlformats.org/officeDocument/2006/relationships/hyperlink" Target="https://twitter.com/pastpunditry/status/705855214532874240" TargetMode="External"/><Relationship Id="rId2748" Type="http://schemas.openxmlformats.org/officeDocument/2006/relationships/hyperlink" Target="https://pbs.twimg.com/profile_images/378800000667891782/44d7b181c077bf16ab07b242f7ad81b9_normal.png" TargetMode="External"/><Relationship Id="rId1418" Type="http://schemas.openxmlformats.org/officeDocument/2006/relationships/hyperlink" Target="https://pbs.twimg.com/profile_images/704873222802636800/7aFEMOY5_normal.jpg" TargetMode="External"/><Relationship Id="rId2749" Type="http://schemas.openxmlformats.org/officeDocument/2006/relationships/hyperlink" Target="https://twitter.com/GHAUmass" TargetMode="External"/><Relationship Id="rId1419" Type="http://schemas.openxmlformats.org/officeDocument/2006/relationships/hyperlink" Target="https://twitter.com/pastpunditry" TargetMode="External"/><Relationship Id="rId2740" Type="http://schemas.openxmlformats.org/officeDocument/2006/relationships/hyperlink" Target="https://twitter.com/GHAUmass" TargetMode="External"/><Relationship Id="rId1410" Type="http://schemas.openxmlformats.org/officeDocument/2006/relationships/hyperlink" Target="https://twitter.com/pastpunditry" TargetMode="External"/><Relationship Id="rId2741" Type="http://schemas.openxmlformats.org/officeDocument/2006/relationships/hyperlink" Target="https://twitter.com/GHAUmass/status/705928401882845184" TargetMode="External"/><Relationship Id="rId1400" Type="http://schemas.openxmlformats.org/officeDocument/2006/relationships/hyperlink" Target="https://pbs.twimg.com/profile_images/704873222802636800/7aFEMOY5_normal.jpg" TargetMode="External"/><Relationship Id="rId2731" Type="http://schemas.openxmlformats.org/officeDocument/2006/relationships/hyperlink" Target="https://twitter.com/erfagen" TargetMode="External"/><Relationship Id="rId1401" Type="http://schemas.openxmlformats.org/officeDocument/2006/relationships/hyperlink" Target="https://twitter.com/pastpunditry" TargetMode="External"/><Relationship Id="rId2732" Type="http://schemas.openxmlformats.org/officeDocument/2006/relationships/hyperlink" Target="https://twitter.com/erfagen/status/705928348363522048" TargetMode="External"/><Relationship Id="rId1402" Type="http://schemas.openxmlformats.org/officeDocument/2006/relationships/hyperlink" Target="https://twitter.com/pastpunditry/status/705853942274596864" TargetMode="External"/><Relationship Id="rId2733" Type="http://schemas.openxmlformats.org/officeDocument/2006/relationships/hyperlink" Target="https://pbs.twimg.com/profile_images/638086945722249217/mid_S_BQ_normal.jpg" TargetMode="External"/><Relationship Id="rId1403" Type="http://schemas.openxmlformats.org/officeDocument/2006/relationships/hyperlink" Target="https://pbs.twimg.com/profile_images/704873222802636800/7aFEMOY5_normal.jpg" TargetMode="External"/><Relationship Id="rId2734" Type="http://schemas.openxmlformats.org/officeDocument/2006/relationships/hyperlink" Target="https://twitter.com/GIS_Sharer" TargetMode="External"/><Relationship Id="rId1404" Type="http://schemas.openxmlformats.org/officeDocument/2006/relationships/hyperlink" Target="https://twitter.com/pastpunditry" TargetMode="External"/><Relationship Id="rId2735" Type="http://schemas.openxmlformats.org/officeDocument/2006/relationships/hyperlink" Target="https://twitter.com/GIS_Sharer/status/705928348564738048" TargetMode="External"/><Relationship Id="rId1405" Type="http://schemas.openxmlformats.org/officeDocument/2006/relationships/hyperlink" Target="https://twitter.com/pastpunditry/status/705854356646699008" TargetMode="External"/><Relationship Id="rId2736" Type="http://schemas.openxmlformats.org/officeDocument/2006/relationships/hyperlink" Target="https://pbs.twimg.com/profile_images/674226896880582656/DhIYJPm-_normal.png" TargetMode="External"/><Relationship Id="rId1406" Type="http://schemas.openxmlformats.org/officeDocument/2006/relationships/hyperlink" Target="https://pbs.twimg.com/profile_images/704873222802636800/7aFEMOY5_normal.jpg" TargetMode="External"/><Relationship Id="rId2737" Type="http://schemas.openxmlformats.org/officeDocument/2006/relationships/hyperlink" Target="https://twitter.com/CitizenWald" TargetMode="External"/><Relationship Id="rId1407" Type="http://schemas.openxmlformats.org/officeDocument/2006/relationships/hyperlink" Target="https://twitter.com/umassph" TargetMode="External"/><Relationship Id="rId2738" Type="http://schemas.openxmlformats.org/officeDocument/2006/relationships/hyperlink" Target="https://twitter.com/CitizenWald/status/705928390604427264" TargetMode="External"/><Relationship Id="rId1408" Type="http://schemas.openxmlformats.org/officeDocument/2006/relationships/hyperlink" Target="https://twitter.com/umassph/status/705854863557656577" TargetMode="External"/><Relationship Id="rId2739" Type="http://schemas.openxmlformats.org/officeDocument/2006/relationships/hyperlink" Target="https://pbs.twimg.com/profile_images/661220280564486144/ZxUrdRVS_normal.jpg" TargetMode="External"/><Relationship Id="rId1409" Type="http://schemas.openxmlformats.org/officeDocument/2006/relationships/hyperlink" Target="https://pbs.twimg.com/profile_images/3583165575/54f0bc87a29b2ae8587193829ce07299_normal.jpeg" TargetMode="External"/><Relationship Id="rId2730" Type="http://schemas.openxmlformats.org/officeDocument/2006/relationships/hyperlink" Target="https://pbs.twimg.com/profile_images/609765839051452416/GNW0wSt0_normal.jpg" TargetMode="External"/><Relationship Id="rId1433" Type="http://schemas.openxmlformats.org/officeDocument/2006/relationships/hyperlink" Target="https://pbs.twimg.com/profile_images/3583165575/54f0bc87a29b2ae8587193829ce07299_normal.jpeg" TargetMode="External"/><Relationship Id="rId2764" Type="http://schemas.openxmlformats.org/officeDocument/2006/relationships/hyperlink" Target="https://twitter.com/GHAUmass" TargetMode="External"/><Relationship Id="rId1434" Type="http://schemas.openxmlformats.org/officeDocument/2006/relationships/hyperlink" Target="https://twitter.com/pastpunditry" TargetMode="External"/><Relationship Id="rId2765" Type="http://schemas.openxmlformats.org/officeDocument/2006/relationships/hyperlink" Target="https://twitter.com/GHAUmass/status/705928660864344064" TargetMode="External"/><Relationship Id="rId1435" Type="http://schemas.openxmlformats.org/officeDocument/2006/relationships/hyperlink" Target="https://twitter.com/pastpunditry/status/705858151858511879" TargetMode="External"/><Relationship Id="rId2766" Type="http://schemas.openxmlformats.org/officeDocument/2006/relationships/hyperlink" Target="https://pbs.twimg.com/profile_images/604060333590855682/Fk6r1D7d_normal.jpg" TargetMode="External"/><Relationship Id="rId1436" Type="http://schemas.openxmlformats.org/officeDocument/2006/relationships/hyperlink" Target="https://pbs.twimg.com/profile_images/704873222802636800/7aFEMOY5_normal.jpg" TargetMode="External"/><Relationship Id="rId2767" Type="http://schemas.openxmlformats.org/officeDocument/2006/relationships/hyperlink" Target="https://twitter.com/JulieThePH" TargetMode="External"/><Relationship Id="rId1437" Type="http://schemas.openxmlformats.org/officeDocument/2006/relationships/hyperlink" Target="https://twitter.com/MarlaAtUmass" TargetMode="External"/><Relationship Id="rId2768" Type="http://schemas.openxmlformats.org/officeDocument/2006/relationships/hyperlink" Target="https://twitter.com/JulieThePH/status/705928695479980033" TargetMode="External"/><Relationship Id="rId1438" Type="http://schemas.openxmlformats.org/officeDocument/2006/relationships/hyperlink" Target="https://twitter.com/MarlaAtUmass/status/705858414166065154" TargetMode="External"/><Relationship Id="rId2769" Type="http://schemas.openxmlformats.org/officeDocument/2006/relationships/hyperlink" Target="https://pbs.twimg.com/profile_images/596509974005686273/AqBblwMR_normal.jpg" TargetMode="External"/><Relationship Id="rId1439" Type="http://schemas.openxmlformats.org/officeDocument/2006/relationships/hyperlink" Target="https://pbs.twimg.com/profile_images/565429960/Betsy_Twitter_normal.jpg" TargetMode="External"/><Relationship Id="rId609" Type="http://schemas.openxmlformats.org/officeDocument/2006/relationships/hyperlink" Target="http://ctrlq.org/maps/address/" TargetMode="External"/><Relationship Id="rId608" Type="http://schemas.openxmlformats.org/officeDocument/2006/relationships/hyperlink" Target="https://pbs.twimg.com/profile_images/676362182020481024/P0kyLli1_normal.jpg" TargetMode="External"/><Relationship Id="rId607" Type="http://schemas.openxmlformats.org/officeDocument/2006/relationships/hyperlink" Target="https://twitter.com/mille24c/status/705788941727875072" TargetMode="External"/><Relationship Id="rId602" Type="http://schemas.openxmlformats.org/officeDocument/2006/relationships/hyperlink" Target="https://pbs.twimg.com/profile_images/596509974005686273/AqBblwMR_normal.jpg" TargetMode="External"/><Relationship Id="rId601" Type="http://schemas.openxmlformats.org/officeDocument/2006/relationships/hyperlink" Target="https://twitter.com/JulieThePH/status/705782732782182400" TargetMode="External"/><Relationship Id="rId600" Type="http://schemas.openxmlformats.org/officeDocument/2006/relationships/hyperlink" Target="https://twitter.com/JulieThePH" TargetMode="External"/><Relationship Id="rId606" Type="http://schemas.openxmlformats.org/officeDocument/2006/relationships/hyperlink" Target="https://twitter.com/mille24c" TargetMode="External"/><Relationship Id="rId605" Type="http://schemas.openxmlformats.org/officeDocument/2006/relationships/hyperlink" Target="https://pbs.twimg.com/profile_images/548193870278688768/8Dq7gW3U_normal.png" TargetMode="External"/><Relationship Id="rId604" Type="http://schemas.openxmlformats.org/officeDocument/2006/relationships/hyperlink" Target="https://twitter.com/samueljredman/status/705784749789474816" TargetMode="External"/><Relationship Id="rId603" Type="http://schemas.openxmlformats.org/officeDocument/2006/relationships/hyperlink" Target="https://twitter.com/samueljredman" TargetMode="External"/><Relationship Id="rId2760" Type="http://schemas.openxmlformats.org/officeDocument/2006/relationships/hyperlink" Target="https://pbs.twimg.com/profile_images/650419150620377089/bJxBf---_normal.jpg" TargetMode="External"/><Relationship Id="rId1430" Type="http://schemas.openxmlformats.org/officeDocument/2006/relationships/hyperlink" Target="https://pbs.twimg.com/profile_images/659102903383126016/uoCjinY4_normal.jpg" TargetMode="External"/><Relationship Id="rId2761" Type="http://schemas.openxmlformats.org/officeDocument/2006/relationships/hyperlink" Target="https://twitter.com/GHAUmass" TargetMode="External"/><Relationship Id="rId1431" Type="http://schemas.openxmlformats.org/officeDocument/2006/relationships/hyperlink" Target="https://twitter.com/umassph" TargetMode="External"/><Relationship Id="rId2762" Type="http://schemas.openxmlformats.org/officeDocument/2006/relationships/hyperlink" Target="https://twitter.com/GHAUmass/status/705928648986140672" TargetMode="External"/><Relationship Id="rId1432" Type="http://schemas.openxmlformats.org/officeDocument/2006/relationships/hyperlink" Target="https://twitter.com/umassph/status/705857749847056386" TargetMode="External"/><Relationship Id="rId2763" Type="http://schemas.openxmlformats.org/officeDocument/2006/relationships/hyperlink" Target="https://pbs.twimg.com/profile_images/604060333590855682/Fk6r1D7d_normal.jpg" TargetMode="External"/><Relationship Id="rId1422" Type="http://schemas.openxmlformats.org/officeDocument/2006/relationships/hyperlink" Target="https://twitter.com/MarlaAtUmass" TargetMode="External"/><Relationship Id="rId2753" Type="http://schemas.openxmlformats.org/officeDocument/2006/relationships/hyperlink" Target="https://twitter.com/GHAUmass/status/705928590517473280" TargetMode="External"/><Relationship Id="rId1423" Type="http://schemas.openxmlformats.org/officeDocument/2006/relationships/hyperlink" Target="https://twitter.com/MarlaAtUmass/status/705857496657891329" TargetMode="External"/><Relationship Id="rId2754" Type="http://schemas.openxmlformats.org/officeDocument/2006/relationships/hyperlink" Target="https://pbs.twimg.com/profile_images/604060333590855682/Fk6r1D7d_normal.jpg" TargetMode="External"/><Relationship Id="rId1424" Type="http://schemas.openxmlformats.org/officeDocument/2006/relationships/hyperlink" Target="https://pbs.twimg.com/profile_images/565429960/Betsy_Twitter_normal.jpg" TargetMode="External"/><Relationship Id="rId2755" Type="http://schemas.openxmlformats.org/officeDocument/2006/relationships/hyperlink" Target="https://twitter.com/pastpunditry" TargetMode="External"/><Relationship Id="rId1425" Type="http://schemas.openxmlformats.org/officeDocument/2006/relationships/hyperlink" Target="https://twitter.com/pastpunditry" TargetMode="External"/><Relationship Id="rId2756" Type="http://schemas.openxmlformats.org/officeDocument/2006/relationships/hyperlink" Target="https://twitter.com/pastpunditry/status/705928609412857856" TargetMode="External"/><Relationship Id="rId1426" Type="http://schemas.openxmlformats.org/officeDocument/2006/relationships/hyperlink" Target="https://twitter.com/pastpunditry/status/705857546788204544" TargetMode="External"/><Relationship Id="rId2757" Type="http://schemas.openxmlformats.org/officeDocument/2006/relationships/hyperlink" Target="https://pbs.twimg.com/profile_images/704873222802636800/7aFEMOY5_normal.jpg" TargetMode="External"/><Relationship Id="rId1427" Type="http://schemas.openxmlformats.org/officeDocument/2006/relationships/hyperlink" Target="https://pbs.twimg.com/profile_images/704873222802636800/7aFEMOY5_normal.jpg" TargetMode="External"/><Relationship Id="rId2758" Type="http://schemas.openxmlformats.org/officeDocument/2006/relationships/hyperlink" Target="https://twitter.com/sheishistoric" TargetMode="External"/><Relationship Id="rId1428" Type="http://schemas.openxmlformats.org/officeDocument/2006/relationships/hyperlink" Target="https://twitter.com/AASLH" TargetMode="External"/><Relationship Id="rId2759" Type="http://schemas.openxmlformats.org/officeDocument/2006/relationships/hyperlink" Target="https://twitter.com/sheishistoric/status/705928646079455233" TargetMode="External"/><Relationship Id="rId1429" Type="http://schemas.openxmlformats.org/officeDocument/2006/relationships/hyperlink" Target="https://twitter.com/AASLH/status/705857621711056896" TargetMode="External"/><Relationship Id="rId2750" Type="http://schemas.openxmlformats.org/officeDocument/2006/relationships/hyperlink" Target="https://twitter.com/GHAUmass/status/705928524205596672" TargetMode="External"/><Relationship Id="rId1420" Type="http://schemas.openxmlformats.org/officeDocument/2006/relationships/hyperlink" Target="https://twitter.com/pastpunditry/status/705855838120976384" TargetMode="External"/><Relationship Id="rId2751" Type="http://schemas.openxmlformats.org/officeDocument/2006/relationships/hyperlink" Target="https://pbs.twimg.com/profile_images/604060333590855682/Fk6r1D7d_normal.jpg" TargetMode="External"/><Relationship Id="rId1421" Type="http://schemas.openxmlformats.org/officeDocument/2006/relationships/hyperlink" Target="https://pbs.twimg.com/profile_images/704873222802636800/7aFEMOY5_normal.jpg" TargetMode="External"/><Relationship Id="rId2752" Type="http://schemas.openxmlformats.org/officeDocument/2006/relationships/hyperlink" Target="https://twitter.com/GHAUmass" TargetMode="External"/><Relationship Id="rId3238" Type="http://schemas.openxmlformats.org/officeDocument/2006/relationships/hyperlink" Target="https://twitter.com/sheishistoric" TargetMode="External"/><Relationship Id="rId4569" Type="http://schemas.openxmlformats.org/officeDocument/2006/relationships/hyperlink" Target="https://twitter.com/jamiaw/status/706180673950851073" TargetMode="External"/><Relationship Id="rId3237" Type="http://schemas.openxmlformats.org/officeDocument/2006/relationships/hyperlink" Target="https://pbs.twimg.com/profile_images/704873222802636800/7aFEMOY5_normal.jpg" TargetMode="External"/><Relationship Id="rId4568" Type="http://schemas.openxmlformats.org/officeDocument/2006/relationships/hyperlink" Target="https://twitter.com/jamiaw" TargetMode="External"/><Relationship Id="rId3239" Type="http://schemas.openxmlformats.org/officeDocument/2006/relationships/hyperlink" Target="https://twitter.com/sheishistoric/status/705933687507054592" TargetMode="External"/><Relationship Id="rId3230" Type="http://schemas.openxmlformats.org/officeDocument/2006/relationships/hyperlink" Target="https://twitter.com/pastpunditry/status/705933503037308928" TargetMode="External"/><Relationship Id="rId4561" Type="http://schemas.openxmlformats.org/officeDocument/2006/relationships/hyperlink" Target="https://pbs.twimg.com/profile_images/704873222802636800/7aFEMOY5_normal.jpg" TargetMode="External"/><Relationship Id="rId4560" Type="http://schemas.openxmlformats.org/officeDocument/2006/relationships/hyperlink" Target="https://twitter.com/pastpunditry/status/706179811811663874" TargetMode="External"/><Relationship Id="rId3232" Type="http://schemas.openxmlformats.org/officeDocument/2006/relationships/hyperlink" Target="https://twitter.com/rebekkahrubin" TargetMode="External"/><Relationship Id="rId4563" Type="http://schemas.openxmlformats.org/officeDocument/2006/relationships/hyperlink" Target="https://twitter.com/pastpunditry/status/706180151504216064" TargetMode="External"/><Relationship Id="rId3231" Type="http://schemas.openxmlformats.org/officeDocument/2006/relationships/hyperlink" Target="https://pbs.twimg.com/profile_images/704873222802636800/7aFEMOY5_normal.jpg" TargetMode="External"/><Relationship Id="rId4562" Type="http://schemas.openxmlformats.org/officeDocument/2006/relationships/hyperlink" Target="https://twitter.com/pastpunditry" TargetMode="External"/><Relationship Id="rId3234" Type="http://schemas.openxmlformats.org/officeDocument/2006/relationships/hyperlink" Target="https://pbs.twimg.com/profile_images/700317732588408832/Ym_-neUi_normal.jpg" TargetMode="External"/><Relationship Id="rId4565" Type="http://schemas.openxmlformats.org/officeDocument/2006/relationships/hyperlink" Target="https://twitter.com/juliegpeterson" TargetMode="External"/><Relationship Id="rId3233" Type="http://schemas.openxmlformats.org/officeDocument/2006/relationships/hyperlink" Target="https://twitter.com/rebekkahrubin/status/705933604975742980" TargetMode="External"/><Relationship Id="rId4564" Type="http://schemas.openxmlformats.org/officeDocument/2006/relationships/hyperlink" Target="https://pbs.twimg.com/profile_images/704873222802636800/7aFEMOY5_normal.jpg" TargetMode="External"/><Relationship Id="rId3236" Type="http://schemas.openxmlformats.org/officeDocument/2006/relationships/hyperlink" Target="https://twitter.com/pastpunditry/status/705933657593257984" TargetMode="External"/><Relationship Id="rId4567" Type="http://schemas.openxmlformats.org/officeDocument/2006/relationships/hyperlink" Target="https://pbs.twimg.com/profile_images/609765839051452416/GNW0wSt0_normal.jpg" TargetMode="External"/><Relationship Id="rId3235" Type="http://schemas.openxmlformats.org/officeDocument/2006/relationships/hyperlink" Target="https://twitter.com/pastpunditry" TargetMode="External"/><Relationship Id="rId4566" Type="http://schemas.openxmlformats.org/officeDocument/2006/relationships/hyperlink" Target="https://twitter.com/juliegpeterson/status/706180176703520769" TargetMode="External"/><Relationship Id="rId3227" Type="http://schemas.openxmlformats.org/officeDocument/2006/relationships/hyperlink" Target="https://twitter.com/juliegpeterson/status/705933367469084672" TargetMode="External"/><Relationship Id="rId4558" Type="http://schemas.openxmlformats.org/officeDocument/2006/relationships/hyperlink" Target="https://pbs.twimg.com/profile_images/609765839051452416/GNW0wSt0_normal.jpg" TargetMode="External"/><Relationship Id="rId3226" Type="http://schemas.openxmlformats.org/officeDocument/2006/relationships/hyperlink" Target="https://twitter.com/juliegpeterson" TargetMode="External"/><Relationship Id="rId4557" Type="http://schemas.openxmlformats.org/officeDocument/2006/relationships/hyperlink" Target="https://twitter.com/juliegpeterson/status/706179725656498177" TargetMode="External"/><Relationship Id="rId3229" Type="http://schemas.openxmlformats.org/officeDocument/2006/relationships/hyperlink" Target="https://twitter.com/pastpunditry" TargetMode="External"/><Relationship Id="rId3228" Type="http://schemas.openxmlformats.org/officeDocument/2006/relationships/hyperlink" Target="https://pbs.twimg.com/profile_images/609765839051452416/GNW0wSt0_normal.jpg" TargetMode="External"/><Relationship Id="rId4559" Type="http://schemas.openxmlformats.org/officeDocument/2006/relationships/hyperlink" Target="https://twitter.com/pastpunditry" TargetMode="External"/><Relationship Id="rId699" Type="http://schemas.openxmlformats.org/officeDocument/2006/relationships/hyperlink" Target="https://twitter.com/pastpunditry/status/705796881620799489" TargetMode="External"/><Relationship Id="rId698" Type="http://schemas.openxmlformats.org/officeDocument/2006/relationships/hyperlink" Target="https://twitter.com/pastpunditry" TargetMode="External"/><Relationship Id="rId693" Type="http://schemas.openxmlformats.org/officeDocument/2006/relationships/hyperlink" Target="https://twitter.com/umassph/status/705796844882935808" TargetMode="External"/><Relationship Id="rId4550" Type="http://schemas.openxmlformats.org/officeDocument/2006/relationships/hyperlink" Target="https://twitter.com/juliegpeterson" TargetMode="External"/><Relationship Id="rId692" Type="http://schemas.openxmlformats.org/officeDocument/2006/relationships/hyperlink" Target="https://twitter.com/umassph" TargetMode="External"/><Relationship Id="rId691" Type="http://schemas.openxmlformats.org/officeDocument/2006/relationships/hyperlink" Target="https://pbs.twimg.com/profile_images/701102020061753344/5zH70uem_normal.jpg" TargetMode="External"/><Relationship Id="rId3221" Type="http://schemas.openxmlformats.org/officeDocument/2006/relationships/hyperlink" Target="https://twitter.com/jamiaw/status/705933338805141504" TargetMode="External"/><Relationship Id="rId4552" Type="http://schemas.openxmlformats.org/officeDocument/2006/relationships/hyperlink" Target="https://pbs.twimg.com/profile_images/609765839051452416/GNW0wSt0_normal.jpg" TargetMode="External"/><Relationship Id="rId690" Type="http://schemas.openxmlformats.org/officeDocument/2006/relationships/hyperlink" Target="https://twitter.com/jamiaw/status/705796687311282176" TargetMode="External"/><Relationship Id="rId3220" Type="http://schemas.openxmlformats.org/officeDocument/2006/relationships/hyperlink" Target="https://twitter.com/jamiaw" TargetMode="External"/><Relationship Id="rId4551" Type="http://schemas.openxmlformats.org/officeDocument/2006/relationships/hyperlink" Target="https://twitter.com/juliegpeterson/status/706179137539579905" TargetMode="External"/><Relationship Id="rId697" Type="http://schemas.openxmlformats.org/officeDocument/2006/relationships/hyperlink" Target="https://pbs.twimg.com/profile_images/701102020061753344/5zH70uem_normal.jpg" TargetMode="External"/><Relationship Id="rId3223" Type="http://schemas.openxmlformats.org/officeDocument/2006/relationships/hyperlink" Target="https://twitter.com/foundhistory" TargetMode="External"/><Relationship Id="rId4554" Type="http://schemas.openxmlformats.org/officeDocument/2006/relationships/hyperlink" Target="https://twitter.com/pastpunditry/status/706179511180791808" TargetMode="External"/><Relationship Id="rId696" Type="http://schemas.openxmlformats.org/officeDocument/2006/relationships/hyperlink" Target="https://twitter.com/jamiaw/status/705796860741554176" TargetMode="External"/><Relationship Id="rId3222" Type="http://schemas.openxmlformats.org/officeDocument/2006/relationships/hyperlink" Target="https://pbs.twimg.com/profile_images/701102020061753344/5zH70uem_normal.jpg" TargetMode="External"/><Relationship Id="rId4553" Type="http://schemas.openxmlformats.org/officeDocument/2006/relationships/hyperlink" Target="https://twitter.com/pastpunditry" TargetMode="External"/><Relationship Id="rId695" Type="http://schemas.openxmlformats.org/officeDocument/2006/relationships/hyperlink" Target="https://twitter.com/jamiaw" TargetMode="External"/><Relationship Id="rId3225" Type="http://schemas.openxmlformats.org/officeDocument/2006/relationships/hyperlink" Target="https://pbs.twimg.com/profile_images/504647141952745472/TwNbdViu_normal.jpeg" TargetMode="External"/><Relationship Id="rId4556" Type="http://schemas.openxmlformats.org/officeDocument/2006/relationships/hyperlink" Target="https://twitter.com/juliegpeterson" TargetMode="External"/><Relationship Id="rId694" Type="http://schemas.openxmlformats.org/officeDocument/2006/relationships/hyperlink" Target="https://pbs.twimg.com/profile_images/3583165575/54f0bc87a29b2ae8587193829ce07299_normal.jpeg" TargetMode="External"/><Relationship Id="rId3224" Type="http://schemas.openxmlformats.org/officeDocument/2006/relationships/hyperlink" Target="https://twitter.com/foundhistory/status/705933366294618113" TargetMode="External"/><Relationship Id="rId4555" Type="http://schemas.openxmlformats.org/officeDocument/2006/relationships/hyperlink" Target="https://pbs.twimg.com/profile_images/704873222802636800/7aFEMOY5_normal.jpg" TargetMode="External"/><Relationship Id="rId3259" Type="http://schemas.openxmlformats.org/officeDocument/2006/relationships/hyperlink" Target="https://twitter.com/JimGrossmanAHA" TargetMode="External"/><Relationship Id="rId3250" Type="http://schemas.openxmlformats.org/officeDocument/2006/relationships/hyperlink" Target="https://twitter.com/pastpunditry" TargetMode="External"/><Relationship Id="rId4581" Type="http://schemas.openxmlformats.org/officeDocument/2006/relationships/hyperlink" Target="https://twitter.com/pastpunditry/status/706181076310478848" TargetMode="External"/><Relationship Id="rId4580" Type="http://schemas.openxmlformats.org/officeDocument/2006/relationships/hyperlink" Target="https://twitter.com/pastpunditry" TargetMode="External"/><Relationship Id="rId3252" Type="http://schemas.openxmlformats.org/officeDocument/2006/relationships/hyperlink" Target="https://pbs.twimg.com/profile_images/704873222802636800/7aFEMOY5_normal.jpg" TargetMode="External"/><Relationship Id="rId4583" Type="http://schemas.openxmlformats.org/officeDocument/2006/relationships/hyperlink" Target="https://twitter.com/JulieThePH" TargetMode="External"/><Relationship Id="rId3251" Type="http://schemas.openxmlformats.org/officeDocument/2006/relationships/hyperlink" Target="https://twitter.com/pastpunditry/status/705933841719009280" TargetMode="External"/><Relationship Id="rId4582" Type="http://schemas.openxmlformats.org/officeDocument/2006/relationships/hyperlink" Target="https://pbs.twimg.com/profile_images/704873222802636800/7aFEMOY5_normal.jpg" TargetMode="External"/><Relationship Id="rId3254" Type="http://schemas.openxmlformats.org/officeDocument/2006/relationships/hyperlink" Target="https://twitter.com/erfagen/status/705933858785632256" TargetMode="External"/><Relationship Id="rId4585" Type="http://schemas.openxmlformats.org/officeDocument/2006/relationships/hyperlink" Target="https://pbs.twimg.com/profile_images/596509974005686273/AqBblwMR_normal.jpg" TargetMode="External"/><Relationship Id="rId3253" Type="http://schemas.openxmlformats.org/officeDocument/2006/relationships/hyperlink" Target="https://twitter.com/erfagen" TargetMode="External"/><Relationship Id="rId4584" Type="http://schemas.openxmlformats.org/officeDocument/2006/relationships/hyperlink" Target="https://twitter.com/JulieThePH/status/706181131335540736" TargetMode="External"/><Relationship Id="rId3256" Type="http://schemas.openxmlformats.org/officeDocument/2006/relationships/hyperlink" Target="https://twitter.com/rebekkahrubin" TargetMode="External"/><Relationship Id="rId4587" Type="http://schemas.openxmlformats.org/officeDocument/2006/relationships/hyperlink" Target="https://twitter.com/pastpunditry/status/706181153858961408" TargetMode="External"/><Relationship Id="rId3255" Type="http://schemas.openxmlformats.org/officeDocument/2006/relationships/hyperlink" Target="https://pbs.twimg.com/profile_images/638086945722249217/mid_S_BQ_normal.jpg" TargetMode="External"/><Relationship Id="rId4586" Type="http://schemas.openxmlformats.org/officeDocument/2006/relationships/hyperlink" Target="https://twitter.com/pastpunditry" TargetMode="External"/><Relationship Id="rId3258" Type="http://schemas.openxmlformats.org/officeDocument/2006/relationships/hyperlink" Target="https://pbs.twimg.com/profile_images/700317732588408832/Ym_-neUi_normal.jpg" TargetMode="External"/><Relationship Id="rId4589" Type="http://schemas.openxmlformats.org/officeDocument/2006/relationships/hyperlink" Target="https://twitter.com/mathhistory" TargetMode="External"/><Relationship Id="rId3257" Type="http://schemas.openxmlformats.org/officeDocument/2006/relationships/hyperlink" Target="https://twitter.com/rebekkahrubin/status/705933872891035648" TargetMode="External"/><Relationship Id="rId4588" Type="http://schemas.openxmlformats.org/officeDocument/2006/relationships/hyperlink" Target="https://pbs.twimg.com/profile_images/704873222802636800/7aFEMOY5_normal.jpg" TargetMode="External"/><Relationship Id="rId3249" Type="http://schemas.openxmlformats.org/officeDocument/2006/relationships/hyperlink" Target="https://pbs.twimg.com/profile_images/704873222802636800/7aFEMOY5_normal.jpg" TargetMode="External"/><Relationship Id="rId3248" Type="http://schemas.openxmlformats.org/officeDocument/2006/relationships/hyperlink" Target="https://twitter.com/pastpunditry/status/705933827441598464" TargetMode="External"/><Relationship Id="rId4579" Type="http://schemas.openxmlformats.org/officeDocument/2006/relationships/hyperlink" Target="https://pbs.twimg.com/profile_images/704873222802636800/7aFEMOY5_normal.jpg" TargetMode="External"/><Relationship Id="rId4570" Type="http://schemas.openxmlformats.org/officeDocument/2006/relationships/hyperlink" Target="https://pbs.twimg.com/profile_images/701102020061753344/5zH70uem_normal.jpg" TargetMode="External"/><Relationship Id="rId3241" Type="http://schemas.openxmlformats.org/officeDocument/2006/relationships/hyperlink" Target="https://twitter.com/juliegpeterson" TargetMode="External"/><Relationship Id="rId4572" Type="http://schemas.openxmlformats.org/officeDocument/2006/relationships/hyperlink" Target="https://twitter.com/jamiaw/status/706180686982545409" TargetMode="External"/><Relationship Id="rId3240" Type="http://schemas.openxmlformats.org/officeDocument/2006/relationships/hyperlink" Target="https://pbs.twimg.com/profile_images/650419150620377089/bJxBf---_normal.jpg" TargetMode="External"/><Relationship Id="rId4571" Type="http://schemas.openxmlformats.org/officeDocument/2006/relationships/hyperlink" Target="https://twitter.com/jamiaw" TargetMode="External"/><Relationship Id="rId3243" Type="http://schemas.openxmlformats.org/officeDocument/2006/relationships/hyperlink" Target="https://pbs.twimg.com/profile_images/609765839051452416/GNW0wSt0_normal.jpg" TargetMode="External"/><Relationship Id="rId4574" Type="http://schemas.openxmlformats.org/officeDocument/2006/relationships/hyperlink" Target="https://twitter.com/juliegpeterson" TargetMode="External"/><Relationship Id="rId3242" Type="http://schemas.openxmlformats.org/officeDocument/2006/relationships/hyperlink" Target="https://twitter.com/juliegpeterson/status/705933743928840192" TargetMode="External"/><Relationship Id="rId4573" Type="http://schemas.openxmlformats.org/officeDocument/2006/relationships/hyperlink" Target="https://pbs.twimg.com/profile_images/701102020061753344/5zH70uem_normal.jpg" TargetMode="External"/><Relationship Id="rId3245" Type="http://schemas.openxmlformats.org/officeDocument/2006/relationships/hyperlink" Target="https://twitter.com/cameshascruggs/status/705933806813970433" TargetMode="External"/><Relationship Id="rId4576" Type="http://schemas.openxmlformats.org/officeDocument/2006/relationships/hyperlink" Target="https://pbs.twimg.com/profile_images/609765839051452416/GNW0wSt0_normal.jpg" TargetMode="External"/><Relationship Id="rId3244" Type="http://schemas.openxmlformats.org/officeDocument/2006/relationships/hyperlink" Target="https://twitter.com/cameshascruggs" TargetMode="External"/><Relationship Id="rId4575" Type="http://schemas.openxmlformats.org/officeDocument/2006/relationships/hyperlink" Target="https://twitter.com/juliegpeterson/status/706180960220483584" TargetMode="External"/><Relationship Id="rId3247" Type="http://schemas.openxmlformats.org/officeDocument/2006/relationships/hyperlink" Target="https://twitter.com/pastpunditry" TargetMode="External"/><Relationship Id="rId4578" Type="http://schemas.openxmlformats.org/officeDocument/2006/relationships/hyperlink" Target="https://twitter.com/pastpunditry/status/706180961155870721" TargetMode="External"/><Relationship Id="rId3246" Type="http://schemas.openxmlformats.org/officeDocument/2006/relationships/hyperlink" Target="https://pbs.twimg.com/profile_images/187613030/me_in_panel_mode_normal.jpg" TargetMode="External"/><Relationship Id="rId4577" Type="http://schemas.openxmlformats.org/officeDocument/2006/relationships/hyperlink" Target="https://twitter.com/pastpunditry" TargetMode="External"/><Relationship Id="rId1499" Type="http://schemas.openxmlformats.org/officeDocument/2006/relationships/hyperlink" Target="https://pbs.twimg.com/profile_images/704873222802636800/7aFEMOY5_normal.jpg" TargetMode="External"/><Relationship Id="rId4525" Type="http://schemas.openxmlformats.org/officeDocument/2006/relationships/hyperlink" Target="https://pbs.twimg.com/profile_images/564445065573965824/Ec20w5KQ_normal.jpeg" TargetMode="External"/><Relationship Id="rId4524" Type="http://schemas.openxmlformats.org/officeDocument/2006/relationships/hyperlink" Target="https://twitter.com/ValleyNerdWatch/status/706170643495165954" TargetMode="External"/><Relationship Id="rId4527" Type="http://schemas.openxmlformats.org/officeDocument/2006/relationships/hyperlink" Target="https://twitter.com/pastpunditry/status/706172127540543490" TargetMode="External"/><Relationship Id="rId4526" Type="http://schemas.openxmlformats.org/officeDocument/2006/relationships/hyperlink" Target="https://twitter.com/pastpunditry" TargetMode="External"/><Relationship Id="rId4529" Type="http://schemas.openxmlformats.org/officeDocument/2006/relationships/hyperlink" Target="https://twitter.com/4Kats4" TargetMode="External"/><Relationship Id="rId4528" Type="http://schemas.openxmlformats.org/officeDocument/2006/relationships/hyperlink" Target="https://pbs.twimg.com/profile_images/704873222802636800/7aFEMOY5_normal.jpg" TargetMode="External"/><Relationship Id="rId668" Type="http://schemas.openxmlformats.org/officeDocument/2006/relationships/hyperlink" Target="https://twitter.com/rebekkahrubin" TargetMode="External"/><Relationship Id="rId667" Type="http://schemas.openxmlformats.org/officeDocument/2006/relationships/hyperlink" Target="https://pbs.twimg.com/profile_images/704873222802636800/7aFEMOY5_normal.jpg" TargetMode="External"/><Relationship Id="rId666" Type="http://schemas.openxmlformats.org/officeDocument/2006/relationships/hyperlink" Target="https://twitter.com/pastpunditry/status/705794531480965120" TargetMode="External"/><Relationship Id="rId665" Type="http://schemas.openxmlformats.org/officeDocument/2006/relationships/hyperlink" Target="https://twitter.com/pastpunditry" TargetMode="External"/><Relationship Id="rId669" Type="http://schemas.openxmlformats.org/officeDocument/2006/relationships/hyperlink" Target="https://twitter.com/rebekkahrubin/status/705794637592657920" TargetMode="External"/><Relationship Id="rId1490" Type="http://schemas.openxmlformats.org/officeDocument/2006/relationships/hyperlink" Target="https://pbs.twimg.com/profile_images/704873222802636800/7aFEMOY5_normal.jpg" TargetMode="External"/><Relationship Id="rId660" Type="http://schemas.openxmlformats.org/officeDocument/2006/relationships/hyperlink" Target="https://twitter.com/pastpunditry/status/705794311988838400" TargetMode="External"/><Relationship Id="rId1491" Type="http://schemas.openxmlformats.org/officeDocument/2006/relationships/hyperlink" Target="https://twitter.com/pastpunditry" TargetMode="External"/><Relationship Id="rId1492" Type="http://schemas.openxmlformats.org/officeDocument/2006/relationships/hyperlink" Target="https://twitter.com/pastpunditry/status/705861513702203392" TargetMode="External"/><Relationship Id="rId1493" Type="http://schemas.openxmlformats.org/officeDocument/2006/relationships/hyperlink" Target="https://pbs.twimg.com/profile_images/704873222802636800/7aFEMOY5_normal.jpg" TargetMode="External"/><Relationship Id="rId1494" Type="http://schemas.openxmlformats.org/officeDocument/2006/relationships/hyperlink" Target="https://twitter.com/MarlaAtUmass" TargetMode="External"/><Relationship Id="rId664" Type="http://schemas.openxmlformats.org/officeDocument/2006/relationships/hyperlink" Target="https://pbs.twimg.com/profile_images/596509974005686273/AqBblwMR_normal.jpg" TargetMode="External"/><Relationship Id="rId1495" Type="http://schemas.openxmlformats.org/officeDocument/2006/relationships/hyperlink" Target="https://twitter.com/MarlaAtUmass/status/705862152930906112" TargetMode="External"/><Relationship Id="rId4521" Type="http://schemas.openxmlformats.org/officeDocument/2006/relationships/hyperlink" Target="https://twitter.com/samueljredman/status/706170323134238722" TargetMode="External"/><Relationship Id="rId663" Type="http://schemas.openxmlformats.org/officeDocument/2006/relationships/hyperlink" Target="https://twitter.com/JulieThePH/status/705794329017712640" TargetMode="External"/><Relationship Id="rId1496" Type="http://schemas.openxmlformats.org/officeDocument/2006/relationships/hyperlink" Target="https://pbs.twimg.com/profile_images/565429960/Betsy_Twitter_normal.jpg" TargetMode="External"/><Relationship Id="rId4520" Type="http://schemas.openxmlformats.org/officeDocument/2006/relationships/hyperlink" Target="https://twitter.com/samueljredman" TargetMode="External"/><Relationship Id="rId662" Type="http://schemas.openxmlformats.org/officeDocument/2006/relationships/hyperlink" Target="https://twitter.com/JulieThePH" TargetMode="External"/><Relationship Id="rId1497" Type="http://schemas.openxmlformats.org/officeDocument/2006/relationships/hyperlink" Target="https://twitter.com/pastpunditry" TargetMode="External"/><Relationship Id="rId4523" Type="http://schemas.openxmlformats.org/officeDocument/2006/relationships/hyperlink" Target="https://twitter.com/ValleyNerdWatch" TargetMode="External"/><Relationship Id="rId661" Type="http://schemas.openxmlformats.org/officeDocument/2006/relationships/hyperlink" Target="https://pbs.twimg.com/profile_images/704873222802636800/7aFEMOY5_normal.jpg" TargetMode="External"/><Relationship Id="rId1498" Type="http://schemas.openxmlformats.org/officeDocument/2006/relationships/hyperlink" Target="https://twitter.com/pastpunditry/status/705862227329486849" TargetMode="External"/><Relationship Id="rId4522" Type="http://schemas.openxmlformats.org/officeDocument/2006/relationships/hyperlink" Target="https://pbs.twimg.com/profile_images/548193870278688768/8Dq7gW3U_normal.png" TargetMode="External"/><Relationship Id="rId1488" Type="http://schemas.openxmlformats.org/officeDocument/2006/relationships/hyperlink" Target="https://twitter.com/pastpunditry" TargetMode="External"/><Relationship Id="rId4514" Type="http://schemas.openxmlformats.org/officeDocument/2006/relationships/hyperlink" Target="https://twitter.com/samueljredman" TargetMode="External"/><Relationship Id="rId1489" Type="http://schemas.openxmlformats.org/officeDocument/2006/relationships/hyperlink" Target="https://twitter.com/pastpunditry/status/705861497919037440" TargetMode="External"/><Relationship Id="rId4513" Type="http://schemas.openxmlformats.org/officeDocument/2006/relationships/hyperlink" Target="https://pbs.twimg.com/profile_images/548193870278688768/8Dq7gW3U_normal.png" TargetMode="External"/><Relationship Id="rId4516" Type="http://schemas.openxmlformats.org/officeDocument/2006/relationships/hyperlink" Target="https://pbs.twimg.com/profile_images/548193870278688768/8Dq7gW3U_normal.png" TargetMode="External"/><Relationship Id="rId4515" Type="http://schemas.openxmlformats.org/officeDocument/2006/relationships/hyperlink" Target="https://twitter.com/samueljredman/status/706170171120099329" TargetMode="External"/><Relationship Id="rId4518" Type="http://schemas.openxmlformats.org/officeDocument/2006/relationships/hyperlink" Target="https://twitter.com/samueljredman/status/706170299276992512" TargetMode="External"/><Relationship Id="rId4517" Type="http://schemas.openxmlformats.org/officeDocument/2006/relationships/hyperlink" Target="https://twitter.com/samueljredman" TargetMode="External"/><Relationship Id="rId4519" Type="http://schemas.openxmlformats.org/officeDocument/2006/relationships/hyperlink" Target="https://pbs.twimg.com/profile_images/548193870278688768/8Dq7gW3U_normal.png" TargetMode="External"/><Relationship Id="rId657" Type="http://schemas.openxmlformats.org/officeDocument/2006/relationships/hyperlink" Target="https://twitter.com/JulieThePH/status/705794277381693441" TargetMode="External"/><Relationship Id="rId656" Type="http://schemas.openxmlformats.org/officeDocument/2006/relationships/hyperlink" Target="https://twitter.com/JulieThePH" TargetMode="External"/><Relationship Id="rId655" Type="http://schemas.openxmlformats.org/officeDocument/2006/relationships/hyperlink" Target="https://pbs.twimg.com/profile_images/636901483401904128/cxbavncr_normal.jpg" TargetMode="External"/><Relationship Id="rId654" Type="http://schemas.openxmlformats.org/officeDocument/2006/relationships/hyperlink" Target="https://twitter.com/historein/status/705793748115050497" TargetMode="External"/><Relationship Id="rId659" Type="http://schemas.openxmlformats.org/officeDocument/2006/relationships/hyperlink" Target="https://twitter.com/pastpunditry" TargetMode="External"/><Relationship Id="rId658" Type="http://schemas.openxmlformats.org/officeDocument/2006/relationships/hyperlink" Target="https://pbs.twimg.com/profile_images/596509974005686273/AqBblwMR_normal.jpg" TargetMode="External"/><Relationship Id="rId1480" Type="http://schemas.openxmlformats.org/officeDocument/2006/relationships/hyperlink" Target="https://twitter.com/pastpunditry/status/705861162580254720" TargetMode="External"/><Relationship Id="rId1481" Type="http://schemas.openxmlformats.org/officeDocument/2006/relationships/hyperlink" Target="https://pbs.twimg.com/profile_images/704873222802636800/7aFEMOY5_normal.jpg" TargetMode="External"/><Relationship Id="rId1482" Type="http://schemas.openxmlformats.org/officeDocument/2006/relationships/hyperlink" Target="https://twitter.com/umassph" TargetMode="External"/><Relationship Id="rId1483" Type="http://schemas.openxmlformats.org/officeDocument/2006/relationships/hyperlink" Target="https://twitter.com/umassph/status/705861355438481408" TargetMode="External"/><Relationship Id="rId653" Type="http://schemas.openxmlformats.org/officeDocument/2006/relationships/hyperlink" Target="https://twitter.com/historein" TargetMode="External"/><Relationship Id="rId1484" Type="http://schemas.openxmlformats.org/officeDocument/2006/relationships/hyperlink" Target="https://pbs.twimg.com/profile_images/3583165575/54f0bc87a29b2ae8587193829ce07299_normal.jpeg" TargetMode="External"/><Relationship Id="rId4510" Type="http://schemas.openxmlformats.org/officeDocument/2006/relationships/hyperlink" Target="https://pbs.twimg.com/profile_images/548193870278688768/8Dq7gW3U_normal.png" TargetMode="External"/><Relationship Id="rId652" Type="http://schemas.openxmlformats.org/officeDocument/2006/relationships/hyperlink" Target="https://pbs.twimg.com/profile_images/596509974005686273/AqBblwMR_normal.jpg" TargetMode="External"/><Relationship Id="rId1485" Type="http://schemas.openxmlformats.org/officeDocument/2006/relationships/hyperlink" Target="https://twitter.com/MarlaAtUmass" TargetMode="External"/><Relationship Id="rId651" Type="http://schemas.openxmlformats.org/officeDocument/2006/relationships/hyperlink" Target="https://twitter.com/JulieThePH/status/705793714002731008" TargetMode="External"/><Relationship Id="rId1486" Type="http://schemas.openxmlformats.org/officeDocument/2006/relationships/hyperlink" Target="https://twitter.com/MarlaAtUmass/status/705861392964919298" TargetMode="External"/><Relationship Id="rId4512" Type="http://schemas.openxmlformats.org/officeDocument/2006/relationships/hyperlink" Target="https://twitter.com/samueljredman/status/706170145186705409" TargetMode="External"/><Relationship Id="rId650" Type="http://schemas.openxmlformats.org/officeDocument/2006/relationships/hyperlink" Target="https://twitter.com/JulieThePH" TargetMode="External"/><Relationship Id="rId1487" Type="http://schemas.openxmlformats.org/officeDocument/2006/relationships/hyperlink" Target="https://pbs.twimg.com/profile_images/565429960/Betsy_Twitter_normal.jpg" TargetMode="External"/><Relationship Id="rId4511" Type="http://schemas.openxmlformats.org/officeDocument/2006/relationships/hyperlink" Target="https://twitter.com/samueljredman" TargetMode="External"/><Relationship Id="rId3216" Type="http://schemas.openxmlformats.org/officeDocument/2006/relationships/hyperlink" Target="https://pbs.twimg.com/profile_images/638086945722249217/mid_S_BQ_normal.jpg" TargetMode="External"/><Relationship Id="rId4547" Type="http://schemas.openxmlformats.org/officeDocument/2006/relationships/hyperlink" Target="https://twitter.com/juliegpeterson" TargetMode="External"/><Relationship Id="rId3215" Type="http://schemas.openxmlformats.org/officeDocument/2006/relationships/hyperlink" Target="https://twitter.com/erfagen/status/705933296321036288" TargetMode="External"/><Relationship Id="rId4546" Type="http://schemas.openxmlformats.org/officeDocument/2006/relationships/hyperlink" Target="https://pbs.twimg.com/profile_images/609765839051452416/GNW0wSt0_normal.jpg" TargetMode="External"/><Relationship Id="rId3218" Type="http://schemas.openxmlformats.org/officeDocument/2006/relationships/hyperlink" Target="https://twitter.com/juliegpeterson/status/705933333558140928" TargetMode="External"/><Relationship Id="rId4549" Type="http://schemas.openxmlformats.org/officeDocument/2006/relationships/hyperlink" Target="https://pbs.twimg.com/profile_images/609765839051452416/GNW0wSt0_normal.jpg" TargetMode="External"/><Relationship Id="rId3217" Type="http://schemas.openxmlformats.org/officeDocument/2006/relationships/hyperlink" Target="https://twitter.com/juliegpeterson" TargetMode="External"/><Relationship Id="rId4548" Type="http://schemas.openxmlformats.org/officeDocument/2006/relationships/hyperlink" Target="https://twitter.com/juliegpeterson/status/706179055914192897" TargetMode="External"/><Relationship Id="rId3219" Type="http://schemas.openxmlformats.org/officeDocument/2006/relationships/hyperlink" Target="https://pbs.twimg.com/profile_images/609765839051452416/GNW0wSt0_normal.jpg" TargetMode="External"/><Relationship Id="rId689" Type="http://schemas.openxmlformats.org/officeDocument/2006/relationships/hyperlink" Target="https://twitter.com/jamiaw" TargetMode="External"/><Relationship Id="rId688" Type="http://schemas.openxmlformats.org/officeDocument/2006/relationships/hyperlink" Target="https://pbs.twimg.com/profile_images/704873222802636800/7aFEMOY5_normal.jpg" TargetMode="External"/><Relationship Id="rId687" Type="http://schemas.openxmlformats.org/officeDocument/2006/relationships/hyperlink" Target="https://twitter.com/pastpunditry/status/705796168580788225" TargetMode="External"/><Relationship Id="rId682" Type="http://schemas.openxmlformats.org/officeDocument/2006/relationships/hyperlink" Target="https://pbs.twimg.com/profile_images/704873222802636800/7aFEMOY5_normal.jpg" TargetMode="External"/><Relationship Id="rId681" Type="http://schemas.openxmlformats.org/officeDocument/2006/relationships/hyperlink" Target="https://twitter.com/pastpunditry/status/705795248954413057" TargetMode="External"/><Relationship Id="rId680" Type="http://schemas.openxmlformats.org/officeDocument/2006/relationships/hyperlink" Target="https://twitter.com/pastpunditry" TargetMode="External"/><Relationship Id="rId3210" Type="http://schemas.openxmlformats.org/officeDocument/2006/relationships/hyperlink" Target="https://pbs.twimg.com/profile_images/547418207477194752/eI3-TTEf_normal.jpeg" TargetMode="External"/><Relationship Id="rId4541" Type="http://schemas.openxmlformats.org/officeDocument/2006/relationships/hyperlink" Target="https://twitter.com/juliegpeterson" TargetMode="External"/><Relationship Id="rId4540" Type="http://schemas.openxmlformats.org/officeDocument/2006/relationships/hyperlink" Target="https://pbs.twimg.com/profile_images/609765839051452416/GNW0wSt0_normal.jpg" TargetMode="External"/><Relationship Id="rId686" Type="http://schemas.openxmlformats.org/officeDocument/2006/relationships/hyperlink" Target="https://twitter.com/pastpunditry" TargetMode="External"/><Relationship Id="rId3212" Type="http://schemas.openxmlformats.org/officeDocument/2006/relationships/hyperlink" Target="https://twitter.com/defactofecteau/status/705933291610894336" TargetMode="External"/><Relationship Id="rId4543" Type="http://schemas.openxmlformats.org/officeDocument/2006/relationships/hyperlink" Target="https://pbs.twimg.com/profile_images/609765839051452416/GNW0wSt0_normal.jpg" TargetMode="External"/><Relationship Id="rId685" Type="http://schemas.openxmlformats.org/officeDocument/2006/relationships/hyperlink" Target="https://pbs.twimg.com/profile_images/596509974005686273/AqBblwMR_normal.jpg" TargetMode="External"/><Relationship Id="rId3211" Type="http://schemas.openxmlformats.org/officeDocument/2006/relationships/hyperlink" Target="https://twitter.com/defactofecteau" TargetMode="External"/><Relationship Id="rId4542" Type="http://schemas.openxmlformats.org/officeDocument/2006/relationships/hyperlink" Target="https://twitter.com/juliegpeterson/status/706178926922625025" TargetMode="External"/><Relationship Id="rId684" Type="http://schemas.openxmlformats.org/officeDocument/2006/relationships/hyperlink" Target="https://twitter.com/JulieThePH/status/705796142613843968" TargetMode="External"/><Relationship Id="rId3214" Type="http://schemas.openxmlformats.org/officeDocument/2006/relationships/hyperlink" Target="https://twitter.com/erfagen" TargetMode="External"/><Relationship Id="rId4545" Type="http://schemas.openxmlformats.org/officeDocument/2006/relationships/hyperlink" Target="https://twitter.com/juliegpeterson/status/706179010523504641" TargetMode="External"/><Relationship Id="rId683" Type="http://schemas.openxmlformats.org/officeDocument/2006/relationships/hyperlink" Target="https://twitter.com/JulieThePH" TargetMode="External"/><Relationship Id="rId3213" Type="http://schemas.openxmlformats.org/officeDocument/2006/relationships/hyperlink" Target="https://pbs.twimg.com/profile_images/434404729263648768/vsAZLFtj_normal.jpeg" TargetMode="External"/><Relationship Id="rId4544" Type="http://schemas.openxmlformats.org/officeDocument/2006/relationships/hyperlink" Target="https://twitter.com/juliegpeterson" TargetMode="External"/><Relationship Id="rId3205" Type="http://schemas.openxmlformats.org/officeDocument/2006/relationships/hyperlink" Target="https://twitter.com/pastpunditry" TargetMode="External"/><Relationship Id="rId4536" Type="http://schemas.openxmlformats.org/officeDocument/2006/relationships/hyperlink" Target="https://twitter.com/juliegpeterson/status/706178098954432513" TargetMode="External"/><Relationship Id="rId3204" Type="http://schemas.openxmlformats.org/officeDocument/2006/relationships/hyperlink" Target="https://pbs.twimg.com/profile_images/700317732588408832/Ym_-neUi_normal.jpg" TargetMode="External"/><Relationship Id="rId4535" Type="http://schemas.openxmlformats.org/officeDocument/2006/relationships/hyperlink" Target="https://twitter.com/juliegpeterson" TargetMode="External"/><Relationship Id="rId3207" Type="http://schemas.openxmlformats.org/officeDocument/2006/relationships/hyperlink" Target="https://pbs.twimg.com/profile_images/704873222802636800/7aFEMOY5_normal.jpg" TargetMode="External"/><Relationship Id="rId4538" Type="http://schemas.openxmlformats.org/officeDocument/2006/relationships/hyperlink" Target="https://twitter.com/juliegpeterson" TargetMode="External"/><Relationship Id="rId3206" Type="http://schemas.openxmlformats.org/officeDocument/2006/relationships/hyperlink" Target="https://twitter.com/pastpunditry/status/705933245033144320" TargetMode="External"/><Relationship Id="rId4537" Type="http://schemas.openxmlformats.org/officeDocument/2006/relationships/hyperlink" Target="https://pbs.twimg.com/profile_images/609765839051452416/GNW0wSt0_normal.jpg" TargetMode="External"/><Relationship Id="rId3209" Type="http://schemas.openxmlformats.org/officeDocument/2006/relationships/hyperlink" Target="https://twitter.com/naomiprof/status/705933263924305920" TargetMode="External"/><Relationship Id="rId3208" Type="http://schemas.openxmlformats.org/officeDocument/2006/relationships/hyperlink" Target="https://twitter.com/naomiprof" TargetMode="External"/><Relationship Id="rId4539" Type="http://schemas.openxmlformats.org/officeDocument/2006/relationships/hyperlink" Target="https://twitter.com/juliegpeterson/status/706178419214696448" TargetMode="External"/><Relationship Id="rId679" Type="http://schemas.openxmlformats.org/officeDocument/2006/relationships/hyperlink" Target="https://pbs.twimg.com/profile_images/596509974005686273/AqBblwMR_normal.jpg" TargetMode="External"/><Relationship Id="rId678" Type="http://schemas.openxmlformats.org/officeDocument/2006/relationships/hyperlink" Target="https://twitter.com/JulieThePH/status/705795183930114048" TargetMode="External"/><Relationship Id="rId677" Type="http://schemas.openxmlformats.org/officeDocument/2006/relationships/hyperlink" Target="https://twitter.com/JulieThePH" TargetMode="External"/><Relationship Id="rId676" Type="http://schemas.openxmlformats.org/officeDocument/2006/relationships/hyperlink" Target="https://pbs.twimg.com/profile_images/704873222802636800/7aFEMOY5_normal.jpg" TargetMode="External"/><Relationship Id="rId671" Type="http://schemas.openxmlformats.org/officeDocument/2006/relationships/hyperlink" Target="https://twitter.com/nicholsonsonia_" TargetMode="External"/><Relationship Id="rId670" Type="http://schemas.openxmlformats.org/officeDocument/2006/relationships/hyperlink" Target="https://pbs.twimg.com/profile_images/700317732588408832/Ym_-neUi_normal.jpg" TargetMode="External"/><Relationship Id="rId4530" Type="http://schemas.openxmlformats.org/officeDocument/2006/relationships/hyperlink" Target="https://twitter.com/4Kats4/status/706172848419823616" TargetMode="External"/><Relationship Id="rId675" Type="http://schemas.openxmlformats.org/officeDocument/2006/relationships/hyperlink" Target="https://twitter.com/pastpunditry/status/705795114938015744" TargetMode="External"/><Relationship Id="rId3201" Type="http://schemas.openxmlformats.org/officeDocument/2006/relationships/hyperlink" Target="https://pbs.twimg.com/profile_images/638086945722249217/mid_S_BQ_normal.jpg" TargetMode="External"/><Relationship Id="rId4532" Type="http://schemas.openxmlformats.org/officeDocument/2006/relationships/hyperlink" Target="https://twitter.com/insurgentintel" TargetMode="External"/><Relationship Id="rId674" Type="http://schemas.openxmlformats.org/officeDocument/2006/relationships/hyperlink" Target="https://twitter.com/pastpunditry" TargetMode="External"/><Relationship Id="rId3200" Type="http://schemas.openxmlformats.org/officeDocument/2006/relationships/hyperlink" Target="https://twitter.com/erfagen/status/705933191069175808" TargetMode="External"/><Relationship Id="rId4531" Type="http://schemas.openxmlformats.org/officeDocument/2006/relationships/hyperlink" Target="https://pbs.twimg.com/profile_images/344265240/cat_normal.jpg" TargetMode="External"/><Relationship Id="rId673" Type="http://schemas.openxmlformats.org/officeDocument/2006/relationships/hyperlink" Target="https://pbs.twimg.com/profile_images/678715954088443905/MWM_lx-b_normal.jpg" TargetMode="External"/><Relationship Id="rId3203" Type="http://schemas.openxmlformats.org/officeDocument/2006/relationships/hyperlink" Target="https://twitter.com/rebekkahrubin/status/705933227463147520" TargetMode="External"/><Relationship Id="rId4534" Type="http://schemas.openxmlformats.org/officeDocument/2006/relationships/hyperlink" Target="https://pbs.twimg.com/profile_images/557938516756164608/xS0qnJPq_normal.jpeg" TargetMode="External"/><Relationship Id="rId672" Type="http://schemas.openxmlformats.org/officeDocument/2006/relationships/hyperlink" Target="https://twitter.com/nicholsonsonia_/status/705795023510503426" TargetMode="External"/><Relationship Id="rId3202" Type="http://schemas.openxmlformats.org/officeDocument/2006/relationships/hyperlink" Target="https://twitter.com/rebekkahrubin" TargetMode="External"/><Relationship Id="rId4533" Type="http://schemas.openxmlformats.org/officeDocument/2006/relationships/hyperlink" Target="https://twitter.com/insurgentintel/status/706172921954193408" TargetMode="External"/><Relationship Id="rId190" Type="http://schemas.openxmlformats.org/officeDocument/2006/relationships/hyperlink" Target="https://twitter.com/samueljredman" TargetMode="External"/><Relationship Id="rId5019" Type="http://schemas.openxmlformats.org/officeDocument/2006/relationships/hyperlink" Target="https://twitter.com/umassph/status/706197401678311424" TargetMode="External"/><Relationship Id="rId194" Type="http://schemas.openxmlformats.org/officeDocument/2006/relationships/hyperlink" Target="https://twitter.com/yurikgama/status/705507487718445058" TargetMode="External"/><Relationship Id="rId193" Type="http://schemas.openxmlformats.org/officeDocument/2006/relationships/hyperlink" Target="https://twitter.com/yurikgama" TargetMode="External"/><Relationship Id="rId192" Type="http://schemas.openxmlformats.org/officeDocument/2006/relationships/hyperlink" Target="https://pbs.twimg.com/profile_images/548193870278688768/8Dq7gW3U_normal.png" TargetMode="External"/><Relationship Id="rId191" Type="http://schemas.openxmlformats.org/officeDocument/2006/relationships/hyperlink" Target="https://twitter.com/samueljredman/status/705506273836584960" TargetMode="External"/><Relationship Id="rId5010" Type="http://schemas.openxmlformats.org/officeDocument/2006/relationships/hyperlink" Target="https://twitter.com/umassph/status/706197237580374017" TargetMode="External"/><Relationship Id="rId187" Type="http://schemas.openxmlformats.org/officeDocument/2006/relationships/hyperlink" Target="https://twitter.com/jmadelman" TargetMode="External"/><Relationship Id="rId5013" Type="http://schemas.openxmlformats.org/officeDocument/2006/relationships/hyperlink" Target="https://twitter.com/pastpunditry/status/706197273793974272" TargetMode="External"/><Relationship Id="rId186" Type="http://schemas.openxmlformats.org/officeDocument/2006/relationships/hyperlink" Target="https://pbs.twimg.com/profile_images/652138401651666944/voDILXwD_normal.jpg" TargetMode="External"/><Relationship Id="rId5014" Type="http://schemas.openxmlformats.org/officeDocument/2006/relationships/hyperlink" Target="https://pbs.twimg.com/profile_images/704873222802636800/7aFEMOY5_normal.jpg" TargetMode="External"/><Relationship Id="rId185" Type="http://schemas.openxmlformats.org/officeDocument/2006/relationships/hyperlink" Target="https://twitter.com/History_Doctor/status/705486286849708032" TargetMode="External"/><Relationship Id="rId5011" Type="http://schemas.openxmlformats.org/officeDocument/2006/relationships/hyperlink" Target="https://pbs.twimg.com/profile_images/3583165575/54f0bc87a29b2ae8587193829ce07299_normal.jpeg" TargetMode="External"/><Relationship Id="rId184" Type="http://schemas.openxmlformats.org/officeDocument/2006/relationships/hyperlink" Target="https://twitter.com/History_Doctor" TargetMode="External"/><Relationship Id="rId5012" Type="http://schemas.openxmlformats.org/officeDocument/2006/relationships/hyperlink" Target="https://twitter.com/pastpunditry" TargetMode="External"/><Relationship Id="rId5017" Type="http://schemas.openxmlformats.org/officeDocument/2006/relationships/hyperlink" Target="https://pbs.twimg.com/profile_images/3583165575/54f0bc87a29b2ae8587193829ce07299_normal.jpeg" TargetMode="External"/><Relationship Id="rId5018" Type="http://schemas.openxmlformats.org/officeDocument/2006/relationships/hyperlink" Target="https://twitter.com/umassph" TargetMode="External"/><Relationship Id="rId189" Type="http://schemas.openxmlformats.org/officeDocument/2006/relationships/hyperlink" Target="https://pbs.twimg.com/profile_images/633292774570201089/pdNFZfya_normal.jpg" TargetMode="External"/><Relationship Id="rId5015" Type="http://schemas.openxmlformats.org/officeDocument/2006/relationships/hyperlink" Target="https://twitter.com/umassph" TargetMode="External"/><Relationship Id="rId188" Type="http://schemas.openxmlformats.org/officeDocument/2006/relationships/hyperlink" Target="https://twitter.com/jmadelman/status/705486481150894081" TargetMode="External"/><Relationship Id="rId5016" Type="http://schemas.openxmlformats.org/officeDocument/2006/relationships/hyperlink" Target="https://twitter.com/umassph/status/706197312163418112" TargetMode="External"/><Relationship Id="rId5008" Type="http://schemas.openxmlformats.org/officeDocument/2006/relationships/hyperlink" Target="https://pbs.twimg.com/profile_images/704873222802636800/7aFEMOY5_normal.jpg" TargetMode="External"/><Relationship Id="rId5009" Type="http://schemas.openxmlformats.org/officeDocument/2006/relationships/hyperlink" Target="https://twitter.com/umassph" TargetMode="External"/><Relationship Id="rId183" Type="http://schemas.openxmlformats.org/officeDocument/2006/relationships/hyperlink" Target="https://pbs.twimg.com/profile_images/3586356040/2875fe2e13ecc978a7c19bbf515b7847_normal.png" TargetMode="External"/><Relationship Id="rId182" Type="http://schemas.openxmlformats.org/officeDocument/2006/relationships/hyperlink" Target="https://twitter.com/UMassHistory/status/705485291415609349" TargetMode="External"/><Relationship Id="rId181" Type="http://schemas.openxmlformats.org/officeDocument/2006/relationships/hyperlink" Target="https://twitter.com/UMassHistory" TargetMode="External"/><Relationship Id="rId180" Type="http://schemas.openxmlformats.org/officeDocument/2006/relationships/hyperlink" Target="https://pbs.twimg.com/profile_images/3586356040/2875fe2e13ecc978a7c19bbf515b7847_normal.png" TargetMode="External"/><Relationship Id="rId176" Type="http://schemas.openxmlformats.org/officeDocument/2006/relationships/hyperlink" Target="https://twitter.com/NixoNARA/status/705479182109839360" TargetMode="External"/><Relationship Id="rId5002" Type="http://schemas.openxmlformats.org/officeDocument/2006/relationships/hyperlink" Target="https://pbs.twimg.com/profile_images/3583165575/54f0bc87a29b2ae8587193829ce07299_normal.jpeg" TargetMode="External"/><Relationship Id="rId175" Type="http://schemas.openxmlformats.org/officeDocument/2006/relationships/hyperlink" Target="https://twitter.com/NixoNARA" TargetMode="External"/><Relationship Id="rId5003" Type="http://schemas.openxmlformats.org/officeDocument/2006/relationships/hyperlink" Target="https://twitter.com/jmadelman" TargetMode="External"/><Relationship Id="rId174" Type="http://schemas.openxmlformats.org/officeDocument/2006/relationships/hyperlink" Target="https://pbs.twimg.com/profile_images/1185970366/Twitter_NixoNARA_normal.jpg" TargetMode="External"/><Relationship Id="rId5000" Type="http://schemas.openxmlformats.org/officeDocument/2006/relationships/hyperlink" Target="https://twitter.com/umassph" TargetMode="External"/><Relationship Id="rId173" Type="http://schemas.openxmlformats.org/officeDocument/2006/relationships/hyperlink" Target="https://twitter.com/NixoNARA/status/705478795168509952" TargetMode="External"/><Relationship Id="rId5001" Type="http://schemas.openxmlformats.org/officeDocument/2006/relationships/hyperlink" Target="https://twitter.com/umassph/status/706197192168632320" TargetMode="External"/><Relationship Id="rId5006" Type="http://schemas.openxmlformats.org/officeDocument/2006/relationships/hyperlink" Target="https://twitter.com/pastpunditry" TargetMode="External"/><Relationship Id="rId179" Type="http://schemas.openxmlformats.org/officeDocument/2006/relationships/hyperlink" Target="https://twitter.com/UMassHistory/status/705484824971239424" TargetMode="External"/><Relationship Id="rId5007" Type="http://schemas.openxmlformats.org/officeDocument/2006/relationships/hyperlink" Target="https://twitter.com/pastpunditry/status/706197236552765440" TargetMode="External"/><Relationship Id="rId178" Type="http://schemas.openxmlformats.org/officeDocument/2006/relationships/hyperlink" Target="https://twitter.com/UMassHistory" TargetMode="External"/><Relationship Id="rId5004" Type="http://schemas.openxmlformats.org/officeDocument/2006/relationships/hyperlink" Target="https://twitter.com/jmadelman/status/706197206928330753" TargetMode="External"/><Relationship Id="rId177" Type="http://schemas.openxmlformats.org/officeDocument/2006/relationships/hyperlink" Target="https://pbs.twimg.com/profile_images/1185970366/Twitter_NixoNARA_normal.jpg" TargetMode="External"/><Relationship Id="rId5005" Type="http://schemas.openxmlformats.org/officeDocument/2006/relationships/hyperlink" Target="https://pbs.twimg.com/profile_images/633292774570201089/pdNFZfya_normal.jpg" TargetMode="External"/><Relationship Id="rId5031" Type="http://schemas.openxmlformats.org/officeDocument/2006/relationships/hyperlink" Target="https://twitter.com/rebekkahrubin/status/706197654116634625" TargetMode="External"/><Relationship Id="rId5032" Type="http://schemas.openxmlformats.org/officeDocument/2006/relationships/hyperlink" Target="https://pbs.twimg.com/profile_images/700317732588408832/Ym_-neUi_normal.jpg" TargetMode="External"/><Relationship Id="rId5030" Type="http://schemas.openxmlformats.org/officeDocument/2006/relationships/hyperlink" Target="https://twitter.com/rebekkahrubin" TargetMode="External"/><Relationship Id="rId5035" Type="http://schemas.openxmlformats.org/officeDocument/2006/relationships/hyperlink" Target="https://pbs.twimg.com/profile_images/704873222802636800/7aFEMOY5_normal.jpg" TargetMode="External"/><Relationship Id="rId5036" Type="http://schemas.openxmlformats.org/officeDocument/2006/relationships/hyperlink" Target="https://twitter.com/JimGrossmanAHA" TargetMode="External"/><Relationship Id="rId5033" Type="http://schemas.openxmlformats.org/officeDocument/2006/relationships/hyperlink" Target="https://twitter.com/pastpunditry" TargetMode="External"/><Relationship Id="rId5034" Type="http://schemas.openxmlformats.org/officeDocument/2006/relationships/hyperlink" Target="https://twitter.com/pastpunditry/status/706197662966620160" TargetMode="External"/><Relationship Id="rId5039" Type="http://schemas.openxmlformats.org/officeDocument/2006/relationships/hyperlink" Target="https://twitter.com/pastpunditry" TargetMode="External"/><Relationship Id="rId5037" Type="http://schemas.openxmlformats.org/officeDocument/2006/relationships/hyperlink" Target="https://twitter.com/JimGrossmanAHA/status/706197693656338432" TargetMode="External"/><Relationship Id="rId5038" Type="http://schemas.openxmlformats.org/officeDocument/2006/relationships/hyperlink" Target="https://pbs.twimg.com/profile_images/378800000667891782/44d7b181c077bf16ab07b242f7ad81b9_normal.png" TargetMode="External"/><Relationship Id="rId5020" Type="http://schemas.openxmlformats.org/officeDocument/2006/relationships/hyperlink" Target="https://pbs.twimg.com/profile_images/3583165575/54f0bc87a29b2ae8587193829ce07299_normal.jpeg" TargetMode="External"/><Relationship Id="rId5021" Type="http://schemas.openxmlformats.org/officeDocument/2006/relationships/hyperlink" Target="https://twitter.com/jamiaw" TargetMode="External"/><Relationship Id="rId198" Type="http://schemas.openxmlformats.org/officeDocument/2006/relationships/hyperlink" Target="https://pbs.twimg.com/profile_images/673691030139609088/8v7ab61D_normal.jpg" TargetMode="External"/><Relationship Id="rId5024" Type="http://schemas.openxmlformats.org/officeDocument/2006/relationships/hyperlink" Target="https://twitter.com/jamiaw" TargetMode="External"/><Relationship Id="rId197" Type="http://schemas.openxmlformats.org/officeDocument/2006/relationships/hyperlink" Target="https://twitter.com/historycampaign/status/705508213509193729" TargetMode="External"/><Relationship Id="rId5025" Type="http://schemas.openxmlformats.org/officeDocument/2006/relationships/hyperlink" Target="https://twitter.com/jamiaw/status/706197617877897218" TargetMode="External"/><Relationship Id="rId196" Type="http://schemas.openxmlformats.org/officeDocument/2006/relationships/hyperlink" Target="https://twitter.com/historycampaign" TargetMode="External"/><Relationship Id="rId5022" Type="http://schemas.openxmlformats.org/officeDocument/2006/relationships/hyperlink" Target="https://twitter.com/jamiaw/status/706197588769443840" TargetMode="External"/><Relationship Id="rId195" Type="http://schemas.openxmlformats.org/officeDocument/2006/relationships/hyperlink" Target="https://pbs.twimg.com/profile_images/620671151128354816/78CaG_g__normal.jpg" TargetMode="External"/><Relationship Id="rId5023" Type="http://schemas.openxmlformats.org/officeDocument/2006/relationships/hyperlink" Target="https://pbs.twimg.com/profile_images/701102020061753344/5zH70uem_normal.jpg" TargetMode="External"/><Relationship Id="rId5028" Type="http://schemas.openxmlformats.org/officeDocument/2006/relationships/hyperlink" Target="https://twitter.com/juliegpeterson/status/706197627268939777" TargetMode="External"/><Relationship Id="rId5029" Type="http://schemas.openxmlformats.org/officeDocument/2006/relationships/hyperlink" Target="https://pbs.twimg.com/profile_images/609765839051452416/GNW0wSt0_normal.jpg" TargetMode="External"/><Relationship Id="rId5026" Type="http://schemas.openxmlformats.org/officeDocument/2006/relationships/hyperlink" Target="https://pbs.twimg.com/profile_images/701102020061753344/5zH70uem_normal.jpg" TargetMode="External"/><Relationship Id="rId199" Type="http://schemas.openxmlformats.org/officeDocument/2006/relationships/hyperlink" Target="https://twitter.com/snationknapper" TargetMode="External"/><Relationship Id="rId5027" Type="http://schemas.openxmlformats.org/officeDocument/2006/relationships/hyperlink" Target="https://twitter.com/juliegpeterson" TargetMode="External"/><Relationship Id="rId150" Type="http://schemas.openxmlformats.org/officeDocument/2006/relationships/hyperlink" Target="https://pbs.twimg.com/profile_images/3104419984/da260220a3a66fad7a8423b74e59f4c0_normal.jpeg" TargetMode="External"/><Relationship Id="rId149" Type="http://schemas.openxmlformats.org/officeDocument/2006/relationships/hyperlink" Target="https://twitter.com/jdichtl/status/705447876239818752" TargetMode="External"/><Relationship Id="rId148" Type="http://schemas.openxmlformats.org/officeDocument/2006/relationships/hyperlink" Target="https://twitter.com/jdichtl" TargetMode="External"/><Relationship Id="rId3270" Type="http://schemas.openxmlformats.org/officeDocument/2006/relationships/hyperlink" Target="https://pbs.twimg.com/profile_images/704873222802636800/7aFEMOY5_normal.jpg" TargetMode="External"/><Relationship Id="rId3272" Type="http://schemas.openxmlformats.org/officeDocument/2006/relationships/hyperlink" Target="https://twitter.com/CMcKNichols/status/705934042101747712" TargetMode="External"/><Relationship Id="rId3271" Type="http://schemas.openxmlformats.org/officeDocument/2006/relationships/hyperlink" Target="https://twitter.com/CMcKNichols" TargetMode="External"/><Relationship Id="rId143" Type="http://schemas.openxmlformats.org/officeDocument/2006/relationships/hyperlink" Target="https://twitter.com/JasonSteinhauer/status/705441596167299072" TargetMode="External"/><Relationship Id="rId3274" Type="http://schemas.openxmlformats.org/officeDocument/2006/relationships/hyperlink" Target="https://twitter.com/rebekkahrubin" TargetMode="External"/><Relationship Id="rId142" Type="http://schemas.openxmlformats.org/officeDocument/2006/relationships/hyperlink" Target="https://twitter.com/JasonSteinhauer" TargetMode="External"/><Relationship Id="rId3273" Type="http://schemas.openxmlformats.org/officeDocument/2006/relationships/hyperlink" Target="https://pbs.twimg.com/profile_images/378800000718447254/1707ea1ae4118345df3bf46b14e95cd8_normal.jpeg" TargetMode="External"/><Relationship Id="rId141" Type="http://schemas.openxmlformats.org/officeDocument/2006/relationships/hyperlink" Target="https://pbs.twimg.com/profile_images/650419150620377089/bJxBf---_normal.jpg" TargetMode="External"/><Relationship Id="rId3276" Type="http://schemas.openxmlformats.org/officeDocument/2006/relationships/hyperlink" Target="https://pbs.twimg.com/profile_images/700317732588408832/Ym_-neUi_normal.jpg" TargetMode="External"/><Relationship Id="rId140" Type="http://schemas.openxmlformats.org/officeDocument/2006/relationships/hyperlink" Target="https://twitter.com/sheishistoric/status/705434308065017856" TargetMode="External"/><Relationship Id="rId3275" Type="http://schemas.openxmlformats.org/officeDocument/2006/relationships/hyperlink" Target="https://twitter.com/rebekkahrubin/status/705934057826336771" TargetMode="External"/><Relationship Id="rId147" Type="http://schemas.openxmlformats.org/officeDocument/2006/relationships/hyperlink" Target="https://pbs.twimg.com/profile_images/531574951107518465/AvUhkliP_normal.jpeg" TargetMode="External"/><Relationship Id="rId3278" Type="http://schemas.openxmlformats.org/officeDocument/2006/relationships/hyperlink" Target="https://twitter.com/sheishistoric/status/705934077724127232" TargetMode="External"/><Relationship Id="rId146" Type="http://schemas.openxmlformats.org/officeDocument/2006/relationships/hyperlink" Target="https://twitter.com/JasonSteinhauer/status/705441747527192576" TargetMode="External"/><Relationship Id="rId3277" Type="http://schemas.openxmlformats.org/officeDocument/2006/relationships/hyperlink" Target="https://twitter.com/sheishistoric" TargetMode="External"/><Relationship Id="rId145" Type="http://schemas.openxmlformats.org/officeDocument/2006/relationships/hyperlink" Target="https://twitter.com/JasonSteinhauer" TargetMode="External"/><Relationship Id="rId144" Type="http://schemas.openxmlformats.org/officeDocument/2006/relationships/hyperlink" Target="https://pbs.twimg.com/profile_images/531574951107518465/AvUhkliP_normal.jpeg" TargetMode="External"/><Relationship Id="rId3279" Type="http://schemas.openxmlformats.org/officeDocument/2006/relationships/hyperlink" Target="https://pbs.twimg.com/profile_images/650419150620377089/bJxBf---_normal.jpg" TargetMode="External"/><Relationship Id="rId139" Type="http://schemas.openxmlformats.org/officeDocument/2006/relationships/hyperlink" Target="https://twitter.com/sheishistoric" TargetMode="External"/><Relationship Id="rId138" Type="http://schemas.openxmlformats.org/officeDocument/2006/relationships/hyperlink" Target="https://pbs.twimg.com/profile_images/638086945722249217/mid_S_BQ_normal.jpg" TargetMode="External"/><Relationship Id="rId137" Type="http://schemas.openxmlformats.org/officeDocument/2006/relationships/hyperlink" Target="https://twitter.com/erfagen/status/705430458981617665" TargetMode="External"/><Relationship Id="rId4590" Type="http://schemas.openxmlformats.org/officeDocument/2006/relationships/hyperlink" Target="https://twitter.com/mathhistory/status/706181198989692928" TargetMode="External"/><Relationship Id="rId3261" Type="http://schemas.openxmlformats.org/officeDocument/2006/relationships/hyperlink" Target="https://pbs.twimg.com/profile_images/378800000667891782/44d7b181c077bf16ab07b242f7ad81b9_normal.png" TargetMode="External"/><Relationship Id="rId4592" Type="http://schemas.openxmlformats.org/officeDocument/2006/relationships/hyperlink" Target="https://twitter.com/mathhistory" TargetMode="External"/><Relationship Id="rId3260" Type="http://schemas.openxmlformats.org/officeDocument/2006/relationships/hyperlink" Target="https://twitter.com/JimGrossmanAHA/status/705933906051264513" TargetMode="External"/><Relationship Id="rId4591" Type="http://schemas.openxmlformats.org/officeDocument/2006/relationships/hyperlink" Target="https://pbs.twimg.com/profile_images/3034769023/09adfcbebccfeef2a42e39aaac64ede5_normal.jpeg" TargetMode="External"/><Relationship Id="rId132" Type="http://schemas.openxmlformats.org/officeDocument/2006/relationships/hyperlink" Target="https://pbs.twimg.com/profile_images/609765839051452416/GNW0wSt0_normal.jpg" TargetMode="External"/><Relationship Id="rId3263" Type="http://schemas.openxmlformats.org/officeDocument/2006/relationships/hyperlink" Target="https://twitter.com/defactofecteau/status/705933968839942145" TargetMode="External"/><Relationship Id="rId4594" Type="http://schemas.openxmlformats.org/officeDocument/2006/relationships/hyperlink" Target="https://pbs.twimg.com/profile_images/3034769023/09adfcbebccfeef2a42e39aaac64ede5_normal.jpeg" TargetMode="External"/><Relationship Id="rId131" Type="http://schemas.openxmlformats.org/officeDocument/2006/relationships/hyperlink" Target="https://twitter.com/juliegpeterson/status/705413509266477056" TargetMode="External"/><Relationship Id="rId3262" Type="http://schemas.openxmlformats.org/officeDocument/2006/relationships/hyperlink" Target="https://twitter.com/defactofecteau" TargetMode="External"/><Relationship Id="rId4593" Type="http://schemas.openxmlformats.org/officeDocument/2006/relationships/hyperlink" Target="https://twitter.com/mathhistory/status/706181519145041921" TargetMode="External"/><Relationship Id="rId130" Type="http://schemas.openxmlformats.org/officeDocument/2006/relationships/hyperlink" Target="https://twitter.com/juliegpeterson" TargetMode="External"/><Relationship Id="rId3265" Type="http://schemas.openxmlformats.org/officeDocument/2006/relationships/hyperlink" Target="https://twitter.com/pastpunditry" TargetMode="External"/><Relationship Id="rId4596" Type="http://schemas.openxmlformats.org/officeDocument/2006/relationships/hyperlink" Target="https://twitter.com/pastpunditry/status/706181520713785344" TargetMode="External"/><Relationship Id="rId3264" Type="http://schemas.openxmlformats.org/officeDocument/2006/relationships/hyperlink" Target="https://pbs.twimg.com/profile_images/434404729263648768/vsAZLFtj_normal.jpeg" TargetMode="External"/><Relationship Id="rId4595" Type="http://schemas.openxmlformats.org/officeDocument/2006/relationships/hyperlink" Target="https://twitter.com/pastpunditry" TargetMode="External"/><Relationship Id="rId136" Type="http://schemas.openxmlformats.org/officeDocument/2006/relationships/hyperlink" Target="https://twitter.com/erfagen" TargetMode="External"/><Relationship Id="rId3267" Type="http://schemas.openxmlformats.org/officeDocument/2006/relationships/hyperlink" Target="https://pbs.twimg.com/profile_images/704873222802636800/7aFEMOY5_normal.jpg" TargetMode="External"/><Relationship Id="rId4598" Type="http://schemas.openxmlformats.org/officeDocument/2006/relationships/hyperlink" Target="https://twitter.com/samueljredman" TargetMode="External"/><Relationship Id="rId135" Type="http://schemas.openxmlformats.org/officeDocument/2006/relationships/hyperlink" Target="https://pbs.twimg.com/profile_images/3583165575/54f0bc87a29b2ae8587193829ce07299_normal.jpeg" TargetMode="External"/><Relationship Id="rId3266" Type="http://schemas.openxmlformats.org/officeDocument/2006/relationships/hyperlink" Target="https://twitter.com/pastpunditry/status/705934021138759680" TargetMode="External"/><Relationship Id="rId4597" Type="http://schemas.openxmlformats.org/officeDocument/2006/relationships/hyperlink" Target="https://pbs.twimg.com/profile_images/704873222802636800/7aFEMOY5_normal.jpg" TargetMode="External"/><Relationship Id="rId134" Type="http://schemas.openxmlformats.org/officeDocument/2006/relationships/hyperlink" Target="https://twitter.com/umassph/status/705430231612592128" TargetMode="External"/><Relationship Id="rId3269" Type="http://schemas.openxmlformats.org/officeDocument/2006/relationships/hyperlink" Target="https://twitter.com/pastpunditry/status/705934040973643776" TargetMode="External"/><Relationship Id="rId133" Type="http://schemas.openxmlformats.org/officeDocument/2006/relationships/hyperlink" Target="https://twitter.com/umassph" TargetMode="External"/><Relationship Id="rId3268" Type="http://schemas.openxmlformats.org/officeDocument/2006/relationships/hyperlink" Target="https://twitter.com/pastpunditry" TargetMode="External"/><Relationship Id="rId4599" Type="http://schemas.openxmlformats.org/officeDocument/2006/relationships/hyperlink" Target="https://twitter.com/samueljredman/status/706181531732205568" TargetMode="External"/><Relationship Id="rId172" Type="http://schemas.openxmlformats.org/officeDocument/2006/relationships/hyperlink" Target="https://twitter.com/NixoNARA" TargetMode="External"/><Relationship Id="rId171" Type="http://schemas.openxmlformats.org/officeDocument/2006/relationships/hyperlink" Target="https://pbs.twimg.com/profile_images/1792930381/Blitze_normal.jpg" TargetMode="External"/><Relationship Id="rId170" Type="http://schemas.openxmlformats.org/officeDocument/2006/relationships/hyperlink" Target="https://twitter.com/NicoNolden/status/705469553690681344" TargetMode="External"/><Relationship Id="rId3290" Type="http://schemas.openxmlformats.org/officeDocument/2006/relationships/hyperlink" Target="https://twitter.com/pastpunditry/status/705934165087227904" TargetMode="External"/><Relationship Id="rId3292" Type="http://schemas.openxmlformats.org/officeDocument/2006/relationships/hyperlink" Target="https://twitter.com/GHAUmass" TargetMode="External"/><Relationship Id="rId3291" Type="http://schemas.openxmlformats.org/officeDocument/2006/relationships/hyperlink" Target="https://pbs.twimg.com/profile_images/704873222802636800/7aFEMOY5_normal.jpg" TargetMode="External"/><Relationship Id="rId3294" Type="http://schemas.openxmlformats.org/officeDocument/2006/relationships/hyperlink" Target="https://pbs.twimg.com/profile_images/604060333590855682/Fk6r1D7d_normal.jpg" TargetMode="External"/><Relationship Id="rId3293" Type="http://schemas.openxmlformats.org/officeDocument/2006/relationships/hyperlink" Target="https://twitter.com/GHAUmass/status/705934216278761472" TargetMode="External"/><Relationship Id="rId165" Type="http://schemas.openxmlformats.org/officeDocument/2006/relationships/hyperlink" Target="https://pbs.twimg.com/profile_images/700317732588408832/Ym_-neUi_normal.jpg" TargetMode="External"/><Relationship Id="rId3296" Type="http://schemas.openxmlformats.org/officeDocument/2006/relationships/hyperlink" Target="https://twitter.com/sheishistoric/status/705934248692346881" TargetMode="External"/><Relationship Id="rId164" Type="http://schemas.openxmlformats.org/officeDocument/2006/relationships/hyperlink" Target="https://twitter.com/rebekkahrubin/status/705468520948219904" TargetMode="External"/><Relationship Id="rId3295" Type="http://schemas.openxmlformats.org/officeDocument/2006/relationships/hyperlink" Target="https://twitter.com/sheishistoric" TargetMode="External"/><Relationship Id="rId163" Type="http://schemas.openxmlformats.org/officeDocument/2006/relationships/hyperlink" Target="https://twitter.com/rebekkahrubin" TargetMode="External"/><Relationship Id="rId3298" Type="http://schemas.openxmlformats.org/officeDocument/2006/relationships/hyperlink" Target="https://twitter.com/GHAUmass" TargetMode="External"/><Relationship Id="rId162" Type="http://schemas.openxmlformats.org/officeDocument/2006/relationships/hyperlink" Target="https://pbs.twimg.com/profile_images/3586356040/2875fe2e13ecc978a7c19bbf515b7847_normal.png" TargetMode="External"/><Relationship Id="rId3297" Type="http://schemas.openxmlformats.org/officeDocument/2006/relationships/hyperlink" Target="https://pbs.twimg.com/profile_images/650419150620377089/bJxBf---_normal.jpg" TargetMode="External"/><Relationship Id="rId169" Type="http://schemas.openxmlformats.org/officeDocument/2006/relationships/hyperlink" Target="https://twitter.com/NicoNolden" TargetMode="External"/><Relationship Id="rId168" Type="http://schemas.openxmlformats.org/officeDocument/2006/relationships/hyperlink" Target="https://pbs.twimg.com/profile_images/531574951107518465/AvUhkliP_normal.jpeg" TargetMode="External"/><Relationship Id="rId3299" Type="http://schemas.openxmlformats.org/officeDocument/2006/relationships/hyperlink" Target="https://twitter.com/GHAUmass/status/705934263196188672" TargetMode="External"/><Relationship Id="rId167" Type="http://schemas.openxmlformats.org/officeDocument/2006/relationships/hyperlink" Target="https://twitter.com/JasonSteinhauer/status/705468542695706625" TargetMode="External"/><Relationship Id="rId166" Type="http://schemas.openxmlformats.org/officeDocument/2006/relationships/hyperlink" Target="https://twitter.com/JasonSteinhauer" TargetMode="External"/><Relationship Id="rId161" Type="http://schemas.openxmlformats.org/officeDocument/2006/relationships/hyperlink" Target="https://twitter.com/UMassHistory/status/705467907711479808" TargetMode="External"/><Relationship Id="rId160" Type="http://schemas.openxmlformats.org/officeDocument/2006/relationships/hyperlink" Target="https://twitter.com/UMassHistory" TargetMode="External"/><Relationship Id="rId159" Type="http://schemas.openxmlformats.org/officeDocument/2006/relationships/hyperlink" Target="https://pbs.twimg.com/profile_images/579006785048088577/NRmUrZVy_normal.jpeg" TargetMode="External"/><Relationship Id="rId3281" Type="http://schemas.openxmlformats.org/officeDocument/2006/relationships/hyperlink" Target="https://twitter.com/AmandaMoniz1/status/705934084564975617" TargetMode="External"/><Relationship Id="rId3280" Type="http://schemas.openxmlformats.org/officeDocument/2006/relationships/hyperlink" Target="https://twitter.com/AmandaMoniz1" TargetMode="External"/><Relationship Id="rId3283" Type="http://schemas.openxmlformats.org/officeDocument/2006/relationships/hyperlink" Target="https://twitter.com/jamiaw" TargetMode="External"/><Relationship Id="rId3282" Type="http://schemas.openxmlformats.org/officeDocument/2006/relationships/hyperlink" Target="https://pbs.twimg.com/profile_images/378800000149111881/7969acf9cec4197748b502a6a6c3d921_normal.jpeg" TargetMode="External"/><Relationship Id="rId154" Type="http://schemas.openxmlformats.org/officeDocument/2006/relationships/hyperlink" Target="https://twitter.com/ncph" TargetMode="External"/><Relationship Id="rId3285" Type="http://schemas.openxmlformats.org/officeDocument/2006/relationships/hyperlink" Target="https://pbs.twimg.com/profile_images/701102020061753344/5zH70uem_normal.jpg" TargetMode="External"/><Relationship Id="rId153" Type="http://schemas.openxmlformats.org/officeDocument/2006/relationships/hyperlink" Target="https://pbs.twimg.com/profile_images/673691030139609088/8v7ab61D_normal.jpg" TargetMode="External"/><Relationship Id="rId3284" Type="http://schemas.openxmlformats.org/officeDocument/2006/relationships/hyperlink" Target="https://twitter.com/jamiaw/status/705934092756451328" TargetMode="External"/><Relationship Id="rId152" Type="http://schemas.openxmlformats.org/officeDocument/2006/relationships/hyperlink" Target="https://twitter.com/historycampaign/status/705450605561647104" TargetMode="External"/><Relationship Id="rId3287" Type="http://schemas.openxmlformats.org/officeDocument/2006/relationships/hyperlink" Target="https://twitter.com/GHAUmass/status/705934122259238912" TargetMode="External"/><Relationship Id="rId151" Type="http://schemas.openxmlformats.org/officeDocument/2006/relationships/hyperlink" Target="https://twitter.com/historycampaign" TargetMode="External"/><Relationship Id="rId3286" Type="http://schemas.openxmlformats.org/officeDocument/2006/relationships/hyperlink" Target="https://twitter.com/GHAUmass" TargetMode="External"/><Relationship Id="rId158" Type="http://schemas.openxmlformats.org/officeDocument/2006/relationships/hyperlink" Target="https://twitter.com/ASUPublicHist/status/705463336805146624" TargetMode="External"/><Relationship Id="rId3289" Type="http://schemas.openxmlformats.org/officeDocument/2006/relationships/hyperlink" Target="https://twitter.com/pastpunditry" TargetMode="External"/><Relationship Id="rId157" Type="http://schemas.openxmlformats.org/officeDocument/2006/relationships/hyperlink" Target="https://twitter.com/ASUPublicHist" TargetMode="External"/><Relationship Id="rId3288" Type="http://schemas.openxmlformats.org/officeDocument/2006/relationships/hyperlink" Target="https://pbs.twimg.com/profile_images/604060333590855682/Fk6r1D7d_normal.jpg" TargetMode="External"/><Relationship Id="rId156" Type="http://schemas.openxmlformats.org/officeDocument/2006/relationships/hyperlink" Target="https://pbs.twimg.com/profile_images/692044482284490752/cl6DSLkD_normal.jpg" TargetMode="External"/><Relationship Id="rId155" Type="http://schemas.openxmlformats.org/officeDocument/2006/relationships/hyperlink" Target="https://twitter.com/ncph/status/705461244191449089" TargetMode="External"/><Relationship Id="rId2820" Type="http://schemas.openxmlformats.org/officeDocument/2006/relationships/hyperlink" Target="https://pbs.twimg.com/profile_images/638086945722249217/mid_S_BQ_normal.jpg" TargetMode="External"/><Relationship Id="rId2821" Type="http://schemas.openxmlformats.org/officeDocument/2006/relationships/hyperlink" Target="https://twitter.com/tpstigers" TargetMode="External"/><Relationship Id="rId2822" Type="http://schemas.openxmlformats.org/officeDocument/2006/relationships/hyperlink" Target="https://twitter.com/tpstigers/status/705929286583197697" TargetMode="External"/><Relationship Id="rId2823" Type="http://schemas.openxmlformats.org/officeDocument/2006/relationships/hyperlink" Target="https://pbs.twimg.com/profile_images/614942025306230784/OLnwlWIy_normal.png" TargetMode="External"/><Relationship Id="rId2824" Type="http://schemas.openxmlformats.org/officeDocument/2006/relationships/hyperlink" Target="https://twitter.com/juliegpeterson" TargetMode="External"/><Relationship Id="rId2825" Type="http://schemas.openxmlformats.org/officeDocument/2006/relationships/hyperlink" Target="https://twitter.com/juliegpeterson/status/705929331349037056" TargetMode="External"/><Relationship Id="rId2826" Type="http://schemas.openxmlformats.org/officeDocument/2006/relationships/hyperlink" Target="https://pbs.twimg.com/profile_images/609765839051452416/GNW0wSt0_normal.jpg" TargetMode="External"/><Relationship Id="rId2827" Type="http://schemas.openxmlformats.org/officeDocument/2006/relationships/hyperlink" Target="https://twitter.com/rgfeal" TargetMode="External"/><Relationship Id="rId2828" Type="http://schemas.openxmlformats.org/officeDocument/2006/relationships/hyperlink" Target="https://twitter.com/rgfeal/status/705929335644004353" TargetMode="External"/><Relationship Id="rId2829" Type="http://schemas.openxmlformats.org/officeDocument/2006/relationships/hyperlink" Target="https://pbs.twimg.com/profile_images/509375203793571840/xwsd1hxX_normal.jpeg" TargetMode="External"/><Relationship Id="rId5093" Type="http://schemas.openxmlformats.org/officeDocument/2006/relationships/hyperlink" Target="https://twitter.com/GHAUmass" TargetMode="External"/><Relationship Id="rId5094" Type="http://schemas.openxmlformats.org/officeDocument/2006/relationships/hyperlink" Target="https://twitter.com/GHAUmass/status/706199864888184834" TargetMode="External"/><Relationship Id="rId5091" Type="http://schemas.openxmlformats.org/officeDocument/2006/relationships/hyperlink" Target="https://twitter.com/GHAUmass/status/706199441108287490" TargetMode="External"/><Relationship Id="rId5092" Type="http://schemas.openxmlformats.org/officeDocument/2006/relationships/hyperlink" Target="https://pbs.twimg.com/profile_images/604060333590855682/Fk6r1D7d_normal.jpg" TargetMode="External"/><Relationship Id="rId5097" Type="http://schemas.openxmlformats.org/officeDocument/2006/relationships/hyperlink" Target="https://twitter.com/cartohist/status/706199932357603329" TargetMode="External"/><Relationship Id="rId5098" Type="http://schemas.openxmlformats.org/officeDocument/2006/relationships/hyperlink" Target="https://pbs.twimg.com/profile_images/378800000763070598/fdfd98e9a5f35a73a97daad1f77c5037_normal.png" TargetMode="External"/><Relationship Id="rId5095" Type="http://schemas.openxmlformats.org/officeDocument/2006/relationships/hyperlink" Target="https://pbs.twimg.com/profile_images/604060333590855682/Fk6r1D7d_normal.jpg" TargetMode="External"/><Relationship Id="rId5096" Type="http://schemas.openxmlformats.org/officeDocument/2006/relationships/hyperlink" Target="https://twitter.com/cartohist" TargetMode="External"/><Relationship Id="rId5099" Type="http://schemas.openxmlformats.org/officeDocument/2006/relationships/hyperlink" Target="https://twitter.com/cherylharned" TargetMode="External"/><Relationship Id="rId2810" Type="http://schemas.openxmlformats.org/officeDocument/2006/relationships/hyperlink" Target="https://twitter.com/pastpunditry/status/705929131977019392" TargetMode="External"/><Relationship Id="rId2811" Type="http://schemas.openxmlformats.org/officeDocument/2006/relationships/hyperlink" Target="https://pbs.twimg.com/profile_images/704873222802636800/7aFEMOY5_normal.jpg" TargetMode="External"/><Relationship Id="rId2812" Type="http://schemas.openxmlformats.org/officeDocument/2006/relationships/hyperlink" Target="https://twitter.com/JimGrossmanAHA" TargetMode="External"/><Relationship Id="rId2813" Type="http://schemas.openxmlformats.org/officeDocument/2006/relationships/hyperlink" Target="https://twitter.com/JimGrossmanAHA/status/705929149609852928" TargetMode="External"/><Relationship Id="rId2814" Type="http://schemas.openxmlformats.org/officeDocument/2006/relationships/hyperlink" Target="https://pbs.twimg.com/profile_images/378800000667891782/44d7b181c077bf16ab07b242f7ad81b9_normal.png" TargetMode="External"/><Relationship Id="rId2815" Type="http://schemas.openxmlformats.org/officeDocument/2006/relationships/hyperlink" Target="https://twitter.com/pastpunditry" TargetMode="External"/><Relationship Id="rId2816" Type="http://schemas.openxmlformats.org/officeDocument/2006/relationships/hyperlink" Target="https://twitter.com/pastpunditry/status/705929183139139584" TargetMode="External"/><Relationship Id="rId2817" Type="http://schemas.openxmlformats.org/officeDocument/2006/relationships/hyperlink" Target="https://pbs.twimg.com/profile_images/704873222802636800/7aFEMOY5_normal.jpg" TargetMode="External"/><Relationship Id="rId2818" Type="http://schemas.openxmlformats.org/officeDocument/2006/relationships/hyperlink" Target="https://twitter.com/erfagen" TargetMode="External"/><Relationship Id="rId2819" Type="http://schemas.openxmlformats.org/officeDocument/2006/relationships/hyperlink" Target="https://twitter.com/erfagen/status/705929189950627842" TargetMode="External"/><Relationship Id="rId5090" Type="http://schemas.openxmlformats.org/officeDocument/2006/relationships/hyperlink" Target="https://twitter.com/GHAUmass" TargetMode="External"/><Relationship Id="rId5082" Type="http://schemas.openxmlformats.org/officeDocument/2006/relationships/hyperlink" Target="https://twitter.com/ValleyNerdWatch/status/706199059330162692" TargetMode="External"/><Relationship Id="rId5083" Type="http://schemas.openxmlformats.org/officeDocument/2006/relationships/hyperlink" Target="https://pbs.twimg.com/profile_images/564445065573965824/Ec20w5KQ_normal.jpeg" TargetMode="External"/><Relationship Id="rId5080" Type="http://schemas.openxmlformats.org/officeDocument/2006/relationships/hyperlink" Target="https://pbs.twimg.com/profile_images/666088649121906688/le8su106_normal.jpg" TargetMode="External"/><Relationship Id="rId5081" Type="http://schemas.openxmlformats.org/officeDocument/2006/relationships/hyperlink" Target="https://twitter.com/ValleyNerdWatch" TargetMode="External"/><Relationship Id="rId5086" Type="http://schemas.openxmlformats.org/officeDocument/2006/relationships/hyperlink" Target="https://pbs.twimg.com/profile_images/604060333590855682/Fk6r1D7d_normal.jpg" TargetMode="External"/><Relationship Id="rId5087" Type="http://schemas.openxmlformats.org/officeDocument/2006/relationships/hyperlink" Target="https://twitter.com/GHAUmass" TargetMode="External"/><Relationship Id="rId5084" Type="http://schemas.openxmlformats.org/officeDocument/2006/relationships/hyperlink" Target="https://twitter.com/GHAUmass" TargetMode="External"/><Relationship Id="rId5085" Type="http://schemas.openxmlformats.org/officeDocument/2006/relationships/hyperlink" Target="https://twitter.com/GHAUmass/status/706199095531216896" TargetMode="External"/><Relationship Id="rId5088" Type="http://schemas.openxmlformats.org/officeDocument/2006/relationships/hyperlink" Target="https://twitter.com/GHAUmass/status/706199155715215360" TargetMode="External"/><Relationship Id="rId5089" Type="http://schemas.openxmlformats.org/officeDocument/2006/relationships/hyperlink" Target="https://pbs.twimg.com/profile_images/604060333590855682/Fk6r1D7d_normal.jpg" TargetMode="External"/><Relationship Id="rId1510" Type="http://schemas.openxmlformats.org/officeDocument/2006/relationships/hyperlink" Target="https://twitter.com/historycampaign/status/705868271174742018" TargetMode="External"/><Relationship Id="rId2841" Type="http://schemas.openxmlformats.org/officeDocument/2006/relationships/hyperlink" Target="https://pbs.twimg.com/profile_images/704873222802636800/7aFEMOY5_normal.jpg" TargetMode="External"/><Relationship Id="rId1511" Type="http://schemas.openxmlformats.org/officeDocument/2006/relationships/hyperlink" Target="https://pbs.twimg.com/profile_images/673691030139609088/8v7ab61D_normal.jpg" TargetMode="External"/><Relationship Id="rId2842" Type="http://schemas.openxmlformats.org/officeDocument/2006/relationships/hyperlink" Target="https://twitter.com/rebekkahrubin" TargetMode="External"/><Relationship Id="rId1512" Type="http://schemas.openxmlformats.org/officeDocument/2006/relationships/hyperlink" Target="https://twitter.com/gordonbelt" TargetMode="External"/><Relationship Id="rId2843" Type="http://schemas.openxmlformats.org/officeDocument/2006/relationships/hyperlink" Target="https://twitter.com/rebekkahrubin/status/705929390266392578" TargetMode="External"/><Relationship Id="rId1513" Type="http://schemas.openxmlformats.org/officeDocument/2006/relationships/hyperlink" Target="https://twitter.com/gordonbelt/status/705869165945606145" TargetMode="External"/><Relationship Id="rId2844" Type="http://schemas.openxmlformats.org/officeDocument/2006/relationships/hyperlink" Target="https://pbs.twimg.com/profile_images/700317732588408832/Ym_-neUi_normal.jpg" TargetMode="External"/><Relationship Id="rId1514" Type="http://schemas.openxmlformats.org/officeDocument/2006/relationships/hyperlink" Target="https://pbs.twimg.com/profile_images/378800000469463126/6dec739d56d67e4b13de3f9a0030de80_normal.jpeg" TargetMode="External"/><Relationship Id="rId2845" Type="http://schemas.openxmlformats.org/officeDocument/2006/relationships/hyperlink" Target="https://twitter.com/pastpunditry" TargetMode="External"/><Relationship Id="rId1515" Type="http://schemas.openxmlformats.org/officeDocument/2006/relationships/hyperlink" Target="https://twitter.com/NixoNARA" TargetMode="External"/><Relationship Id="rId2846" Type="http://schemas.openxmlformats.org/officeDocument/2006/relationships/hyperlink" Target="https://twitter.com/pastpunditry/status/705929404648701952" TargetMode="External"/><Relationship Id="rId1516" Type="http://schemas.openxmlformats.org/officeDocument/2006/relationships/hyperlink" Target="https://twitter.com/NixoNARA/status/705869495433351168" TargetMode="External"/><Relationship Id="rId2847" Type="http://schemas.openxmlformats.org/officeDocument/2006/relationships/hyperlink" Target="https://pbs.twimg.com/profile_images/704873222802636800/7aFEMOY5_normal.jpg" TargetMode="External"/><Relationship Id="rId1517" Type="http://schemas.openxmlformats.org/officeDocument/2006/relationships/hyperlink" Target="https://pbs.twimg.com/profile_images/1185970366/Twitter_NixoNARA_normal.jpg" TargetMode="External"/><Relationship Id="rId2848" Type="http://schemas.openxmlformats.org/officeDocument/2006/relationships/hyperlink" Target="https://twitter.com/pastpunditry" TargetMode="External"/><Relationship Id="rId1518" Type="http://schemas.openxmlformats.org/officeDocument/2006/relationships/hyperlink" Target="https://twitter.com/sholalynch" TargetMode="External"/><Relationship Id="rId2849" Type="http://schemas.openxmlformats.org/officeDocument/2006/relationships/hyperlink" Target="https://twitter.com/pastpunditry/status/705929418875772928" TargetMode="External"/><Relationship Id="rId1519" Type="http://schemas.openxmlformats.org/officeDocument/2006/relationships/hyperlink" Target="https://twitter.com/sholalynch/status/705870508051599361" TargetMode="External"/><Relationship Id="rId2840" Type="http://schemas.openxmlformats.org/officeDocument/2006/relationships/hyperlink" Target="https://twitter.com/pastpunditry/status/705929383496830977" TargetMode="External"/><Relationship Id="rId2830" Type="http://schemas.openxmlformats.org/officeDocument/2006/relationships/hyperlink" Target="https://twitter.com/MedeaCulpa" TargetMode="External"/><Relationship Id="rId1500" Type="http://schemas.openxmlformats.org/officeDocument/2006/relationships/hyperlink" Target="https://twitter.com/pastpunditry" TargetMode="External"/><Relationship Id="rId2831" Type="http://schemas.openxmlformats.org/officeDocument/2006/relationships/hyperlink" Target="https://twitter.com/MedeaCulpa/status/705929346515652609" TargetMode="External"/><Relationship Id="rId1501" Type="http://schemas.openxmlformats.org/officeDocument/2006/relationships/hyperlink" Target="https://twitter.com/pastpunditry/status/705862421605457921" TargetMode="External"/><Relationship Id="rId2832" Type="http://schemas.openxmlformats.org/officeDocument/2006/relationships/hyperlink" Target="https://pbs.twimg.com/profile_images/702272676837068800/xO5D7apz_normal.jpg" TargetMode="External"/><Relationship Id="rId1502" Type="http://schemas.openxmlformats.org/officeDocument/2006/relationships/hyperlink" Target="https://pbs.twimg.com/profile_images/704873222802636800/7aFEMOY5_normal.jpg" TargetMode="External"/><Relationship Id="rId2833" Type="http://schemas.openxmlformats.org/officeDocument/2006/relationships/hyperlink" Target="https://twitter.com/objectsrock" TargetMode="External"/><Relationship Id="rId1503" Type="http://schemas.openxmlformats.org/officeDocument/2006/relationships/hyperlink" Target="https://twitter.com/SmabAudio" TargetMode="External"/><Relationship Id="rId2834" Type="http://schemas.openxmlformats.org/officeDocument/2006/relationships/hyperlink" Target="https://twitter.com/objectsrock/status/705929364433547264" TargetMode="External"/><Relationship Id="rId1504" Type="http://schemas.openxmlformats.org/officeDocument/2006/relationships/hyperlink" Target="https://twitter.com/SmabAudio/status/705864348535648257" TargetMode="External"/><Relationship Id="rId2835" Type="http://schemas.openxmlformats.org/officeDocument/2006/relationships/hyperlink" Target="https://pbs.twimg.com/profile_images/701609876116606977/I3A2fl3A_normal.jpg" TargetMode="External"/><Relationship Id="rId1505" Type="http://schemas.openxmlformats.org/officeDocument/2006/relationships/hyperlink" Target="https://pbs.twimg.com/profile_images/670034143808499712/5uUpStFP_normal.png" TargetMode="External"/><Relationship Id="rId2836" Type="http://schemas.openxmlformats.org/officeDocument/2006/relationships/hyperlink" Target="https://twitter.com/JimGrossmanAHA" TargetMode="External"/><Relationship Id="rId1506" Type="http://schemas.openxmlformats.org/officeDocument/2006/relationships/hyperlink" Target="https://twitter.com/JL_McPherson_" TargetMode="External"/><Relationship Id="rId2837" Type="http://schemas.openxmlformats.org/officeDocument/2006/relationships/hyperlink" Target="https://twitter.com/JimGrossmanAHA/status/705929376358141952" TargetMode="External"/><Relationship Id="rId1507" Type="http://schemas.openxmlformats.org/officeDocument/2006/relationships/hyperlink" Target="https://twitter.com/JL_McPherson_/status/705864535664517120" TargetMode="External"/><Relationship Id="rId2838" Type="http://schemas.openxmlformats.org/officeDocument/2006/relationships/hyperlink" Target="https://pbs.twimg.com/profile_images/378800000667891782/44d7b181c077bf16ab07b242f7ad81b9_normal.png" TargetMode="External"/><Relationship Id="rId1508" Type="http://schemas.openxmlformats.org/officeDocument/2006/relationships/hyperlink" Target="https://pbs.twimg.com/profile_images/562649272173068288/zFENKIgW_normal.png" TargetMode="External"/><Relationship Id="rId2839" Type="http://schemas.openxmlformats.org/officeDocument/2006/relationships/hyperlink" Target="https://twitter.com/pastpunditry" TargetMode="External"/><Relationship Id="rId1509" Type="http://schemas.openxmlformats.org/officeDocument/2006/relationships/hyperlink" Target="https://twitter.com/historycampaign" TargetMode="External"/><Relationship Id="rId5050" Type="http://schemas.openxmlformats.org/officeDocument/2006/relationships/hyperlink" Target="https://pbs.twimg.com/profile_images/704873222802636800/7aFEMOY5_normal.jpg" TargetMode="External"/><Relationship Id="rId5053" Type="http://schemas.openxmlformats.org/officeDocument/2006/relationships/hyperlink" Target="https://pbs.twimg.com/profile_images/700317732588408832/Ym_-neUi_normal.jpg" TargetMode="External"/><Relationship Id="rId5054" Type="http://schemas.openxmlformats.org/officeDocument/2006/relationships/hyperlink" Target="https://twitter.com/juliegpeterson" TargetMode="External"/><Relationship Id="rId5051" Type="http://schemas.openxmlformats.org/officeDocument/2006/relationships/hyperlink" Target="https://twitter.com/rebekkahrubin" TargetMode="External"/><Relationship Id="rId5052" Type="http://schemas.openxmlformats.org/officeDocument/2006/relationships/hyperlink" Target="https://twitter.com/rebekkahrubin/status/706198257685405701" TargetMode="External"/><Relationship Id="rId5057" Type="http://schemas.openxmlformats.org/officeDocument/2006/relationships/hyperlink" Target="https://twitter.com/rebekkahrubin" TargetMode="External"/><Relationship Id="rId5058" Type="http://schemas.openxmlformats.org/officeDocument/2006/relationships/hyperlink" Target="https://twitter.com/rebekkahrubin/status/706198596547252224" TargetMode="External"/><Relationship Id="rId5055" Type="http://schemas.openxmlformats.org/officeDocument/2006/relationships/hyperlink" Target="https://twitter.com/juliegpeterson/status/706198260059398144" TargetMode="External"/><Relationship Id="rId5056" Type="http://schemas.openxmlformats.org/officeDocument/2006/relationships/hyperlink" Target="https://pbs.twimg.com/profile_images/609765839051452416/GNW0wSt0_normal.jpg" TargetMode="External"/><Relationship Id="rId5059" Type="http://schemas.openxmlformats.org/officeDocument/2006/relationships/hyperlink" Target="https://pbs.twimg.com/profile_images/700317732588408832/Ym_-neUi_normal.jpg" TargetMode="External"/><Relationship Id="rId5042" Type="http://schemas.openxmlformats.org/officeDocument/2006/relationships/hyperlink" Target="https://twitter.com/samueljredman" TargetMode="External"/><Relationship Id="rId5043" Type="http://schemas.openxmlformats.org/officeDocument/2006/relationships/hyperlink" Target="https://twitter.com/samueljredman/status/706197981570138113" TargetMode="External"/><Relationship Id="rId5040" Type="http://schemas.openxmlformats.org/officeDocument/2006/relationships/hyperlink" Target="https://twitter.com/pastpunditry/status/706197729882599424" TargetMode="External"/><Relationship Id="rId5041" Type="http://schemas.openxmlformats.org/officeDocument/2006/relationships/hyperlink" Target="https://pbs.twimg.com/profile_images/704873222802636800/7aFEMOY5_normal.jpg" TargetMode="External"/><Relationship Id="rId5046" Type="http://schemas.openxmlformats.org/officeDocument/2006/relationships/hyperlink" Target="https://twitter.com/pastpunditry/status/706198045411713024" TargetMode="External"/><Relationship Id="rId5047" Type="http://schemas.openxmlformats.org/officeDocument/2006/relationships/hyperlink" Target="https://pbs.twimg.com/profile_images/704873222802636800/7aFEMOY5_normal.jpg" TargetMode="External"/><Relationship Id="rId5044" Type="http://schemas.openxmlformats.org/officeDocument/2006/relationships/hyperlink" Target="https://pbs.twimg.com/profile_images/548193870278688768/8Dq7gW3U_normal.png" TargetMode="External"/><Relationship Id="rId5045" Type="http://schemas.openxmlformats.org/officeDocument/2006/relationships/hyperlink" Target="https://twitter.com/pastpunditry" TargetMode="External"/><Relationship Id="rId5048" Type="http://schemas.openxmlformats.org/officeDocument/2006/relationships/hyperlink" Target="https://twitter.com/pastpunditry" TargetMode="External"/><Relationship Id="rId5049" Type="http://schemas.openxmlformats.org/officeDocument/2006/relationships/hyperlink" Target="https://twitter.com/pastpunditry/status/706198062591516672" TargetMode="External"/><Relationship Id="rId2800" Type="http://schemas.openxmlformats.org/officeDocument/2006/relationships/hyperlink" Target="https://twitter.com/GHAUmass" TargetMode="External"/><Relationship Id="rId2801" Type="http://schemas.openxmlformats.org/officeDocument/2006/relationships/hyperlink" Target="https://twitter.com/GHAUmass/status/705928992927436800" TargetMode="External"/><Relationship Id="rId2802" Type="http://schemas.openxmlformats.org/officeDocument/2006/relationships/hyperlink" Target="https://pbs.twimg.com/profile_images/604060333590855682/Fk6r1D7d_normal.jpg" TargetMode="External"/><Relationship Id="rId2803" Type="http://schemas.openxmlformats.org/officeDocument/2006/relationships/hyperlink" Target="https://twitter.com/GHAUmass" TargetMode="External"/><Relationship Id="rId2804" Type="http://schemas.openxmlformats.org/officeDocument/2006/relationships/hyperlink" Target="https://twitter.com/GHAUmass/status/705929028063109120" TargetMode="External"/><Relationship Id="rId2805" Type="http://schemas.openxmlformats.org/officeDocument/2006/relationships/hyperlink" Target="https://pbs.twimg.com/profile_images/604060333590855682/Fk6r1D7d_normal.jpg" TargetMode="External"/><Relationship Id="rId2806" Type="http://schemas.openxmlformats.org/officeDocument/2006/relationships/hyperlink" Target="https://twitter.com/sheishistoric" TargetMode="External"/><Relationship Id="rId2807" Type="http://schemas.openxmlformats.org/officeDocument/2006/relationships/hyperlink" Target="https://twitter.com/sheishistoric/status/705929104089083904" TargetMode="External"/><Relationship Id="rId2808" Type="http://schemas.openxmlformats.org/officeDocument/2006/relationships/hyperlink" Target="https://pbs.twimg.com/profile_images/650419150620377089/bJxBf---_normal.jpg" TargetMode="External"/><Relationship Id="rId2809" Type="http://schemas.openxmlformats.org/officeDocument/2006/relationships/hyperlink" Target="https://twitter.com/pastpunditry" TargetMode="External"/><Relationship Id="rId5071" Type="http://schemas.openxmlformats.org/officeDocument/2006/relationships/hyperlink" Target="https://pbs.twimg.com/profile_images/650419150620377089/bJxBf---_normal.jpg" TargetMode="External"/><Relationship Id="rId5072" Type="http://schemas.openxmlformats.org/officeDocument/2006/relationships/hyperlink" Target="https://twitter.com/pastpunditry" TargetMode="External"/><Relationship Id="rId5070" Type="http://schemas.openxmlformats.org/officeDocument/2006/relationships/hyperlink" Target="https://twitter.com/sheishistoric/status/706198822595239936" TargetMode="External"/><Relationship Id="rId5075" Type="http://schemas.openxmlformats.org/officeDocument/2006/relationships/hyperlink" Target="https://twitter.com/lizl_genealogy" TargetMode="External"/><Relationship Id="rId5076" Type="http://schemas.openxmlformats.org/officeDocument/2006/relationships/hyperlink" Target="https://twitter.com/lizl_genealogy/status/706198895240417280" TargetMode="External"/><Relationship Id="rId5073" Type="http://schemas.openxmlformats.org/officeDocument/2006/relationships/hyperlink" Target="https://twitter.com/pastpunditry/status/706198848268595200" TargetMode="External"/><Relationship Id="rId5074" Type="http://schemas.openxmlformats.org/officeDocument/2006/relationships/hyperlink" Target="https://pbs.twimg.com/profile_images/704873222802636800/7aFEMOY5_normal.jpg" TargetMode="External"/><Relationship Id="rId5079" Type="http://schemas.openxmlformats.org/officeDocument/2006/relationships/hyperlink" Target="https://twitter.com/femrhetprof/status/706198940945948672" TargetMode="External"/><Relationship Id="rId5077" Type="http://schemas.openxmlformats.org/officeDocument/2006/relationships/hyperlink" Target="https://pbs.twimg.com/profile_images/2700002859/1f2d610ddaf1f03ac7d033dd83847b45_normal.jpeg" TargetMode="External"/><Relationship Id="rId5078" Type="http://schemas.openxmlformats.org/officeDocument/2006/relationships/hyperlink" Target="https://twitter.com/femrhetprof" TargetMode="External"/><Relationship Id="rId5060" Type="http://schemas.openxmlformats.org/officeDocument/2006/relationships/hyperlink" Target="https://twitter.com/j3foley" TargetMode="External"/><Relationship Id="rId5061" Type="http://schemas.openxmlformats.org/officeDocument/2006/relationships/hyperlink" Target="https://twitter.com/j3foley/status/706198693997846532" TargetMode="External"/><Relationship Id="rId5064" Type="http://schemas.openxmlformats.org/officeDocument/2006/relationships/hyperlink" Target="https://twitter.com/juliegpeterson/status/706198759701659648" TargetMode="External"/><Relationship Id="rId5065" Type="http://schemas.openxmlformats.org/officeDocument/2006/relationships/hyperlink" Target="https://pbs.twimg.com/profile_images/609765839051452416/GNW0wSt0_normal.jpg" TargetMode="External"/><Relationship Id="rId5062" Type="http://schemas.openxmlformats.org/officeDocument/2006/relationships/hyperlink" Target="https://pbs.twimg.com/profile_images/627686554861834241/UcDo7crN_normal.jpg" TargetMode="External"/><Relationship Id="rId5063" Type="http://schemas.openxmlformats.org/officeDocument/2006/relationships/hyperlink" Target="https://twitter.com/juliegpeterson" TargetMode="External"/><Relationship Id="rId5068" Type="http://schemas.openxmlformats.org/officeDocument/2006/relationships/hyperlink" Target="https://pbs.twimg.com/profile_images/604060333590855682/Fk6r1D7d_normal.jpg" TargetMode="External"/><Relationship Id="rId5069" Type="http://schemas.openxmlformats.org/officeDocument/2006/relationships/hyperlink" Target="https://twitter.com/sheishistoric" TargetMode="External"/><Relationship Id="rId5066" Type="http://schemas.openxmlformats.org/officeDocument/2006/relationships/hyperlink" Target="https://twitter.com/GHAUmass" TargetMode="External"/><Relationship Id="rId5067" Type="http://schemas.openxmlformats.org/officeDocument/2006/relationships/hyperlink" Target="https://twitter.com/GHAUmass/status/706198767419129856" TargetMode="External"/><Relationship Id="rId1576" Type="http://schemas.openxmlformats.org/officeDocument/2006/relationships/hyperlink" Target="https://twitter.com/mrpotter/status/705885510422568960" TargetMode="External"/><Relationship Id="rId4602" Type="http://schemas.openxmlformats.org/officeDocument/2006/relationships/hyperlink" Target="https://twitter.com/samueljredman/status/706181540821254144" TargetMode="External"/><Relationship Id="rId1577" Type="http://schemas.openxmlformats.org/officeDocument/2006/relationships/hyperlink" Target="https://pbs.twimg.com/profile_images/701922140300439553/rnMSVFlR_normal.jpg" TargetMode="External"/><Relationship Id="rId4601" Type="http://schemas.openxmlformats.org/officeDocument/2006/relationships/hyperlink" Target="https://twitter.com/samueljredman" TargetMode="External"/><Relationship Id="rId1578" Type="http://schemas.openxmlformats.org/officeDocument/2006/relationships/hyperlink" Target="https://twitter.com/Welcome2History" TargetMode="External"/><Relationship Id="rId4604" Type="http://schemas.openxmlformats.org/officeDocument/2006/relationships/hyperlink" Target="https://twitter.com/pastpunditry" TargetMode="External"/><Relationship Id="rId1579" Type="http://schemas.openxmlformats.org/officeDocument/2006/relationships/hyperlink" Target="https://twitter.com/Welcome2History/status/705886189346299908" TargetMode="External"/><Relationship Id="rId4603" Type="http://schemas.openxmlformats.org/officeDocument/2006/relationships/hyperlink" Target="https://pbs.twimg.com/profile_images/548193870278688768/8Dq7gW3U_normal.png" TargetMode="External"/><Relationship Id="rId4606" Type="http://schemas.openxmlformats.org/officeDocument/2006/relationships/hyperlink" Target="https://pbs.twimg.com/profile_images/704873222802636800/7aFEMOY5_normal.jpg" TargetMode="External"/><Relationship Id="rId4605" Type="http://schemas.openxmlformats.org/officeDocument/2006/relationships/hyperlink" Target="https://twitter.com/pastpunditry/status/706181544365395969" TargetMode="External"/><Relationship Id="rId4608" Type="http://schemas.openxmlformats.org/officeDocument/2006/relationships/hyperlink" Target="https://twitter.com/samueljredman/status/706181558449938433" TargetMode="External"/><Relationship Id="rId4607" Type="http://schemas.openxmlformats.org/officeDocument/2006/relationships/hyperlink" Target="https://twitter.com/samueljredman" TargetMode="External"/><Relationship Id="rId4609" Type="http://schemas.openxmlformats.org/officeDocument/2006/relationships/hyperlink" Target="https://pbs.twimg.com/profile_images/548193870278688768/8Dq7gW3U_normal.png" TargetMode="External"/><Relationship Id="rId987" Type="http://schemas.openxmlformats.org/officeDocument/2006/relationships/hyperlink" Target="https://twitter.com/amanda_lyons/status/705819557416534017" TargetMode="External"/><Relationship Id="rId986" Type="http://schemas.openxmlformats.org/officeDocument/2006/relationships/hyperlink" Target="https://twitter.com/amanda_lyons" TargetMode="External"/><Relationship Id="rId985" Type="http://schemas.openxmlformats.org/officeDocument/2006/relationships/hyperlink" Target="https://pbs.twimg.com/profile_images/1246380212/manda_normal.jpg" TargetMode="External"/><Relationship Id="rId984" Type="http://schemas.openxmlformats.org/officeDocument/2006/relationships/hyperlink" Target="https://twitter.com/amanda_lyons/status/705819368924569600" TargetMode="External"/><Relationship Id="rId989" Type="http://schemas.openxmlformats.org/officeDocument/2006/relationships/hyperlink" Target="https://twitter.com/ebdrago" TargetMode="External"/><Relationship Id="rId988" Type="http://schemas.openxmlformats.org/officeDocument/2006/relationships/hyperlink" Target="https://pbs.twimg.com/profile_images/1246380212/manda_normal.jpg" TargetMode="External"/><Relationship Id="rId1570" Type="http://schemas.openxmlformats.org/officeDocument/2006/relationships/hyperlink" Target="https://twitter.com/JulieThePH/status/705880749581459461" TargetMode="External"/><Relationship Id="rId1571" Type="http://schemas.openxmlformats.org/officeDocument/2006/relationships/hyperlink" Target="https://pbs.twimg.com/profile_images/596509974005686273/AqBblwMR_normal.jpg" TargetMode="External"/><Relationship Id="rId983" Type="http://schemas.openxmlformats.org/officeDocument/2006/relationships/hyperlink" Target="https://twitter.com/amanda_lyons" TargetMode="External"/><Relationship Id="rId1572" Type="http://schemas.openxmlformats.org/officeDocument/2006/relationships/hyperlink" Target="https://twitter.com/Welcome2History" TargetMode="External"/><Relationship Id="rId982" Type="http://schemas.openxmlformats.org/officeDocument/2006/relationships/hyperlink" Target="https://pbs.twimg.com/profile_images/1246380212/manda_normal.jpg" TargetMode="External"/><Relationship Id="rId1573" Type="http://schemas.openxmlformats.org/officeDocument/2006/relationships/hyperlink" Target="https://twitter.com/Welcome2History/status/705885000806354944" TargetMode="External"/><Relationship Id="rId981" Type="http://schemas.openxmlformats.org/officeDocument/2006/relationships/hyperlink" Target="https://twitter.com/amanda_lyons/status/705819279845892097" TargetMode="External"/><Relationship Id="rId1574" Type="http://schemas.openxmlformats.org/officeDocument/2006/relationships/hyperlink" Target="https://pbs.twimg.com/profile_images/622972421163724800/aDxe6tur_normal.jpg" TargetMode="External"/><Relationship Id="rId4600" Type="http://schemas.openxmlformats.org/officeDocument/2006/relationships/hyperlink" Target="https://pbs.twimg.com/profile_images/548193870278688768/8Dq7gW3U_normal.png" TargetMode="External"/><Relationship Id="rId980" Type="http://schemas.openxmlformats.org/officeDocument/2006/relationships/hyperlink" Target="https://twitter.com/amanda_lyons" TargetMode="External"/><Relationship Id="rId1575" Type="http://schemas.openxmlformats.org/officeDocument/2006/relationships/hyperlink" Target="https://twitter.com/mrpotter" TargetMode="External"/><Relationship Id="rId1565" Type="http://schemas.openxmlformats.org/officeDocument/2006/relationships/hyperlink" Target="https://pbs.twimg.com/profile_images/596509974005686273/AqBblwMR_normal.jpg" TargetMode="External"/><Relationship Id="rId2896" Type="http://schemas.openxmlformats.org/officeDocument/2006/relationships/hyperlink" Target="https://twitter.com/juliegpeterson" TargetMode="External"/><Relationship Id="rId1566" Type="http://schemas.openxmlformats.org/officeDocument/2006/relationships/hyperlink" Target="https://twitter.com/JulieThePH" TargetMode="External"/><Relationship Id="rId2897" Type="http://schemas.openxmlformats.org/officeDocument/2006/relationships/hyperlink" Target="https://twitter.com/juliegpeterson/status/705929918669000704" TargetMode="External"/><Relationship Id="rId1567" Type="http://schemas.openxmlformats.org/officeDocument/2006/relationships/hyperlink" Target="https://twitter.com/JulieThePH/status/705880659382951936" TargetMode="External"/><Relationship Id="rId2898" Type="http://schemas.openxmlformats.org/officeDocument/2006/relationships/hyperlink" Target="https://pbs.twimg.com/profile_images/609765839051452416/GNW0wSt0_normal.jpg" TargetMode="External"/><Relationship Id="rId1568" Type="http://schemas.openxmlformats.org/officeDocument/2006/relationships/hyperlink" Target="https://pbs.twimg.com/profile_images/596509974005686273/AqBblwMR_normal.jpg" TargetMode="External"/><Relationship Id="rId2899" Type="http://schemas.openxmlformats.org/officeDocument/2006/relationships/hyperlink" Target="https://twitter.com/jamiaw" TargetMode="External"/><Relationship Id="rId1569" Type="http://schemas.openxmlformats.org/officeDocument/2006/relationships/hyperlink" Target="https://twitter.com/JulieThePH" TargetMode="External"/><Relationship Id="rId976" Type="http://schemas.openxmlformats.org/officeDocument/2006/relationships/hyperlink" Target="https://pbs.twimg.com/profile_images/638086945722249217/mid_S_BQ_normal.jpg" TargetMode="External"/><Relationship Id="rId975" Type="http://schemas.openxmlformats.org/officeDocument/2006/relationships/hyperlink" Target="https://twitter.com/erfagen/status/705817637121613824" TargetMode="External"/><Relationship Id="rId974" Type="http://schemas.openxmlformats.org/officeDocument/2006/relationships/hyperlink" Target="https://twitter.com/erfagen" TargetMode="External"/><Relationship Id="rId973" Type="http://schemas.openxmlformats.org/officeDocument/2006/relationships/hyperlink" Target="https://pbs.twimg.com/profile_images/2703959299/2264fcaef9acb62e19439e11215f5537_normal.png" TargetMode="External"/><Relationship Id="rId979" Type="http://schemas.openxmlformats.org/officeDocument/2006/relationships/hyperlink" Target="https://pbs.twimg.com/profile_images/1246380212/manda_normal.jpg" TargetMode="External"/><Relationship Id="rId978" Type="http://schemas.openxmlformats.org/officeDocument/2006/relationships/hyperlink" Target="https://twitter.com/amanda_lyons/status/705818104304156672" TargetMode="External"/><Relationship Id="rId977" Type="http://schemas.openxmlformats.org/officeDocument/2006/relationships/hyperlink" Target="https://twitter.com/amanda_lyons" TargetMode="External"/><Relationship Id="rId2890" Type="http://schemas.openxmlformats.org/officeDocument/2006/relationships/hyperlink" Target="https://twitter.com/pastpunditry" TargetMode="External"/><Relationship Id="rId1560" Type="http://schemas.openxmlformats.org/officeDocument/2006/relationships/hyperlink" Target="https://twitter.com/JulieThePH" TargetMode="External"/><Relationship Id="rId2891" Type="http://schemas.openxmlformats.org/officeDocument/2006/relationships/hyperlink" Target="https://twitter.com/pastpunditry/status/705929903942701056" TargetMode="External"/><Relationship Id="rId972" Type="http://schemas.openxmlformats.org/officeDocument/2006/relationships/hyperlink" Target="https://twitter.com/dadarlyn/status/705817532876259328" TargetMode="External"/><Relationship Id="rId1561" Type="http://schemas.openxmlformats.org/officeDocument/2006/relationships/hyperlink" Target="https://twitter.com/JulieThePH/status/705880492411916289" TargetMode="External"/><Relationship Id="rId2892" Type="http://schemas.openxmlformats.org/officeDocument/2006/relationships/hyperlink" Target="https://pbs.twimg.com/profile_images/704873222802636800/7aFEMOY5_normal.jpg" TargetMode="External"/><Relationship Id="rId971" Type="http://schemas.openxmlformats.org/officeDocument/2006/relationships/hyperlink" Target="https://twitter.com/dadarlyn" TargetMode="External"/><Relationship Id="rId1562" Type="http://schemas.openxmlformats.org/officeDocument/2006/relationships/hyperlink" Target="https://pbs.twimg.com/profile_images/596509974005686273/AqBblwMR_normal.jpg" TargetMode="External"/><Relationship Id="rId2893" Type="http://schemas.openxmlformats.org/officeDocument/2006/relationships/hyperlink" Target="https://twitter.com/sheishistoric" TargetMode="External"/><Relationship Id="rId970" Type="http://schemas.openxmlformats.org/officeDocument/2006/relationships/hyperlink" Target="https://pbs.twimg.com/profile_images/1246380212/manda_normal.jpg" TargetMode="External"/><Relationship Id="rId1563" Type="http://schemas.openxmlformats.org/officeDocument/2006/relationships/hyperlink" Target="https://twitter.com/JulieThePH" TargetMode="External"/><Relationship Id="rId2894" Type="http://schemas.openxmlformats.org/officeDocument/2006/relationships/hyperlink" Target="https://twitter.com/sheishistoric/status/705929904320356352" TargetMode="External"/><Relationship Id="rId1564" Type="http://schemas.openxmlformats.org/officeDocument/2006/relationships/hyperlink" Target="https://twitter.com/JulieThePH/status/705880612813590529" TargetMode="External"/><Relationship Id="rId2895" Type="http://schemas.openxmlformats.org/officeDocument/2006/relationships/hyperlink" Target="https://pbs.twimg.com/profile_images/650419150620377089/bJxBf---_normal.jpg" TargetMode="External"/><Relationship Id="rId1598" Type="http://schemas.openxmlformats.org/officeDocument/2006/relationships/hyperlink" Target="https://pbs.twimg.com/profile_images/436607137188290560/UM-U3wT1_normal.jpeg" TargetMode="External"/><Relationship Id="rId4624" Type="http://schemas.openxmlformats.org/officeDocument/2006/relationships/hyperlink" Target="https://pbs.twimg.com/profile_images/704873222802636800/7aFEMOY5_normal.jpg" TargetMode="External"/><Relationship Id="rId1599" Type="http://schemas.openxmlformats.org/officeDocument/2006/relationships/hyperlink" Target="https://twitter.com/jaheppler" TargetMode="External"/><Relationship Id="rId4623" Type="http://schemas.openxmlformats.org/officeDocument/2006/relationships/hyperlink" Target="https://twitter.com/pastpunditry/status/706182006263173120" TargetMode="External"/><Relationship Id="rId4626" Type="http://schemas.openxmlformats.org/officeDocument/2006/relationships/hyperlink" Target="https://twitter.com/pastpunditry/status/706182180968505344" TargetMode="External"/><Relationship Id="rId4625" Type="http://schemas.openxmlformats.org/officeDocument/2006/relationships/hyperlink" Target="https://twitter.com/pastpunditry" TargetMode="External"/><Relationship Id="rId4628" Type="http://schemas.openxmlformats.org/officeDocument/2006/relationships/hyperlink" Target="https://twitter.com/mathhistory" TargetMode="External"/><Relationship Id="rId4627" Type="http://schemas.openxmlformats.org/officeDocument/2006/relationships/hyperlink" Target="https://pbs.twimg.com/profile_images/704873222802636800/7aFEMOY5_normal.jpg" TargetMode="External"/><Relationship Id="rId4629" Type="http://schemas.openxmlformats.org/officeDocument/2006/relationships/hyperlink" Target="https://twitter.com/mathhistory/status/706182640370585607" TargetMode="External"/><Relationship Id="rId1590" Type="http://schemas.openxmlformats.org/officeDocument/2006/relationships/hyperlink" Target="https://twitter.com/amanda_lyons" TargetMode="External"/><Relationship Id="rId1591" Type="http://schemas.openxmlformats.org/officeDocument/2006/relationships/hyperlink" Target="https://twitter.com/amanda_lyons/status/705896201669971968" TargetMode="External"/><Relationship Id="rId1592" Type="http://schemas.openxmlformats.org/officeDocument/2006/relationships/hyperlink" Target="https://pbs.twimg.com/profile_images/1246380212/manda_normal.jpg" TargetMode="External"/><Relationship Id="rId1593" Type="http://schemas.openxmlformats.org/officeDocument/2006/relationships/hyperlink" Target="https://twitter.com/WhitakerAlmanac" TargetMode="External"/><Relationship Id="rId1594" Type="http://schemas.openxmlformats.org/officeDocument/2006/relationships/hyperlink" Target="https://twitter.com/WhitakerAlmanac/status/705898867762401280" TargetMode="External"/><Relationship Id="rId4620" Type="http://schemas.openxmlformats.org/officeDocument/2006/relationships/hyperlink" Target="https://twitter.com/pastpunditry/status/706181832484720641" TargetMode="External"/><Relationship Id="rId1595" Type="http://schemas.openxmlformats.org/officeDocument/2006/relationships/hyperlink" Target="https://pbs.twimg.com/profile_images/1325260598/image_normal.jpg" TargetMode="External"/><Relationship Id="rId1596" Type="http://schemas.openxmlformats.org/officeDocument/2006/relationships/hyperlink" Target="https://twitter.com/jaheppler" TargetMode="External"/><Relationship Id="rId4622" Type="http://schemas.openxmlformats.org/officeDocument/2006/relationships/hyperlink" Target="https://twitter.com/pastpunditry" TargetMode="External"/><Relationship Id="rId1597" Type="http://schemas.openxmlformats.org/officeDocument/2006/relationships/hyperlink" Target="https://twitter.com/jaheppler/status/705905963979579392" TargetMode="External"/><Relationship Id="rId4621" Type="http://schemas.openxmlformats.org/officeDocument/2006/relationships/hyperlink" Target="https://pbs.twimg.com/profile_images/704873222802636800/7aFEMOY5_normal.jpg" TargetMode="External"/><Relationship Id="rId1587" Type="http://schemas.openxmlformats.org/officeDocument/2006/relationships/hyperlink" Target="https://twitter.com/JohnFea1" TargetMode="External"/><Relationship Id="rId4613" Type="http://schemas.openxmlformats.org/officeDocument/2006/relationships/hyperlink" Target="https://twitter.com/samueljredman" TargetMode="External"/><Relationship Id="rId1588" Type="http://schemas.openxmlformats.org/officeDocument/2006/relationships/hyperlink" Target="https://twitter.com/JohnFea1/status/705890425752547328" TargetMode="External"/><Relationship Id="rId4612" Type="http://schemas.openxmlformats.org/officeDocument/2006/relationships/hyperlink" Target="https://pbs.twimg.com/profile_images/548193870278688768/8Dq7gW3U_normal.png" TargetMode="External"/><Relationship Id="rId1589" Type="http://schemas.openxmlformats.org/officeDocument/2006/relationships/hyperlink" Target="https://pbs.twimg.com/profile_images/2090305941/Fea_speaking_normal.jpg" TargetMode="External"/><Relationship Id="rId4615" Type="http://schemas.openxmlformats.org/officeDocument/2006/relationships/hyperlink" Target="https://pbs.twimg.com/profile_images/548193870278688768/8Dq7gW3U_normal.png" TargetMode="External"/><Relationship Id="rId4614" Type="http://schemas.openxmlformats.org/officeDocument/2006/relationships/hyperlink" Target="https://twitter.com/samueljredman/status/706181600774590465" TargetMode="External"/><Relationship Id="rId4617" Type="http://schemas.openxmlformats.org/officeDocument/2006/relationships/hyperlink" Target="https://twitter.com/samueljredman/status/706181624719937536" TargetMode="External"/><Relationship Id="rId4616" Type="http://schemas.openxmlformats.org/officeDocument/2006/relationships/hyperlink" Target="https://twitter.com/samueljredman" TargetMode="External"/><Relationship Id="rId4619" Type="http://schemas.openxmlformats.org/officeDocument/2006/relationships/hyperlink" Target="https://twitter.com/pastpunditry" TargetMode="External"/><Relationship Id="rId4618" Type="http://schemas.openxmlformats.org/officeDocument/2006/relationships/hyperlink" Target="https://pbs.twimg.com/profile_images/548193870278688768/8Dq7gW3U_normal.png" TargetMode="External"/><Relationship Id="rId998" Type="http://schemas.openxmlformats.org/officeDocument/2006/relationships/hyperlink" Target="https://twitter.com/ebdrago" TargetMode="External"/><Relationship Id="rId997" Type="http://schemas.openxmlformats.org/officeDocument/2006/relationships/hyperlink" Target="https://pbs.twimg.com/profile_images/458318917006401536/2MCcLMSP_normal.jpeg" TargetMode="External"/><Relationship Id="rId996" Type="http://schemas.openxmlformats.org/officeDocument/2006/relationships/hyperlink" Target="https://twitter.com/ebdrago/status/705822402744348672" TargetMode="External"/><Relationship Id="rId995" Type="http://schemas.openxmlformats.org/officeDocument/2006/relationships/hyperlink" Target="https://twitter.com/ebdrago" TargetMode="External"/><Relationship Id="rId999" Type="http://schemas.openxmlformats.org/officeDocument/2006/relationships/hyperlink" Target="https://twitter.com/ebdrago/status/705822471035998208" TargetMode="External"/><Relationship Id="rId990" Type="http://schemas.openxmlformats.org/officeDocument/2006/relationships/hyperlink" Target="https://twitter.com/ebdrago/status/705822168979001345" TargetMode="External"/><Relationship Id="rId1580" Type="http://schemas.openxmlformats.org/officeDocument/2006/relationships/hyperlink" Target="https://pbs.twimg.com/profile_images/622972421163724800/aDxe6tur_normal.jpg" TargetMode="External"/><Relationship Id="rId1581" Type="http://schemas.openxmlformats.org/officeDocument/2006/relationships/hyperlink" Target="https://twitter.com/PeterCPihos" TargetMode="External"/><Relationship Id="rId1582" Type="http://schemas.openxmlformats.org/officeDocument/2006/relationships/hyperlink" Target="https://twitter.com/PeterCPihos/status/705886213262041088" TargetMode="External"/><Relationship Id="rId994" Type="http://schemas.openxmlformats.org/officeDocument/2006/relationships/hyperlink" Target="https://pbs.twimg.com/profile_images/458318917006401536/2MCcLMSP_normal.jpeg" TargetMode="External"/><Relationship Id="rId1583" Type="http://schemas.openxmlformats.org/officeDocument/2006/relationships/hyperlink" Target="https://pbs.twimg.com/profile_images/616063173943148545/FOorqHN5_normal.jpg" TargetMode="External"/><Relationship Id="rId993" Type="http://schemas.openxmlformats.org/officeDocument/2006/relationships/hyperlink" Target="https://twitter.com/ebdrago/status/705822220044607488" TargetMode="External"/><Relationship Id="rId1584" Type="http://schemas.openxmlformats.org/officeDocument/2006/relationships/hyperlink" Target="https://twitter.com/FatCatOnHat" TargetMode="External"/><Relationship Id="rId992" Type="http://schemas.openxmlformats.org/officeDocument/2006/relationships/hyperlink" Target="https://twitter.com/ebdrago" TargetMode="External"/><Relationship Id="rId1585" Type="http://schemas.openxmlformats.org/officeDocument/2006/relationships/hyperlink" Target="https://twitter.com/FatCatOnHat/status/705889447909462017" TargetMode="External"/><Relationship Id="rId4611" Type="http://schemas.openxmlformats.org/officeDocument/2006/relationships/hyperlink" Target="https://twitter.com/samueljredman/status/706181583024295937" TargetMode="External"/><Relationship Id="rId991" Type="http://schemas.openxmlformats.org/officeDocument/2006/relationships/hyperlink" Target="https://pbs.twimg.com/profile_images/458318917006401536/2MCcLMSP_normal.jpeg" TargetMode="External"/><Relationship Id="rId1586" Type="http://schemas.openxmlformats.org/officeDocument/2006/relationships/hyperlink" Target="https://pbs.twimg.com/profile_images/693089232223514628/09uK1HQk_normal.jpg" TargetMode="External"/><Relationship Id="rId4610" Type="http://schemas.openxmlformats.org/officeDocument/2006/relationships/hyperlink" Target="https://twitter.com/samueljredman" TargetMode="External"/><Relationship Id="rId1532" Type="http://schemas.openxmlformats.org/officeDocument/2006/relationships/hyperlink" Target="https://pbs.twimg.com/profile_images/1762571664/POY_photo_-_web_normal.jpg" TargetMode="External"/><Relationship Id="rId2863" Type="http://schemas.openxmlformats.org/officeDocument/2006/relationships/hyperlink" Target="https://twitter.com/MedeaCulpa" TargetMode="External"/><Relationship Id="rId1533" Type="http://schemas.openxmlformats.org/officeDocument/2006/relationships/hyperlink" Target="https://twitter.com/sholalynch" TargetMode="External"/><Relationship Id="rId2864" Type="http://schemas.openxmlformats.org/officeDocument/2006/relationships/hyperlink" Target="https://twitter.com/MedeaCulpa/status/705929577248530432" TargetMode="External"/><Relationship Id="rId1534" Type="http://schemas.openxmlformats.org/officeDocument/2006/relationships/hyperlink" Target="https://twitter.com/sholalynch/status/705871922899369984" TargetMode="External"/><Relationship Id="rId2865" Type="http://schemas.openxmlformats.org/officeDocument/2006/relationships/hyperlink" Target="https://pbs.twimg.com/profile_images/702272676837068800/xO5D7apz_normal.jpg" TargetMode="External"/><Relationship Id="rId1535" Type="http://schemas.openxmlformats.org/officeDocument/2006/relationships/hyperlink" Target="https://pbs.twimg.com/profile_images/688533447195758593/LTuyp1_c_normal.jpg" TargetMode="External"/><Relationship Id="rId2866" Type="http://schemas.openxmlformats.org/officeDocument/2006/relationships/hyperlink" Target="https://twitter.com/juliegpeterson" TargetMode="External"/><Relationship Id="rId1536" Type="http://schemas.openxmlformats.org/officeDocument/2006/relationships/hyperlink" Target="https://twitter.com/GHAUmass" TargetMode="External"/><Relationship Id="rId2867" Type="http://schemas.openxmlformats.org/officeDocument/2006/relationships/hyperlink" Target="https://twitter.com/juliegpeterson/status/705929589185445888" TargetMode="External"/><Relationship Id="rId1537" Type="http://schemas.openxmlformats.org/officeDocument/2006/relationships/hyperlink" Target="https://twitter.com/GHAUmass/status/705872784837189633" TargetMode="External"/><Relationship Id="rId2868" Type="http://schemas.openxmlformats.org/officeDocument/2006/relationships/hyperlink" Target="https://pbs.twimg.com/profile_images/609765839051452416/GNW0wSt0_normal.jpg" TargetMode="External"/><Relationship Id="rId1538" Type="http://schemas.openxmlformats.org/officeDocument/2006/relationships/hyperlink" Target="https://pbs.twimg.com/profile_images/604060333590855682/Fk6r1D7d_normal.jpg" TargetMode="External"/><Relationship Id="rId2869" Type="http://schemas.openxmlformats.org/officeDocument/2006/relationships/hyperlink" Target="https://twitter.com/pastpunditry" TargetMode="External"/><Relationship Id="rId1539" Type="http://schemas.openxmlformats.org/officeDocument/2006/relationships/hyperlink" Target="https://twitter.com/GHAUmass" TargetMode="External"/><Relationship Id="rId949" Type="http://schemas.openxmlformats.org/officeDocument/2006/relationships/hyperlink" Target="https://pbs.twimg.com/profile_images/565429960/Betsy_Twitter_normal.jpg" TargetMode="External"/><Relationship Id="rId948" Type="http://schemas.openxmlformats.org/officeDocument/2006/relationships/hyperlink" Target="https://twitter.com/MarlaAtUmass/status/705813728000868352" TargetMode="External"/><Relationship Id="rId943" Type="http://schemas.openxmlformats.org/officeDocument/2006/relationships/hyperlink" Target="https://pbs.twimg.com/profile_images/625092349425750016/cZ_A7mTc_normal.jpg" TargetMode="External"/><Relationship Id="rId942" Type="http://schemas.openxmlformats.org/officeDocument/2006/relationships/hyperlink" Target="https://twitter.com/paige_roberts/status/705812855787024385" TargetMode="External"/><Relationship Id="rId941" Type="http://schemas.openxmlformats.org/officeDocument/2006/relationships/hyperlink" Target="https://twitter.com/paige_roberts" TargetMode="External"/><Relationship Id="rId940" Type="http://schemas.openxmlformats.org/officeDocument/2006/relationships/hyperlink" Target="https://pbs.twimg.com/profile_images/658980135362670592/f3KRvvsW_normal.jpg" TargetMode="External"/><Relationship Id="rId947" Type="http://schemas.openxmlformats.org/officeDocument/2006/relationships/hyperlink" Target="https://twitter.com/MarlaAtUmass" TargetMode="External"/><Relationship Id="rId946" Type="http://schemas.openxmlformats.org/officeDocument/2006/relationships/hyperlink" Target="https://pbs.twimg.com/profile_images/565429960/Betsy_Twitter_normal.jpg" TargetMode="External"/><Relationship Id="rId945" Type="http://schemas.openxmlformats.org/officeDocument/2006/relationships/hyperlink" Target="https://twitter.com/MarlaAtUmass/status/705813569078693888" TargetMode="External"/><Relationship Id="rId944" Type="http://schemas.openxmlformats.org/officeDocument/2006/relationships/hyperlink" Target="https://twitter.com/MarlaAtUmass" TargetMode="External"/><Relationship Id="rId2860" Type="http://schemas.openxmlformats.org/officeDocument/2006/relationships/hyperlink" Target="https://twitter.com/pastpunditry" TargetMode="External"/><Relationship Id="rId1530" Type="http://schemas.openxmlformats.org/officeDocument/2006/relationships/hyperlink" Target="https://twitter.com/mattdelmont" TargetMode="External"/><Relationship Id="rId2861" Type="http://schemas.openxmlformats.org/officeDocument/2006/relationships/hyperlink" Target="https://twitter.com/pastpunditry/status/705929562174197765" TargetMode="External"/><Relationship Id="rId1531" Type="http://schemas.openxmlformats.org/officeDocument/2006/relationships/hyperlink" Target="https://twitter.com/mattdelmont/status/705871696398430212" TargetMode="External"/><Relationship Id="rId2862" Type="http://schemas.openxmlformats.org/officeDocument/2006/relationships/hyperlink" Target="https://pbs.twimg.com/profile_images/704873222802636800/7aFEMOY5_normal.jpg" TargetMode="External"/><Relationship Id="rId1521" Type="http://schemas.openxmlformats.org/officeDocument/2006/relationships/hyperlink" Target="https://twitter.com/sholalynch" TargetMode="External"/><Relationship Id="rId2852" Type="http://schemas.openxmlformats.org/officeDocument/2006/relationships/hyperlink" Target="https://twitter.com/pastpunditry/status/705929459317211140" TargetMode="External"/><Relationship Id="rId1522" Type="http://schemas.openxmlformats.org/officeDocument/2006/relationships/hyperlink" Target="https://twitter.com/sholalynch/status/705871171745681409" TargetMode="External"/><Relationship Id="rId2853" Type="http://schemas.openxmlformats.org/officeDocument/2006/relationships/hyperlink" Target="https://pbs.twimg.com/profile_images/704873222802636800/7aFEMOY5_normal.jpg" TargetMode="External"/><Relationship Id="rId1523" Type="http://schemas.openxmlformats.org/officeDocument/2006/relationships/hyperlink" Target="https://pbs.twimg.com/profile_images/688533447195758593/LTuyp1_c_normal.jpg" TargetMode="External"/><Relationship Id="rId2854" Type="http://schemas.openxmlformats.org/officeDocument/2006/relationships/hyperlink" Target="https://twitter.com/defactofecteau" TargetMode="External"/><Relationship Id="rId1524" Type="http://schemas.openxmlformats.org/officeDocument/2006/relationships/hyperlink" Target="https://twitter.com/pastpunditry" TargetMode="External"/><Relationship Id="rId2855" Type="http://schemas.openxmlformats.org/officeDocument/2006/relationships/hyperlink" Target="https://twitter.com/defactofecteau/status/705929464967008256" TargetMode="External"/><Relationship Id="rId1525" Type="http://schemas.openxmlformats.org/officeDocument/2006/relationships/hyperlink" Target="https://twitter.com/pastpunditry/status/705871372812206080" TargetMode="External"/><Relationship Id="rId2856" Type="http://schemas.openxmlformats.org/officeDocument/2006/relationships/hyperlink" Target="https://pbs.twimg.com/profile_images/434404729263648768/vsAZLFtj_normal.jpeg" TargetMode="External"/><Relationship Id="rId1526" Type="http://schemas.openxmlformats.org/officeDocument/2006/relationships/hyperlink" Target="https://pbs.twimg.com/profile_images/704873222802636800/7aFEMOY5_normal.jpg" TargetMode="External"/><Relationship Id="rId2857" Type="http://schemas.openxmlformats.org/officeDocument/2006/relationships/hyperlink" Target="https://twitter.com/Indicaworld" TargetMode="External"/><Relationship Id="rId1527" Type="http://schemas.openxmlformats.org/officeDocument/2006/relationships/hyperlink" Target="https://twitter.com/sholalynch" TargetMode="External"/><Relationship Id="rId2858" Type="http://schemas.openxmlformats.org/officeDocument/2006/relationships/hyperlink" Target="https://twitter.com/Indicaworld/status/705929515726409729" TargetMode="External"/><Relationship Id="rId1528" Type="http://schemas.openxmlformats.org/officeDocument/2006/relationships/hyperlink" Target="https://twitter.com/sholalynch/status/705871657634799620" TargetMode="External"/><Relationship Id="rId2859" Type="http://schemas.openxmlformats.org/officeDocument/2006/relationships/hyperlink" Target="https://pbs.twimg.com/profile_images/378800000735123774/e2ecc33272eaed1ad26c5b77d773f70b_normal.jpeg" TargetMode="External"/><Relationship Id="rId1529" Type="http://schemas.openxmlformats.org/officeDocument/2006/relationships/hyperlink" Target="https://pbs.twimg.com/profile_images/688533447195758593/LTuyp1_c_normal.jpg" TargetMode="External"/><Relationship Id="rId939" Type="http://schemas.openxmlformats.org/officeDocument/2006/relationships/hyperlink" Target="https://twitter.com/melissajgismond/status/705812033204305920" TargetMode="External"/><Relationship Id="rId938" Type="http://schemas.openxmlformats.org/officeDocument/2006/relationships/hyperlink" Target="https://twitter.com/melissajgismond" TargetMode="External"/><Relationship Id="rId937" Type="http://schemas.openxmlformats.org/officeDocument/2006/relationships/hyperlink" Target="https://pbs.twimg.com/profile_images/548193870278688768/8Dq7gW3U_normal.png" TargetMode="External"/><Relationship Id="rId932" Type="http://schemas.openxmlformats.org/officeDocument/2006/relationships/hyperlink" Target="https://twitter.com/samueljredman" TargetMode="External"/><Relationship Id="rId931" Type="http://schemas.openxmlformats.org/officeDocument/2006/relationships/hyperlink" Target="https://pbs.twimg.com/profile_images/704873222802636800/7aFEMOY5_normal.jpg" TargetMode="External"/><Relationship Id="rId930" Type="http://schemas.openxmlformats.org/officeDocument/2006/relationships/hyperlink" Target="https://twitter.com/pastpunditry/status/705810454954827776" TargetMode="External"/><Relationship Id="rId936" Type="http://schemas.openxmlformats.org/officeDocument/2006/relationships/hyperlink" Target="https://twitter.com/samueljredman/status/705811061442781185" TargetMode="External"/><Relationship Id="rId935" Type="http://schemas.openxmlformats.org/officeDocument/2006/relationships/hyperlink" Target="https://twitter.com/samueljredman" TargetMode="External"/><Relationship Id="rId934" Type="http://schemas.openxmlformats.org/officeDocument/2006/relationships/hyperlink" Target="https://pbs.twimg.com/profile_images/548193870278688768/8Dq7gW3U_normal.png" TargetMode="External"/><Relationship Id="rId933" Type="http://schemas.openxmlformats.org/officeDocument/2006/relationships/hyperlink" Target="https://twitter.com/samueljredman/status/705810752695898113" TargetMode="External"/><Relationship Id="rId2850" Type="http://schemas.openxmlformats.org/officeDocument/2006/relationships/hyperlink" Target="https://pbs.twimg.com/profile_images/704873222802636800/7aFEMOY5_normal.jpg" TargetMode="External"/><Relationship Id="rId1520" Type="http://schemas.openxmlformats.org/officeDocument/2006/relationships/hyperlink" Target="https://pbs.twimg.com/profile_images/688533447195758593/LTuyp1_c_normal.jpg" TargetMode="External"/><Relationship Id="rId2851" Type="http://schemas.openxmlformats.org/officeDocument/2006/relationships/hyperlink" Target="https://twitter.com/pastpunditry" TargetMode="External"/><Relationship Id="rId1554" Type="http://schemas.openxmlformats.org/officeDocument/2006/relationships/hyperlink" Target="https://twitter.com/umassph" TargetMode="External"/><Relationship Id="rId2885" Type="http://schemas.openxmlformats.org/officeDocument/2006/relationships/hyperlink" Target="https://twitter.com/GHAUmass/status/705929820924829697" TargetMode="External"/><Relationship Id="rId1555" Type="http://schemas.openxmlformats.org/officeDocument/2006/relationships/hyperlink" Target="https://twitter.com/umassph/status/705878800270237696" TargetMode="External"/><Relationship Id="rId2886" Type="http://schemas.openxmlformats.org/officeDocument/2006/relationships/hyperlink" Target="https://pbs.twimg.com/profile_images/604060333590855682/Fk6r1D7d_normal.jpg" TargetMode="External"/><Relationship Id="rId1556" Type="http://schemas.openxmlformats.org/officeDocument/2006/relationships/hyperlink" Target="https://pbs.twimg.com/profile_images/3583165575/54f0bc87a29b2ae8587193829ce07299_normal.jpeg" TargetMode="External"/><Relationship Id="rId2887" Type="http://schemas.openxmlformats.org/officeDocument/2006/relationships/hyperlink" Target="https://twitter.com/erfagen" TargetMode="External"/><Relationship Id="rId1557" Type="http://schemas.openxmlformats.org/officeDocument/2006/relationships/hyperlink" Target="https://twitter.com/JasonSteinhauer" TargetMode="External"/><Relationship Id="rId2888" Type="http://schemas.openxmlformats.org/officeDocument/2006/relationships/hyperlink" Target="https://twitter.com/erfagen/status/705929872066125824" TargetMode="External"/><Relationship Id="rId1558" Type="http://schemas.openxmlformats.org/officeDocument/2006/relationships/hyperlink" Target="https://twitter.com/JasonSteinhauer/status/705879849454477316" TargetMode="External"/><Relationship Id="rId2889" Type="http://schemas.openxmlformats.org/officeDocument/2006/relationships/hyperlink" Target="https://pbs.twimg.com/profile_images/638086945722249217/mid_S_BQ_normal.jpg" TargetMode="External"/><Relationship Id="rId1559" Type="http://schemas.openxmlformats.org/officeDocument/2006/relationships/hyperlink" Target="https://pbs.twimg.com/profile_images/531574951107518465/AvUhkliP_normal.jpeg" TargetMode="External"/><Relationship Id="rId965" Type="http://schemas.openxmlformats.org/officeDocument/2006/relationships/hyperlink" Target="https://twitter.com/jaheppler" TargetMode="External"/><Relationship Id="rId964" Type="http://schemas.openxmlformats.org/officeDocument/2006/relationships/hyperlink" Target="https://pbs.twimg.com/profile_images/636901483401904128/cxbavncr_normal.jpg" TargetMode="External"/><Relationship Id="rId963" Type="http://schemas.openxmlformats.org/officeDocument/2006/relationships/hyperlink" Target="https://twitter.com/historein/status/705815290760859648" TargetMode="External"/><Relationship Id="rId962" Type="http://schemas.openxmlformats.org/officeDocument/2006/relationships/hyperlink" Target="https://twitter.com/historein" TargetMode="External"/><Relationship Id="rId969" Type="http://schemas.openxmlformats.org/officeDocument/2006/relationships/hyperlink" Target="https://twitter.com/amanda_lyons/status/705817481877790720" TargetMode="External"/><Relationship Id="rId968" Type="http://schemas.openxmlformats.org/officeDocument/2006/relationships/hyperlink" Target="https://twitter.com/amanda_lyons" TargetMode="External"/><Relationship Id="rId967" Type="http://schemas.openxmlformats.org/officeDocument/2006/relationships/hyperlink" Target="https://pbs.twimg.com/profile_images/436607137188290560/UM-U3wT1_normal.jpeg" TargetMode="External"/><Relationship Id="rId966" Type="http://schemas.openxmlformats.org/officeDocument/2006/relationships/hyperlink" Target="https://twitter.com/jaheppler/status/705816600738291712" TargetMode="External"/><Relationship Id="rId2880" Type="http://schemas.openxmlformats.org/officeDocument/2006/relationships/hyperlink" Target="https://pbs.twimg.com/profile_images/604060333590855682/Fk6r1D7d_normal.jpg" TargetMode="External"/><Relationship Id="rId961" Type="http://schemas.openxmlformats.org/officeDocument/2006/relationships/hyperlink" Target="https://pbs.twimg.com/profile_images/565429960/Betsy_Twitter_normal.jpg" TargetMode="External"/><Relationship Id="rId1550" Type="http://schemas.openxmlformats.org/officeDocument/2006/relationships/hyperlink" Target="https://pbs.twimg.com/profile_images/378800000450415007/82bcc7d0cab85e8d5920dbf5ded6715e_normal.jpeg" TargetMode="External"/><Relationship Id="rId2881" Type="http://schemas.openxmlformats.org/officeDocument/2006/relationships/hyperlink" Target="https://twitter.com/GHAUmass" TargetMode="External"/><Relationship Id="rId960" Type="http://schemas.openxmlformats.org/officeDocument/2006/relationships/hyperlink" Target="https://twitter.com/MarlaAtUmass/status/705814276976599040" TargetMode="External"/><Relationship Id="rId1551" Type="http://schemas.openxmlformats.org/officeDocument/2006/relationships/hyperlink" Target="https://twitter.com/MedievalRobots" TargetMode="External"/><Relationship Id="rId2882" Type="http://schemas.openxmlformats.org/officeDocument/2006/relationships/hyperlink" Target="https://twitter.com/GHAUmass/status/705929762854871040" TargetMode="External"/><Relationship Id="rId1552" Type="http://schemas.openxmlformats.org/officeDocument/2006/relationships/hyperlink" Target="https://twitter.com/MedievalRobots/status/705877280963305472" TargetMode="External"/><Relationship Id="rId2883" Type="http://schemas.openxmlformats.org/officeDocument/2006/relationships/hyperlink" Target="https://pbs.twimg.com/profile_images/604060333590855682/Fk6r1D7d_normal.jpg" TargetMode="External"/><Relationship Id="rId1553" Type="http://schemas.openxmlformats.org/officeDocument/2006/relationships/hyperlink" Target="https://pbs.twimg.com/profile_images/701429056412086274/x4y2gAe7_normal.jpg" TargetMode="External"/><Relationship Id="rId2884" Type="http://schemas.openxmlformats.org/officeDocument/2006/relationships/hyperlink" Target="https://twitter.com/GHAUmass" TargetMode="External"/><Relationship Id="rId1543" Type="http://schemas.openxmlformats.org/officeDocument/2006/relationships/hyperlink" Target="https://twitter.com/GHAUmass/status/705873081747841025" TargetMode="External"/><Relationship Id="rId2874" Type="http://schemas.openxmlformats.org/officeDocument/2006/relationships/hyperlink" Target="https://pbs.twimg.com/profile_images/704873222802636800/7aFEMOY5_normal.jpg" TargetMode="External"/><Relationship Id="rId1544" Type="http://schemas.openxmlformats.org/officeDocument/2006/relationships/hyperlink" Target="https://pbs.twimg.com/profile_images/604060333590855682/Fk6r1D7d_normal.jpg" TargetMode="External"/><Relationship Id="rId2875" Type="http://schemas.openxmlformats.org/officeDocument/2006/relationships/hyperlink" Target="https://twitter.com/juliegpeterson" TargetMode="External"/><Relationship Id="rId1545" Type="http://schemas.openxmlformats.org/officeDocument/2006/relationships/hyperlink" Target="https://twitter.com/GHAUmass" TargetMode="External"/><Relationship Id="rId2876" Type="http://schemas.openxmlformats.org/officeDocument/2006/relationships/hyperlink" Target="https://twitter.com/juliegpeterson/status/705929669401571328" TargetMode="External"/><Relationship Id="rId1546" Type="http://schemas.openxmlformats.org/officeDocument/2006/relationships/hyperlink" Target="https://twitter.com/GHAUmass/status/705873156695846917" TargetMode="External"/><Relationship Id="rId2877" Type="http://schemas.openxmlformats.org/officeDocument/2006/relationships/hyperlink" Target="https://pbs.twimg.com/profile_images/609765839051452416/GNW0wSt0_normal.jpg" TargetMode="External"/><Relationship Id="rId1547" Type="http://schemas.openxmlformats.org/officeDocument/2006/relationships/hyperlink" Target="https://pbs.twimg.com/profile_images/604060333590855682/Fk6r1D7d_normal.jpg" TargetMode="External"/><Relationship Id="rId2878" Type="http://schemas.openxmlformats.org/officeDocument/2006/relationships/hyperlink" Target="https://twitter.com/GHAUmass" TargetMode="External"/><Relationship Id="rId1548" Type="http://schemas.openxmlformats.org/officeDocument/2006/relationships/hyperlink" Target="https://twitter.com/magmidd" TargetMode="External"/><Relationship Id="rId2879" Type="http://schemas.openxmlformats.org/officeDocument/2006/relationships/hyperlink" Target="https://twitter.com/GHAUmass/status/705929707422932994" TargetMode="External"/><Relationship Id="rId1549" Type="http://schemas.openxmlformats.org/officeDocument/2006/relationships/hyperlink" Target="https://twitter.com/magmidd/status/705873582405115905" TargetMode="External"/><Relationship Id="rId959" Type="http://schemas.openxmlformats.org/officeDocument/2006/relationships/hyperlink" Target="https://twitter.com/MarlaAtUmass" TargetMode="External"/><Relationship Id="rId954" Type="http://schemas.openxmlformats.org/officeDocument/2006/relationships/hyperlink" Target="https://twitter.com/MarlaAtUmass/status/705814000207077377" TargetMode="External"/><Relationship Id="rId953" Type="http://schemas.openxmlformats.org/officeDocument/2006/relationships/hyperlink" Target="https://twitter.com/MarlaAtUmass" TargetMode="External"/><Relationship Id="rId952" Type="http://schemas.openxmlformats.org/officeDocument/2006/relationships/hyperlink" Target="https://pbs.twimg.com/profile_images/565429960/Betsy_Twitter_normal.jpg" TargetMode="External"/><Relationship Id="rId951" Type="http://schemas.openxmlformats.org/officeDocument/2006/relationships/hyperlink" Target="https://twitter.com/MarlaAtUmass/status/705813831436673029" TargetMode="External"/><Relationship Id="rId958" Type="http://schemas.openxmlformats.org/officeDocument/2006/relationships/hyperlink" Target="https://pbs.twimg.com/profile_images/565429960/Betsy_Twitter_normal.jpg" TargetMode="External"/><Relationship Id="rId957" Type="http://schemas.openxmlformats.org/officeDocument/2006/relationships/hyperlink" Target="https://twitter.com/MarlaAtUmass/status/705814097523253248" TargetMode="External"/><Relationship Id="rId956" Type="http://schemas.openxmlformats.org/officeDocument/2006/relationships/hyperlink" Target="https://twitter.com/MarlaAtUmass" TargetMode="External"/><Relationship Id="rId955" Type="http://schemas.openxmlformats.org/officeDocument/2006/relationships/hyperlink" Target="https://pbs.twimg.com/profile_images/565429960/Betsy_Twitter_normal.jpg" TargetMode="External"/><Relationship Id="rId950" Type="http://schemas.openxmlformats.org/officeDocument/2006/relationships/hyperlink" Target="https://twitter.com/MarlaAtUmass" TargetMode="External"/><Relationship Id="rId2870" Type="http://schemas.openxmlformats.org/officeDocument/2006/relationships/hyperlink" Target="https://twitter.com/pastpunditry/status/705929620181393409" TargetMode="External"/><Relationship Id="rId1540" Type="http://schemas.openxmlformats.org/officeDocument/2006/relationships/hyperlink" Target="https://twitter.com/GHAUmass/status/705872874163331072" TargetMode="External"/><Relationship Id="rId2871" Type="http://schemas.openxmlformats.org/officeDocument/2006/relationships/hyperlink" Target="https://pbs.twimg.com/profile_images/704873222802636800/7aFEMOY5_normal.jpg" TargetMode="External"/><Relationship Id="rId1541" Type="http://schemas.openxmlformats.org/officeDocument/2006/relationships/hyperlink" Target="https://pbs.twimg.com/profile_images/604060333590855682/Fk6r1D7d_normal.jpg" TargetMode="External"/><Relationship Id="rId2872" Type="http://schemas.openxmlformats.org/officeDocument/2006/relationships/hyperlink" Target="https://twitter.com/pastpunditry" TargetMode="External"/><Relationship Id="rId1542" Type="http://schemas.openxmlformats.org/officeDocument/2006/relationships/hyperlink" Target="https://twitter.com/GHAUmass" TargetMode="External"/><Relationship Id="rId2873" Type="http://schemas.openxmlformats.org/officeDocument/2006/relationships/hyperlink" Target="https://twitter.com/pastpunditry/status/705929636811767809" TargetMode="External"/><Relationship Id="rId2027" Type="http://schemas.openxmlformats.org/officeDocument/2006/relationships/hyperlink" Target="https://pbs.twimg.com/profile_images/596509974005686273/AqBblwMR_normal.jpg" TargetMode="External"/><Relationship Id="rId3359" Type="http://schemas.openxmlformats.org/officeDocument/2006/relationships/hyperlink" Target="https://twitter.com/pastpunditry/status/705934993827229696" TargetMode="External"/><Relationship Id="rId2028" Type="http://schemas.openxmlformats.org/officeDocument/2006/relationships/hyperlink" Target="https://twitter.com/CitizenWald" TargetMode="External"/><Relationship Id="rId3358" Type="http://schemas.openxmlformats.org/officeDocument/2006/relationships/hyperlink" Target="https://twitter.com/pastpunditry" TargetMode="External"/><Relationship Id="rId4689" Type="http://schemas.openxmlformats.org/officeDocument/2006/relationships/hyperlink" Target="https://twitter.com/j3foley/status/706186084988940288" TargetMode="External"/><Relationship Id="rId2029" Type="http://schemas.openxmlformats.org/officeDocument/2006/relationships/hyperlink" Target="https://twitter.com/CitizenWald/status/705922037395673088" TargetMode="External"/><Relationship Id="rId107" Type="http://schemas.openxmlformats.org/officeDocument/2006/relationships/hyperlink" Target="https://twitter.com/Miller_Center/status/705211222409478144" TargetMode="External"/><Relationship Id="rId106" Type="http://schemas.openxmlformats.org/officeDocument/2006/relationships/hyperlink" Target="https://twitter.com/Miller_Center" TargetMode="External"/><Relationship Id="rId105" Type="http://schemas.openxmlformats.org/officeDocument/2006/relationships/hyperlink" Target="https://pbs.twimg.com/profile_images/652138401651666944/voDILXwD_normal.jpg" TargetMode="External"/><Relationship Id="rId104" Type="http://schemas.openxmlformats.org/officeDocument/2006/relationships/hyperlink" Target="https://twitter.com/History_Doctor/status/705206725469720576" TargetMode="External"/><Relationship Id="rId109" Type="http://schemas.openxmlformats.org/officeDocument/2006/relationships/hyperlink" Target="https://twitter.com/allisonhorrocks" TargetMode="External"/><Relationship Id="rId4680" Type="http://schemas.openxmlformats.org/officeDocument/2006/relationships/hyperlink" Target="https://twitter.com/juliegpeterson/status/706185830537240576" TargetMode="External"/><Relationship Id="rId108" Type="http://schemas.openxmlformats.org/officeDocument/2006/relationships/hyperlink" Target="https://pbs.twimg.com/profile_images/1368672632/MC_logo_normal.jpg" TargetMode="External"/><Relationship Id="rId3351" Type="http://schemas.openxmlformats.org/officeDocument/2006/relationships/hyperlink" Target="https://pbs.twimg.com/profile_images/550495191849644032/qEniLfQu_normal.png" TargetMode="External"/><Relationship Id="rId4682" Type="http://schemas.openxmlformats.org/officeDocument/2006/relationships/hyperlink" Target="https://twitter.com/lizcovart" TargetMode="External"/><Relationship Id="rId2020" Type="http://schemas.openxmlformats.org/officeDocument/2006/relationships/hyperlink" Target="https://twitter.com/aglassofhistory/status/705921966482595840" TargetMode="External"/><Relationship Id="rId3350" Type="http://schemas.openxmlformats.org/officeDocument/2006/relationships/hyperlink" Target="https://twitter.com/Red_Shirt_no2/status/705934944829349888" TargetMode="External"/><Relationship Id="rId4681" Type="http://schemas.openxmlformats.org/officeDocument/2006/relationships/hyperlink" Target="https://pbs.twimg.com/profile_images/609765839051452416/GNW0wSt0_normal.jpg" TargetMode="External"/><Relationship Id="rId2021" Type="http://schemas.openxmlformats.org/officeDocument/2006/relationships/hyperlink" Target="https://pbs.twimg.com/profile_images/611592888816898048/cGMlIfmz_normal.jpg" TargetMode="External"/><Relationship Id="rId3353" Type="http://schemas.openxmlformats.org/officeDocument/2006/relationships/hyperlink" Target="https://twitter.com/GHAUmass/status/705934962952900608" TargetMode="External"/><Relationship Id="rId4684" Type="http://schemas.openxmlformats.org/officeDocument/2006/relationships/hyperlink" Target="https://pbs.twimg.com/profile_images/689446576201142272/MpeUISSP_normal.jpg" TargetMode="External"/><Relationship Id="rId2022" Type="http://schemas.openxmlformats.org/officeDocument/2006/relationships/hyperlink" Target="https://twitter.com/JulieThePH" TargetMode="External"/><Relationship Id="rId3352" Type="http://schemas.openxmlformats.org/officeDocument/2006/relationships/hyperlink" Target="https://twitter.com/GHAUmass" TargetMode="External"/><Relationship Id="rId4683" Type="http://schemas.openxmlformats.org/officeDocument/2006/relationships/hyperlink" Target="https://twitter.com/lizcovart/status/706185887328112640" TargetMode="External"/><Relationship Id="rId103" Type="http://schemas.openxmlformats.org/officeDocument/2006/relationships/hyperlink" Target="https://twitter.com/History_Doctor" TargetMode="External"/><Relationship Id="rId2023" Type="http://schemas.openxmlformats.org/officeDocument/2006/relationships/hyperlink" Target="https://twitter.com/JulieThePH/status/705921978843209728" TargetMode="External"/><Relationship Id="rId3355" Type="http://schemas.openxmlformats.org/officeDocument/2006/relationships/hyperlink" Target="https://twitter.com/pastpunditry" TargetMode="External"/><Relationship Id="rId4686" Type="http://schemas.openxmlformats.org/officeDocument/2006/relationships/hyperlink" Target="https://twitter.com/jaheppler/status/706185993825579009" TargetMode="External"/><Relationship Id="rId102" Type="http://schemas.openxmlformats.org/officeDocument/2006/relationships/hyperlink" Target="https://pbs.twimg.com/profile_images/611592888816898048/cGMlIfmz_normal.jpg" TargetMode="External"/><Relationship Id="rId2024" Type="http://schemas.openxmlformats.org/officeDocument/2006/relationships/hyperlink" Target="https://pbs.twimg.com/profile_images/596509974005686273/AqBblwMR_normal.jpg" TargetMode="External"/><Relationship Id="rId3354" Type="http://schemas.openxmlformats.org/officeDocument/2006/relationships/hyperlink" Target="https://pbs.twimg.com/profile_images/604060333590855682/Fk6r1D7d_normal.jpg" TargetMode="External"/><Relationship Id="rId4685" Type="http://schemas.openxmlformats.org/officeDocument/2006/relationships/hyperlink" Target="https://twitter.com/jaheppler" TargetMode="External"/><Relationship Id="rId101" Type="http://schemas.openxmlformats.org/officeDocument/2006/relationships/hyperlink" Target="https://twitter.com/aglassofhistory/status/705206609614643201" TargetMode="External"/><Relationship Id="rId2025" Type="http://schemas.openxmlformats.org/officeDocument/2006/relationships/hyperlink" Target="https://twitter.com/JulieThePH" TargetMode="External"/><Relationship Id="rId3357" Type="http://schemas.openxmlformats.org/officeDocument/2006/relationships/hyperlink" Target="https://pbs.twimg.com/profile_images/704873222802636800/7aFEMOY5_normal.jpg" TargetMode="External"/><Relationship Id="rId4688" Type="http://schemas.openxmlformats.org/officeDocument/2006/relationships/hyperlink" Target="https://twitter.com/j3foley" TargetMode="External"/><Relationship Id="rId100" Type="http://schemas.openxmlformats.org/officeDocument/2006/relationships/hyperlink" Target="https://twitter.com/aglassofhistory" TargetMode="External"/><Relationship Id="rId2026" Type="http://schemas.openxmlformats.org/officeDocument/2006/relationships/hyperlink" Target="https://twitter.com/JulieThePH/status/705922018412199936" TargetMode="External"/><Relationship Id="rId3356" Type="http://schemas.openxmlformats.org/officeDocument/2006/relationships/hyperlink" Target="https://twitter.com/pastpunditry/status/705934967012990976" TargetMode="External"/><Relationship Id="rId4687" Type="http://schemas.openxmlformats.org/officeDocument/2006/relationships/hyperlink" Target="https://pbs.twimg.com/profile_images/436607137188290560/UM-U3wT1_normal.jpeg" TargetMode="External"/><Relationship Id="rId2016" Type="http://schemas.openxmlformats.org/officeDocument/2006/relationships/hyperlink" Target="https://twitter.com/historycampaign" TargetMode="External"/><Relationship Id="rId3348" Type="http://schemas.openxmlformats.org/officeDocument/2006/relationships/hyperlink" Target="https://pbs.twimg.com/profile_images/702272676837068800/xO5D7apz_normal.jpg" TargetMode="External"/><Relationship Id="rId4679" Type="http://schemas.openxmlformats.org/officeDocument/2006/relationships/hyperlink" Target="https://twitter.com/juliegpeterson" TargetMode="External"/><Relationship Id="rId2017" Type="http://schemas.openxmlformats.org/officeDocument/2006/relationships/hyperlink" Target="https://twitter.com/historycampaign/status/705921914020057088" TargetMode="External"/><Relationship Id="rId3347" Type="http://schemas.openxmlformats.org/officeDocument/2006/relationships/hyperlink" Target="https://twitter.com/MedeaCulpa/status/705934934175838213" TargetMode="External"/><Relationship Id="rId4678" Type="http://schemas.openxmlformats.org/officeDocument/2006/relationships/hyperlink" Target="https://pbs.twimg.com/profile_images/700317732588408832/Ym_-neUi_normal.jpg" TargetMode="External"/><Relationship Id="rId2018" Type="http://schemas.openxmlformats.org/officeDocument/2006/relationships/hyperlink" Target="https://pbs.twimg.com/profile_images/673691030139609088/8v7ab61D_normal.jpg" TargetMode="External"/><Relationship Id="rId2019" Type="http://schemas.openxmlformats.org/officeDocument/2006/relationships/hyperlink" Target="https://twitter.com/aglassofhistory" TargetMode="External"/><Relationship Id="rId3349" Type="http://schemas.openxmlformats.org/officeDocument/2006/relationships/hyperlink" Target="https://twitter.com/Red_Shirt_no2" TargetMode="External"/><Relationship Id="rId3340" Type="http://schemas.openxmlformats.org/officeDocument/2006/relationships/hyperlink" Target="https://twitter.com/GHAUmass" TargetMode="External"/><Relationship Id="rId4671" Type="http://schemas.openxmlformats.org/officeDocument/2006/relationships/hyperlink" Target="https://twitter.com/pastpunditry/status/706185713507803136" TargetMode="External"/><Relationship Id="rId4670" Type="http://schemas.openxmlformats.org/officeDocument/2006/relationships/hyperlink" Target="https://twitter.com/pastpunditry" TargetMode="External"/><Relationship Id="rId2010" Type="http://schemas.openxmlformats.org/officeDocument/2006/relationships/hyperlink" Target="https://twitter.com/rebekkahrubin" TargetMode="External"/><Relationship Id="rId3342" Type="http://schemas.openxmlformats.org/officeDocument/2006/relationships/hyperlink" Target="https://pbs.twimg.com/profile_images/604060333590855682/Fk6r1D7d_normal.jpg" TargetMode="External"/><Relationship Id="rId4673" Type="http://schemas.openxmlformats.org/officeDocument/2006/relationships/hyperlink" Target="https://twitter.com/juliegpeterson" TargetMode="External"/><Relationship Id="rId2011" Type="http://schemas.openxmlformats.org/officeDocument/2006/relationships/hyperlink" Target="https://twitter.com/rebekkahrubin/status/705921879471742977" TargetMode="External"/><Relationship Id="rId3341" Type="http://schemas.openxmlformats.org/officeDocument/2006/relationships/hyperlink" Target="https://twitter.com/GHAUmass/status/705934757746614273" TargetMode="External"/><Relationship Id="rId4672" Type="http://schemas.openxmlformats.org/officeDocument/2006/relationships/hyperlink" Target="https://pbs.twimg.com/profile_images/704873222802636800/7aFEMOY5_normal.jpg" TargetMode="External"/><Relationship Id="rId2012" Type="http://schemas.openxmlformats.org/officeDocument/2006/relationships/hyperlink" Target="https://pbs.twimg.com/profile_images/700317732588408832/Ym_-neUi_normal.jpg" TargetMode="External"/><Relationship Id="rId3344" Type="http://schemas.openxmlformats.org/officeDocument/2006/relationships/hyperlink" Target="https://twitter.com/MedeaCulpa/status/705934878936842246" TargetMode="External"/><Relationship Id="rId4675" Type="http://schemas.openxmlformats.org/officeDocument/2006/relationships/hyperlink" Target="https://pbs.twimg.com/profile_images/609765839051452416/GNW0wSt0_normal.jpg" TargetMode="External"/><Relationship Id="rId2013" Type="http://schemas.openxmlformats.org/officeDocument/2006/relationships/hyperlink" Target="https://twitter.com/fefenifi" TargetMode="External"/><Relationship Id="rId3343" Type="http://schemas.openxmlformats.org/officeDocument/2006/relationships/hyperlink" Target="https://twitter.com/MedeaCulpa" TargetMode="External"/><Relationship Id="rId4674" Type="http://schemas.openxmlformats.org/officeDocument/2006/relationships/hyperlink" Target="https://twitter.com/juliegpeterson/status/706185761033424896" TargetMode="External"/><Relationship Id="rId2014" Type="http://schemas.openxmlformats.org/officeDocument/2006/relationships/hyperlink" Target="https://twitter.com/fefenifi/status/705921896861327360" TargetMode="External"/><Relationship Id="rId3346" Type="http://schemas.openxmlformats.org/officeDocument/2006/relationships/hyperlink" Target="https://twitter.com/MedeaCulpa" TargetMode="External"/><Relationship Id="rId4677" Type="http://schemas.openxmlformats.org/officeDocument/2006/relationships/hyperlink" Target="https://twitter.com/rebekkahrubin/status/706185778334986242" TargetMode="External"/><Relationship Id="rId2015" Type="http://schemas.openxmlformats.org/officeDocument/2006/relationships/hyperlink" Target="https://pbs.twimg.com/profile_images/678387998577135616/E7-0NNJV_normal.jpg" TargetMode="External"/><Relationship Id="rId3345" Type="http://schemas.openxmlformats.org/officeDocument/2006/relationships/hyperlink" Target="https://pbs.twimg.com/profile_images/702272676837068800/xO5D7apz_normal.jpg" TargetMode="External"/><Relationship Id="rId4676" Type="http://schemas.openxmlformats.org/officeDocument/2006/relationships/hyperlink" Target="https://twitter.com/rebekkahrubin" TargetMode="External"/><Relationship Id="rId2049" Type="http://schemas.openxmlformats.org/officeDocument/2006/relationships/hyperlink" Target="https://twitter.com/magmidd" TargetMode="External"/><Relationship Id="rId129" Type="http://schemas.openxmlformats.org/officeDocument/2006/relationships/hyperlink" Target="https://pbs.twimg.com/profile_images/2090305941/Fea_speaking_normal.jpg" TargetMode="External"/><Relationship Id="rId128" Type="http://schemas.openxmlformats.org/officeDocument/2006/relationships/hyperlink" Target="https://twitter.com/JohnFea1/status/705411686061252608" TargetMode="External"/><Relationship Id="rId127" Type="http://schemas.openxmlformats.org/officeDocument/2006/relationships/hyperlink" Target="https://twitter.com/JohnFea1" TargetMode="External"/><Relationship Id="rId126" Type="http://schemas.openxmlformats.org/officeDocument/2006/relationships/hyperlink" Target="https://pbs.twimg.com/profile_images/676362182020481024/P0kyLli1_normal.jpg" TargetMode="External"/><Relationship Id="rId3371" Type="http://schemas.openxmlformats.org/officeDocument/2006/relationships/hyperlink" Target="https://twitter.com/pastpunditry/status/705935217345826816" TargetMode="External"/><Relationship Id="rId2040" Type="http://schemas.openxmlformats.org/officeDocument/2006/relationships/hyperlink" Target="https://twitter.com/erfagen" TargetMode="External"/><Relationship Id="rId3370" Type="http://schemas.openxmlformats.org/officeDocument/2006/relationships/hyperlink" Target="https://twitter.com/pastpunditry" TargetMode="External"/><Relationship Id="rId121" Type="http://schemas.openxmlformats.org/officeDocument/2006/relationships/hyperlink" Target="https://twitter.com/UMassHistory" TargetMode="External"/><Relationship Id="rId2041" Type="http://schemas.openxmlformats.org/officeDocument/2006/relationships/hyperlink" Target="https://twitter.com/erfagen/status/705922078428545025" TargetMode="External"/><Relationship Id="rId3373" Type="http://schemas.openxmlformats.org/officeDocument/2006/relationships/hyperlink" Target="https://twitter.com/pastpunditry" TargetMode="External"/><Relationship Id="rId120" Type="http://schemas.openxmlformats.org/officeDocument/2006/relationships/hyperlink" Target="https://pbs.twimg.com/profile_images/531574951107518465/AvUhkliP_normal.jpeg" TargetMode="External"/><Relationship Id="rId2042" Type="http://schemas.openxmlformats.org/officeDocument/2006/relationships/hyperlink" Target="https://pbs.twimg.com/profile_images/638086945722249217/mid_S_BQ_normal.jpg" TargetMode="External"/><Relationship Id="rId3372" Type="http://schemas.openxmlformats.org/officeDocument/2006/relationships/hyperlink" Target="https://pbs.twimg.com/profile_images/704873222802636800/7aFEMOY5_normal.jpg" TargetMode="External"/><Relationship Id="rId2043" Type="http://schemas.openxmlformats.org/officeDocument/2006/relationships/hyperlink" Target="https://twitter.com/Boston1775" TargetMode="External"/><Relationship Id="rId3375" Type="http://schemas.openxmlformats.org/officeDocument/2006/relationships/hyperlink" Target="https://pbs.twimg.com/profile_images/704873222802636800/7aFEMOY5_normal.jpg" TargetMode="External"/><Relationship Id="rId2044" Type="http://schemas.openxmlformats.org/officeDocument/2006/relationships/hyperlink" Target="https://twitter.com/Boston1775/status/705922082698371072" TargetMode="External"/><Relationship Id="rId3374" Type="http://schemas.openxmlformats.org/officeDocument/2006/relationships/hyperlink" Target="https://twitter.com/pastpunditry/status/705935236593553408" TargetMode="External"/><Relationship Id="rId125" Type="http://schemas.openxmlformats.org/officeDocument/2006/relationships/hyperlink" Target="https://twitter.com/mille24c/status/705406981519986688" TargetMode="External"/><Relationship Id="rId2045" Type="http://schemas.openxmlformats.org/officeDocument/2006/relationships/hyperlink" Target="https://pbs.twimg.com/profile_images/361505483/Henry_Pelham_thumbnail_normal.jpg" TargetMode="External"/><Relationship Id="rId3377" Type="http://schemas.openxmlformats.org/officeDocument/2006/relationships/hyperlink" Target="https://twitter.com/allisonhorrocks/status/705935269040680960" TargetMode="External"/><Relationship Id="rId124" Type="http://schemas.openxmlformats.org/officeDocument/2006/relationships/hyperlink" Target="https://twitter.com/mille24c" TargetMode="External"/><Relationship Id="rId2046" Type="http://schemas.openxmlformats.org/officeDocument/2006/relationships/hyperlink" Target="https://twitter.com/GHAUmass" TargetMode="External"/><Relationship Id="rId3376" Type="http://schemas.openxmlformats.org/officeDocument/2006/relationships/hyperlink" Target="https://twitter.com/allisonhorrocks" TargetMode="External"/><Relationship Id="rId123" Type="http://schemas.openxmlformats.org/officeDocument/2006/relationships/hyperlink" Target="https://pbs.twimg.com/profile_images/3586356040/2875fe2e13ecc978a7c19bbf515b7847_normal.png" TargetMode="External"/><Relationship Id="rId2047" Type="http://schemas.openxmlformats.org/officeDocument/2006/relationships/hyperlink" Target="https://twitter.com/GHAUmass/status/705922115648819200" TargetMode="External"/><Relationship Id="rId3379" Type="http://schemas.openxmlformats.org/officeDocument/2006/relationships/hyperlink" Target="https://twitter.com/pastpunditry" TargetMode="External"/><Relationship Id="rId122" Type="http://schemas.openxmlformats.org/officeDocument/2006/relationships/hyperlink" Target="https://twitter.com/UMassHistory/status/705405715146530817" TargetMode="External"/><Relationship Id="rId2048" Type="http://schemas.openxmlformats.org/officeDocument/2006/relationships/hyperlink" Target="https://pbs.twimg.com/profile_images/604060333590855682/Fk6r1D7d_normal.jpg" TargetMode="External"/><Relationship Id="rId3378" Type="http://schemas.openxmlformats.org/officeDocument/2006/relationships/hyperlink" Target="https://pbs.twimg.com/profile_images/562279222522032128/-phaZgxO_normal.jpeg" TargetMode="External"/><Relationship Id="rId2038" Type="http://schemas.openxmlformats.org/officeDocument/2006/relationships/hyperlink" Target="https://twitter.com/GHAUmass/status/705922069112987649" TargetMode="External"/><Relationship Id="rId2039" Type="http://schemas.openxmlformats.org/officeDocument/2006/relationships/hyperlink" Target="https://pbs.twimg.com/profile_images/604060333590855682/Fk6r1D7d_normal.jpg" TargetMode="External"/><Relationship Id="rId3369" Type="http://schemas.openxmlformats.org/officeDocument/2006/relationships/hyperlink" Target="https://pbs.twimg.com/profile_images/638086945722249217/mid_S_BQ_normal.jpg" TargetMode="External"/><Relationship Id="rId118" Type="http://schemas.openxmlformats.org/officeDocument/2006/relationships/hyperlink" Target="https://twitter.com/JasonSteinhauer" TargetMode="External"/><Relationship Id="rId117" Type="http://schemas.openxmlformats.org/officeDocument/2006/relationships/hyperlink" Target="https://pbs.twimg.com/profile_images/517062733356072960/hG0_iqgV_normal.jpeg" TargetMode="External"/><Relationship Id="rId116" Type="http://schemas.openxmlformats.org/officeDocument/2006/relationships/hyperlink" Target="https://twitter.com/MichaelBoynton2/status/705214532365324289" TargetMode="External"/><Relationship Id="rId115" Type="http://schemas.openxmlformats.org/officeDocument/2006/relationships/hyperlink" Target="https://twitter.com/MichaelBoynton2" TargetMode="External"/><Relationship Id="rId3360" Type="http://schemas.openxmlformats.org/officeDocument/2006/relationships/hyperlink" Target="https://pbs.twimg.com/profile_images/704873222802636800/7aFEMOY5_normal.jpg" TargetMode="External"/><Relationship Id="rId4691" Type="http://schemas.openxmlformats.org/officeDocument/2006/relationships/hyperlink" Target="https://twitter.com/samueljredman" TargetMode="External"/><Relationship Id="rId119" Type="http://schemas.openxmlformats.org/officeDocument/2006/relationships/hyperlink" Target="https://twitter.com/JasonSteinhauer/status/705219177032900609" TargetMode="External"/><Relationship Id="rId4690" Type="http://schemas.openxmlformats.org/officeDocument/2006/relationships/hyperlink" Target="https://pbs.twimg.com/profile_images/627686554861834241/UcDo7crN_normal.jpg" TargetMode="External"/><Relationship Id="rId110" Type="http://schemas.openxmlformats.org/officeDocument/2006/relationships/hyperlink" Target="https://twitter.com/allisonhorrocks/status/705213908689281029" TargetMode="External"/><Relationship Id="rId2030" Type="http://schemas.openxmlformats.org/officeDocument/2006/relationships/hyperlink" Target="https://pbs.twimg.com/profile_images/661220280564486144/ZxUrdRVS_normal.jpg" TargetMode="External"/><Relationship Id="rId3362" Type="http://schemas.openxmlformats.org/officeDocument/2006/relationships/hyperlink" Target="https://twitter.com/GHAUmass/status/705935012332441600" TargetMode="External"/><Relationship Id="rId4693" Type="http://schemas.openxmlformats.org/officeDocument/2006/relationships/hyperlink" Target="https://pbs.twimg.com/profile_images/548193870278688768/8Dq7gW3U_normal.png" TargetMode="External"/><Relationship Id="rId2031" Type="http://schemas.openxmlformats.org/officeDocument/2006/relationships/hyperlink" Target="https://twitter.com/juliegpeterson" TargetMode="External"/><Relationship Id="rId3361" Type="http://schemas.openxmlformats.org/officeDocument/2006/relationships/hyperlink" Target="https://twitter.com/GHAUmass" TargetMode="External"/><Relationship Id="rId4692" Type="http://schemas.openxmlformats.org/officeDocument/2006/relationships/hyperlink" Target="https://twitter.com/samueljredman/status/706186086704402433" TargetMode="External"/><Relationship Id="rId2032" Type="http://schemas.openxmlformats.org/officeDocument/2006/relationships/hyperlink" Target="https://twitter.com/juliegpeterson/status/705922046845386752" TargetMode="External"/><Relationship Id="rId3364" Type="http://schemas.openxmlformats.org/officeDocument/2006/relationships/hyperlink" Target="https://twitter.com/juliegpeterson" TargetMode="External"/><Relationship Id="rId4695" Type="http://schemas.openxmlformats.org/officeDocument/2006/relationships/hyperlink" Target="https://twitter.com/cherylharned/status/706186138394951681" TargetMode="External"/><Relationship Id="rId2033" Type="http://schemas.openxmlformats.org/officeDocument/2006/relationships/hyperlink" Target="https://pbs.twimg.com/profile_images/609765839051452416/GNW0wSt0_normal.jpg" TargetMode="External"/><Relationship Id="rId3363" Type="http://schemas.openxmlformats.org/officeDocument/2006/relationships/hyperlink" Target="https://pbs.twimg.com/profile_images/604060333590855682/Fk6r1D7d_normal.jpg" TargetMode="External"/><Relationship Id="rId4694" Type="http://schemas.openxmlformats.org/officeDocument/2006/relationships/hyperlink" Target="https://twitter.com/cherylharned" TargetMode="External"/><Relationship Id="rId114" Type="http://schemas.openxmlformats.org/officeDocument/2006/relationships/hyperlink" Target="https://pbs.twimg.com/profile_images/531574951107518465/AvUhkliP_normal.jpeg" TargetMode="External"/><Relationship Id="rId2034" Type="http://schemas.openxmlformats.org/officeDocument/2006/relationships/hyperlink" Target="https://twitter.com/CitizenWald" TargetMode="External"/><Relationship Id="rId3366" Type="http://schemas.openxmlformats.org/officeDocument/2006/relationships/hyperlink" Target="https://pbs.twimg.com/profile_images/609765839051452416/GNW0wSt0_normal.jpg" TargetMode="External"/><Relationship Id="rId4697" Type="http://schemas.openxmlformats.org/officeDocument/2006/relationships/hyperlink" Target="https://twitter.com/jaheppler" TargetMode="External"/><Relationship Id="rId113" Type="http://schemas.openxmlformats.org/officeDocument/2006/relationships/hyperlink" Target="https://twitter.com/JasonSteinhauer/status/705214346960486400" TargetMode="External"/><Relationship Id="rId2035" Type="http://schemas.openxmlformats.org/officeDocument/2006/relationships/hyperlink" Target="https://twitter.com/CitizenWald/status/705922060254584832" TargetMode="External"/><Relationship Id="rId3365" Type="http://schemas.openxmlformats.org/officeDocument/2006/relationships/hyperlink" Target="https://twitter.com/juliegpeterson/status/705935125482237952" TargetMode="External"/><Relationship Id="rId4696" Type="http://schemas.openxmlformats.org/officeDocument/2006/relationships/hyperlink" Target="https://pbs.twimg.com/profile_images/535167858204893184/DNz9ruRN_normal.jpeg" TargetMode="External"/><Relationship Id="rId112" Type="http://schemas.openxmlformats.org/officeDocument/2006/relationships/hyperlink" Target="https://twitter.com/JasonSteinhauer" TargetMode="External"/><Relationship Id="rId2036" Type="http://schemas.openxmlformats.org/officeDocument/2006/relationships/hyperlink" Target="https://pbs.twimg.com/profile_images/661220280564486144/ZxUrdRVS_normal.jpg" TargetMode="External"/><Relationship Id="rId3368" Type="http://schemas.openxmlformats.org/officeDocument/2006/relationships/hyperlink" Target="https://twitter.com/erfagen/status/705935129378725888" TargetMode="External"/><Relationship Id="rId4699" Type="http://schemas.openxmlformats.org/officeDocument/2006/relationships/hyperlink" Target="https://pbs.twimg.com/profile_images/436607137188290560/UM-U3wT1_normal.jpeg" TargetMode="External"/><Relationship Id="rId111" Type="http://schemas.openxmlformats.org/officeDocument/2006/relationships/hyperlink" Target="https://pbs.twimg.com/profile_images/562279222522032128/-phaZgxO_normal.jpeg" TargetMode="External"/><Relationship Id="rId2037" Type="http://schemas.openxmlformats.org/officeDocument/2006/relationships/hyperlink" Target="https://twitter.com/GHAUmass" TargetMode="External"/><Relationship Id="rId3367" Type="http://schemas.openxmlformats.org/officeDocument/2006/relationships/hyperlink" Target="https://twitter.com/erfagen" TargetMode="External"/><Relationship Id="rId4698" Type="http://schemas.openxmlformats.org/officeDocument/2006/relationships/hyperlink" Target="https://twitter.com/jaheppler/status/706186177120829440" TargetMode="External"/><Relationship Id="rId3315" Type="http://schemas.openxmlformats.org/officeDocument/2006/relationships/hyperlink" Target="https://pbs.twimg.com/profile_images/2581279829/fortrensselaer_normal.jpg" TargetMode="External"/><Relationship Id="rId4646" Type="http://schemas.openxmlformats.org/officeDocument/2006/relationships/hyperlink" Target="https://twitter.com/pastpunditry" TargetMode="External"/><Relationship Id="rId3314" Type="http://schemas.openxmlformats.org/officeDocument/2006/relationships/hyperlink" Target="https://twitter.com/FortPlainMuseum/status/705934376987705344" TargetMode="External"/><Relationship Id="rId4645" Type="http://schemas.openxmlformats.org/officeDocument/2006/relationships/hyperlink" Target="https://pbs.twimg.com/profile_images/704873222802636800/7aFEMOY5_normal.jpg" TargetMode="External"/><Relationship Id="rId3317" Type="http://schemas.openxmlformats.org/officeDocument/2006/relationships/hyperlink" Target="https://twitter.com/historycampaign/status/705934379931947008" TargetMode="External"/><Relationship Id="rId4648" Type="http://schemas.openxmlformats.org/officeDocument/2006/relationships/hyperlink" Target="https://pbs.twimg.com/profile_images/704873222802636800/7aFEMOY5_normal.jpg" TargetMode="External"/><Relationship Id="rId3316" Type="http://schemas.openxmlformats.org/officeDocument/2006/relationships/hyperlink" Target="https://twitter.com/historycampaign" TargetMode="External"/><Relationship Id="rId4647" Type="http://schemas.openxmlformats.org/officeDocument/2006/relationships/hyperlink" Target="https://twitter.com/pastpunditry/status/706183976952733696" TargetMode="External"/><Relationship Id="rId3319" Type="http://schemas.openxmlformats.org/officeDocument/2006/relationships/hyperlink" Target="https://twitter.com/AmeliaTGrabow" TargetMode="External"/><Relationship Id="rId3318" Type="http://schemas.openxmlformats.org/officeDocument/2006/relationships/hyperlink" Target="https://pbs.twimg.com/profile_images/673691030139609088/8v7ab61D_normal.jpg" TargetMode="External"/><Relationship Id="rId4649" Type="http://schemas.openxmlformats.org/officeDocument/2006/relationships/hyperlink" Target="https://twitter.com/juliegpeterson" TargetMode="External"/><Relationship Id="rId4640" Type="http://schemas.openxmlformats.org/officeDocument/2006/relationships/hyperlink" Target="https://twitter.com/pastpunditry" TargetMode="External"/><Relationship Id="rId3311" Type="http://schemas.openxmlformats.org/officeDocument/2006/relationships/hyperlink" Target="https://twitter.com/GHAUmass/status/705934362232102913" TargetMode="External"/><Relationship Id="rId4642" Type="http://schemas.openxmlformats.org/officeDocument/2006/relationships/hyperlink" Target="https://pbs.twimg.com/profile_images/704873222802636800/7aFEMOY5_normal.jpg" TargetMode="External"/><Relationship Id="rId3310" Type="http://schemas.openxmlformats.org/officeDocument/2006/relationships/hyperlink" Target="https://twitter.com/GHAUmass" TargetMode="External"/><Relationship Id="rId4641" Type="http://schemas.openxmlformats.org/officeDocument/2006/relationships/hyperlink" Target="https://twitter.com/pastpunditry/status/706183163136110592" TargetMode="External"/><Relationship Id="rId3313" Type="http://schemas.openxmlformats.org/officeDocument/2006/relationships/hyperlink" Target="https://twitter.com/FortPlainMuseum" TargetMode="External"/><Relationship Id="rId4644" Type="http://schemas.openxmlformats.org/officeDocument/2006/relationships/hyperlink" Target="https://twitter.com/pastpunditry/status/706183181255503874" TargetMode="External"/><Relationship Id="rId3312" Type="http://schemas.openxmlformats.org/officeDocument/2006/relationships/hyperlink" Target="https://pbs.twimg.com/profile_images/604060333590855682/Fk6r1D7d_normal.jpg" TargetMode="External"/><Relationship Id="rId4643" Type="http://schemas.openxmlformats.org/officeDocument/2006/relationships/hyperlink" Target="https://twitter.com/pastpunditry" TargetMode="External"/><Relationship Id="rId3304" Type="http://schemas.openxmlformats.org/officeDocument/2006/relationships/hyperlink" Target="https://twitter.com/pastpunditry" TargetMode="External"/><Relationship Id="rId4635" Type="http://schemas.openxmlformats.org/officeDocument/2006/relationships/hyperlink" Target="https://twitter.com/pastpunditry/status/706183141556396033" TargetMode="External"/><Relationship Id="rId3303" Type="http://schemas.openxmlformats.org/officeDocument/2006/relationships/hyperlink" Target="https://pbs.twimg.com/profile_images/604060333590855682/Fk6r1D7d_normal.jpg" TargetMode="External"/><Relationship Id="rId4634" Type="http://schemas.openxmlformats.org/officeDocument/2006/relationships/hyperlink" Target="https://twitter.com/pastpunditry" TargetMode="External"/><Relationship Id="rId3306" Type="http://schemas.openxmlformats.org/officeDocument/2006/relationships/hyperlink" Target="https://pbs.twimg.com/profile_images/704873222802636800/7aFEMOY5_normal.jpg" TargetMode="External"/><Relationship Id="rId4637" Type="http://schemas.openxmlformats.org/officeDocument/2006/relationships/hyperlink" Target="https://twitter.com/wes_wade" TargetMode="External"/><Relationship Id="rId3305" Type="http://schemas.openxmlformats.org/officeDocument/2006/relationships/hyperlink" Target="https://twitter.com/pastpunditry/status/705934305642549248" TargetMode="External"/><Relationship Id="rId4636" Type="http://schemas.openxmlformats.org/officeDocument/2006/relationships/hyperlink" Target="https://pbs.twimg.com/profile_images/704873222802636800/7aFEMOY5_normal.jpg" TargetMode="External"/><Relationship Id="rId3308" Type="http://schemas.openxmlformats.org/officeDocument/2006/relationships/hyperlink" Target="https://twitter.com/GHAUmass/status/705934323829121025" TargetMode="External"/><Relationship Id="rId4639" Type="http://schemas.openxmlformats.org/officeDocument/2006/relationships/hyperlink" Target="https://pbs.twimg.com/profile_images/667579062597066752/FcPS-MQX_normal.jpg" TargetMode="External"/><Relationship Id="rId3307" Type="http://schemas.openxmlformats.org/officeDocument/2006/relationships/hyperlink" Target="https://twitter.com/GHAUmass" TargetMode="External"/><Relationship Id="rId4638" Type="http://schemas.openxmlformats.org/officeDocument/2006/relationships/hyperlink" Target="https://twitter.com/wes_wade/status/706183147315191808" TargetMode="External"/><Relationship Id="rId3309" Type="http://schemas.openxmlformats.org/officeDocument/2006/relationships/hyperlink" Target="https://pbs.twimg.com/profile_images/604060333590855682/Fk6r1D7d_normal.jpg" TargetMode="External"/><Relationship Id="rId3300" Type="http://schemas.openxmlformats.org/officeDocument/2006/relationships/hyperlink" Target="https://pbs.twimg.com/profile_images/604060333590855682/Fk6r1D7d_normal.jpg" TargetMode="External"/><Relationship Id="rId4631" Type="http://schemas.openxmlformats.org/officeDocument/2006/relationships/hyperlink" Target="https://twitter.com/pastpunditry" TargetMode="External"/><Relationship Id="rId4630" Type="http://schemas.openxmlformats.org/officeDocument/2006/relationships/hyperlink" Target="https://pbs.twimg.com/profile_images/3034769023/09adfcbebccfeef2a42e39aaac64ede5_normal.jpeg" TargetMode="External"/><Relationship Id="rId3302" Type="http://schemas.openxmlformats.org/officeDocument/2006/relationships/hyperlink" Target="https://twitter.com/GHAUmass/status/705934285677666304" TargetMode="External"/><Relationship Id="rId4633" Type="http://schemas.openxmlformats.org/officeDocument/2006/relationships/hyperlink" Target="https://pbs.twimg.com/profile_images/704873222802636800/7aFEMOY5_normal.jpg" TargetMode="External"/><Relationship Id="rId3301" Type="http://schemas.openxmlformats.org/officeDocument/2006/relationships/hyperlink" Target="https://twitter.com/GHAUmass" TargetMode="External"/><Relationship Id="rId4632" Type="http://schemas.openxmlformats.org/officeDocument/2006/relationships/hyperlink" Target="https://twitter.com/pastpunditry/status/706182959762706434" TargetMode="External"/><Relationship Id="rId2005" Type="http://schemas.openxmlformats.org/officeDocument/2006/relationships/hyperlink" Target="https://twitter.com/JimGrossmanAHA/status/705921650211078144" TargetMode="External"/><Relationship Id="rId3337" Type="http://schemas.openxmlformats.org/officeDocument/2006/relationships/hyperlink" Target="https://twitter.com/pastpunditry" TargetMode="External"/><Relationship Id="rId4668" Type="http://schemas.openxmlformats.org/officeDocument/2006/relationships/hyperlink" Target="https://twitter.com/JulieThePH/status/706185706075455489" TargetMode="External"/><Relationship Id="rId2006" Type="http://schemas.openxmlformats.org/officeDocument/2006/relationships/hyperlink" Target="https://pbs.twimg.com/profile_images/378800000667891782/44d7b181c077bf16ab07b242f7ad81b9_normal.png" TargetMode="External"/><Relationship Id="rId3336" Type="http://schemas.openxmlformats.org/officeDocument/2006/relationships/hyperlink" Target="https://pbs.twimg.com/profile_images/638086945722249217/mid_S_BQ_normal.jpg" TargetMode="External"/><Relationship Id="rId4667" Type="http://schemas.openxmlformats.org/officeDocument/2006/relationships/hyperlink" Target="https://twitter.com/JulieThePH" TargetMode="External"/><Relationship Id="rId2007" Type="http://schemas.openxmlformats.org/officeDocument/2006/relationships/hyperlink" Target="https://twitter.com/cameshascruggs" TargetMode="External"/><Relationship Id="rId3339" Type="http://schemas.openxmlformats.org/officeDocument/2006/relationships/hyperlink" Target="https://pbs.twimg.com/profile_images/704873222802636800/7aFEMOY5_normal.jpg" TargetMode="External"/><Relationship Id="rId2008" Type="http://schemas.openxmlformats.org/officeDocument/2006/relationships/hyperlink" Target="https://twitter.com/cameshascruggs/status/705921752552046592" TargetMode="External"/><Relationship Id="rId3338" Type="http://schemas.openxmlformats.org/officeDocument/2006/relationships/hyperlink" Target="https://twitter.com/pastpunditry/status/705934718626361344" TargetMode="External"/><Relationship Id="rId4669" Type="http://schemas.openxmlformats.org/officeDocument/2006/relationships/hyperlink" Target="https://pbs.twimg.com/profile_images/596509974005686273/AqBblwMR_normal.jpg" TargetMode="External"/><Relationship Id="rId2009" Type="http://schemas.openxmlformats.org/officeDocument/2006/relationships/hyperlink" Target="https://pbs.twimg.com/profile_images/187613030/me_in_panel_mode_normal.jpg" TargetMode="External"/><Relationship Id="rId4660" Type="http://schemas.openxmlformats.org/officeDocument/2006/relationships/hyperlink" Target="https://pbs.twimg.com/profile_images/704873222802636800/7aFEMOY5_normal.jpg" TargetMode="External"/><Relationship Id="rId3331" Type="http://schemas.openxmlformats.org/officeDocument/2006/relationships/hyperlink" Target="https://twitter.com/sheishistoric" TargetMode="External"/><Relationship Id="rId4662" Type="http://schemas.openxmlformats.org/officeDocument/2006/relationships/hyperlink" Target="https://twitter.com/pastpunditry/status/706185200770949121" TargetMode="External"/><Relationship Id="rId2000" Type="http://schemas.openxmlformats.org/officeDocument/2006/relationships/hyperlink" Target="https://pbs.twimg.com/profile_images/378800000450415007/82bcc7d0cab85e8d5920dbf5ded6715e_normal.jpeg" TargetMode="External"/><Relationship Id="rId3330" Type="http://schemas.openxmlformats.org/officeDocument/2006/relationships/hyperlink" Target="https://pbs.twimg.com/profile_images/700317732588408832/Ym_-neUi_normal.jpg" TargetMode="External"/><Relationship Id="rId4661" Type="http://schemas.openxmlformats.org/officeDocument/2006/relationships/hyperlink" Target="https://twitter.com/pastpunditry" TargetMode="External"/><Relationship Id="rId2001" Type="http://schemas.openxmlformats.org/officeDocument/2006/relationships/hyperlink" Target="https://twitter.com/sheishistoric" TargetMode="External"/><Relationship Id="rId3333" Type="http://schemas.openxmlformats.org/officeDocument/2006/relationships/hyperlink" Target="https://pbs.twimg.com/profile_images/650419150620377089/bJxBf---_normal.jpg" TargetMode="External"/><Relationship Id="rId4664" Type="http://schemas.openxmlformats.org/officeDocument/2006/relationships/hyperlink" Target="https://twitter.com/pastpunditry" TargetMode="External"/><Relationship Id="rId2002" Type="http://schemas.openxmlformats.org/officeDocument/2006/relationships/hyperlink" Target="https://twitter.com/sheishistoric/status/705921638026575872" TargetMode="External"/><Relationship Id="rId3332" Type="http://schemas.openxmlformats.org/officeDocument/2006/relationships/hyperlink" Target="https://twitter.com/sheishistoric/status/705934632445992961" TargetMode="External"/><Relationship Id="rId4663" Type="http://schemas.openxmlformats.org/officeDocument/2006/relationships/hyperlink" Target="https://pbs.twimg.com/profile_images/704873222802636800/7aFEMOY5_normal.jpg" TargetMode="External"/><Relationship Id="rId2003" Type="http://schemas.openxmlformats.org/officeDocument/2006/relationships/hyperlink" Target="https://pbs.twimg.com/profile_images/650419150620377089/bJxBf---_normal.jpg" TargetMode="External"/><Relationship Id="rId3335" Type="http://schemas.openxmlformats.org/officeDocument/2006/relationships/hyperlink" Target="https://twitter.com/erfagen/status/705934641820213249" TargetMode="External"/><Relationship Id="rId4666" Type="http://schemas.openxmlformats.org/officeDocument/2006/relationships/hyperlink" Target="https://pbs.twimg.com/profile_images/704873222802636800/7aFEMOY5_normal.jpg" TargetMode="External"/><Relationship Id="rId2004" Type="http://schemas.openxmlformats.org/officeDocument/2006/relationships/hyperlink" Target="https://twitter.com/JimGrossmanAHA" TargetMode="External"/><Relationship Id="rId3334" Type="http://schemas.openxmlformats.org/officeDocument/2006/relationships/hyperlink" Target="https://twitter.com/erfagen" TargetMode="External"/><Relationship Id="rId4665" Type="http://schemas.openxmlformats.org/officeDocument/2006/relationships/hyperlink" Target="https://twitter.com/pastpunditry/status/706185482028322816" TargetMode="External"/><Relationship Id="rId3326" Type="http://schemas.openxmlformats.org/officeDocument/2006/relationships/hyperlink" Target="https://twitter.com/pastpunditry/status/705934473733545985" TargetMode="External"/><Relationship Id="rId4657" Type="http://schemas.openxmlformats.org/officeDocument/2006/relationships/hyperlink" Target="https://pbs.twimg.com/profile_images/704873222802636800/7aFEMOY5_normal.jpg" TargetMode="External"/><Relationship Id="rId3325" Type="http://schemas.openxmlformats.org/officeDocument/2006/relationships/hyperlink" Target="https://twitter.com/pastpunditry" TargetMode="External"/><Relationship Id="rId4656" Type="http://schemas.openxmlformats.org/officeDocument/2006/relationships/hyperlink" Target="https://twitter.com/pastpunditry/status/706184430168236032" TargetMode="External"/><Relationship Id="rId3328" Type="http://schemas.openxmlformats.org/officeDocument/2006/relationships/hyperlink" Target="https://twitter.com/rebekkahrubin" TargetMode="External"/><Relationship Id="rId4659" Type="http://schemas.openxmlformats.org/officeDocument/2006/relationships/hyperlink" Target="https://twitter.com/pastpunditry/status/706184789720743936" TargetMode="External"/><Relationship Id="rId3327" Type="http://schemas.openxmlformats.org/officeDocument/2006/relationships/hyperlink" Target="https://pbs.twimg.com/profile_images/704873222802636800/7aFEMOY5_normal.jpg" TargetMode="External"/><Relationship Id="rId4658" Type="http://schemas.openxmlformats.org/officeDocument/2006/relationships/hyperlink" Target="https://twitter.com/pastpunditry" TargetMode="External"/><Relationship Id="rId3329" Type="http://schemas.openxmlformats.org/officeDocument/2006/relationships/hyperlink" Target="https://twitter.com/rebekkahrubin/status/705934607435341824" TargetMode="External"/><Relationship Id="rId3320" Type="http://schemas.openxmlformats.org/officeDocument/2006/relationships/hyperlink" Target="https://twitter.com/AmeliaTGrabow/status/705934424500772867" TargetMode="External"/><Relationship Id="rId4651" Type="http://schemas.openxmlformats.org/officeDocument/2006/relationships/hyperlink" Target="https://pbs.twimg.com/profile_images/609765839051452416/GNW0wSt0_normal.jpg" TargetMode="External"/><Relationship Id="rId4650" Type="http://schemas.openxmlformats.org/officeDocument/2006/relationships/hyperlink" Target="https://twitter.com/juliegpeterson/status/706184260273774592" TargetMode="External"/><Relationship Id="rId3322" Type="http://schemas.openxmlformats.org/officeDocument/2006/relationships/hyperlink" Target="https://twitter.com/magmidd" TargetMode="External"/><Relationship Id="rId4653" Type="http://schemas.openxmlformats.org/officeDocument/2006/relationships/hyperlink" Target="https://twitter.com/pastpunditry/status/706184418063421441" TargetMode="External"/><Relationship Id="rId3321" Type="http://schemas.openxmlformats.org/officeDocument/2006/relationships/hyperlink" Target="https://pbs.twimg.com/profile_images/506963001551753216/49QXm-69_normal.jpeg" TargetMode="External"/><Relationship Id="rId4652" Type="http://schemas.openxmlformats.org/officeDocument/2006/relationships/hyperlink" Target="https://twitter.com/pastpunditry" TargetMode="External"/><Relationship Id="rId3324" Type="http://schemas.openxmlformats.org/officeDocument/2006/relationships/hyperlink" Target="https://pbs.twimg.com/profile_images/378800000450415007/82bcc7d0cab85e8d5920dbf5ded6715e_normal.jpeg" TargetMode="External"/><Relationship Id="rId4655" Type="http://schemas.openxmlformats.org/officeDocument/2006/relationships/hyperlink" Target="https://twitter.com/pastpunditry" TargetMode="External"/><Relationship Id="rId3323" Type="http://schemas.openxmlformats.org/officeDocument/2006/relationships/hyperlink" Target="https://twitter.com/magmidd/status/705934428342587392" TargetMode="External"/><Relationship Id="rId4654" Type="http://schemas.openxmlformats.org/officeDocument/2006/relationships/hyperlink" Target="https://pbs.twimg.com/profile_images/704873222802636800/7aFEMOY5_normal.jpg" TargetMode="External"/><Relationship Id="rId5130" Type="http://schemas.openxmlformats.org/officeDocument/2006/relationships/hyperlink" Target="https://twitter.com/mathhistory/status/706205379651379200" TargetMode="External"/><Relationship Id="rId5131" Type="http://schemas.openxmlformats.org/officeDocument/2006/relationships/hyperlink" Target="https://pbs.twimg.com/profile_images/3034769023/09adfcbebccfeef2a42e39aaac64ede5_normal.jpeg" TargetMode="External"/><Relationship Id="rId5134" Type="http://schemas.openxmlformats.org/officeDocument/2006/relationships/hyperlink" Target="https://pbs.twimg.com/profile_images/548193870278688768/8Dq7gW3U_normal.png" TargetMode="External"/><Relationship Id="rId5135" Type="http://schemas.openxmlformats.org/officeDocument/2006/relationships/hyperlink" Target="https://twitter.com/samueljredman" TargetMode="External"/><Relationship Id="rId5132" Type="http://schemas.openxmlformats.org/officeDocument/2006/relationships/hyperlink" Target="https://twitter.com/samueljredman" TargetMode="External"/><Relationship Id="rId5133" Type="http://schemas.openxmlformats.org/officeDocument/2006/relationships/hyperlink" Target="https://twitter.com/samueljredman/status/706206037951516672" TargetMode="External"/><Relationship Id="rId5138" Type="http://schemas.openxmlformats.org/officeDocument/2006/relationships/hyperlink" Target="https://twitter.com/samueljredman" TargetMode="External"/><Relationship Id="rId5139" Type="http://schemas.openxmlformats.org/officeDocument/2006/relationships/hyperlink" Target="https://twitter.com/samueljredman/status/706206136555462657" TargetMode="External"/><Relationship Id="rId5136" Type="http://schemas.openxmlformats.org/officeDocument/2006/relationships/hyperlink" Target="https://twitter.com/samueljredman/status/706206052786819072" TargetMode="External"/><Relationship Id="rId5137" Type="http://schemas.openxmlformats.org/officeDocument/2006/relationships/hyperlink" Target="https://pbs.twimg.com/profile_images/548193870278688768/8Dq7gW3U_normal.png" TargetMode="External"/><Relationship Id="rId5129" Type="http://schemas.openxmlformats.org/officeDocument/2006/relationships/hyperlink" Target="https://twitter.com/mathhistory" TargetMode="External"/><Relationship Id="rId2090" Type="http://schemas.openxmlformats.org/officeDocument/2006/relationships/hyperlink" Target="https://pbs.twimg.com/profile_images/596509974005686273/AqBblwMR_normal.jpg" TargetMode="External"/><Relationship Id="rId2091" Type="http://schemas.openxmlformats.org/officeDocument/2006/relationships/hyperlink" Target="https://twitter.com/GHAUmass" TargetMode="External"/><Relationship Id="rId2092" Type="http://schemas.openxmlformats.org/officeDocument/2006/relationships/hyperlink" Target="https://twitter.com/GHAUmass/status/705922486366502913" TargetMode="External"/><Relationship Id="rId2093" Type="http://schemas.openxmlformats.org/officeDocument/2006/relationships/hyperlink" Target="https://pbs.twimg.com/profile_images/604060333590855682/Fk6r1D7d_normal.jpg" TargetMode="External"/><Relationship Id="rId5120" Type="http://schemas.openxmlformats.org/officeDocument/2006/relationships/hyperlink" Target="https://twitter.com/mathhistory" TargetMode="External"/><Relationship Id="rId2094" Type="http://schemas.openxmlformats.org/officeDocument/2006/relationships/hyperlink" Target="https://twitter.com/GHAUmass" TargetMode="External"/><Relationship Id="rId2095" Type="http://schemas.openxmlformats.org/officeDocument/2006/relationships/hyperlink" Target="https://twitter.com/GHAUmass/status/705922516913676289" TargetMode="External"/><Relationship Id="rId2096" Type="http://schemas.openxmlformats.org/officeDocument/2006/relationships/hyperlink" Target="https://pbs.twimg.com/profile_images/604060333590855682/Fk6r1D7d_normal.jpg" TargetMode="External"/><Relationship Id="rId5123" Type="http://schemas.openxmlformats.org/officeDocument/2006/relationships/hyperlink" Target="https://twitter.com/cherylharned" TargetMode="External"/><Relationship Id="rId2097" Type="http://schemas.openxmlformats.org/officeDocument/2006/relationships/hyperlink" Target="https://twitter.com/GHAUmass" TargetMode="External"/><Relationship Id="rId5124" Type="http://schemas.openxmlformats.org/officeDocument/2006/relationships/hyperlink" Target="https://twitter.com/cherylharned/status/706204813533515782" TargetMode="External"/><Relationship Id="rId2098" Type="http://schemas.openxmlformats.org/officeDocument/2006/relationships/hyperlink" Target="https://twitter.com/GHAUmass/status/705922628708671488" TargetMode="External"/><Relationship Id="rId5121" Type="http://schemas.openxmlformats.org/officeDocument/2006/relationships/hyperlink" Target="https://twitter.com/mathhistory/status/706204496993636352" TargetMode="External"/><Relationship Id="rId2099" Type="http://schemas.openxmlformats.org/officeDocument/2006/relationships/hyperlink" Target="https://pbs.twimg.com/profile_images/604060333590855682/Fk6r1D7d_normal.jpg" TargetMode="External"/><Relationship Id="rId5122" Type="http://schemas.openxmlformats.org/officeDocument/2006/relationships/hyperlink" Target="https://pbs.twimg.com/profile_images/3034769023/09adfcbebccfeef2a42e39aaac64ede5_normal.jpeg" TargetMode="External"/><Relationship Id="rId5127" Type="http://schemas.openxmlformats.org/officeDocument/2006/relationships/hyperlink" Target="https://twitter.com/mathhistory/status/706204875168858112" TargetMode="External"/><Relationship Id="rId5128" Type="http://schemas.openxmlformats.org/officeDocument/2006/relationships/hyperlink" Target="https://pbs.twimg.com/profile_images/3034769023/09adfcbebccfeef2a42e39aaac64ede5_normal.jpeg" TargetMode="External"/><Relationship Id="rId5125" Type="http://schemas.openxmlformats.org/officeDocument/2006/relationships/hyperlink" Target="https://pbs.twimg.com/profile_images/535167858204893184/DNz9ruRN_normal.jpeg" TargetMode="External"/><Relationship Id="rId5126" Type="http://schemas.openxmlformats.org/officeDocument/2006/relationships/hyperlink" Target="https://twitter.com/mathhistory" TargetMode="External"/><Relationship Id="rId5152" Type="http://schemas.openxmlformats.org/officeDocument/2006/relationships/hyperlink" Target="https://pbs.twimg.com/profile_images/704873222802636800/7aFEMOY5_normal.jpg" TargetMode="External"/><Relationship Id="rId5153" Type="http://schemas.openxmlformats.org/officeDocument/2006/relationships/hyperlink" Target="https://twitter.com/GeitnerSimmons" TargetMode="External"/><Relationship Id="rId5150" Type="http://schemas.openxmlformats.org/officeDocument/2006/relationships/hyperlink" Target="https://twitter.com/pastpunditry" TargetMode="External"/><Relationship Id="rId5151" Type="http://schemas.openxmlformats.org/officeDocument/2006/relationships/hyperlink" Target="https://twitter.com/pastpunditry/status/706207207738712064" TargetMode="External"/><Relationship Id="rId5156" Type="http://schemas.openxmlformats.org/officeDocument/2006/relationships/hyperlink" Target="https://twitter.com/pastpunditry" TargetMode="External"/><Relationship Id="rId5157" Type="http://schemas.openxmlformats.org/officeDocument/2006/relationships/hyperlink" Target="https://twitter.com/pastpunditry/status/706207284142202880" TargetMode="External"/><Relationship Id="rId5154" Type="http://schemas.openxmlformats.org/officeDocument/2006/relationships/hyperlink" Target="https://twitter.com/GeitnerSimmons/status/706207239267184640" TargetMode="External"/><Relationship Id="rId5155" Type="http://schemas.openxmlformats.org/officeDocument/2006/relationships/hyperlink" Target="https://pbs.twimg.com/profile_images/622172103844888576/yu4EHWPc_normal.jpg" TargetMode="External"/><Relationship Id="rId5158" Type="http://schemas.openxmlformats.org/officeDocument/2006/relationships/hyperlink" Target="https://pbs.twimg.com/profile_images/704873222802636800/7aFEMOY5_normal.jpg" TargetMode="External"/><Relationship Id="rId5159" Type="http://schemas.openxmlformats.org/officeDocument/2006/relationships/hyperlink" Target="https://twitter.com/OriginalLizz" TargetMode="External"/><Relationship Id="rId5141" Type="http://schemas.openxmlformats.org/officeDocument/2006/relationships/hyperlink" Target="https://twitter.com/samueljredman" TargetMode="External"/><Relationship Id="rId5142" Type="http://schemas.openxmlformats.org/officeDocument/2006/relationships/hyperlink" Target="https://twitter.com/samueljredman/status/706206167085801475" TargetMode="External"/><Relationship Id="rId5140" Type="http://schemas.openxmlformats.org/officeDocument/2006/relationships/hyperlink" Target="https://pbs.twimg.com/profile_images/548193870278688768/8Dq7gW3U_normal.png" TargetMode="External"/><Relationship Id="rId5145" Type="http://schemas.openxmlformats.org/officeDocument/2006/relationships/hyperlink" Target="https://twitter.com/samueljredman/status/706206182009151488" TargetMode="External"/><Relationship Id="rId5146" Type="http://schemas.openxmlformats.org/officeDocument/2006/relationships/hyperlink" Target="https://pbs.twimg.com/profile_images/548193870278688768/8Dq7gW3U_normal.png" TargetMode="External"/><Relationship Id="rId5143" Type="http://schemas.openxmlformats.org/officeDocument/2006/relationships/hyperlink" Target="https://pbs.twimg.com/profile_images/548193870278688768/8Dq7gW3U_normal.png" TargetMode="External"/><Relationship Id="rId5144" Type="http://schemas.openxmlformats.org/officeDocument/2006/relationships/hyperlink" Target="https://twitter.com/samueljredman" TargetMode="External"/><Relationship Id="rId5149" Type="http://schemas.openxmlformats.org/officeDocument/2006/relationships/hyperlink" Target="https://pbs.twimg.com/profile_images/704873222802636800/7aFEMOY5_normal.jpg" TargetMode="External"/><Relationship Id="rId5147" Type="http://schemas.openxmlformats.org/officeDocument/2006/relationships/hyperlink" Target="https://twitter.com/pastpunditry" TargetMode="External"/><Relationship Id="rId5148" Type="http://schemas.openxmlformats.org/officeDocument/2006/relationships/hyperlink" Target="https://twitter.com/pastpunditry/status/706206786043252738" TargetMode="External"/><Relationship Id="rId3391" Type="http://schemas.openxmlformats.org/officeDocument/2006/relationships/hyperlink" Target="https://twitter.com/sheishistoric" TargetMode="External"/><Relationship Id="rId2060" Type="http://schemas.openxmlformats.org/officeDocument/2006/relationships/hyperlink" Target="https://pbs.twimg.com/profile_images/378800000667891782/44d7b181c077bf16ab07b242f7ad81b9_normal.png" TargetMode="External"/><Relationship Id="rId3390" Type="http://schemas.openxmlformats.org/officeDocument/2006/relationships/hyperlink" Target="https://pbs.twimg.com/profile_images/674233655779328000/QFONMQg9_normal.jpg" TargetMode="External"/><Relationship Id="rId2061" Type="http://schemas.openxmlformats.org/officeDocument/2006/relationships/hyperlink" Target="https://twitter.com/CitizenWald" TargetMode="External"/><Relationship Id="rId3393" Type="http://schemas.openxmlformats.org/officeDocument/2006/relationships/hyperlink" Target="https://pbs.twimg.com/profile_images/650419150620377089/bJxBf---_normal.jpg" TargetMode="External"/><Relationship Id="rId2062" Type="http://schemas.openxmlformats.org/officeDocument/2006/relationships/hyperlink" Target="https://twitter.com/CitizenWald/status/705922221815029761" TargetMode="External"/><Relationship Id="rId3392" Type="http://schemas.openxmlformats.org/officeDocument/2006/relationships/hyperlink" Target="https://twitter.com/sheishistoric/status/705935501463851008" TargetMode="External"/><Relationship Id="rId2063" Type="http://schemas.openxmlformats.org/officeDocument/2006/relationships/hyperlink" Target="https://pbs.twimg.com/profile_images/661220280564486144/ZxUrdRVS_normal.jpg" TargetMode="External"/><Relationship Id="rId3395" Type="http://schemas.openxmlformats.org/officeDocument/2006/relationships/hyperlink" Target="https://twitter.com/Red_Shirt_no2/status/705935514080305153" TargetMode="External"/><Relationship Id="rId2064" Type="http://schemas.openxmlformats.org/officeDocument/2006/relationships/hyperlink" Target="https://twitter.com/rebekkahrubin" TargetMode="External"/><Relationship Id="rId3394" Type="http://schemas.openxmlformats.org/officeDocument/2006/relationships/hyperlink" Target="https://twitter.com/Red_Shirt_no2" TargetMode="External"/><Relationship Id="rId2065" Type="http://schemas.openxmlformats.org/officeDocument/2006/relationships/hyperlink" Target="https://twitter.com/rebekkahrubin/status/705922252110503936" TargetMode="External"/><Relationship Id="rId3397" Type="http://schemas.openxmlformats.org/officeDocument/2006/relationships/hyperlink" Target="https://twitter.com/lizl_genealogy" TargetMode="External"/><Relationship Id="rId2066" Type="http://schemas.openxmlformats.org/officeDocument/2006/relationships/hyperlink" Target="https://pbs.twimg.com/profile_images/700317732588408832/Ym_-neUi_normal.jpg" TargetMode="External"/><Relationship Id="rId3396" Type="http://schemas.openxmlformats.org/officeDocument/2006/relationships/hyperlink" Target="https://pbs.twimg.com/profile_images/550495191849644032/qEniLfQu_normal.png" TargetMode="External"/><Relationship Id="rId2067" Type="http://schemas.openxmlformats.org/officeDocument/2006/relationships/hyperlink" Target="https://twitter.com/aglassofhistory" TargetMode="External"/><Relationship Id="rId3399" Type="http://schemas.openxmlformats.org/officeDocument/2006/relationships/hyperlink" Target="https://pbs.twimg.com/profile_images/2700002859/1f2d610ddaf1f03ac7d033dd83847b45_normal.jpeg" TargetMode="External"/><Relationship Id="rId2068" Type="http://schemas.openxmlformats.org/officeDocument/2006/relationships/hyperlink" Target="https://twitter.com/aglassofhistory/status/705922352782176256" TargetMode="External"/><Relationship Id="rId3398" Type="http://schemas.openxmlformats.org/officeDocument/2006/relationships/hyperlink" Target="https://twitter.com/lizl_genealogy/status/705935515887865856" TargetMode="External"/><Relationship Id="rId2069" Type="http://schemas.openxmlformats.org/officeDocument/2006/relationships/hyperlink" Target="https://pbs.twimg.com/profile_images/611592888816898048/cGMlIfmz_normal.jpg" TargetMode="External"/><Relationship Id="rId3380" Type="http://schemas.openxmlformats.org/officeDocument/2006/relationships/hyperlink" Target="https://twitter.com/pastpunditry/status/705935277525757952" TargetMode="External"/><Relationship Id="rId2050" Type="http://schemas.openxmlformats.org/officeDocument/2006/relationships/hyperlink" Target="https://twitter.com/magmidd/status/705922144346091520" TargetMode="External"/><Relationship Id="rId3382" Type="http://schemas.openxmlformats.org/officeDocument/2006/relationships/hyperlink" Target="https://twitter.com/bac4077" TargetMode="External"/><Relationship Id="rId2051" Type="http://schemas.openxmlformats.org/officeDocument/2006/relationships/hyperlink" Target="https://pbs.twimg.com/profile_images/378800000450415007/82bcc7d0cab85e8d5920dbf5ded6715e_normal.jpeg" TargetMode="External"/><Relationship Id="rId3381" Type="http://schemas.openxmlformats.org/officeDocument/2006/relationships/hyperlink" Target="https://pbs.twimg.com/profile_images/704873222802636800/7aFEMOY5_normal.jpg" TargetMode="External"/><Relationship Id="rId2052" Type="http://schemas.openxmlformats.org/officeDocument/2006/relationships/hyperlink" Target="https://twitter.com/GHAUmass" TargetMode="External"/><Relationship Id="rId3384" Type="http://schemas.openxmlformats.org/officeDocument/2006/relationships/hyperlink" Target="https://pbs.twimg.com/profile_images/341355291/bac2_normal.jpg" TargetMode="External"/><Relationship Id="rId2053" Type="http://schemas.openxmlformats.org/officeDocument/2006/relationships/hyperlink" Target="https://twitter.com/GHAUmass/status/705922151740805120" TargetMode="External"/><Relationship Id="rId3383" Type="http://schemas.openxmlformats.org/officeDocument/2006/relationships/hyperlink" Target="https://twitter.com/bac4077/status/705935294579793920" TargetMode="External"/><Relationship Id="rId2054" Type="http://schemas.openxmlformats.org/officeDocument/2006/relationships/hyperlink" Target="https://pbs.twimg.com/profile_images/604060333590855682/Fk6r1D7d_normal.jpg" TargetMode="External"/><Relationship Id="rId3386" Type="http://schemas.openxmlformats.org/officeDocument/2006/relationships/hyperlink" Target="https://twitter.com/pastpunditry/status/705935440726065152" TargetMode="External"/><Relationship Id="rId2055" Type="http://schemas.openxmlformats.org/officeDocument/2006/relationships/hyperlink" Target="https://twitter.com/Boston1775" TargetMode="External"/><Relationship Id="rId3385" Type="http://schemas.openxmlformats.org/officeDocument/2006/relationships/hyperlink" Target="https://twitter.com/pastpunditry" TargetMode="External"/><Relationship Id="rId2056" Type="http://schemas.openxmlformats.org/officeDocument/2006/relationships/hyperlink" Target="https://twitter.com/Boston1775/status/705922205029425153" TargetMode="External"/><Relationship Id="rId3388" Type="http://schemas.openxmlformats.org/officeDocument/2006/relationships/hyperlink" Target="https://twitter.com/jomac1867" TargetMode="External"/><Relationship Id="rId2057" Type="http://schemas.openxmlformats.org/officeDocument/2006/relationships/hyperlink" Target="https://pbs.twimg.com/profile_images/361505483/Henry_Pelham_thumbnail_normal.jpg" TargetMode="External"/><Relationship Id="rId3387" Type="http://schemas.openxmlformats.org/officeDocument/2006/relationships/hyperlink" Target="https://pbs.twimg.com/profile_images/704873222802636800/7aFEMOY5_normal.jpg" TargetMode="External"/><Relationship Id="rId2058" Type="http://schemas.openxmlformats.org/officeDocument/2006/relationships/hyperlink" Target="https://twitter.com/JimGrossmanAHA" TargetMode="External"/><Relationship Id="rId2059" Type="http://schemas.openxmlformats.org/officeDocument/2006/relationships/hyperlink" Target="https://twitter.com/JimGrossmanAHA/status/705922208007380992" TargetMode="External"/><Relationship Id="rId3389" Type="http://schemas.openxmlformats.org/officeDocument/2006/relationships/hyperlink" Target="https://twitter.com/jomac1867/status/705935465493499904" TargetMode="External"/><Relationship Id="rId5118" Type="http://schemas.openxmlformats.org/officeDocument/2006/relationships/hyperlink" Target="https://twitter.com/mathhistory/status/706204144437239808" TargetMode="External"/><Relationship Id="rId5119" Type="http://schemas.openxmlformats.org/officeDocument/2006/relationships/hyperlink" Target="https://pbs.twimg.com/profile_images/3034769023/09adfcbebccfeef2a42e39aaac64ede5_normal.jpeg" TargetMode="External"/><Relationship Id="rId2080" Type="http://schemas.openxmlformats.org/officeDocument/2006/relationships/hyperlink" Target="https://twitter.com/MedeaCulpa/status/705922459241992193" TargetMode="External"/><Relationship Id="rId2081" Type="http://schemas.openxmlformats.org/officeDocument/2006/relationships/hyperlink" Target="https://pbs.twimg.com/profile_images/702272676837068800/xO5D7apz_normal.jpg" TargetMode="External"/><Relationship Id="rId2082" Type="http://schemas.openxmlformats.org/officeDocument/2006/relationships/hyperlink" Target="https://twitter.com/MedeaCulpa" TargetMode="External"/><Relationship Id="rId2083" Type="http://schemas.openxmlformats.org/officeDocument/2006/relationships/hyperlink" Target="https://twitter.com/MedeaCulpa/status/705922459254530048" TargetMode="External"/><Relationship Id="rId2084" Type="http://schemas.openxmlformats.org/officeDocument/2006/relationships/hyperlink" Target="https://pbs.twimg.com/profile_images/702272676837068800/xO5D7apz_normal.jpg" TargetMode="External"/><Relationship Id="rId2085" Type="http://schemas.openxmlformats.org/officeDocument/2006/relationships/hyperlink" Target="https://twitter.com/rebekkahrubin" TargetMode="External"/><Relationship Id="rId5112" Type="http://schemas.openxmlformats.org/officeDocument/2006/relationships/hyperlink" Target="https://twitter.com/jaheppler/status/706202955662233600" TargetMode="External"/><Relationship Id="rId2086" Type="http://schemas.openxmlformats.org/officeDocument/2006/relationships/hyperlink" Target="https://twitter.com/rebekkahrubin/status/705922459975950336" TargetMode="External"/><Relationship Id="rId5113" Type="http://schemas.openxmlformats.org/officeDocument/2006/relationships/hyperlink" Target="https://pbs.twimg.com/profile_images/436607137188290560/UM-U3wT1_normal.jpeg" TargetMode="External"/><Relationship Id="rId2087" Type="http://schemas.openxmlformats.org/officeDocument/2006/relationships/hyperlink" Target="https://pbs.twimg.com/profile_images/700317732588408832/Ym_-neUi_normal.jpg" TargetMode="External"/><Relationship Id="rId5110" Type="http://schemas.openxmlformats.org/officeDocument/2006/relationships/hyperlink" Target="https://pbs.twimg.com/profile_images/1248210244/sealcp_normal.jpg" TargetMode="External"/><Relationship Id="rId2088" Type="http://schemas.openxmlformats.org/officeDocument/2006/relationships/hyperlink" Target="https://twitter.com/JulieThePH" TargetMode="External"/><Relationship Id="rId5111" Type="http://schemas.openxmlformats.org/officeDocument/2006/relationships/hyperlink" Target="https://twitter.com/jaheppler" TargetMode="External"/><Relationship Id="rId2089" Type="http://schemas.openxmlformats.org/officeDocument/2006/relationships/hyperlink" Target="https://twitter.com/JulieThePH/status/705922481308213248" TargetMode="External"/><Relationship Id="rId5116" Type="http://schemas.openxmlformats.org/officeDocument/2006/relationships/hyperlink" Target="https://pbs.twimg.com/profile_images/1352007582/dan_head_normal.JPG" TargetMode="External"/><Relationship Id="rId5117" Type="http://schemas.openxmlformats.org/officeDocument/2006/relationships/hyperlink" Target="https://twitter.com/mathhistory" TargetMode="External"/><Relationship Id="rId5114" Type="http://schemas.openxmlformats.org/officeDocument/2006/relationships/hyperlink" Target="https://twitter.com/DanielSSoucier" TargetMode="External"/><Relationship Id="rId5115" Type="http://schemas.openxmlformats.org/officeDocument/2006/relationships/hyperlink" Target="https://twitter.com/DanielSSoucier/status/706204001952538624" TargetMode="External"/><Relationship Id="rId5109" Type="http://schemas.openxmlformats.org/officeDocument/2006/relationships/hyperlink" Target="https://twitter.com/UMACP/status/706202245356847105" TargetMode="External"/><Relationship Id="rId5107" Type="http://schemas.openxmlformats.org/officeDocument/2006/relationships/hyperlink" Target="https://pbs.twimg.com/profile_images/676623213993074689/B8zVxzT7_normal.jpg" TargetMode="External"/><Relationship Id="rId5108" Type="http://schemas.openxmlformats.org/officeDocument/2006/relationships/hyperlink" Target="https://twitter.com/UMACP" TargetMode="External"/><Relationship Id="rId2070" Type="http://schemas.openxmlformats.org/officeDocument/2006/relationships/hyperlink" Target="https://twitter.com/sheishistoric" TargetMode="External"/><Relationship Id="rId2071" Type="http://schemas.openxmlformats.org/officeDocument/2006/relationships/hyperlink" Target="https://twitter.com/sheishistoric/status/705922367902580738" TargetMode="External"/><Relationship Id="rId2072" Type="http://schemas.openxmlformats.org/officeDocument/2006/relationships/hyperlink" Target="https://pbs.twimg.com/profile_images/650419150620377089/bJxBf---_normal.jpg" TargetMode="External"/><Relationship Id="rId2073" Type="http://schemas.openxmlformats.org/officeDocument/2006/relationships/hyperlink" Target="https://twitter.com/jaheppler" TargetMode="External"/><Relationship Id="rId2074" Type="http://schemas.openxmlformats.org/officeDocument/2006/relationships/hyperlink" Target="https://twitter.com/jaheppler/status/705922372612681729" TargetMode="External"/><Relationship Id="rId5101" Type="http://schemas.openxmlformats.org/officeDocument/2006/relationships/hyperlink" Target="https://pbs.twimg.com/profile_images/535167858204893184/DNz9ruRN_normal.jpeg" TargetMode="External"/><Relationship Id="rId2075" Type="http://schemas.openxmlformats.org/officeDocument/2006/relationships/hyperlink" Target="https://pbs.twimg.com/profile_images/436607137188290560/UM-U3wT1_normal.jpeg" TargetMode="External"/><Relationship Id="rId5102" Type="http://schemas.openxmlformats.org/officeDocument/2006/relationships/hyperlink" Target="https://twitter.com/GHAUmass" TargetMode="External"/><Relationship Id="rId2076" Type="http://schemas.openxmlformats.org/officeDocument/2006/relationships/hyperlink" Target="https://twitter.com/GHAUmass" TargetMode="External"/><Relationship Id="rId2077" Type="http://schemas.openxmlformats.org/officeDocument/2006/relationships/hyperlink" Target="https://twitter.com/GHAUmass/status/705922455194435584" TargetMode="External"/><Relationship Id="rId5100" Type="http://schemas.openxmlformats.org/officeDocument/2006/relationships/hyperlink" Target="https://twitter.com/cherylharned/status/706200057465409536" TargetMode="External"/><Relationship Id="rId2078" Type="http://schemas.openxmlformats.org/officeDocument/2006/relationships/hyperlink" Target="https://pbs.twimg.com/profile_images/604060333590855682/Fk6r1D7d_normal.jpg" TargetMode="External"/><Relationship Id="rId5105" Type="http://schemas.openxmlformats.org/officeDocument/2006/relationships/hyperlink" Target="https://twitter.com/Histouroborus" TargetMode="External"/><Relationship Id="rId2079" Type="http://schemas.openxmlformats.org/officeDocument/2006/relationships/hyperlink" Target="https://twitter.com/MedeaCulpa" TargetMode="External"/><Relationship Id="rId5106" Type="http://schemas.openxmlformats.org/officeDocument/2006/relationships/hyperlink" Target="https://twitter.com/Histouroborus/status/706200876864692226" TargetMode="External"/><Relationship Id="rId5103" Type="http://schemas.openxmlformats.org/officeDocument/2006/relationships/hyperlink" Target="https://twitter.com/GHAUmass/status/706200193188962304" TargetMode="External"/><Relationship Id="rId5104" Type="http://schemas.openxmlformats.org/officeDocument/2006/relationships/hyperlink" Target="https://pbs.twimg.com/profile_images/604060333590855682/Fk6r1D7d_normal.jpg" TargetMode="External"/><Relationship Id="rId2940" Type="http://schemas.openxmlformats.org/officeDocument/2006/relationships/hyperlink" Target="https://pbs.twimg.com/profile_images/3583165575/54f0bc87a29b2ae8587193829ce07299_normal.jpeg" TargetMode="External"/><Relationship Id="rId1610" Type="http://schemas.openxmlformats.org/officeDocument/2006/relationships/hyperlink" Target="https://pbs.twimg.com/profile_images/604060333590855682/Fk6r1D7d_normal.jpg" TargetMode="External"/><Relationship Id="rId2941" Type="http://schemas.openxmlformats.org/officeDocument/2006/relationships/hyperlink" Target="https://twitter.com/erfagen" TargetMode="External"/><Relationship Id="rId1611" Type="http://schemas.openxmlformats.org/officeDocument/2006/relationships/hyperlink" Target="https://twitter.com/GHAUmass" TargetMode="External"/><Relationship Id="rId2942" Type="http://schemas.openxmlformats.org/officeDocument/2006/relationships/hyperlink" Target="https://twitter.com/erfagen/status/705930457532256257" TargetMode="External"/><Relationship Id="rId1612" Type="http://schemas.openxmlformats.org/officeDocument/2006/relationships/hyperlink" Target="https://twitter.com/GHAUmass/status/705914213961752576" TargetMode="External"/><Relationship Id="rId2943" Type="http://schemas.openxmlformats.org/officeDocument/2006/relationships/hyperlink" Target="https://pbs.twimg.com/profile_images/638086945722249217/mid_S_BQ_normal.jpg" TargetMode="External"/><Relationship Id="rId1613" Type="http://schemas.openxmlformats.org/officeDocument/2006/relationships/hyperlink" Target="https://pbs.twimg.com/profile_images/604060333590855682/Fk6r1D7d_normal.jpg" TargetMode="External"/><Relationship Id="rId2944" Type="http://schemas.openxmlformats.org/officeDocument/2006/relationships/hyperlink" Target="https://twitter.com/pastpunditry" TargetMode="External"/><Relationship Id="rId1614" Type="http://schemas.openxmlformats.org/officeDocument/2006/relationships/hyperlink" Target="https://twitter.com/erfagen" TargetMode="External"/><Relationship Id="rId2945" Type="http://schemas.openxmlformats.org/officeDocument/2006/relationships/hyperlink" Target="https://twitter.com/pastpunditry/status/705930520018948098" TargetMode="External"/><Relationship Id="rId1615" Type="http://schemas.openxmlformats.org/officeDocument/2006/relationships/hyperlink" Target="https://twitter.com/erfagen/status/705914274527449088" TargetMode="External"/><Relationship Id="rId2946" Type="http://schemas.openxmlformats.org/officeDocument/2006/relationships/hyperlink" Target="https://pbs.twimg.com/profile_images/704873222802636800/7aFEMOY5_normal.jpg" TargetMode="External"/><Relationship Id="rId1616" Type="http://schemas.openxmlformats.org/officeDocument/2006/relationships/hyperlink" Target="https://pbs.twimg.com/profile_images/638086945722249217/mid_S_BQ_normal.jpg" TargetMode="External"/><Relationship Id="rId2947" Type="http://schemas.openxmlformats.org/officeDocument/2006/relationships/hyperlink" Target="https://twitter.com/MedeaCulpa" TargetMode="External"/><Relationship Id="rId907" Type="http://schemas.openxmlformats.org/officeDocument/2006/relationships/hyperlink" Target="https://pbs.twimg.com/profile_images/378800000149111881/7969acf9cec4197748b502a6a6c3d921_normal.jpeg" TargetMode="External"/><Relationship Id="rId1617" Type="http://schemas.openxmlformats.org/officeDocument/2006/relationships/hyperlink" Target="https://twitter.com/defactofecteau" TargetMode="External"/><Relationship Id="rId2948" Type="http://schemas.openxmlformats.org/officeDocument/2006/relationships/hyperlink" Target="https://twitter.com/MedeaCulpa/status/705930584246325248" TargetMode="External"/><Relationship Id="rId906" Type="http://schemas.openxmlformats.org/officeDocument/2006/relationships/hyperlink" Target="https://twitter.com/AmandaMoniz1/status/705809504638771205" TargetMode="External"/><Relationship Id="rId1618" Type="http://schemas.openxmlformats.org/officeDocument/2006/relationships/hyperlink" Target="https://twitter.com/defactofecteau/status/705914429796442112" TargetMode="External"/><Relationship Id="rId2949" Type="http://schemas.openxmlformats.org/officeDocument/2006/relationships/hyperlink" Target="https://pbs.twimg.com/profile_images/702272676837068800/xO5D7apz_normal.jpg" TargetMode="External"/><Relationship Id="rId905" Type="http://schemas.openxmlformats.org/officeDocument/2006/relationships/hyperlink" Target="https://twitter.com/AmandaMoniz1" TargetMode="External"/><Relationship Id="rId1619" Type="http://schemas.openxmlformats.org/officeDocument/2006/relationships/hyperlink" Target="https://pbs.twimg.com/profile_images/434404729263648768/vsAZLFtj_normal.jpeg" TargetMode="External"/><Relationship Id="rId904" Type="http://schemas.openxmlformats.org/officeDocument/2006/relationships/hyperlink" Target="https://pbs.twimg.com/profile_images/704873222802636800/7aFEMOY5_normal.jpg" TargetMode="External"/><Relationship Id="rId909" Type="http://schemas.openxmlformats.org/officeDocument/2006/relationships/hyperlink" Target="https://twitter.com/JulieThePH/status/705809722990010368" TargetMode="External"/><Relationship Id="rId908" Type="http://schemas.openxmlformats.org/officeDocument/2006/relationships/hyperlink" Target="https://twitter.com/JulieThePH" TargetMode="External"/><Relationship Id="rId903" Type="http://schemas.openxmlformats.org/officeDocument/2006/relationships/hyperlink" Target="https://twitter.com/pastpunditry/status/705809265588637696" TargetMode="External"/><Relationship Id="rId902" Type="http://schemas.openxmlformats.org/officeDocument/2006/relationships/hyperlink" Target="https://twitter.com/pastpunditry" TargetMode="External"/><Relationship Id="rId901" Type="http://schemas.openxmlformats.org/officeDocument/2006/relationships/hyperlink" Target="https://pbs.twimg.com/profile_images/596509974005686273/AqBblwMR_normal.jpg" TargetMode="External"/><Relationship Id="rId900" Type="http://schemas.openxmlformats.org/officeDocument/2006/relationships/hyperlink" Target="https://twitter.com/JulieThePH/status/705809226506104834" TargetMode="External"/><Relationship Id="rId2930" Type="http://schemas.openxmlformats.org/officeDocument/2006/relationships/hyperlink" Target="https://twitter.com/sensorymuse/status/705930244989984769" TargetMode="External"/><Relationship Id="rId1600" Type="http://schemas.openxmlformats.org/officeDocument/2006/relationships/hyperlink" Target="https://twitter.com/jaheppler/status/705906281509294080" TargetMode="External"/><Relationship Id="rId2931" Type="http://schemas.openxmlformats.org/officeDocument/2006/relationships/hyperlink" Target="https://pbs.twimg.com/profile_images/703563251607429120/Y5FZhY-P_normal.jpg" TargetMode="External"/><Relationship Id="rId1601" Type="http://schemas.openxmlformats.org/officeDocument/2006/relationships/hyperlink" Target="https://pbs.twimg.com/profile_images/436607137188290560/UM-U3wT1_normal.jpeg" TargetMode="External"/><Relationship Id="rId2932" Type="http://schemas.openxmlformats.org/officeDocument/2006/relationships/hyperlink" Target="https://twitter.com/umassph" TargetMode="External"/><Relationship Id="rId1602" Type="http://schemas.openxmlformats.org/officeDocument/2006/relationships/hyperlink" Target="https://twitter.com/rebekkahrubin" TargetMode="External"/><Relationship Id="rId2933" Type="http://schemas.openxmlformats.org/officeDocument/2006/relationships/hyperlink" Target="https://twitter.com/umassph/status/705930327907237888" TargetMode="External"/><Relationship Id="rId1603" Type="http://schemas.openxmlformats.org/officeDocument/2006/relationships/hyperlink" Target="https://twitter.com/rebekkahrubin/status/705912207918366720" TargetMode="External"/><Relationship Id="rId2934" Type="http://schemas.openxmlformats.org/officeDocument/2006/relationships/hyperlink" Target="https://pbs.twimg.com/profile_images/3583165575/54f0bc87a29b2ae8587193829ce07299_normal.jpeg" TargetMode="External"/><Relationship Id="rId1604" Type="http://schemas.openxmlformats.org/officeDocument/2006/relationships/hyperlink" Target="https://pbs.twimg.com/profile_images/700317732588408832/Ym_-neUi_normal.jpg" TargetMode="External"/><Relationship Id="rId2935" Type="http://schemas.openxmlformats.org/officeDocument/2006/relationships/hyperlink" Target="https://twitter.com/umassph" TargetMode="External"/><Relationship Id="rId1605" Type="http://schemas.openxmlformats.org/officeDocument/2006/relationships/hyperlink" Target="https://twitter.com/erfagen" TargetMode="External"/><Relationship Id="rId2936" Type="http://schemas.openxmlformats.org/officeDocument/2006/relationships/hyperlink" Target="https://twitter.com/umassph/status/705930406596579329" TargetMode="External"/><Relationship Id="rId1606" Type="http://schemas.openxmlformats.org/officeDocument/2006/relationships/hyperlink" Target="https://twitter.com/erfagen/status/705914094495404033" TargetMode="External"/><Relationship Id="rId2937" Type="http://schemas.openxmlformats.org/officeDocument/2006/relationships/hyperlink" Target="https://pbs.twimg.com/profile_images/3583165575/54f0bc87a29b2ae8587193829ce07299_normal.jpeg" TargetMode="External"/><Relationship Id="rId1607" Type="http://schemas.openxmlformats.org/officeDocument/2006/relationships/hyperlink" Target="https://pbs.twimg.com/profile_images/638086945722249217/mid_S_BQ_normal.jpg" TargetMode="External"/><Relationship Id="rId2938" Type="http://schemas.openxmlformats.org/officeDocument/2006/relationships/hyperlink" Target="https://twitter.com/umassph" TargetMode="External"/><Relationship Id="rId1608" Type="http://schemas.openxmlformats.org/officeDocument/2006/relationships/hyperlink" Target="https://twitter.com/GHAUmass" TargetMode="External"/><Relationship Id="rId2939" Type="http://schemas.openxmlformats.org/officeDocument/2006/relationships/hyperlink" Target="https://twitter.com/umassph/status/705930440763375616" TargetMode="External"/><Relationship Id="rId1609" Type="http://schemas.openxmlformats.org/officeDocument/2006/relationships/hyperlink" Target="https://twitter.com/GHAUmass/status/705914176666013696" TargetMode="External"/><Relationship Id="rId1631" Type="http://schemas.openxmlformats.org/officeDocument/2006/relationships/hyperlink" Target="https://pbs.twimg.com/profile_images/604060333590855682/Fk6r1D7d_normal.jpg" TargetMode="External"/><Relationship Id="rId2962" Type="http://schemas.openxmlformats.org/officeDocument/2006/relationships/hyperlink" Target="https://twitter.com/pastpunditry" TargetMode="External"/><Relationship Id="rId1632" Type="http://schemas.openxmlformats.org/officeDocument/2006/relationships/hyperlink" Target="https://twitter.com/erfagen" TargetMode="External"/><Relationship Id="rId2963" Type="http://schemas.openxmlformats.org/officeDocument/2006/relationships/hyperlink" Target="https://twitter.com/pastpunditry/status/705930808050241536" TargetMode="External"/><Relationship Id="rId1633" Type="http://schemas.openxmlformats.org/officeDocument/2006/relationships/hyperlink" Target="https://twitter.com/erfagen/status/705914820068024321" TargetMode="External"/><Relationship Id="rId2964" Type="http://schemas.openxmlformats.org/officeDocument/2006/relationships/hyperlink" Target="https://pbs.twimg.com/profile_images/704873222802636800/7aFEMOY5_normal.jpg" TargetMode="External"/><Relationship Id="rId1634" Type="http://schemas.openxmlformats.org/officeDocument/2006/relationships/hyperlink" Target="https://pbs.twimg.com/profile_images/638086945722249217/mid_S_BQ_normal.jpg" TargetMode="External"/><Relationship Id="rId2965" Type="http://schemas.openxmlformats.org/officeDocument/2006/relationships/hyperlink" Target="https://twitter.com/magmidd" TargetMode="External"/><Relationship Id="rId1635" Type="http://schemas.openxmlformats.org/officeDocument/2006/relationships/hyperlink" Target="https://twitter.com/GHAUmass" TargetMode="External"/><Relationship Id="rId2966" Type="http://schemas.openxmlformats.org/officeDocument/2006/relationships/hyperlink" Target="https://twitter.com/magmidd/status/705930859774238720" TargetMode="External"/><Relationship Id="rId1636" Type="http://schemas.openxmlformats.org/officeDocument/2006/relationships/hyperlink" Target="https://twitter.com/GHAUmass/status/705914829857550336" TargetMode="External"/><Relationship Id="rId2967" Type="http://schemas.openxmlformats.org/officeDocument/2006/relationships/hyperlink" Target="https://pbs.twimg.com/profile_images/378800000450415007/82bcc7d0cab85e8d5920dbf5ded6715e_normal.jpeg" TargetMode="External"/><Relationship Id="rId1637" Type="http://schemas.openxmlformats.org/officeDocument/2006/relationships/hyperlink" Target="https://pbs.twimg.com/profile_images/604060333590855682/Fk6r1D7d_normal.jpg" TargetMode="External"/><Relationship Id="rId2968" Type="http://schemas.openxmlformats.org/officeDocument/2006/relationships/hyperlink" Target="https://twitter.com/Red_Shirt_no2" TargetMode="External"/><Relationship Id="rId1638" Type="http://schemas.openxmlformats.org/officeDocument/2006/relationships/hyperlink" Target="https://twitter.com/umassph" TargetMode="External"/><Relationship Id="rId2969" Type="http://schemas.openxmlformats.org/officeDocument/2006/relationships/hyperlink" Target="https://twitter.com/Red_Shirt_no2/status/705930877050744832" TargetMode="External"/><Relationship Id="rId929" Type="http://schemas.openxmlformats.org/officeDocument/2006/relationships/hyperlink" Target="https://twitter.com/pastpunditry" TargetMode="External"/><Relationship Id="rId1639" Type="http://schemas.openxmlformats.org/officeDocument/2006/relationships/hyperlink" Target="https://twitter.com/umassph/status/705914914939019265" TargetMode="External"/><Relationship Id="rId928" Type="http://schemas.openxmlformats.org/officeDocument/2006/relationships/hyperlink" Target="https://pbs.twimg.com/profile_images/548193870278688768/8Dq7gW3U_normal.png" TargetMode="External"/><Relationship Id="rId927" Type="http://schemas.openxmlformats.org/officeDocument/2006/relationships/hyperlink" Target="https://twitter.com/samueljredman/status/705810414345580544" TargetMode="External"/><Relationship Id="rId926" Type="http://schemas.openxmlformats.org/officeDocument/2006/relationships/hyperlink" Target="https://twitter.com/samueljredman" TargetMode="External"/><Relationship Id="rId921" Type="http://schemas.openxmlformats.org/officeDocument/2006/relationships/hyperlink" Target="https://twitter.com/JulieThePH/status/705810250323070976" TargetMode="External"/><Relationship Id="rId920" Type="http://schemas.openxmlformats.org/officeDocument/2006/relationships/hyperlink" Target="https://twitter.com/JulieThePH" TargetMode="External"/><Relationship Id="rId925" Type="http://schemas.openxmlformats.org/officeDocument/2006/relationships/hyperlink" Target="https://pbs.twimg.com/profile_images/704873222802636800/7aFEMOY5_normal.jpg" TargetMode="External"/><Relationship Id="rId924" Type="http://schemas.openxmlformats.org/officeDocument/2006/relationships/hyperlink" Target="https://twitter.com/pastpunditry/status/705810291767037956" TargetMode="External"/><Relationship Id="rId923" Type="http://schemas.openxmlformats.org/officeDocument/2006/relationships/hyperlink" Target="https://twitter.com/pastpunditry" TargetMode="External"/><Relationship Id="rId922" Type="http://schemas.openxmlformats.org/officeDocument/2006/relationships/hyperlink" Target="https://pbs.twimg.com/profile_images/596509974005686273/AqBblwMR_normal.jpg" TargetMode="External"/><Relationship Id="rId2960" Type="http://schemas.openxmlformats.org/officeDocument/2006/relationships/hyperlink" Target="https://twitter.com/juliegpeterson/status/705930805953044480" TargetMode="External"/><Relationship Id="rId1630" Type="http://schemas.openxmlformats.org/officeDocument/2006/relationships/hyperlink" Target="https://twitter.com/GHAUmass/status/705914809720709121" TargetMode="External"/><Relationship Id="rId2961" Type="http://schemas.openxmlformats.org/officeDocument/2006/relationships/hyperlink" Target="https://pbs.twimg.com/profile_images/609765839051452416/GNW0wSt0_normal.jpg" TargetMode="External"/><Relationship Id="rId1620" Type="http://schemas.openxmlformats.org/officeDocument/2006/relationships/hyperlink" Target="https://twitter.com/CitizenWald" TargetMode="External"/><Relationship Id="rId2951" Type="http://schemas.openxmlformats.org/officeDocument/2006/relationships/hyperlink" Target="https://twitter.com/lizl_genealogy/status/705930612394168320" TargetMode="External"/><Relationship Id="rId1621" Type="http://schemas.openxmlformats.org/officeDocument/2006/relationships/hyperlink" Target="https://twitter.com/CitizenWald/status/705914437069361152" TargetMode="External"/><Relationship Id="rId2952" Type="http://schemas.openxmlformats.org/officeDocument/2006/relationships/hyperlink" Target="https://pbs.twimg.com/profile_images/2700002859/1f2d610ddaf1f03ac7d033dd83847b45_normal.jpeg" TargetMode="External"/><Relationship Id="rId1622" Type="http://schemas.openxmlformats.org/officeDocument/2006/relationships/hyperlink" Target="https://pbs.twimg.com/profile_images/661220280564486144/ZxUrdRVS_normal.jpg" TargetMode="External"/><Relationship Id="rId2953" Type="http://schemas.openxmlformats.org/officeDocument/2006/relationships/hyperlink" Target="https://twitter.com/erfagen" TargetMode="External"/><Relationship Id="rId1623" Type="http://schemas.openxmlformats.org/officeDocument/2006/relationships/hyperlink" Target="https://twitter.com/rebekkahrubin" TargetMode="External"/><Relationship Id="rId2954" Type="http://schemas.openxmlformats.org/officeDocument/2006/relationships/hyperlink" Target="https://twitter.com/erfagen/status/705930658208677888" TargetMode="External"/><Relationship Id="rId1624" Type="http://schemas.openxmlformats.org/officeDocument/2006/relationships/hyperlink" Target="https://twitter.com/rebekkahrubin/status/705914695400734720" TargetMode="External"/><Relationship Id="rId2955" Type="http://schemas.openxmlformats.org/officeDocument/2006/relationships/hyperlink" Target="https://pbs.twimg.com/profile_images/638086945722249217/mid_S_BQ_normal.jpg" TargetMode="External"/><Relationship Id="rId1625" Type="http://schemas.openxmlformats.org/officeDocument/2006/relationships/hyperlink" Target="https://pbs.twimg.com/profile_images/700317732588408832/Ym_-neUi_normal.jpg" TargetMode="External"/><Relationship Id="rId2956" Type="http://schemas.openxmlformats.org/officeDocument/2006/relationships/hyperlink" Target="https://twitter.com/sheishistoric" TargetMode="External"/><Relationship Id="rId1626" Type="http://schemas.openxmlformats.org/officeDocument/2006/relationships/hyperlink" Target="https://twitter.com/juliegpeterson" TargetMode="External"/><Relationship Id="rId2957" Type="http://schemas.openxmlformats.org/officeDocument/2006/relationships/hyperlink" Target="https://twitter.com/sheishistoric/status/705930719013511169" TargetMode="External"/><Relationship Id="rId1627" Type="http://schemas.openxmlformats.org/officeDocument/2006/relationships/hyperlink" Target="https://twitter.com/juliegpeterson/status/705914727487168512" TargetMode="External"/><Relationship Id="rId2958" Type="http://schemas.openxmlformats.org/officeDocument/2006/relationships/hyperlink" Target="https://pbs.twimg.com/profile_images/650419150620377089/bJxBf---_normal.jpg" TargetMode="External"/><Relationship Id="rId918" Type="http://schemas.openxmlformats.org/officeDocument/2006/relationships/hyperlink" Target="https://twitter.com/pastpunditry/status/705810232472109056" TargetMode="External"/><Relationship Id="rId1628" Type="http://schemas.openxmlformats.org/officeDocument/2006/relationships/hyperlink" Target="https://pbs.twimg.com/profile_images/609765839051452416/GNW0wSt0_normal.jpg" TargetMode="External"/><Relationship Id="rId2959" Type="http://schemas.openxmlformats.org/officeDocument/2006/relationships/hyperlink" Target="https://twitter.com/juliegpeterson" TargetMode="External"/><Relationship Id="rId917" Type="http://schemas.openxmlformats.org/officeDocument/2006/relationships/hyperlink" Target="https://twitter.com/pastpunditry" TargetMode="External"/><Relationship Id="rId1629" Type="http://schemas.openxmlformats.org/officeDocument/2006/relationships/hyperlink" Target="https://twitter.com/GHAUmass" TargetMode="External"/><Relationship Id="rId916" Type="http://schemas.openxmlformats.org/officeDocument/2006/relationships/hyperlink" Target="https://pbs.twimg.com/profile_images/568863855145521152/MvzJVRaz_normal.png" TargetMode="External"/><Relationship Id="rId915" Type="http://schemas.openxmlformats.org/officeDocument/2006/relationships/hyperlink" Target="https://twitter.com/POTUStudies/status/705809915290505216" TargetMode="External"/><Relationship Id="rId919" Type="http://schemas.openxmlformats.org/officeDocument/2006/relationships/hyperlink" Target="https://pbs.twimg.com/profile_images/704873222802636800/7aFEMOY5_normal.jpg" TargetMode="External"/><Relationship Id="rId910" Type="http://schemas.openxmlformats.org/officeDocument/2006/relationships/hyperlink" Target="https://pbs.twimg.com/profile_images/596509974005686273/AqBblwMR_normal.jpg" TargetMode="External"/><Relationship Id="rId914" Type="http://schemas.openxmlformats.org/officeDocument/2006/relationships/hyperlink" Target="https://twitter.com/POTUStudies" TargetMode="External"/><Relationship Id="rId913" Type="http://schemas.openxmlformats.org/officeDocument/2006/relationships/hyperlink" Target="https://pbs.twimg.com/profile_images/1368672632/MC_logo_normal.jpg" TargetMode="External"/><Relationship Id="rId912" Type="http://schemas.openxmlformats.org/officeDocument/2006/relationships/hyperlink" Target="https://twitter.com/Miller_Center/status/705809839197462530" TargetMode="External"/><Relationship Id="rId911" Type="http://schemas.openxmlformats.org/officeDocument/2006/relationships/hyperlink" Target="https://twitter.com/Miller_Center" TargetMode="External"/><Relationship Id="rId2950" Type="http://schemas.openxmlformats.org/officeDocument/2006/relationships/hyperlink" Target="https://twitter.com/lizl_genealogy" TargetMode="External"/><Relationship Id="rId2900" Type="http://schemas.openxmlformats.org/officeDocument/2006/relationships/hyperlink" Target="https://twitter.com/jamiaw/status/705930047706808320" TargetMode="External"/><Relationship Id="rId2901" Type="http://schemas.openxmlformats.org/officeDocument/2006/relationships/hyperlink" Target="https://pbs.twimg.com/profile_images/701102020061753344/5zH70uem_normal.jpg" TargetMode="External"/><Relationship Id="rId2902" Type="http://schemas.openxmlformats.org/officeDocument/2006/relationships/hyperlink" Target="https://twitter.com/jamiaw" TargetMode="External"/><Relationship Id="rId2903" Type="http://schemas.openxmlformats.org/officeDocument/2006/relationships/hyperlink" Target="https://twitter.com/jamiaw/status/705930097346420737" TargetMode="External"/><Relationship Id="rId2904" Type="http://schemas.openxmlformats.org/officeDocument/2006/relationships/hyperlink" Target="https://pbs.twimg.com/profile_images/701102020061753344/5zH70uem_normal.jpg" TargetMode="External"/><Relationship Id="rId2905" Type="http://schemas.openxmlformats.org/officeDocument/2006/relationships/hyperlink" Target="https://twitter.com/CitizenWald" TargetMode="External"/><Relationship Id="rId2906" Type="http://schemas.openxmlformats.org/officeDocument/2006/relationships/hyperlink" Target="https://twitter.com/CitizenWald/status/705930109165899780" TargetMode="External"/><Relationship Id="rId2907" Type="http://schemas.openxmlformats.org/officeDocument/2006/relationships/hyperlink" Target="https://pbs.twimg.com/profile_images/661220280564486144/ZxUrdRVS_normal.jpg" TargetMode="External"/><Relationship Id="rId2908" Type="http://schemas.openxmlformats.org/officeDocument/2006/relationships/hyperlink" Target="https://twitter.com/jamiaw" TargetMode="External"/><Relationship Id="rId2909" Type="http://schemas.openxmlformats.org/officeDocument/2006/relationships/hyperlink" Target="https://twitter.com/jamiaw/status/705930123309096960" TargetMode="External"/><Relationship Id="rId5170" Type="http://schemas.openxmlformats.org/officeDocument/2006/relationships/hyperlink" Target="https://pbs.twimg.com/profile_images/609765839051452416/GNW0wSt0_normal.jpg" TargetMode="External"/><Relationship Id="rId5171" Type="http://schemas.openxmlformats.org/officeDocument/2006/relationships/hyperlink" Target="https://twitter.com/pastpunditry" TargetMode="External"/><Relationship Id="rId5174" Type="http://schemas.openxmlformats.org/officeDocument/2006/relationships/hyperlink" Target="https://twitter.com/alisonatkin" TargetMode="External"/><Relationship Id="rId5175" Type="http://schemas.openxmlformats.org/officeDocument/2006/relationships/hyperlink" Target="https://twitter.com/alisonatkin/status/706208584284151808" TargetMode="External"/><Relationship Id="rId5172" Type="http://schemas.openxmlformats.org/officeDocument/2006/relationships/hyperlink" Target="https://twitter.com/pastpunditry/status/706208378146705410" TargetMode="External"/><Relationship Id="rId5173" Type="http://schemas.openxmlformats.org/officeDocument/2006/relationships/hyperlink" Target="https://pbs.twimg.com/profile_images/704873222802636800/7aFEMOY5_normal.jpg" TargetMode="External"/><Relationship Id="rId5178" Type="http://schemas.openxmlformats.org/officeDocument/2006/relationships/hyperlink" Target="https://twitter.com/KathrynBrownell/status/706208784994197504" TargetMode="External"/><Relationship Id="rId5179" Type="http://schemas.openxmlformats.org/officeDocument/2006/relationships/hyperlink" Target="https://pbs.twimg.com/profile_images/2311002940/kennedy_on_television_normal.jpg" TargetMode="External"/><Relationship Id="rId5176" Type="http://schemas.openxmlformats.org/officeDocument/2006/relationships/hyperlink" Target="https://pbs.twimg.com/profile_images/619918424001671170/8PrJ9CFC_normal.jpg" TargetMode="External"/><Relationship Id="rId5177" Type="http://schemas.openxmlformats.org/officeDocument/2006/relationships/hyperlink" Target="https://twitter.com/KathrynBrownell" TargetMode="External"/><Relationship Id="rId5160" Type="http://schemas.openxmlformats.org/officeDocument/2006/relationships/hyperlink" Target="https://twitter.com/OriginalLizz/status/706207391495360512" TargetMode="External"/><Relationship Id="rId5163" Type="http://schemas.openxmlformats.org/officeDocument/2006/relationships/hyperlink" Target="https://twitter.com/pastpunditry/status/706207793049686016" TargetMode="External"/><Relationship Id="rId5164" Type="http://schemas.openxmlformats.org/officeDocument/2006/relationships/hyperlink" Target="https://pbs.twimg.com/profile_images/704873222802636800/7aFEMOY5_normal.jpg" TargetMode="External"/><Relationship Id="rId5161" Type="http://schemas.openxmlformats.org/officeDocument/2006/relationships/hyperlink" Target="https://pbs.twimg.com/profile_images/507519369509756928/wgLxn605_normal.jpeg" TargetMode="External"/><Relationship Id="rId5162" Type="http://schemas.openxmlformats.org/officeDocument/2006/relationships/hyperlink" Target="https://twitter.com/pastpunditry" TargetMode="External"/><Relationship Id="rId5167" Type="http://schemas.openxmlformats.org/officeDocument/2006/relationships/hyperlink" Target="https://pbs.twimg.com/profile_images/704873222802636800/7aFEMOY5_normal.jpg" TargetMode="External"/><Relationship Id="rId5168" Type="http://schemas.openxmlformats.org/officeDocument/2006/relationships/hyperlink" Target="https://twitter.com/juliegpeterson" TargetMode="External"/><Relationship Id="rId5165" Type="http://schemas.openxmlformats.org/officeDocument/2006/relationships/hyperlink" Target="https://twitter.com/pastpunditry" TargetMode="External"/><Relationship Id="rId5166" Type="http://schemas.openxmlformats.org/officeDocument/2006/relationships/hyperlink" Target="https://twitter.com/pastpunditry/status/706208058557526016" TargetMode="External"/><Relationship Id="rId5169" Type="http://schemas.openxmlformats.org/officeDocument/2006/relationships/hyperlink" Target="https://twitter.com/juliegpeterson/status/706208351126953985" TargetMode="External"/><Relationship Id="rId2920" Type="http://schemas.openxmlformats.org/officeDocument/2006/relationships/hyperlink" Target="https://twitter.com/jamiaw" TargetMode="External"/><Relationship Id="rId2921" Type="http://schemas.openxmlformats.org/officeDocument/2006/relationships/hyperlink" Target="https://twitter.com/jamiaw/status/705930193207218176" TargetMode="External"/><Relationship Id="rId2922" Type="http://schemas.openxmlformats.org/officeDocument/2006/relationships/hyperlink" Target="https://pbs.twimg.com/profile_images/701102020061753344/5zH70uem_normal.jpg" TargetMode="External"/><Relationship Id="rId2923" Type="http://schemas.openxmlformats.org/officeDocument/2006/relationships/hyperlink" Target="https://twitter.com/rebekkahrubin" TargetMode="External"/><Relationship Id="rId2924" Type="http://schemas.openxmlformats.org/officeDocument/2006/relationships/hyperlink" Target="https://twitter.com/rebekkahrubin/status/705930205676830720" TargetMode="External"/><Relationship Id="rId2925" Type="http://schemas.openxmlformats.org/officeDocument/2006/relationships/hyperlink" Target="https://pbs.twimg.com/profile_images/700317732588408832/Ym_-neUi_normal.jpg" TargetMode="External"/><Relationship Id="rId2926" Type="http://schemas.openxmlformats.org/officeDocument/2006/relationships/hyperlink" Target="https://twitter.com/pastpunditry" TargetMode="External"/><Relationship Id="rId2927" Type="http://schemas.openxmlformats.org/officeDocument/2006/relationships/hyperlink" Target="https://twitter.com/pastpunditry/status/705930208830951424" TargetMode="External"/><Relationship Id="rId2928" Type="http://schemas.openxmlformats.org/officeDocument/2006/relationships/hyperlink" Target="https://pbs.twimg.com/profile_images/704873222802636800/7aFEMOY5_normal.jpg" TargetMode="External"/><Relationship Id="rId2929" Type="http://schemas.openxmlformats.org/officeDocument/2006/relationships/hyperlink" Target="https://twitter.com/sensorymuse" TargetMode="External"/><Relationship Id="rId5192" Type="http://schemas.openxmlformats.org/officeDocument/2006/relationships/hyperlink" Target="https://twitter.com/juliegpeterson" TargetMode="External"/><Relationship Id="rId5193" Type="http://schemas.openxmlformats.org/officeDocument/2006/relationships/hyperlink" Target="https://twitter.com/juliegpeterson/status/706209185227268096" TargetMode="External"/><Relationship Id="rId5190" Type="http://schemas.openxmlformats.org/officeDocument/2006/relationships/hyperlink" Target="https://twitter.com/pastpunditry/status/706209132022521856" TargetMode="External"/><Relationship Id="rId5191" Type="http://schemas.openxmlformats.org/officeDocument/2006/relationships/hyperlink" Target="https://pbs.twimg.com/profile_images/704873222802636800/7aFEMOY5_normal.jpg" TargetMode="External"/><Relationship Id="rId5196" Type="http://schemas.openxmlformats.org/officeDocument/2006/relationships/hyperlink" Target="https://twitter.com/mathhistory/status/706209251002327040" TargetMode="External"/><Relationship Id="rId5197" Type="http://schemas.openxmlformats.org/officeDocument/2006/relationships/hyperlink" Target="https://pbs.twimg.com/profile_images/3034769023/09adfcbebccfeef2a42e39aaac64ede5_normal.jpeg" TargetMode="External"/><Relationship Id="rId5194" Type="http://schemas.openxmlformats.org/officeDocument/2006/relationships/hyperlink" Target="https://pbs.twimg.com/profile_images/609765839051452416/GNW0wSt0_normal.jpg" TargetMode="External"/><Relationship Id="rId5195" Type="http://schemas.openxmlformats.org/officeDocument/2006/relationships/hyperlink" Target="https://twitter.com/mathhistory" TargetMode="External"/><Relationship Id="rId5198" Type="http://schemas.openxmlformats.org/officeDocument/2006/relationships/hyperlink" Target="https://twitter.com/pastpunditry" TargetMode="External"/><Relationship Id="rId5199" Type="http://schemas.openxmlformats.org/officeDocument/2006/relationships/hyperlink" Target="https://twitter.com/pastpunditry/status/706209644826533888" TargetMode="External"/><Relationship Id="rId2910" Type="http://schemas.openxmlformats.org/officeDocument/2006/relationships/hyperlink" Target="https://pbs.twimg.com/profile_images/701102020061753344/5zH70uem_normal.jpg" TargetMode="External"/><Relationship Id="rId2911" Type="http://schemas.openxmlformats.org/officeDocument/2006/relationships/hyperlink" Target="https://twitter.com/pastpunditry" TargetMode="External"/><Relationship Id="rId2912" Type="http://schemas.openxmlformats.org/officeDocument/2006/relationships/hyperlink" Target="https://twitter.com/pastpunditry/status/705930132377223168" TargetMode="External"/><Relationship Id="rId2913" Type="http://schemas.openxmlformats.org/officeDocument/2006/relationships/hyperlink" Target="https://pbs.twimg.com/profile_images/704873222802636800/7aFEMOY5_normal.jpg" TargetMode="External"/><Relationship Id="rId2914" Type="http://schemas.openxmlformats.org/officeDocument/2006/relationships/hyperlink" Target="https://twitter.com/jamiaw" TargetMode="External"/><Relationship Id="rId2915" Type="http://schemas.openxmlformats.org/officeDocument/2006/relationships/hyperlink" Target="https://twitter.com/jamiaw/status/705930147808022528" TargetMode="External"/><Relationship Id="rId2916" Type="http://schemas.openxmlformats.org/officeDocument/2006/relationships/hyperlink" Target="https://pbs.twimg.com/profile_images/701102020061753344/5zH70uem_normal.jpg" TargetMode="External"/><Relationship Id="rId2917" Type="http://schemas.openxmlformats.org/officeDocument/2006/relationships/hyperlink" Target="https://twitter.com/GHAUmass" TargetMode="External"/><Relationship Id="rId2918" Type="http://schemas.openxmlformats.org/officeDocument/2006/relationships/hyperlink" Target="https://twitter.com/GHAUmass/status/705930175754735616" TargetMode="External"/><Relationship Id="rId2919" Type="http://schemas.openxmlformats.org/officeDocument/2006/relationships/hyperlink" Target="https://pbs.twimg.com/profile_images/604060333590855682/Fk6r1D7d_normal.jpg" TargetMode="External"/><Relationship Id="rId5181" Type="http://schemas.openxmlformats.org/officeDocument/2006/relationships/hyperlink" Target="https://twitter.com/juliegpeterson/status/706208863406706689" TargetMode="External"/><Relationship Id="rId5182" Type="http://schemas.openxmlformats.org/officeDocument/2006/relationships/hyperlink" Target="https://pbs.twimg.com/profile_images/609765839051452416/GNW0wSt0_normal.jpg" TargetMode="External"/><Relationship Id="rId5180" Type="http://schemas.openxmlformats.org/officeDocument/2006/relationships/hyperlink" Target="https://twitter.com/juliegpeterson" TargetMode="External"/><Relationship Id="rId5185" Type="http://schemas.openxmlformats.org/officeDocument/2006/relationships/hyperlink" Target="https://pbs.twimg.com/profile_images/596509974005686273/AqBblwMR_normal.jpg" TargetMode="External"/><Relationship Id="rId5186" Type="http://schemas.openxmlformats.org/officeDocument/2006/relationships/hyperlink" Target="https://twitter.com/pastpunditry" TargetMode="External"/><Relationship Id="rId5183" Type="http://schemas.openxmlformats.org/officeDocument/2006/relationships/hyperlink" Target="https://twitter.com/JulieThePH" TargetMode="External"/><Relationship Id="rId5184" Type="http://schemas.openxmlformats.org/officeDocument/2006/relationships/hyperlink" Target="https://twitter.com/JulieThePH/status/706208984915640320" TargetMode="External"/><Relationship Id="rId5189" Type="http://schemas.openxmlformats.org/officeDocument/2006/relationships/hyperlink" Target="https://twitter.com/pastpunditry" TargetMode="External"/><Relationship Id="rId5187" Type="http://schemas.openxmlformats.org/officeDocument/2006/relationships/hyperlink" Target="https://twitter.com/pastpunditry/status/706209119800266753" TargetMode="External"/><Relationship Id="rId5188" Type="http://schemas.openxmlformats.org/officeDocument/2006/relationships/hyperlink" Target="https://pbs.twimg.com/profile_images/704873222802636800/7aFEMOY5_normal.jpg" TargetMode="External"/><Relationship Id="rId1697" Type="http://schemas.openxmlformats.org/officeDocument/2006/relationships/hyperlink" Target="https://pbs.twimg.com/profile_images/700317732588408832/Ym_-neUi_normal.jpg" TargetMode="External"/><Relationship Id="rId4723" Type="http://schemas.openxmlformats.org/officeDocument/2006/relationships/hyperlink" Target="https://pbs.twimg.com/profile_images/548193870278688768/8Dq7gW3U_normal.png" TargetMode="External"/><Relationship Id="rId1698" Type="http://schemas.openxmlformats.org/officeDocument/2006/relationships/hyperlink" Target="https://twitter.com/pastpunditry" TargetMode="External"/><Relationship Id="rId4722" Type="http://schemas.openxmlformats.org/officeDocument/2006/relationships/hyperlink" Target="https://twitter.com/samueljredman/status/706186653644267520" TargetMode="External"/><Relationship Id="rId1699" Type="http://schemas.openxmlformats.org/officeDocument/2006/relationships/hyperlink" Target="https://twitter.com/pastpunditry/status/705917500295356416" TargetMode="External"/><Relationship Id="rId4725" Type="http://schemas.openxmlformats.org/officeDocument/2006/relationships/hyperlink" Target="https://twitter.com/pastpunditry/status/706186739942088705" TargetMode="External"/><Relationship Id="rId4724" Type="http://schemas.openxmlformats.org/officeDocument/2006/relationships/hyperlink" Target="https://twitter.com/pastpunditry" TargetMode="External"/><Relationship Id="rId4727" Type="http://schemas.openxmlformats.org/officeDocument/2006/relationships/hyperlink" Target="https://twitter.com/abreimaier" TargetMode="External"/><Relationship Id="rId4726" Type="http://schemas.openxmlformats.org/officeDocument/2006/relationships/hyperlink" Target="https://pbs.twimg.com/profile_images/704873222802636800/7aFEMOY5_normal.jpg" TargetMode="External"/><Relationship Id="rId4729" Type="http://schemas.openxmlformats.org/officeDocument/2006/relationships/hyperlink" Target="https://pbs.twimg.com/profile_images/3357790300/e80f72cc154c4bfa4bc8dc718fbc525b_normal.jpeg" TargetMode="External"/><Relationship Id="rId4728" Type="http://schemas.openxmlformats.org/officeDocument/2006/relationships/hyperlink" Target="https://twitter.com/abreimaier/status/706186761341411328" TargetMode="External"/><Relationship Id="rId866" Type="http://schemas.openxmlformats.org/officeDocument/2006/relationships/hyperlink" Target="https://twitter.com/samueljredman" TargetMode="External"/><Relationship Id="rId865" Type="http://schemas.openxmlformats.org/officeDocument/2006/relationships/hyperlink" Target="https://pbs.twimg.com/profile_images/59085983/LelaCatPicture_normal.jpg" TargetMode="External"/><Relationship Id="rId864" Type="http://schemas.openxmlformats.org/officeDocument/2006/relationships/hyperlink" Target="https://twitter.com/JenHoward/status/705807255699070976" TargetMode="External"/><Relationship Id="rId863" Type="http://schemas.openxmlformats.org/officeDocument/2006/relationships/hyperlink" Target="https://twitter.com/JenHoward" TargetMode="External"/><Relationship Id="rId869" Type="http://schemas.openxmlformats.org/officeDocument/2006/relationships/hyperlink" Target="https://twitter.com/samueljredman" TargetMode="External"/><Relationship Id="rId868" Type="http://schemas.openxmlformats.org/officeDocument/2006/relationships/hyperlink" Target="https://pbs.twimg.com/profile_images/548193870278688768/8Dq7gW3U_normal.png" TargetMode="External"/><Relationship Id="rId867" Type="http://schemas.openxmlformats.org/officeDocument/2006/relationships/hyperlink" Target="https://twitter.com/samueljredman/status/705807272799293440" TargetMode="External"/><Relationship Id="rId1690" Type="http://schemas.openxmlformats.org/officeDocument/2006/relationships/hyperlink" Target="https://twitter.com/HistoryCtr/status/705917443395477504" TargetMode="External"/><Relationship Id="rId1691" Type="http://schemas.openxmlformats.org/officeDocument/2006/relationships/hyperlink" Target="https://pbs.twimg.com/profile_images/3608762633/172233bf2e82856fd9c89c9123981930_normal.jpeg" TargetMode="External"/><Relationship Id="rId1692" Type="http://schemas.openxmlformats.org/officeDocument/2006/relationships/hyperlink" Target="https://twitter.com/GHAUmass" TargetMode="External"/><Relationship Id="rId862" Type="http://schemas.openxmlformats.org/officeDocument/2006/relationships/hyperlink" Target="https://pbs.twimg.com/profile_images/701102020061753344/5zH70uem_normal.jpg" TargetMode="External"/><Relationship Id="rId1693" Type="http://schemas.openxmlformats.org/officeDocument/2006/relationships/hyperlink" Target="https://twitter.com/GHAUmass/status/705917467051302913" TargetMode="External"/><Relationship Id="rId861" Type="http://schemas.openxmlformats.org/officeDocument/2006/relationships/hyperlink" Target="https://twitter.com/jamiaw/status/705807225265242112" TargetMode="External"/><Relationship Id="rId1694" Type="http://schemas.openxmlformats.org/officeDocument/2006/relationships/hyperlink" Target="https://pbs.twimg.com/profile_images/604060333590855682/Fk6r1D7d_normal.jpg" TargetMode="External"/><Relationship Id="rId860" Type="http://schemas.openxmlformats.org/officeDocument/2006/relationships/hyperlink" Target="https://twitter.com/jamiaw" TargetMode="External"/><Relationship Id="rId1695" Type="http://schemas.openxmlformats.org/officeDocument/2006/relationships/hyperlink" Target="https://twitter.com/rebekkahrubin" TargetMode="External"/><Relationship Id="rId4721" Type="http://schemas.openxmlformats.org/officeDocument/2006/relationships/hyperlink" Target="https://twitter.com/samueljredman" TargetMode="External"/><Relationship Id="rId1696" Type="http://schemas.openxmlformats.org/officeDocument/2006/relationships/hyperlink" Target="https://twitter.com/rebekkahrubin/status/705917492640813057" TargetMode="External"/><Relationship Id="rId4720" Type="http://schemas.openxmlformats.org/officeDocument/2006/relationships/hyperlink" Target="https://pbs.twimg.com/profile_images/436607137188290560/UM-U3wT1_normal.jpeg" TargetMode="External"/><Relationship Id="rId1686" Type="http://schemas.openxmlformats.org/officeDocument/2006/relationships/hyperlink" Target="https://twitter.com/JulieThePH" TargetMode="External"/><Relationship Id="rId4712" Type="http://schemas.openxmlformats.org/officeDocument/2006/relationships/hyperlink" Target="https://twitter.com/Ed_Baptist" TargetMode="External"/><Relationship Id="rId1687" Type="http://schemas.openxmlformats.org/officeDocument/2006/relationships/hyperlink" Target="https://twitter.com/JulieThePH/status/705917289368002565" TargetMode="External"/><Relationship Id="rId4711" Type="http://schemas.openxmlformats.org/officeDocument/2006/relationships/hyperlink" Target="https://pbs.twimg.com/profile_images/638086945722249217/mid_S_BQ_normal.jpg" TargetMode="External"/><Relationship Id="rId1688" Type="http://schemas.openxmlformats.org/officeDocument/2006/relationships/hyperlink" Target="https://pbs.twimg.com/profile_images/596509974005686273/AqBblwMR_normal.jpg" TargetMode="External"/><Relationship Id="rId4714" Type="http://schemas.openxmlformats.org/officeDocument/2006/relationships/hyperlink" Target="https://pbs.twimg.com/profile_images/378800000799235636/a3268e47e44505610f5045433415a3ca_normal.jpeg" TargetMode="External"/><Relationship Id="rId1689" Type="http://schemas.openxmlformats.org/officeDocument/2006/relationships/hyperlink" Target="https://twitter.com/HistoryCtr" TargetMode="External"/><Relationship Id="rId4713" Type="http://schemas.openxmlformats.org/officeDocument/2006/relationships/hyperlink" Target="https://twitter.com/Ed_Baptist/status/706186409095380992" TargetMode="External"/><Relationship Id="rId4716" Type="http://schemas.openxmlformats.org/officeDocument/2006/relationships/hyperlink" Target="https://twitter.com/jnthnwwlsn/status/706186515882311680" TargetMode="External"/><Relationship Id="rId4715" Type="http://schemas.openxmlformats.org/officeDocument/2006/relationships/hyperlink" Target="https://twitter.com/jnthnwwlsn" TargetMode="External"/><Relationship Id="rId4718" Type="http://schemas.openxmlformats.org/officeDocument/2006/relationships/hyperlink" Target="https://twitter.com/jaheppler" TargetMode="External"/><Relationship Id="rId4717" Type="http://schemas.openxmlformats.org/officeDocument/2006/relationships/hyperlink" Target="https://pbs.twimg.com/profile_images/660922102632026113/oOp4nhy__normal.jpg" TargetMode="External"/><Relationship Id="rId4719" Type="http://schemas.openxmlformats.org/officeDocument/2006/relationships/hyperlink" Target="https://twitter.com/jaheppler/status/706186523390058497" TargetMode="External"/><Relationship Id="rId855" Type="http://schemas.openxmlformats.org/officeDocument/2006/relationships/hyperlink" Target="https://twitter.com/jamiaw/status/705807196332883969" TargetMode="External"/><Relationship Id="rId854" Type="http://schemas.openxmlformats.org/officeDocument/2006/relationships/hyperlink" Target="https://twitter.com/jamiaw" TargetMode="External"/><Relationship Id="rId853" Type="http://schemas.openxmlformats.org/officeDocument/2006/relationships/hyperlink" Target="https://pbs.twimg.com/profile_images/701102020061753344/5zH70uem_normal.jpg" TargetMode="External"/><Relationship Id="rId852" Type="http://schemas.openxmlformats.org/officeDocument/2006/relationships/hyperlink" Target="https://twitter.com/jamiaw/status/705807175613030401" TargetMode="External"/><Relationship Id="rId859" Type="http://schemas.openxmlformats.org/officeDocument/2006/relationships/hyperlink" Target="https://pbs.twimg.com/profile_images/604060333590855682/Fk6r1D7d_normal.jpg" TargetMode="External"/><Relationship Id="rId858" Type="http://schemas.openxmlformats.org/officeDocument/2006/relationships/hyperlink" Target="https://twitter.com/GHAUmass/status/705807221775585281" TargetMode="External"/><Relationship Id="rId857" Type="http://schemas.openxmlformats.org/officeDocument/2006/relationships/hyperlink" Target="https://twitter.com/GHAUmass" TargetMode="External"/><Relationship Id="rId856" Type="http://schemas.openxmlformats.org/officeDocument/2006/relationships/hyperlink" Target="https://pbs.twimg.com/profile_images/701102020061753344/5zH70uem_normal.jpg" TargetMode="External"/><Relationship Id="rId1680" Type="http://schemas.openxmlformats.org/officeDocument/2006/relationships/hyperlink" Target="https://twitter.com/magmidd" TargetMode="External"/><Relationship Id="rId1681" Type="http://schemas.openxmlformats.org/officeDocument/2006/relationships/hyperlink" Target="https://twitter.com/magmidd/status/705917161424842752" TargetMode="External"/><Relationship Id="rId851" Type="http://schemas.openxmlformats.org/officeDocument/2006/relationships/hyperlink" Target="https://twitter.com/jamiaw" TargetMode="External"/><Relationship Id="rId1682" Type="http://schemas.openxmlformats.org/officeDocument/2006/relationships/hyperlink" Target="https://pbs.twimg.com/profile_images/378800000450415007/82bcc7d0cab85e8d5920dbf5ded6715e_normal.jpeg" TargetMode="External"/><Relationship Id="rId850" Type="http://schemas.openxmlformats.org/officeDocument/2006/relationships/hyperlink" Target="https://pbs.twimg.com/profile_images/604060333590855682/Fk6r1D7d_normal.jpg" TargetMode="External"/><Relationship Id="rId1683" Type="http://schemas.openxmlformats.org/officeDocument/2006/relationships/hyperlink" Target="https://twitter.com/sheishistoric" TargetMode="External"/><Relationship Id="rId1684" Type="http://schemas.openxmlformats.org/officeDocument/2006/relationships/hyperlink" Target="https://twitter.com/sheishistoric/status/705917185017962496" TargetMode="External"/><Relationship Id="rId4710" Type="http://schemas.openxmlformats.org/officeDocument/2006/relationships/hyperlink" Target="https://twitter.com/erfagen/status/706186260772159489" TargetMode="External"/><Relationship Id="rId1685" Type="http://schemas.openxmlformats.org/officeDocument/2006/relationships/hyperlink" Target="https://pbs.twimg.com/profile_images/650419150620377089/bJxBf---_normal.jpg" TargetMode="External"/><Relationship Id="rId3414" Type="http://schemas.openxmlformats.org/officeDocument/2006/relationships/hyperlink" Target="https://pbs.twimg.com/profile_images/378800000667891782/44d7b181c077bf16ab07b242f7ad81b9_normal.png" TargetMode="External"/><Relationship Id="rId4745" Type="http://schemas.openxmlformats.org/officeDocument/2006/relationships/hyperlink" Target="https://twitter.com/juliegpeterson" TargetMode="External"/><Relationship Id="rId3413" Type="http://schemas.openxmlformats.org/officeDocument/2006/relationships/hyperlink" Target="https://twitter.com/JimGrossmanAHA/status/705935678731886594" TargetMode="External"/><Relationship Id="rId4744" Type="http://schemas.openxmlformats.org/officeDocument/2006/relationships/hyperlink" Target="https://pbs.twimg.com/profile_images/638086945722249217/mid_S_BQ_normal.jpg" TargetMode="External"/><Relationship Id="rId3416" Type="http://schemas.openxmlformats.org/officeDocument/2006/relationships/hyperlink" Target="https://twitter.com/juliegpeterson/status/705935691750965248" TargetMode="External"/><Relationship Id="rId4747" Type="http://schemas.openxmlformats.org/officeDocument/2006/relationships/hyperlink" Target="https://pbs.twimg.com/profile_images/609765839051452416/GNW0wSt0_normal.jpg" TargetMode="External"/><Relationship Id="rId3415" Type="http://schemas.openxmlformats.org/officeDocument/2006/relationships/hyperlink" Target="https://twitter.com/juliegpeterson" TargetMode="External"/><Relationship Id="rId4746" Type="http://schemas.openxmlformats.org/officeDocument/2006/relationships/hyperlink" Target="https://twitter.com/juliegpeterson/status/706187184638971906" TargetMode="External"/><Relationship Id="rId3418" Type="http://schemas.openxmlformats.org/officeDocument/2006/relationships/hyperlink" Target="https://twitter.com/rebekkahrubin" TargetMode="External"/><Relationship Id="rId4749" Type="http://schemas.openxmlformats.org/officeDocument/2006/relationships/hyperlink" Target="https://twitter.com/abreimaier/status/706187354978045952" TargetMode="External"/><Relationship Id="rId3417" Type="http://schemas.openxmlformats.org/officeDocument/2006/relationships/hyperlink" Target="https://pbs.twimg.com/profile_images/609765839051452416/GNW0wSt0_normal.jpg" TargetMode="External"/><Relationship Id="rId4748" Type="http://schemas.openxmlformats.org/officeDocument/2006/relationships/hyperlink" Target="https://twitter.com/abreimaier" TargetMode="External"/><Relationship Id="rId3419" Type="http://schemas.openxmlformats.org/officeDocument/2006/relationships/hyperlink" Target="https://twitter.com/rebekkahrubin/status/705935719748014080" TargetMode="External"/><Relationship Id="rId888" Type="http://schemas.openxmlformats.org/officeDocument/2006/relationships/hyperlink" Target="https://twitter.com/AmandaMoniz1/status/705808367755853825" TargetMode="External"/><Relationship Id="rId887" Type="http://schemas.openxmlformats.org/officeDocument/2006/relationships/hyperlink" Target="https://twitter.com/AmandaMoniz1" TargetMode="External"/><Relationship Id="rId886" Type="http://schemas.openxmlformats.org/officeDocument/2006/relationships/hyperlink" Target="https://pbs.twimg.com/profile_images/3583165575/54f0bc87a29b2ae8587193829ce07299_normal.jpeg" TargetMode="External"/><Relationship Id="rId885" Type="http://schemas.openxmlformats.org/officeDocument/2006/relationships/hyperlink" Target="https://twitter.com/umassph/status/705807991795269632" TargetMode="External"/><Relationship Id="rId889" Type="http://schemas.openxmlformats.org/officeDocument/2006/relationships/hyperlink" Target="https://pbs.twimg.com/profile_images/378800000149111881/7969acf9cec4197748b502a6a6c3d921_normal.jpeg" TargetMode="External"/><Relationship Id="rId880" Type="http://schemas.openxmlformats.org/officeDocument/2006/relationships/hyperlink" Target="https://pbs.twimg.com/profile_images/701102020061753344/5zH70uem_normal.jpg" TargetMode="External"/><Relationship Id="rId884" Type="http://schemas.openxmlformats.org/officeDocument/2006/relationships/hyperlink" Target="https://twitter.com/umassph" TargetMode="External"/><Relationship Id="rId3410" Type="http://schemas.openxmlformats.org/officeDocument/2006/relationships/hyperlink" Target="https://twitter.com/AmandaMoniz1/status/705935655067643904" TargetMode="External"/><Relationship Id="rId4741" Type="http://schemas.openxmlformats.org/officeDocument/2006/relationships/hyperlink" Target="https://pbs.twimg.com/profile_images/638086945722249217/mid_S_BQ_normal.jpg" TargetMode="External"/><Relationship Id="rId883" Type="http://schemas.openxmlformats.org/officeDocument/2006/relationships/hyperlink" Target="https://pbs.twimg.com/profile_images/704873222802636800/7aFEMOY5_normal.jpg" TargetMode="External"/><Relationship Id="rId4740" Type="http://schemas.openxmlformats.org/officeDocument/2006/relationships/hyperlink" Target="https://twitter.com/erfagen/status/706187018104082434" TargetMode="External"/><Relationship Id="rId882" Type="http://schemas.openxmlformats.org/officeDocument/2006/relationships/hyperlink" Target="https://twitter.com/pastpunditry/status/705807518920998912" TargetMode="External"/><Relationship Id="rId3412" Type="http://schemas.openxmlformats.org/officeDocument/2006/relationships/hyperlink" Target="https://twitter.com/JimGrossmanAHA" TargetMode="External"/><Relationship Id="rId4743" Type="http://schemas.openxmlformats.org/officeDocument/2006/relationships/hyperlink" Target="https://twitter.com/erfagen/status/706187071338192897" TargetMode="External"/><Relationship Id="rId881" Type="http://schemas.openxmlformats.org/officeDocument/2006/relationships/hyperlink" Target="https://twitter.com/pastpunditry" TargetMode="External"/><Relationship Id="rId3411" Type="http://schemas.openxmlformats.org/officeDocument/2006/relationships/hyperlink" Target="https://pbs.twimg.com/profile_images/378800000149111881/7969acf9cec4197748b502a6a6c3d921_normal.jpeg" TargetMode="External"/><Relationship Id="rId4742" Type="http://schemas.openxmlformats.org/officeDocument/2006/relationships/hyperlink" Target="https://twitter.com/erfagen" TargetMode="External"/><Relationship Id="rId3403" Type="http://schemas.openxmlformats.org/officeDocument/2006/relationships/hyperlink" Target="https://twitter.com/sheishistoric" TargetMode="External"/><Relationship Id="rId4734" Type="http://schemas.openxmlformats.org/officeDocument/2006/relationships/hyperlink" Target="https://twitter.com/alli_rico/status/706186849832800257" TargetMode="External"/><Relationship Id="rId3402" Type="http://schemas.openxmlformats.org/officeDocument/2006/relationships/hyperlink" Target="https://pbs.twimg.com/profile_images/609765839051452416/GNW0wSt0_normal.jpg" TargetMode="External"/><Relationship Id="rId4733" Type="http://schemas.openxmlformats.org/officeDocument/2006/relationships/hyperlink" Target="https://twitter.com/alli_rico" TargetMode="External"/><Relationship Id="rId3405" Type="http://schemas.openxmlformats.org/officeDocument/2006/relationships/hyperlink" Target="https://pbs.twimg.com/profile_images/650419150620377089/bJxBf---_normal.jpg" TargetMode="External"/><Relationship Id="rId4736" Type="http://schemas.openxmlformats.org/officeDocument/2006/relationships/hyperlink" Target="https://twitter.com/j3foley" TargetMode="External"/><Relationship Id="rId3404" Type="http://schemas.openxmlformats.org/officeDocument/2006/relationships/hyperlink" Target="https://twitter.com/sheishistoric/status/705935545885696000" TargetMode="External"/><Relationship Id="rId4735" Type="http://schemas.openxmlformats.org/officeDocument/2006/relationships/hyperlink" Target="https://pbs.twimg.com/profile_images/678819743827017728/Mghm91Lu_normal.jpg" TargetMode="External"/><Relationship Id="rId3407" Type="http://schemas.openxmlformats.org/officeDocument/2006/relationships/hyperlink" Target="https://twitter.com/pastpunditry/status/705935565863194624" TargetMode="External"/><Relationship Id="rId4738" Type="http://schemas.openxmlformats.org/officeDocument/2006/relationships/hyperlink" Target="https://pbs.twimg.com/profile_images/627686554861834241/UcDo7crN_normal.jpg" TargetMode="External"/><Relationship Id="rId3406" Type="http://schemas.openxmlformats.org/officeDocument/2006/relationships/hyperlink" Target="https://twitter.com/pastpunditry" TargetMode="External"/><Relationship Id="rId4737" Type="http://schemas.openxmlformats.org/officeDocument/2006/relationships/hyperlink" Target="https://twitter.com/j3foley/status/706186936684310528" TargetMode="External"/><Relationship Id="rId3409" Type="http://schemas.openxmlformats.org/officeDocument/2006/relationships/hyperlink" Target="https://twitter.com/AmandaMoniz1" TargetMode="External"/><Relationship Id="rId3408" Type="http://schemas.openxmlformats.org/officeDocument/2006/relationships/hyperlink" Target="https://pbs.twimg.com/profile_images/704873222802636800/7aFEMOY5_normal.jpg" TargetMode="External"/><Relationship Id="rId4739" Type="http://schemas.openxmlformats.org/officeDocument/2006/relationships/hyperlink" Target="https://twitter.com/erfagen" TargetMode="External"/><Relationship Id="rId877" Type="http://schemas.openxmlformats.org/officeDocument/2006/relationships/hyperlink" Target="https://pbs.twimg.com/profile_images/704873222802636800/7aFEMOY5_normal.jpg" TargetMode="External"/><Relationship Id="rId876" Type="http://schemas.openxmlformats.org/officeDocument/2006/relationships/hyperlink" Target="https://twitter.com/pastpunditry/status/705807367905091584" TargetMode="External"/><Relationship Id="rId875" Type="http://schemas.openxmlformats.org/officeDocument/2006/relationships/hyperlink" Target="https://twitter.com/pastpunditry" TargetMode="External"/><Relationship Id="rId874" Type="http://schemas.openxmlformats.org/officeDocument/2006/relationships/hyperlink" Target="https://pbs.twimg.com/profile_images/667027466213531649/GAEMhY43_normal.jpg" TargetMode="External"/><Relationship Id="rId879" Type="http://schemas.openxmlformats.org/officeDocument/2006/relationships/hyperlink" Target="https://twitter.com/jamiaw/status/705807492870234112" TargetMode="External"/><Relationship Id="rId878" Type="http://schemas.openxmlformats.org/officeDocument/2006/relationships/hyperlink" Target="https://twitter.com/jamiaw" TargetMode="External"/><Relationship Id="rId873" Type="http://schemas.openxmlformats.org/officeDocument/2006/relationships/hyperlink" Target="https://twitter.com/sarahrusso/status/705807318601048064" TargetMode="External"/><Relationship Id="rId4730" Type="http://schemas.openxmlformats.org/officeDocument/2006/relationships/hyperlink" Target="https://twitter.com/pastpunditry" TargetMode="External"/><Relationship Id="rId872" Type="http://schemas.openxmlformats.org/officeDocument/2006/relationships/hyperlink" Target="https://twitter.com/sarahrusso" TargetMode="External"/><Relationship Id="rId871" Type="http://schemas.openxmlformats.org/officeDocument/2006/relationships/hyperlink" Target="https://pbs.twimg.com/profile_images/548193870278688768/8Dq7gW3U_normal.png" TargetMode="External"/><Relationship Id="rId3401" Type="http://schemas.openxmlformats.org/officeDocument/2006/relationships/hyperlink" Target="https://twitter.com/juliegpeterson/status/705935535538315264" TargetMode="External"/><Relationship Id="rId4732" Type="http://schemas.openxmlformats.org/officeDocument/2006/relationships/hyperlink" Target="https://pbs.twimg.com/profile_images/704873222802636800/7aFEMOY5_normal.jpg" TargetMode="External"/><Relationship Id="rId870" Type="http://schemas.openxmlformats.org/officeDocument/2006/relationships/hyperlink" Target="https://twitter.com/samueljredman/status/705807299361771520" TargetMode="External"/><Relationship Id="rId3400" Type="http://schemas.openxmlformats.org/officeDocument/2006/relationships/hyperlink" Target="https://twitter.com/juliegpeterson" TargetMode="External"/><Relationship Id="rId4731" Type="http://schemas.openxmlformats.org/officeDocument/2006/relationships/hyperlink" Target="https://twitter.com/pastpunditry/status/706186830983647236" TargetMode="External"/><Relationship Id="rId1653" Type="http://schemas.openxmlformats.org/officeDocument/2006/relationships/hyperlink" Target="https://twitter.com/GHAUmass" TargetMode="External"/><Relationship Id="rId2984" Type="http://schemas.openxmlformats.org/officeDocument/2006/relationships/hyperlink" Target="https://twitter.com/GHAUmass/status/705931112795803648" TargetMode="External"/><Relationship Id="rId1654" Type="http://schemas.openxmlformats.org/officeDocument/2006/relationships/hyperlink" Target="https://twitter.com/GHAUmass/status/705915888109756416" TargetMode="External"/><Relationship Id="rId2985" Type="http://schemas.openxmlformats.org/officeDocument/2006/relationships/hyperlink" Target="https://pbs.twimg.com/profile_images/604060333590855682/Fk6r1D7d_normal.jpg" TargetMode="External"/><Relationship Id="rId1655" Type="http://schemas.openxmlformats.org/officeDocument/2006/relationships/hyperlink" Target="https://pbs.twimg.com/profile_images/604060333590855682/Fk6r1D7d_normal.jpg" TargetMode="External"/><Relationship Id="rId2986" Type="http://schemas.openxmlformats.org/officeDocument/2006/relationships/hyperlink" Target="https://twitter.com/allisonhorrocks" TargetMode="External"/><Relationship Id="rId1656" Type="http://schemas.openxmlformats.org/officeDocument/2006/relationships/hyperlink" Target="https://twitter.com/pastpunditry" TargetMode="External"/><Relationship Id="rId2987" Type="http://schemas.openxmlformats.org/officeDocument/2006/relationships/hyperlink" Target="https://twitter.com/allisonhorrocks/status/705931128448925696" TargetMode="External"/><Relationship Id="rId1657" Type="http://schemas.openxmlformats.org/officeDocument/2006/relationships/hyperlink" Target="https://twitter.com/pastpunditry/status/705916124286816256" TargetMode="External"/><Relationship Id="rId2988" Type="http://schemas.openxmlformats.org/officeDocument/2006/relationships/hyperlink" Target="https://pbs.twimg.com/profile_images/562279222522032128/-phaZgxO_normal.jpeg" TargetMode="External"/><Relationship Id="rId1658" Type="http://schemas.openxmlformats.org/officeDocument/2006/relationships/hyperlink" Target="https://pbs.twimg.com/profile_images/704873222802636800/7aFEMOY5_normal.jpg" TargetMode="External"/><Relationship Id="rId2989" Type="http://schemas.openxmlformats.org/officeDocument/2006/relationships/hyperlink" Target="https://twitter.com/sheishistoric" TargetMode="External"/><Relationship Id="rId1659" Type="http://schemas.openxmlformats.org/officeDocument/2006/relationships/hyperlink" Target="https://twitter.com/rebekkahrubin" TargetMode="External"/><Relationship Id="rId829" Type="http://schemas.openxmlformats.org/officeDocument/2006/relationships/hyperlink" Target="https://pbs.twimg.com/profile_images/704873222802636800/7aFEMOY5_normal.jpg" TargetMode="External"/><Relationship Id="rId828" Type="http://schemas.openxmlformats.org/officeDocument/2006/relationships/hyperlink" Target="https://twitter.com/pastpunditry/status/705805752280227843" TargetMode="External"/><Relationship Id="rId827" Type="http://schemas.openxmlformats.org/officeDocument/2006/relationships/hyperlink" Target="https://twitter.com/pastpunditry" TargetMode="External"/><Relationship Id="rId822" Type="http://schemas.openxmlformats.org/officeDocument/2006/relationships/hyperlink" Target="https://twitter.com/samueljredman/status/705805672529666049" TargetMode="External"/><Relationship Id="rId821" Type="http://schemas.openxmlformats.org/officeDocument/2006/relationships/hyperlink" Target="https://twitter.com/samueljredman" TargetMode="External"/><Relationship Id="rId820" Type="http://schemas.openxmlformats.org/officeDocument/2006/relationships/hyperlink" Target="https://pbs.twimg.com/profile_images/548193870278688768/8Dq7gW3U_normal.png" TargetMode="External"/><Relationship Id="rId826" Type="http://schemas.openxmlformats.org/officeDocument/2006/relationships/hyperlink" Target="https://pbs.twimg.com/profile_images/676362182020481024/P0kyLli1_normal.jpg" TargetMode="External"/><Relationship Id="rId825" Type="http://schemas.openxmlformats.org/officeDocument/2006/relationships/hyperlink" Target="https://twitter.com/mille24c/status/705805684147937281" TargetMode="External"/><Relationship Id="rId824" Type="http://schemas.openxmlformats.org/officeDocument/2006/relationships/hyperlink" Target="https://twitter.com/mille24c" TargetMode="External"/><Relationship Id="rId823" Type="http://schemas.openxmlformats.org/officeDocument/2006/relationships/hyperlink" Target="https://pbs.twimg.com/profile_images/548193870278688768/8Dq7gW3U_normal.png" TargetMode="External"/><Relationship Id="rId2980" Type="http://schemas.openxmlformats.org/officeDocument/2006/relationships/hyperlink" Target="https://twitter.com/JulieThePH" TargetMode="External"/><Relationship Id="rId1650" Type="http://schemas.openxmlformats.org/officeDocument/2006/relationships/hyperlink" Target="https://twitter.com/juliegpeterson" TargetMode="External"/><Relationship Id="rId2981" Type="http://schemas.openxmlformats.org/officeDocument/2006/relationships/hyperlink" Target="https://twitter.com/JulieThePH/status/705931101710262272" TargetMode="External"/><Relationship Id="rId1651" Type="http://schemas.openxmlformats.org/officeDocument/2006/relationships/hyperlink" Target="https://twitter.com/juliegpeterson/status/705915756811329539" TargetMode="External"/><Relationship Id="rId2982" Type="http://schemas.openxmlformats.org/officeDocument/2006/relationships/hyperlink" Target="https://pbs.twimg.com/profile_images/596509974005686273/AqBblwMR_normal.jpg" TargetMode="External"/><Relationship Id="rId1652" Type="http://schemas.openxmlformats.org/officeDocument/2006/relationships/hyperlink" Target="https://pbs.twimg.com/profile_images/609765839051452416/GNW0wSt0_normal.jpg" TargetMode="External"/><Relationship Id="rId2983" Type="http://schemas.openxmlformats.org/officeDocument/2006/relationships/hyperlink" Target="https://twitter.com/GHAUmass" TargetMode="External"/><Relationship Id="rId1642" Type="http://schemas.openxmlformats.org/officeDocument/2006/relationships/hyperlink" Target="https://twitter.com/rebekkahrubin/status/705915250273611776" TargetMode="External"/><Relationship Id="rId2973" Type="http://schemas.openxmlformats.org/officeDocument/2006/relationships/hyperlink" Target="https://pbs.twimg.com/profile_images/650419150620377089/bJxBf---_normal.jpg" TargetMode="External"/><Relationship Id="rId1643" Type="http://schemas.openxmlformats.org/officeDocument/2006/relationships/hyperlink" Target="https://pbs.twimg.com/profile_images/700317732588408832/Ym_-neUi_normal.jpg" TargetMode="External"/><Relationship Id="rId2974" Type="http://schemas.openxmlformats.org/officeDocument/2006/relationships/hyperlink" Target="https://twitter.com/pastpunditry" TargetMode="External"/><Relationship Id="rId1644" Type="http://schemas.openxmlformats.org/officeDocument/2006/relationships/hyperlink" Target="https://twitter.com/GHAUmass" TargetMode="External"/><Relationship Id="rId2975" Type="http://schemas.openxmlformats.org/officeDocument/2006/relationships/hyperlink" Target="https://twitter.com/pastpunditry/status/705931024971210752" TargetMode="External"/><Relationship Id="rId1645" Type="http://schemas.openxmlformats.org/officeDocument/2006/relationships/hyperlink" Target="https://twitter.com/GHAUmass/status/705915397569122308" TargetMode="External"/><Relationship Id="rId2976" Type="http://schemas.openxmlformats.org/officeDocument/2006/relationships/hyperlink" Target="https://pbs.twimg.com/profile_images/704873222802636800/7aFEMOY5_normal.jpg" TargetMode="External"/><Relationship Id="rId1646" Type="http://schemas.openxmlformats.org/officeDocument/2006/relationships/hyperlink" Target="https://pbs.twimg.com/profile_images/604060333590855682/Fk6r1D7d_normal.jpg" TargetMode="External"/><Relationship Id="rId2977" Type="http://schemas.openxmlformats.org/officeDocument/2006/relationships/hyperlink" Target="https://twitter.com/Red_Shirt_no2" TargetMode="External"/><Relationship Id="rId1647" Type="http://schemas.openxmlformats.org/officeDocument/2006/relationships/hyperlink" Target="https://twitter.com/erfagen" TargetMode="External"/><Relationship Id="rId2978" Type="http://schemas.openxmlformats.org/officeDocument/2006/relationships/hyperlink" Target="https://twitter.com/Red_Shirt_no2/status/705931087868985345" TargetMode="External"/><Relationship Id="rId1648" Type="http://schemas.openxmlformats.org/officeDocument/2006/relationships/hyperlink" Target="https://twitter.com/erfagen/status/705915610924982273" TargetMode="External"/><Relationship Id="rId2979" Type="http://schemas.openxmlformats.org/officeDocument/2006/relationships/hyperlink" Target="https://pbs.twimg.com/profile_images/550495191849644032/qEniLfQu_normal.png" TargetMode="External"/><Relationship Id="rId1649" Type="http://schemas.openxmlformats.org/officeDocument/2006/relationships/hyperlink" Target="https://pbs.twimg.com/profile_images/638086945722249217/mid_S_BQ_normal.jpg" TargetMode="External"/><Relationship Id="rId819" Type="http://schemas.openxmlformats.org/officeDocument/2006/relationships/hyperlink" Target="https://twitter.com/samueljredman/status/705805392547291136" TargetMode="External"/><Relationship Id="rId818" Type="http://schemas.openxmlformats.org/officeDocument/2006/relationships/hyperlink" Target="https://twitter.com/samueljredman" TargetMode="External"/><Relationship Id="rId817" Type="http://schemas.openxmlformats.org/officeDocument/2006/relationships/hyperlink" Target="https://pbs.twimg.com/profile_images/548193870278688768/8Dq7gW3U_normal.png" TargetMode="External"/><Relationship Id="rId816" Type="http://schemas.openxmlformats.org/officeDocument/2006/relationships/hyperlink" Target="https://twitter.com/samueljredman/status/705805370153967616" TargetMode="External"/><Relationship Id="rId811" Type="http://schemas.openxmlformats.org/officeDocument/2006/relationships/hyperlink" Target="https://pbs.twimg.com/profile_images/548193870278688768/8Dq7gW3U_normal.png" TargetMode="External"/><Relationship Id="rId810" Type="http://schemas.openxmlformats.org/officeDocument/2006/relationships/hyperlink" Target="https://twitter.com/samueljredman/status/705805338063331328" TargetMode="External"/><Relationship Id="rId815" Type="http://schemas.openxmlformats.org/officeDocument/2006/relationships/hyperlink" Target="https://twitter.com/samueljredman" TargetMode="External"/><Relationship Id="rId814" Type="http://schemas.openxmlformats.org/officeDocument/2006/relationships/hyperlink" Target="https://pbs.twimg.com/profile_images/704873222802636800/7aFEMOY5_normal.jpg" TargetMode="External"/><Relationship Id="rId813" Type="http://schemas.openxmlformats.org/officeDocument/2006/relationships/hyperlink" Target="https://twitter.com/pastpunditry/status/705805347504656385" TargetMode="External"/><Relationship Id="rId812" Type="http://schemas.openxmlformats.org/officeDocument/2006/relationships/hyperlink" Target="https://twitter.com/pastpunditry" TargetMode="External"/><Relationship Id="rId2970" Type="http://schemas.openxmlformats.org/officeDocument/2006/relationships/hyperlink" Target="https://pbs.twimg.com/profile_images/550495191849644032/qEniLfQu_normal.png" TargetMode="External"/><Relationship Id="rId1640" Type="http://schemas.openxmlformats.org/officeDocument/2006/relationships/hyperlink" Target="https://pbs.twimg.com/profile_images/3583165575/54f0bc87a29b2ae8587193829ce07299_normal.jpeg" TargetMode="External"/><Relationship Id="rId2971" Type="http://schemas.openxmlformats.org/officeDocument/2006/relationships/hyperlink" Target="https://twitter.com/sheishistoric" TargetMode="External"/><Relationship Id="rId1641" Type="http://schemas.openxmlformats.org/officeDocument/2006/relationships/hyperlink" Target="https://twitter.com/rebekkahrubin" TargetMode="External"/><Relationship Id="rId2972" Type="http://schemas.openxmlformats.org/officeDocument/2006/relationships/hyperlink" Target="https://twitter.com/sheishistoric/status/705931004721156098" TargetMode="External"/><Relationship Id="rId1675" Type="http://schemas.openxmlformats.org/officeDocument/2006/relationships/hyperlink" Target="https://twitter.com/rebekkahrubin/status/705916852157997058" TargetMode="External"/><Relationship Id="rId4701" Type="http://schemas.openxmlformats.org/officeDocument/2006/relationships/hyperlink" Target="https://twitter.com/samueljredman/status/706186189288710144" TargetMode="External"/><Relationship Id="rId1676" Type="http://schemas.openxmlformats.org/officeDocument/2006/relationships/hyperlink" Target="https://pbs.twimg.com/profile_images/700317732588408832/Ym_-neUi_normal.jpg" TargetMode="External"/><Relationship Id="rId4700" Type="http://schemas.openxmlformats.org/officeDocument/2006/relationships/hyperlink" Target="https://twitter.com/samueljredman" TargetMode="External"/><Relationship Id="rId1677" Type="http://schemas.openxmlformats.org/officeDocument/2006/relationships/hyperlink" Target="https://twitter.com/rebekkahrubin" TargetMode="External"/><Relationship Id="rId4703" Type="http://schemas.openxmlformats.org/officeDocument/2006/relationships/hyperlink" Target="https://twitter.com/samueljredman" TargetMode="External"/><Relationship Id="rId1678" Type="http://schemas.openxmlformats.org/officeDocument/2006/relationships/hyperlink" Target="https://twitter.com/rebekkahrubin/status/705917044856856576" TargetMode="External"/><Relationship Id="rId4702" Type="http://schemas.openxmlformats.org/officeDocument/2006/relationships/hyperlink" Target="https://pbs.twimg.com/profile_images/548193870278688768/8Dq7gW3U_normal.png" TargetMode="External"/><Relationship Id="rId1679" Type="http://schemas.openxmlformats.org/officeDocument/2006/relationships/hyperlink" Target="https://pbs.twimg.com/profile_images/700317732588408832/Ym_-neUi_normal.jpg" TargetMode="External"/><Relationship Id="rId4705" Type="http://schemas.openxmlformats.org/officeDocument/2006/relationships/hyperlink" Target="https://pbs.twimg.com/profile_images/548193870278688768/8Dq7gW3U_normal.png" TargetMode="External"/><Relationship Id="rId4704" Type="http://schemas.openxmlformats.org/officeDocument/2006/relationships/hyperlink" Target="https://twitter.com/samueljredman/status/706186190429540353" TargetMode="External"/><Relationship Id="rId4707" Type="http://schemas.openxmlformats.org/officeDocument/2006/relationships/hyperlink" Target="https://twitter.com/pastpunditry/status/706186224860598273" TargetMode="External"/><Relationship Id="rId4706" Type="http://schemas.openxmlformats.org/officeDocument/2006/relationships/hyperlink" Target="https://twitter.com/pastpunditry" TargetMode="External"/><Relationship Id="rId4709" Type="http://schemas.openxmlformats.org/officeDocument/2006/relationships/hyperlink" Target="https://twitter.com/erfagen" TargetMode="External"/><Relationship Id="rId4708" Type="http://schemas.openxmlformats.org/officeDocument/2006/relationships/hyperlink" Target="https://pbs.twimg.com/profile_images/704873222802636800/7aFEMOY5_normal.jpg" TargetMode="External"/><Relationship Id="rId849" Type="http://schemas.openxmlformats.org/officeDocument/2006/relationships/hyperlink" Target="https://twitter.com/GHAUmass/status/705807131711250432" TargetMode="External"/><Relationship Id="rId844" Type="http://schemas.openxmlformats.org/officeDocument/2006/relationships/hyperlink" Target="https://pbs.twimg.com/profile_images/701102020061753344/5zH70uem_normal.jpg" TargetMode="External"/><Relationship Id="rId843" Type="http://schemas.openxmlformats.org/officeDocument/2006/relationships/hyperlink" Target="https://twitter.com/jamiaw/status/705807052657053698" TargetMode="External"/><Relationship Id="rId842" Type="http://schemas.openxmlformats.org/officeDocument/2006/relationships/hyperlink" Target="https://twitter.com/jamiaw" TargetMode="External"/><Relationship Id="rId841" Type="http://schemas.openxmlformats.org/officeDocument/2006/relationships/hyperlink" Target="https://pbs.twimg.com/profile_images/701102020061753344/5zH70uem_normal.jpg" TargetMode="External"/><Relationship Id="rId848" Type="http://schemas.openxmlformats.org/officeDocument/2006/relationships/hyperlink" Target="https://twitter.com/GHAUmass" TargetMode="External"/><Relationship Id="rId847" Type="http://schemas.openxmlformats.org/officeDocument/2006/relationships/hyperlink" Target="https://pbs.twimg.com/profile_images/701102020061753344/5zH70uem_normal.jpg" TargetMode="External"/><Relationship Id="rId846" Type="http://schemas.openxmlformats.org/officeDocument/2006/relationships/hyperlink" Target="https://twitter.com/jamiaw/status/705807125608599556" TargetMode="External"/><Relationship Id="rId845" Type="http://schemas.openxmlformats.org/officeDocument/2006/relationships/hyperlink" Target="https://twitter.com/jamiaw" TargetMode="External"/><Relationship Id="rId1670" Type="http://schemas.openxmlformats.org/officeDocument/2006/relationships/hyperlink" Target="https://pbs.twimg.com/profile_images/596509974005686273/AqBblwMR_normal.jpg" TargetMode="External"/><Relationship Id="rId840" Type="http://schemas.openxmlformats.org/officeDocument/2006/relationships/hyperlink" Target="https://twitter.com/jamiaw/status/705806900743557120" TargetMode="External"/><Relationship Id="rId1671" Type="http://schemas.openxmlformats.org/officeDocument/2006/relationships/hyperlink" Target="https://twitter.com/GHAUmass" TargetMode="External"/><Relationship Id="rId1672" Type="http://schemas.openxmlformats.org/officeDocument/2006/relationships/hyperlink" Target="https://twitter.com/GHAUmass/status/705916666954326016" TargetMode="External"/><Relationship Id="rId1673" Type="http://schemas.openxmlformats.org/officeDocument/2006/relationships/hyperlink" Target="https://pbs.twimg.com/profile_images/604060333590855682/Fk6r1D7d_normal.jpg" TargetMode="External"/><Relationship Id="rId1674" Type="http://schemas.openxmlformats.org/officeDocument/2006/relationships/hyperlink" Target="https://twitter.com/rebekkahrubin" TargetMode="External"/><Relationship Id="rId1664" Type="http://schemas.openxmlformats.org/officeDocument/2006/relationships/hyperlink" Target="https://pbs.twimg.com/profile_images/604060333590855682/Fk6r1D7d_normal.jpg" TargetMode="External"/><Relationship Id="rId2995" Type="http://schemas.openxmlformats.org/officeDocument/2006/relationships/hyperlink" Target="https://twitter.com/erfagen" TargetMode="External"/><Relationship Id="rId1665" Type="http://schemas.openxmlformats.org/officeDocument/2006/relationships/hyperlink" Target="https://twitter.com/GHAUmass" TargetMode="External"/><Relationship Id="rId2996" Type="http://schemas.openxmlformats.org/officeDocument/2006/relationships/hyperlink" Target="https://twitter.com/erfagen/status/705931166973612037" TargetMode="External"/><Relationship Id="rId1666" Type="http://schemas.openxmlformats.org/officeDocument/2006/relationships/hyperlink" Target="https://twitter.com/GHAUmass/status/705916648990121984" TargetMode="External"/><Relationship Id="rId2997" Type="http://schemas.openxmlformats.org/officeDocument/2006/relationships/hyperlink" Target="https://pbs.twimg.com/profile_images/638086945722249217/mid_S_BQ_normal.jpg" TargetMode="External"/><Relationship Id="rId1667" Type="http://schemas.openxmlformats.org/officeDocument/2006/relationships/hyperlink" Target="https://pbs.twimg.com/profile_images/604060333590855682/Fk6r1D7d_normal.jpg" TargetMode="External"/><Relationship Id="rId2998" Type="http://schemas.openxmlformats.org/officeDocument/2006/relationships/hyperlink" Target="https://twitter.com/rebekkahrubin" TargetMode="External"/><Relationship Id="rId1668" Type="http://schemas.openxmlformats.org/officeDocument/2006/relationships/hyperlink" Target="https://twitter.com/JulieThePH" TargetMode="External"/><Relationship Id="rId2999" Type="http://schemas.openxmlformats.org/officeDocument/2006/relationships/hyperlink" Target="https://twitter.com/rebekkahrubin/status/705931222820773888" TargetMode="External"/><Relationship Id="rId1669" Type="http://schemas.openxmlformats.org/officeDocument/2006/relationships/hyperlink" Target="https://twitter.com/JulieThePH/status/705916656992841728" TargetMode="External"/><Relationship Id="rId839" Type="http://schemas.openxmlformats.org/officeDocument/2006/relationships/hyperlink" Target="https://twitter.com/jamiaw" TargetMode="External"/><Relationship Id="rId838" Type="http://schemas.openxmlformats.org/officeDocument/2006/relationships/hyperlink" Target="https://pbs.twimg.com/profile_images/701102020061753344/5zH70uem_normal.jpg" TargetMode="External"/><Relationship Id="rId833" Type="http://schemas.openxmlformats.org/officeDocument/2006/relationships/hyperlink" Target="https://twitter.com/pastpunditry" TargetMode="External"/><Relationship Id="rId832" Type="http://schemas.openxmlformats.org/officeDocument/2006/relationships/hyperlink" Target="https://pbs.twimg.com/profile_images/548193870278688768/8Dq7gW3U_normal.png" TargetMode="External"/><Relationship Id="rId831" Type="http://schemas.openxmlformats.org/officeDocument/2006/relationships/hyperlink" Target="https://twitter.com/samueljredman/status/705805901702283264" TargetMode="External"/><Relationship Id="rId830" Type="http://schemas.openxmlformats.org/officeDocument/2006/relationships/hyperlink" Target="https://twitter.com/samueljredman" TargetMode="External"/><Relationship Id="rId837" Type="http://schemas.openxmlformats.org/officeDocument/2006/relationships/hyperlink" Target="https://twitter.com/jamiaw/status/705806877221920768" TargetMode="External"/><Relationship Id="rId836" Type="http://schemas.openxmlformats.org/officeDocument/2006/relationships/hyperlink" Target="https://twitter.com/jamiaw" TargetMode="External"/><Relationship Id="rId835" Type="http://schemas.openxmlformats.org/officeDocument/2006/relationships/hyperlink" Target="https://pbs.twimg.com/profile_images/704873222802636800/7aFEMOY5_normal.jpg" TargetMode="External"/><Relationship Id="rId834" Type="http://schemas.openxmlformats.org/officeDocument/2006/relationships/hyperlink" Target="https://twitter.com/pastpunditry/status/705806820879810561" TargetMode="External"/><Relationship Id="rId2990" Type="http://schemas.openxmlformats.org/officeDocument/2006/relationships/hyperlink" Target="https://twitter.com/sheishistoric/status/705931154810130433" TargetMode="External"/><Relationship Id="rId1660" Type="http://schemas.openxmlformats.org/officeDocument/2006/relationships/hyperlink" Target="https://twitter.com/rebekkahrubin/status/705916473844305920" TargetMode="External"/><Relationship Id="rId2991" Type="http://schemas.openxmlformats.org/officeDocument/2006/relationships/hyperlink" Target="https://pbs.twimg.com/profile_images/650419150620377089/bJxBf---_normal.jpg" TargetMode="External"/><Relationship Id="rId1661" Type="http://schemas.openxmlformats.org/officeDocument/2006/relationships/hyperlink" Target="https://pbs.twimg.com/profile_images/700317732588408832/Ym_-neUi_normal.jpg" TargetMode="External"/><Relationship Id="rId2992" Type="http://schemas.openxmlformats.org/officeDocument/2006/relationships/hyperlink" Target="https://twitter.com/pastpunditry" TargetMode="External"/><Relationship Id="rId1662" Type="http://schemas.openxmlformats.org/officeDocument/2006/relationships/hyperlink" Target="https://twitter.com/GHAUmass" TargetMode="External"/><Relationship Id="rId2993" Type="http://schemas.openxmlformats.org/officeDocument/2006/relationships/hyperlink" Target="https://twitter.com/pastpunditry/status/705931163081252864" TargetMode="External"/><Relationship Id="rId1663" Type="http://schemas.openxmlformats.org/officeDocument/2006/relationships/hyperlink" Target="https://twitter.com/GHAUmass/status/705916571265458177" TargetMode="External"/><Relationship Id="rId2994" Type="http://schemas.openxmlformats.org/officeDocument/2006/relationships/hyperlink" Target="https://pbs.twimg.com/profile_images/704873222802636800/7aFEMOY5_normal.jpg" TargetMode="External"/><Relationship Id="rId2148" Type="http://schemas.openxmlformats.org/officeDocument/2006/relationships/hyperlink" Target="https://twitter.com/erfagen" TargetMode="External"/><Relationship Id="rId2149" Type="http://schemas.openxmlformats.org/officeDocument/2006/relationships/hyperlink" Target="https://twitter.com/erfagen/status/705923084151345156" TargetMode="External"/><Relationship Id="rId3479" Type="http://schemas.openxmlformats.org/officeDocument/2006/relationships/hyperlink" Target="https://twitter.com/abreimaier/status/705938755182587904" TargetMode="External"/><Relationship Id="rId3470" Type="http://schemas.openxmlformats.org/officeDocument/2006/relationships/hyperlink" Target="https://twitter.com/erfagen/status/705938077043322880" TargetMode="External"/><Relationship Id="rId2140" Type="http://schemas.openxmlformats.org/officeDocument/2006/relationships/hyperlink" Target="https://twitter.com/JulieThePH/status/705923047312719872" TargetMode="External"/><Relationship Id="rId3472" Type="http://schemas.openxmlformats.org/officeDocument/2006/relationships/hyperlink" Target="https://twitter.com/JL_McPherson_" TargetMode="External"/><Relationship Id="rId2141" Type="http://schemas.openxmlformats.org/officeDocument/2006/relationships/hyperlink" Target="https://pbs.twimg.com/profile_images/596509974005686273/AqBblwMR_normal.jpg" TargetMode="External"/><Relationship Id="rId3471" Type="http://schemas.openxmlformats.org/officeDocument/2006/relationships/hyperlink" Target="https://pbs.twimg.com/profile_images/638086945722249217/mid_S_BQ_normal.jpg" TargetMode="External"/><Relationship Id="rId2142" Type="http://schemas.openxmlformats.org/officeDocument/2006/relationships/hyperlink" Target="https://twitter.com/juliegpeterson" TargetMode="External"/><Relationship Id="rId3474" Type="http://schemas.openxmlformats.org/officeDocument/2006/relationships/hyperlink" Target="https://pbs.twimg.com/profile_images/562649272173068288/zFENKIgW_normal.png" TargetMode="External"/><Relationship Id="rId2143" Type="http://schemas.openxmlformats.org/officeDocument/2006/relationships/hyperlink" Target="https://twitter.com/juliegpeterson/status/705923075032936448" TargetMode="External"/><Relationship Id="rId3473" Type="http://schemas.openxmlformats.org/officeDocument/2006/relationships/hyperlink" Target="https://twitter.com/JL_McPherson_/status/705938519286394880" TargetMode="External"/><Relationship Id="rId2144" Type="http://schemas.openxmlformats.org/officeDocument/2006/relationships/hyperlink" Target="https://pbs.twimg.com/profile_images/609765839051452416/GNW0wSt0_normal.jpg" TargetMode="External"/><Relationship Id="rId3476" Type="http://schemas.openxmlformats.org/officeDocument/2006/relationships/hyperlink" Target="https://twitter.com/juliegpeterson/status/705938539742150656" TargetMode="External"/><Relationship Id="rId2145" Type="http://schemas.openxmlformats.org/officeDocument/2006/relationships/hyperlink" Target="https://twitter.com/GHAUmass" TargetMode="External"/><Relationship Id="rId3475" Type="http://schemas.openxmlformats.org/officeDocument/2006/relationships/hyperlink" Target="https://twitter.com/juliegpeterson" TargetMode="External"/><Relationship Id="rId2146" Type="http://schemas.openxmlformats.org/officeDocument/2006/relationships/hyperlink" Target="https://twitter.com/GHAUmass/status/705923080732987392" TargetMode="External"/><Relationship Id="rId3478" Type="http://schemas.openxmlformats.org/officeDocument/2006/relationships/hyperlink" Target="https://twitter.com/abreimaier" TargetMode="External"/><Relationship Id="rId2147" Type="http://schemas.openxmlformats.org/officeDocument/2006/relationships/hyperlink" Target="https://pbs.twimg.com/profile_images/604060333590855682/Fk6r1D7d_normal.jpg" TargetMode="External"/><Relationship Id="rId3477" Type="http://schemas.openxmlformats.org/officeDocument/2006/relationships/hyperlink" Target="https://pbs.twimg.com/profile_images/609765839051452416/GNW0wSt0_normal.jpg" TargetMode="External"/><Relationship Id="rId2137" Type="http://schemas.openxmlformats.org/officeDocument/2006/relationships/hyperlink" Target="https://twitter.com/jamiaw/status/705923031122767872" TargetMode="External"/><Relationship Id="rId3469" Type="http://schemas.openxmlformats.org/officeDocument/2006/relationships/hyperlink" Target="https://twitter.com/erfagen" TargetMode="External"/><Relationship Id="rId2138" Type="http://schemas.openxmlformats.org/officeDocument/2006/relationships/hyperlink" Target="https://pbs.twimg.com/profile_images/701102020061753344/5zH70uem_normal.jpg" TargetMode="External"/><Relationship Id="rId3468" Type="http://schemas.openxmlformats.org/officeDocument/2006/relationships/hyperlink" Target="https://pbs.twimg.com/profile_images/674233655779328000/QFONMQg9_normal.jpg" TargetMode="External"/><Relationship Id="rId4799" Type="http://schemas.openxmlformats.org/officeDocument/2006/relationships/hyperlink" Target="https://twitter.com/pastpunditry" TargetMode="External"/><Relationship Id="rId2139" Type="http://schemas.openxmlformats.org/officeDocument/2006/relationships/hyperlink" Target="https://twitter.com/JulieThePH" TargetMode="External"/><Relationship Id="rId4790" Type="http://schemas.openxmlformats.org/officeDocument/2006/relationships/hyperlink" Target="https://twitter.com/dpmckenzie" TargetMode="External"/><Relationship Id="rId3461" Type="http://schemas.openxmlformats.org/officeDocument/2006/relationships/hyperlink" Target="https://twitter.com/Jamiejhagen/status/705937501626736640" TargetMode="External"/><Relationship Id="rId4792" Type="http://schemas.openxmlformats.org/officeDocument/2006/relationships/hyperlink" Target="https://pbs.twimg.com/profile_images/2594130457/E22305FD-AC31-4127-92D9-F0C08A2E52F2_normal" TargetMode="External"/><Relationship Id="rId2130" Type="http://schemas.openxmlformats.org/officeDocument/2006/relationships/hyperlink" Target="https://twitter.com/GHAUmass" TargetMode="External"/><Relationship Id="rId3460" Type="http://schemas.openxmlformats.org/officeDocument/2006/relationships/hyperlink" Target="https://twitter.com/Jamiejhagen" TargetMode="External"/><Relationship Id="rId4791" Type="http://schemas.openxmlformats.org/officeDocument/2006/relationships/hyperlink" Target="https://twitter.com/dpmckenzie/status/706189077184286720" TargetMode="External"/><Relationship Id="rId2131" Type="http://schemas.openxmlformats.org/officeDocument/2006/relationships/hyperlink" Target="https://twitter.com/GHAUmass/status/705922968933761026" TargetMode="External"/><Relationship Id="rId3463" Type="http://schemas.openxmlformats.org/officeDocument/2006/relationships/hyperlink" Target="https://twitter.com/Jamiejhagen" TargetMode="External"/><Relationship Id="rId4794" Type="http://schemas.openxmlformats.org/officeDocument/2006/relationships/hyperlink" Target="https://twitter.com/juliegpeterson/status/706189155844419585" TargetMode="External"/><Relationship Id="rId2132" Type="http://schemas.openxmlformats.org/officeDocument/2006/relationships/hyperlink" Target="https://pbs.twimg.com/profile_images/604060333590855682/Fk6r1D7d_normal.jpg" TargetMode="External"/><Relationship Id="rId3462" Type="http://schemas.openxmlformats.org/officeDocument/2006/relationships/hyperlink" Target="https://pbs.twimg.com/profile_images/658077828018237444/VsfCXMha_normal.jpg" TargetMode="External"/><Relationship Id="rId4793" Type="http://schemas.openxmlformats.org/officeDocument/2006/relationships/hyperlink" Target="https://twitter.com/juliegpeterson" TargetMode="External"/><Relationship Id="rId2133" Type="http://schemas.openxmlformats.org/officeDocument/2006/relationships/hyperlink" Target="https://twitter.com/sheishistoric" TargetMode="External"/><Relationship Id="rId3465" Type="http://schemas.openxmlformats.org/officeDocument/2006/relationships/hyperlink" Target="https://pbs.twimg.com/profile_images/658077828018237444/VsfCXMha_normal.jpg" TargetMode="External"/><Relationship Id="rId4796" Type="http://schemas.openxmlformats.org/officeDocument/2006/relationships/hyperlink" Target="https://twitter.com/hm_sparks" TargetMode="External"/><Relationship Id="rId2134" Type="http://schemas.openxmlformats.org/officeDocument/2006/relationships/hyperlink" Target="https://twitter.com/sheishistoric/status/705923004178538496" TargetMode="External"/><Relationship Id="rId3464" Type="http://schemas.openxmlformats.org/officeDocument/2006/relationships/hyperlink" Target="https://twitter.com/Jamiejhagen/status/705937525265793024" TargetMode="External"/><Relationship Id="rId4795" Type="http://schemas.openxmlformats.org/officeDocument/2006/relationships/hyperlink" Target="https://pbs.twimg.com/profile_images/609765839051452416/GNW0wSt0_normal.jpg" TargetMode="External"/><Relationship Id="rId2135" Type="http://schemas.openxmlformats.org/officeDocument/2006/relationships/hyperlink" Target="https://pbs.twimg.com/profile_images/650419150620377089/bJxBf---_normal.jpg" TargetMode="External"/><Relationship Id="rId3467" Type="http://schemas.openxmlformats.org/officeDocument/2006/relationships/hyperlink" Target="https://twitter.com/jomac1867/status/705938065945190401" TargetMode="External"/><Relationship Id="rId4798" Type="http://schemas.openxmlformats.org/officeDocument/2006/relationships/hyperlink" Target="https://pbs.twimg.com/profile_images/440303281496006656/UEZl5jO-_normal.jpeg" TargetMode="External"/><Relationship Id="rId2136" Type="http://schemas.openxmlformats.org/officeDocument/2006/relationships/hyperlink" Target="https://twitter.com/jamiaw" TargetMode="External"/><Relationship Id="rId3466" Type="http://schemas.openxmlformats.org/officeDocument/2006/relationships/hyperlink" Target="https://twitter.com/jomac1867" TargetMode="External"/><Relationship Id="rId4797" Type="http://schemas.openxmlformats.org/officeDocument/2006/relationships/hyperlink" Target="https://twitter.com/hm_sparks/status/706189237767409664" TargetMode="External"/><Relationship Id="rId3490" Type="http://schemas.openxmlformats.org/officeDocument/2006/relationships/hyperlink" Target="https://twitter.com/jamiaw" TargetMode="External"/><Relationship Id="rId2160" Type="http://schemas.openxmlformats.org/officeDocument/2006/relationships/hyperlink" Target="https://twitter.com/jaheppler" TargetMode="External"/><Relationship Id="rId3492" Type="http://schemas.openxmlformats.org/officeDocument/2006/relationships/hyperlink" Target="https://pbs.twimg.com/profile_images/701102020061753344/5zH70uem_normal.jpg" TargetMode="External"/><Relationship Id="rId2161" Type="http://schemas.openxmlformats.org/officeDocument/2006/relationships/hyperlink" Target="https://twitter.com/jaheppler/status/705923140006744064" TargetMode="External"/><Relationship Id="rId3491" Type="http://schemas.openxmlformats.org/officeDocument/2006/relationships/hyperlink" Target="https://twitter.com/jamiaw/status/705939048586682368" TargetMode="External"/><Relationship Id="rId2162" Type="http://schemas.openxmlformats.org/officeDocument/2006/relationships/hyperlink" Target="https://pbs.twimg.com/profile_images/436607137188290560/UM-U3wT1_normal.jpeg" TargetMode="External"/><Relationship Id="rId3494" Type="http://schemas.openxmlformats.org/officeDocument/2006/relationships/hyperlink" Target="https://twitter.com/erfagen/status/705939056899833856" TargetMode="External"/><Relationship Id="rId2163" Type="http://schemas.openxmlformats.org/officeDocument/2006/relationships/hyperlink" Target="https://twitter.com/JimGrossmanAHA" TargetMode="External"/><Relationship Id="rId3493" Type="http://schemas.openxmlformats.org/officeDocument/2006/relationships/hyperlink" Target="https://twitter.com/erfagen" TargetMode="External"/><Relationship Id="rId2164" Type="http://schemas.openxmlformats.org/officeDocument/2006/relationships/hyperlink" Target="https://twitter.com/JimGrossmanAHA/status/705923151595708416" TargetMode="External"/><Relationship Id="rId3496" Type="http://schemas.openxmlformats.org/officeDocument/2006/relationships/hyperlink" Target="https://twitter.com/magmidd" TargetMode="External"/><Relationship Id="rId2165" Type="http://schemas.openxmlformats.org/officeDocument/2006/relationships/hyperlink" Target="https://pbs.twimg.com/profile_images/378800000667891782/44d7b181c077bf16ab07b242f7ad81b9_normal.png" TargetMode="External"/><Relationship Id="rId3495" Type="http://schemas.openxmlformats.org/officeDocument/2006/relationships/hyperlink" Target="https://pbs.twimg.com/profile_images/638086945722249217/mid_S_BQ_normal.jpg" TargetMode="External"/><Relationship Id="rId2166" Type="http://schemas.openxmlformats.org/officeDocument/2006/relationships/hyperlink" Target="https://twitter.com/historycampaign" TargetMode="External"/><Relationship Id="rId3498" Type="http://schemas.openxmlformats.org/officeDocument/2006/relationships/hyperlink" Target="https://pbs.twimg.com/profile_images/378800000450415007/82bcc7d0cab85e8d5920dbf5ded6715e_normal.jpeg" TargetMode="External"/><Relationship Id="rId2167" Type="http://schemas.openxmlformats.org/officeDocument/2006/relationships/hyperlink" Target="https://twitter.com/historycampaign/status/705923173225615360" TargetMode="External"/><Relationship Id="rId3497" Type="http://schemas.openxmlformats.org/officeDocument/2006/relationships/hyperlink" Target="https://twitter.com/magmidd/status/705939171064442880" TargetMode="External"/><Relationship Id="rId2168" Type="http://schemas.openxmlformats.org/officeDocument/2006/relationships/hyperlink" Target="https://pbs.twimg.com/profile_images/673691030139609088/8v7ab61D_normal.jpg" TargetMode="External"/><Relationship Id="rId2169" Type="http://schemas.openxmlformats.org/officeDocument/2006/relationships/hyperlink" Target="https://twitter.com/defactofecteau" TargetMode="External"/><Relationship Id="rId3499" Type="http://schemas.openxmlformats.org/officeDocument/2006/relationships/hyperlink" Target="https://twitter.com/CitizenWald" TargetMode="External"/><Relationship Id="rId2159" Type="http://schemas.openxmlformats.org/officeDocument/2006/relationships/hyperlink" Target="https://pbs.twimg.com/profile_images/609765839051452416/GNW0wSt0_normal.jpg" TargetMode="External"/><Relationship Id="rId3481" Type="http://schemas.openxmlformats.org/officeDocument/2006/relationships/hyperlink" Target="https://twitter.com/erfagen" TargetMode="External"/><Relationship Id="rId2150" Type="http://schemas.openxmlformats.org/officeDocument/2006/relationships/hyperlink" Target="https://pbs.twimg.com/profile_images/638086945722249217/mid_S_BQ_normal.jpg" TargetMode="External"/><Relationship Id="rId3480" Type="http://schemas.openxmlformats.org/officeDocument/2006/relationships/hyperlink" Target="https://pbs.twimg.com/profile_images/3357790300/e80f72cc154c4bfa4bc8dc718fbc525b_normal.jpeg" TargetMode="External"/><Relationship Id="rId2151" Type="http://schemas.openxmlformats.org/officeDocument/2006/relationships/hyperlink" Target="https://twitter.com/lizl_genealogy" TargetMode="External"/><Relationship Id="rId3483" Type="http://schemas.openxmlformats.org/officeDocument/2006/relationships/hyperlink" Target="https://pbs.twimg.com/profile_images/638086945722249217/mid_S_BQ_normal.jpg" TargetMode="External"/><Relationship Id="rId2152" Type="http://schemas.openxmlformats.org/officeDocument/2006/relationships/hyperlink" Target="https://twitter.com/lizl_genealogy/status/705923086126813184" TargetMode="External"/><Relationship Id="rId3482" Type="http://schemas.openxmlformats.org/officeDocument/2006/relationships/hyperlink" Target="https://twitter.com/erfagen/status/705938885545697280" TargetMode="External"/><Relationship Id="rId2153" Type="http://schemas.openxmlformats.org/officeDocument/2006/relationships/hyperlink" Target="https://pbs.twimg.com/profile_images/2700002859/1f2d610ddaf1f03ac7d033dd83847b45_normal.jpeg" TargetMode="External"/><Relationship Id="rId3485" Type="http://schemas.openxmlformats.org/officeDocument/2006/relationships/hyperlink" Target="https://twitter.com/JulieThePH/status/705938923567095808" TargetMode="External"/><Relationship Id="rId2154" Type="http://schemas.openxmlformats.org/officeDocument/2006/relationships/hyperlink" Target="https://twitter.com/jaheppler" TargetMode="External"/><Relationship Id="rId3484" Type="http://schemas.openxmlformats.org/officeDocument/2006/relationships/hyperlink" Target="https://twitter.com/JulieThePH" TargetMode="External"/><Relationship Id="rId2155" Type="http://schemas.openxmlformats.org/officeDocument/2006/relationships/hyperlink" Target="https://twitter.com/jaheppler/status/705923108201345025" TargetMode="External"/><Relationship Id="rId3487" Type="http://schemas.openxmlformats.org/officeDocument/2006/relationships/hyperlink" Target="https://twitter.com/juliegpeterson" TargetMode="External"/><Relationship Id="rId2156" Type="http://schemas.openxmlformats.org/officeDocument/2006/relationships/hyperlink" Target="https://pbs.twimg.com/profile_images/436607137188290560/UM-U3wT1_normal.jpeg" TargetMode="External"/><Relationship Id="rId3486" Type="http://schemas.openxmlformats.org/officeDocument/2006/relationships/hyperlink" Target="https://pbs.twimg.com/profile_images/596509974005686273/AqBblwMR_normal.jpg" TargetMode="External"/><Relationship Id="rId2157" Type="http://schemas.openxmlformats.org/officeDocument/2006/relationships/hyperlink" Target="https://twitter.com/juliegpeterson" TargetMode="External"/><Relationship Id="rId3489" Type="http://schemas.openxmlformats.org/officeDocument/2006/relationships/hyperlink" Target="https://pbs.twimg.com/profile_images/609765839051452416/GNW0wSt0_normal.jpg" TargetMode="External"/><Relationship Id="rId2158" Type="http://schemas.openxmlformats.org/officeDocument/2006/relationships/hyperlink" Target="https://twitter.com/juliegpeterson/status/705923132708802560" TargetMode="External"/><Relationship Id="rId3488" Type="http://schemas.openxmlformats.org/officeDocument/2006/relationships/hyperlink" Target="https://twitter.com/juliegpeterson/status/705938939631312898" TargetMode="External"/><Relationship Id="rId2104" Type="http://schemas.openxmlformats.org/officeDocument/2006/relationships/hyperlink" Target="https://twitter.com/erfagen/status/705922682651590656" TargetMode="External"/><Relationship Id="rId3436" Type="http://schemas.openxmlformats.org/officeDocument/2006/relationships/hyperlink" Target="https://twitter.com/rebekkahrubin" TargetMode="External"/><Relationship Id="rId4767" Type="http://schemas.openxmlformats.org/officeDocument/2006/relationships/hyperlink" Target="https://twitter.com/pastpunditry/status/706188277032861701" TargetMode="External"/><Relationship Id="rId2105" Type="http://schemas.openxmlformats.org/officeDocument/2006/relationships/hyperlink" Target="https://pbs.twimg.com/profile_images/638086945722249217/mid_S_BQ_normal.jpg" TargetMode="External"/><Relationship Id="rId3435" Type="http://schemas.openxmlformats.org/officeDocument/2006/relationships/hyperlink" Target="https://pbs.twimg.com/profile_images/704873222802636800/7aFEMOY5_normal.jpg" TargetMode="External"/><Relationship Id="rId4766" Type="http://schemas.openxmlformats.org/officeDocument/2006/relationships/hyperlink" Target="https://twitter.com/pastpunditry" TargetMode="External"/><Relationship Id="rId2106" Type="http://schemas.openxmlformats.org/officeDocument/2006/relationships/hyperlink" Target="https://twitter.com/GHAUmass" TargetMode="External"/><Relationship Id="rId3438" Type="http://schemas.openxmlformats.org/officeDocument/2006/relationships/hyperlink" Target="https://pbs.twimg.com/profile_images/700317732588408832/Ym_-neUi_normal.jpg" TargetMode="External"/><Relationship Id="rId4769" Type="http://schemas.openxmlformats.org/officeDocument/2006/relationships/hyperlink" Target="https://twitter.com/JimGrossmanAHA" TargetMode="External"/><Relationship Id="rId2107" Type="http://schemas.openxmlformats.org/officeDocument/2006/relationships/hyperlink" Target="https://twitter.com/GHAUmass/status/705922694697590785" TargetMode="External"/><Relationship Id="rId3437" Type="http://schemas.openxmlformats.org/officeDocument/2006/relationships/hyperlink" Target="https://twitter.com/rebekkahrubin/status/705936035679707136" TargetMode="External"/><Relationship Id="rId4768" Type="http://schemas.openxmlformats.org/officeDocument/2006/relationships/hyperlink" Target="https://pbs.twimg.com/profile_images/704873222802636800/7aFEMOY5_normal.jpg" TargetMode="External"/><Relationship Id="rId2108" Type="http://schemas.openxmlformats.org/officeDocument/2006/relationships/hyperlink" Target="https://pbs.twimg.com/profile_images/604060333590855682/Fk6r1D7d_normal.jpg" TargetMode="External"/><Relationship Id="rId2109" Type="http://schemas.openxmlformats.org/officeDocument/2006/relationships/hyperlink" Target="https://twitter.com/juliegpeterson" TargetMode="External"/><Relationship Id="rId3439" Type="http://schemas.openxmlformats.org/officeDocument/2006/relationships/hyperlink" Target="https://twitter.com/pastpunditry" TargetMode="External"/><Relationship Id="rId3430" Type="http://schemas.openxmlformats.org/officeDocument/2006/relationships/hyperlink" Target="https://twitter.com/GHAUmass" TargetMode="External"/><Relationship Id="rId4761" Type="http://schemas.openxmlformats.org/officeDocument/2006/relationships/hyperlink" Target="https://twitter.com/pastpunditry/status/706187764983844864" TargetMode="External"/><Relationship Id="rId4760" Type="http://schemas.openxmlformats.org/officeDocument/2006/relationships/hyperlink" Target="https://twitter.com/pastpunditry" TargetMode="External"/><Relationship Id="rId2100" Type="http://schemas.openxmlformats.org/officeDocument/2006/relationships/hyperlink" Target="https://twitter.com/jamiaw" TargetMode="External"/><Relationship Id="rId3432" Type="http://schemas.openxmlformats.org/officeDocument/2006/relationships/hyperlink" Target="https://pbs.twimg.com/profile_images/604060333590855682/Fk6r1D7d_normal.jpg" TargetMode="External"/><Relationship Id="rId4763" Type="http://schemas.openxmlformats.org/officeDocument/2006/relationships/hyperlink" Target="https://twitter.com/jaheppler" TargetMode="External"/><Relationship Id="rId2101" Type="http://schemas.openxmlformats.org/officeDocument/2006/relationships/hyperlink" Target="https://twitter.com/jamiaw/status/705922653928988672" TargetMode="External"/><Relationship Id="rId3431" Type="http://schemas.openxmlformats.org/officeDocument/2006/relationships/hyperlink" Target="https://twitter.com/GHAUmass/status/705936014188138496" TargetMode="External"/><Relationship Id="rId4762" Type="http://schemas.openxmlformats.org/officeDocument/2006/relationships/hyperlink" Target="https://pbs.twimg.com/profile_images/704873222802636800/7aFEMOY5_normal.jpg" TargetMode="External"/><Relationship Id="rId2102" Type="http://schemas.openxmlformats.org/officeDocument/2006/relationships/hyperlink" Target="https://pbs.twimg.com/profile_images/701102020061753344/5zH70uem_normal.jpg" TargetMode="External"/><Relationship Id="rId3434" Type="http://schemas.openxmlformats.org/officeDocument/2006/relationships/hyperlink" Target="https://twitter.com/pastpunditry/status/705936034077523970" TargetMode="External"/><Relationship Id="rId4765" Type="http://schemas.openxmlformats.org/officeDocument/2006/relationships/hyperlink" Target="https://pbs.twimg.com/profile_images/436607137188290560/UM-U3wT1_normal.jpeg" TargetMode="External"/><Relationship Id="rId2103" Type="http://schemas.openxmlformats.org/officeDocument/2006/relationships/hyperlink" Target="https://twitter.com/erfagen" TargetMode="External"/><Relationship Id="rId3433" Type="http://schemas.openxmlformats.org/officeDocument/2006/relationships/hyperlink" Target="https://twitter.com/pastpunditry" TargetMode="External"/><Relationship Id="rId4764" Type="http://schemas.openxmlformats.org/officeDocument/2006/relationships/hyperlink" Target="https://twitter.com/jaheppler/status/706187834516856833" TargetMode="External"/><Relationship Id="rId3425" Type="http://schemas.openxmlformats.org/officeDocument/2006/relationships/hyperlink" Target="https://twitter.com/rebekkahrubin/status/705935790715641856" TargetMode="External"/><Relationship Id="rId4756" Type="http://schemas.openxmlformats.org/officeDocument/2006/relationships/hyperlink" Target="https://pbs.twimg.com/profile_images/596509974005686273/AqBblwMR_normal.jpg" TargetMode="External"/><Relationship Id="rId3424" Type="http://schemas.openxmlformats.org/officeDocument/2006/relationships/hyperlink" Target="https://twitter.com/rebekkahrubin" TargetMode="External"/><Relationship Id="rId4755" Type="http://schemas.openxmlformats.org/officeDocument/2006/relationships/hyperlink" Target="https://twitter.com/JulieThePH/status/706187428801998848" TargetMode="External"/><Relationship Id="rId3427" Type="http://schemas.openxmlformats.org/officeDocument/2006/relationships/hyperlink" Target="https://twitter.com/magmidd" TargetMode="External"/><Relationship Id="rId4758" Type="http://schemas.openxmlformats.org/officeDocument/2006/relationships/hyperlink" Target="https://twitter.com/pastpunditry/status/706187471558713344" TargetMode="External"/><Relationship Id="rId3426" Type="http://schemas.openxmlformats.org/officeDocument/2006/relationships/hyperlink" Target="https://pbs.twimg.com/profile_images/700317732588408832/Ym_-neUi_normal.jpg" TargetMode="External"/><Relationship Id="rId4757" Type="http://schemas.openxmlformats.org/officeDocument/2006/relationships/hyperlink" Target="https://twitter.com/pastpunditry" TargetMode="External"/><Relationship Id="rId3429" Type="http://schemas.openxmlformats.org/officeDocument/2006/relationships/hyperlink" Target="https://pbs.twimg.com/profile_images/378800000450415007/82bcc7d0cab85e8d5920dbf5ded6715e_normal.jpeg" TargetMode="External"/><Relationship Id="rId3428" Type="http://schemas.openxmlformats.org/officeDocument/2006/relationships/hyperlink" Target="https://twitter.com/magmidd/status/705935814367117313" TargetMode="External"/><Relationship Id="rId4759" Type="http://schemas.openxmlformats.org/officeDocument/2006/relationships/hyperlink" Target="https://pbs.twimg.com/profile_images/704873222802636800/7aFEMOY5_normal.jpg" TargetMode="External"/><Relationship Id="rId899" Type="http://schemas.openxmlformats.org/officeDocument/2006/relationships/hyperlink" Target="https://twitter.com/JulieThePH" TargetMode="External"/><Relationship Id="rId898" Type="http://schemas.openxmlformats.org/officeDocument/2006/relationships/hyperlink" Target="https://pbs.twimg.com/profile_images/704873222802636800/7aFEMOY5_normal.jpg" TargetMode="External"/><Relationship Id="rId897" Type="http://schemas.openxmlformats.org/officeDocument/2006/relationships/hyperlink" Target="https://twitter.com/pastpunditry/status/705809167454486530" TargetMode="External"/><Relationship Id="rId896" Type="http://schemas.openxmlformats.org/officeDocument/2006/relationships/hyperlink" Target="https://twitter.com/pastpunditry" TargetMode="External"/><Relationship Id="rId891" Type="http://schemas.openxmlformats.org/officeDocument/2006/relationships/hyperlink" Target="https://twitter.com/elsbet/status/705808382788300800" TargetMode="External"/><Relationship Id="rId890" Type="http://schemas.openxmlformats.org/officeDocument/2006/relationships/hyperlink" Target="https://twitter.com/elsbet" TargetMode="External"/><Relationship Id="rId4750" Type="http://schemas.openxmlformats.org/officeDocument/2006/relationships/hyperlink" Target="https://pbs.twimg.com/profile_images/3357790300/e80f72cc154c4bfa4bc8dc718fbc525b_normal.jpeg" TargetMode="External"/><Relationship Id="rId895" Type="http://schemas.openxmlformats.org/officeDocument/2006/relationships/hyperlink" Target="https://pbs.twimg.com/profile_images/378800000149111881/7969acf9cec4197748b502a6a6c3d921_normal.jpeg" TargetMode="External"/><Relationship Id="rId3421" Type="http://schemas.openxmlformats.org/officeDocument/2006/relationships/hyperlink" Target="https://twitter.com/pastpunditry" TargetMode="External"/><Relationship Id="rId4752" Type="http://schemas.openxmlformats.org/officeDocument/2006/relationships/hyperlink" Target="https://twitter.com/pastpunditry/status/706187380160643072" TargetMode="External"/><Relationship Id="rId894" Type="http://schemas.openxmlformats.org/officeDocument/2006/relationships/hyperlink" Target="https://twitter.com/AmandaMoniz1/status/705808495556345856" TargetMode="External"/><Relationship Id="rId3420" Type="http://schemas.openxmlformats.org/officeDocument/2006/relationships/hyperlink" Target="https://pbs.twimg.com/profile_images/700317732588408832/Ym_-neUi_normal.jpg" TargetMode="External"/><Relationship Id="rId4751" Type="http://schemas.openxmlformats.org/officeDocument/2006/relationships/hyperlink" Target="https://twitter.com/pastpunditry" TargetMode="External"/><Relationship Id="rId893" Type="http://schemas.openxmlformats.org/officeDocument/2006/relationships/hyperlink" Target="https://twitter.com/AmandaMoniz1" TargetMode="External"/><Relationship Id="rId3423" Type="http://schemas.openxmlformats.org/officeDocument/2006/relationships/hyperlink" Target="https://pbs.twimg.com/profile_images/704873222802636800/7aFEMOY5_normal.jpg" TargetMode="External"/><Relationship Id="rId4754" Type="http://schemas.openxmlformats.org/officeDocument/2006/relationships/hyperlink" Target="https://twitter.com/JulieThePH" TargetMode="External"/><Relationship Id="rId892" Type="http://schemas.openxmlformats.org/officeDocument/2006/relationships/hyperlink" Target="https://pbs.twimg.com/profile_images/458712425454243840/TjTTWAM__normal.jpeg" TargetMode="External"/><Relationship Id="rId3422" Type="http://schemas.openxmlformats.org/officeDocument/2006/relationships/hyperlink" Target="https://twitter.com/pastpunditry/status/705935779722358784" TargetMode="External"/><Relationship Id="rId4753" Type="http://schemas.openxmlformats.org/officeDocument/2006/relationships/hyperlink" Target="https://pbs.twimg.com/profile_images/704873222802636800/7aFEMOY5_normal.jpg" TargetMode="External"/><Relationship Id="rId2126" Type="http://schemas.openxmlformats.org/officeDocument/2006/relationships/hyperlink" Target="https://pbs.twimg.com/profile_images/704873222802636800/7aFEMOY5_normal.jpg" TargetMode="External"/><Relationship Id="rId3458" Type="http://schemas.openxmlformats.org/officeDocument/2006/relationships/hyperlink" Target="https://twitter.com/sheishistoric/status/705937361964814336" TargetMode="External"/><Relationship Id="rId4789" Type="http://schemas.openxmlformats.org/officeDocument/2006/relationships/hyperlink" Target="https://pbs.twimg.com/profile_images/704873222802636800/7aFEMOY5_normal.jpg" TargetMode="External"/><Relationship Id="rId2127" Type="http://schemas.openxmlformats.org/officeDocument/2006/relationships/hyperlink" Target="https://twitter.com/fefenifi" TargetMode="External"/><Relationship Id="rId3457" Type="http://schemas.openxmlformats.org/officeDocument/2006/relationships/hyperlink" Target="https://twitter.com/sheishistoric" TargetMode="External"/><Relationship Id="rId4788" Type="http://schemas.openxmlformats.org/officeDocument/2006/relationships/hyperlink" Target="https://twitter.com/pastpunditry/status/706188923341512704" TargetMode="External"/><Relationship Id="rId2128" Type="http://schemas.openxmlformats.org/officeDocument/2006/relationships/hyperlink" Target="https://twitter.com/fefenifi/status/705922918883135491" TargetMode="External"/><Relationship Id="rId2129" Type="http://schemas.openxmlformats.org/officeDocument/2006/relationships/hyperlink" Target="https://pbs.twimg.com/profile_images/678387998577135616/E7-0NNJV_normal.jpg" TargetMode="External"/><Relationship Id="rId3459" Type="http://schemas.openxmlformats.org/officeDocument/2006/relationships/hyperlink" Target="https://pbs.twimg.com/profile_images/650419150620377089/bJxBf---_normal.jpg" TargetMode="External"/><Relationship Id="rId3450" Type="http://schemas.openxmlformats.org/officeDocument/2006/relationships/hyperlink" Target="https://pbs.twimg.com/profile_images/673691030139609088/8v7ab61D_normal.jpg" TargetMode="External"/><Relationship Id="rId4781" Type="http://schemas.openxmlformats.org/officeDocument/2006/relationships/hyperlink" Target="https://twitter.com/pastpunditry" TargetMode="External"/><Relationship Id="rId4780" Type="http://schemas.openxmlformats.org/officeDocument/2006/relationships/hyperlink" Target="https://pbs.twimg.com/profile_images/378800000667891782/44d7b181c077bf16ab07b242f7ad81b9_normal.png" TargetMode="External"/><Relationship Id="rId2120" Type="http://schemas.openxmlformats.org/officeDocument/2006/relationships/hyperlink" Target="https://pbs.twimg.com/profile_images/661220280564486144/ZxUrdRVS_normal.jpg" TargetMode="External"/><Relationship Id="rId3452" Type="http://schemas.openxmlformats.org/officeDocument/2006/relationships/hyperlink" Target="https://twitter.com/hallnjean/status/705936710752825344" TargetMode="External"/><Relationship Id="rId4783" Type="http://schemas.openxmlformats.org/officeDocument/2006/relationships/hyperlink" Target="https://pbs.twimg.com/profile_images/704873222802636800/7aFEMOY5_normal.jpg" TargetMode="External"/><Relationship Id="rId2121" Type="http://schemas.openxmlformats.org/officeDocument/2006/relationships/hyperlink" Target="https://twitter.com/MedeaCulpa" TargetMode="External"/><Relationship Id="rId3451" Type="http://schemas.openxmlformats.org/officeDocument/2006/relationships/hyperlink" Target="https://twitter.com/hallnjean" TargetMode="External"/><Relationship Id="rId4782" Type="http://schemas.openxmlformats.org/officeDocument/2006/relationships/hyperlink" Target="https://twitter.com/pastpunditry/status/706188869369241600" TargetMode="External"/><Relationship Id="rId2122" Type="http://schemas.openxmlformats.org/officeDocument/2006/relationships/hyperlink" Target="https://twitter.com/MedeaCulpa/status/705922821449457665" TargetMode="External"/><Relationship Id="rId3454" Type="http://schemas.openxmlformats.org/officeDocument/2006/relationships/hyperlink" Target="https://twitter.com/juliegpeterson" TargetMode="External"/><Relationship Id="rId4785" Type="http://schemas.openxmlformats.org/officeDocument/2006/relationships/hyperlink" Target="https://twitter.com/pastpunditry/status/706188889350914049" TargetMode="External"/><Relationship Id="rId2123" Type="http://schemas.openxmlformats.org/officeDocument/2006/relationships/hyperlink" Target="https://pbs.twimg.com/profile_images/702272676837068800/xO5D7apz_normal.jpg" TargetMode="External"/><Relationship Id="rId3453" Type="http://schemas.openxmlformats.org/officeDocument/2006/relationships/hyperlink" Target="https://pbs.twimg.com/profile_images/663090083239620608/I6P3K6Vw_normal.jpg" TargetMode="External"/><Relationship Id="rId4784" Type="http://schemas.openxmlformats.org/officeDocument/2006/relationships/hyperlink" Target="https://twitter.com/pastpunditry" TargetMode="External"/><Relationship Id="rId2124" Type="http://schemas.openxmlformats.org/officeDocument/2006/relationships/hyperlink" Target="https://twitter.com/pastpunditry" TargetMode="External"/><Relationship Id="rId3456" Type="http://schemas.openxmlformats.org/officeDocument/2006/relationships/hyperlink" Target="https://pbs.twimg.com/profile_images/609765839051452416/GNW0wSt0_normal.jpg" TargetMode="External"/><Relationship Id="rId4787" Type="http://schemas.openxmlformats.org/officeDocument/2006/relationships/hyperlink" Target="https://twitter.com/pastpunditry" TargetMode="External"/><Relationship Id="rId2125" Type="http://schemas.openxmlformats.org/officeDocument/2006/relationships/hyperlink" Target="https://twitter.com/pastpunditry/status/705922823307579392" TargetMode="External"/><Relationship Id="rId3455" Type="http://schemas.openxmlformats.org/officeDocument/2006/relationships/hyperlink" Target="https://twitter.com/juliegpeterson/status/705936813031071744" TargetMode="External"/><Relationship Id="rId4786" Type="http://schemas.openxmlformats.org/officeDocument/2006/relationships/hyperlink" Target="https://pbs.twimg.com/profile_images/704873222802636800/7aFEMOY5_normal.jpg" TargetMode="External"/><Relationship Id="rId2115" Type="http://schemas.openxmlformats.org/officeDocument/2006/relationships/hyperlink" Target="https://twitter.com/erfagen" TargetMode="External"/><Relationship Id="rId3447" Type="http://schemas.openxmlformats.org/officeDocument/2006/relationships/hyperlink" Target="https://pbs.twimg.com/profile_images/661220280564486144/ZxUrdRVS_normal.jpg" TargetMode="External"/><Relationship Id="rId4778" Type="http://schemas.openxmlformats.org/officeDocument/2006/relationships/hyperlink" Target="https://twitter.com/JimGrossmanAHA" TargetMode="External"/><Relationship Id="rId2116" Type="http://schemas.openxmlformats.org/officeDocument/2006/relationships/hyperlink" Target="https://twitter.com/erfagen/status/705922749898874881" TargetMode="External"/><Relationship Id="rId3446" Type="http://schemas.openxmlformats.org/officeDocument/2006/relationships/hyperlink" Target="https://twitter.com/CitizenWald/status/705936149177634816" TargetMode="External"/><Relationship Id="rId4777" Type="http://schemas.openxmlformats.org/officeDocument/2006/relationships/hyperlink" Target="https://pbs.twimg.com/profile_images/436607137188290560/UM-U3wT1_normal.jpeg" TargetMode="External"/><Relationship Id="rId2117" Type="http://schemas.openxmlformats.org/officeDocument/2006/relationships/hyperlink" Target="https://pbs.twimg.com/profile_images/638086945722249217/mid_S_BQ_normal.jpg" TargetMode="External"/><Relationship Id="rId3449" Type="http://schemas.openxmlformats.org/officeDocument/2006/relationships/hyperlink" Target="https://twitter.com/historycampaign/status/705936440899702784" TargetMode="External"/><Relationship Id="rId2118" Type="http://schemas.openxmlformats.org/officeDocument/2006/relationships/hyperlink" Target="https://twitter.com/CitizenWald" TargetMode="External"/><Relationship Id="rId3448" Type="http://schemas.openxmlformats.org/officeDocument/2006/relationships/hyperlink" Target="https://twitter.com/historycampaign" TargetMode="External"/><Relationship Id="rId4779" Type="http://schemas.openxmlformats.org/officeDocument/2006/relationships/hyperlink" Target="https://twitter.com/JimGrossmanAHA/status/706188746857832448" TargetMode="External"/><Relationship Id="rId2119" Type="http://schemas.openxmlformats.org/officeDocument/2006/relationships/hyperlink" Target="https://twitter.com/CitizenWald/status/705922790495559680" TargetMode="External"/><Relationship Id="rId4770" Type="http://schemas.openxmlformats.org/officeDocument/2006/relationships/hyperlink" Target="https://twitter.com/JimGrossmanAHA/status/706188425221824512" TargetMode="External"/><Relationship Id="rId3441" Type="http://schemas.openxmlformats.org/officeDocument/2006/relationships/hyperlink" Target="https://pbs.twimg.com/profile_images/704873222802636800/7aFEMOY5_normal.jpg" TargetMode="External"/><Relationship Id="rId4772" Type="http://schemas.openxmlformats.org/officeDocument/2006/relationships/hyperlink" Target="https://twitter.com/JulieThePH" TargetMode="External"/><Relationship Id="rId2110" Type="http://schemas.openxmlformats.org/officeDocument/2006/relationships/hyperlink" Target="https://twitter.com/juliegpeterson/status/705922721608110080" TargetMode="External"/><Relationship Id="rId3440" Type="http://schemas.openxmlformats.org/officeDocument/2006/relationships/hyperlink" Target="https://twitter.com/pastpunditry/status/705936090826416128" TargetMode="External"/><Relationship Id="rId4771" Type="http://schemas.openxmlformats.org/officeDocument/2006/relationships/hyperlink" Target="https://pbs.twimg.com/profile_images/378800000667891782/44d7b181c077bf16ab07b242f7ad81b9_normal.png" TargetMode="External"/><Relationship Id="rId2111" Type="http://schemas.openxmlformats.org/officeDocument/2006/relationships/hyperlink" Target="https://pbs.twimg.com/profile_images/609765839051452416/GNW0wSt0_normal.jpg" TargetMode="External"/><Relationship Id="rId3443" Type="http://schemas.openxmlformats.org/officeDocument/2006/relationships/hyperlink" Target="https://twitter.com/pastpunditry/status/705936106550923265" TargetMode="External"/><Relationship Id="rId4774" Type="http://schemas.openxmlformats.org/officeDocument/2006/relationships/hyperlink" Target="https://pbs.twimg.com/profile_images/596509974005686273/AqBblwMR_normal.jpg" TargetMode="External"/><Relationship Id="rId2112" Type="http://schemas.openxmlformats.org/officeDocument/2006/relationships/hyperlink" Target="https://twitter.com/pastpunditry" TargetMode="External"/><Relationship Id="rId3442" Type="http://schemas.openxmlformats.org/officeDocument/2006/relationships/hyperlink" Target="https://twitter.com/pastpunditry" TargetMode="External"/><Relationship Id="rId4773" Type="http://schemas.openxmlformats.org/officeDocument/2006/relationships/hyperlink" Target="https://twitter.com/JulieThePH/status/706188623432032256" TargetMode="External"/><Relationship Id="rId2113" Type="http://schemas.openxmlformats.org/officeDocument/2006/relationships/hyperlink" Target="https://twitter.com/pastpunditry/status/705922735537594368" TargetMode="External"/><Relationship Id="rId3445" Type="http://schemas.openxmlformats.org/officeDocument/2006/relationships/hyperlink" Target="https://twitter.com/CitizenWald" TargetMode="External"/><Relationship Id="rId4776" Type="http://schemas.openxmlformats.org/officeDocument/2006/relationships/hyperlink" Target="https://twitter.com/jaheppler/status/706188722883076096" TargetMode="External"/><Relationship Id="rId2114" Type="http://schemas.openxmlformats.org/officeDocument/2006/relationships/hyperlink" Target="https://pbs.twimg.com/profile_images/704873222802636800/7aFEMOY5_normal.jpg" TargetMode="External"/><Relationship Id="rId3444" Type="http://schemas.openxmlformats.org/officeDocument/2006/relationships/hyperlink" Target="https://pbs.twimg.com/profile_images/704873222802636800/7aFEMOY5_normal.jpg" TargetMode="External"/><Relationship Id="rId4775" Type="http://schemas.openxmlformats.org/officeDocument/2006/relationships/hyperlink" Target="https://twitter.com/jaheppl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29"/>
    <col customWidth="1" min="3" max="3" width="16.29"/>
    <col customWidth="1" min="4" max="4" width="38.43"/>
    <col customWidth="1" min="5" max="5" width="17.71"/>
    <col customWidth="1" min="6" max="6" width="16.14"/>
    <col customWidth="1" min="7" max="12" width="11.14"/>
    <col customWidth="1" min="14" max="14" width="18.86"/>
    <col customWidth="1" min="15" max="16" width="12.0"/>
  </cols>
  <sheetData>
    <row r="1" ht="25.5" customHeight="1">
      <c r="A1" s="1" t="s">
        <v>0</v>
      </c>
      <c r="G1" s="2" t="s">
        <v>1</v>
      </c>
      <c r="P1" s="3"/>
    </row>
    <row r="2" ht="29.25" customHeight="1">
      <c r="A2" s="4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</row>
    <row r="3">
      <c r="A3" s="7">
        <v>42426.583703703705</v>
      </c>
      <c r="B3" s="8" t="str">
        <f>HYPERLINK("https://twitter.com/UMassHistory","@UMassHistory")</f>
        <v>@UMassHistory</v>
      </c>
      <c r="C3" s="9" t="s">
        <v>18</v>
      </c>
      <c r="D3" s="9" t="s">
        <v>19</v>
      </c>
      <c r="E3" s="10" t="str">
        <f>HYPERLINK("https://twitter.com/UMassHistory/status/703308686068834307","703308686068834307")</f>
        <v>703308686068834307</v>
      </c>
      <c r="F3" s="11" t="s">
        <v>20</v>
      </c>
      <c r="G3" s="12">
        <v>722.0</v>
      </c>
      <c r="H3" s="12">
        <v>296.0</v>
      </c>
      <c r="I3" s="12">
        <v>0.0</v>
      </c>
      <c r="J3" s="12">
        <v>0.0</v>
      </c>
      <c r="K3" s="11" t="s">
        <v>21</v>
      </c>
      <c r="L3" s="7">
        <v>40408.38695601852</v>
      </c>
      <c r="M3" s="13" t="s">
        <v>22</v>
      </c>
      <c r="N3" s="13" t="s">
        <v>23</v>
      </c>
      <c r="O3" s="10" t="str">
        <f>HYPERLINK("https://pbs.twimg.com/profile_images/3586356040/2875fe2e13ecc978a7c19bbf515b7847_normal.png","View")</f>
        <v>View</v>
      </c>
      <c r="P3" s="14"/>
    </row>
    <row r="4">
      <c r="A4" s="7">
        <v>42429.237916666665</v>
      </c>
      <c r="B4" s="8" t="str">
        <f>HYPERLINK("https://twitter.com/juliegpeterson","@juliegpeterson")</f>
        <v>@juliegpeterson</v>
      </c>
      <c r="C4" s="9" t="s">
        <v>24</v>
      </c>
      <c r="D4" s="9" t="s">
        <v>25</v>
      </c>
      <c r="E4" s="10" t="str">
        <f>HYPERLINK("https://twitter.com/juliegpeterson/status/704270541247619072","704270541247619072")</f>
        <v>704270541247619072</v>
      </c>
      <c r="F4" s="11" t="s">
        <v>26</v>
      </c>
      <c r="G4" s="12">
        <v>239.0</v>
      </c>
      <c r="H4" s="12">
        <v>775.0</v>
      </c>
      <c r="I4" s="12">
        <v>2.0</v>
      </c>
      <c r="J4" s="12">
        <v>9.0</v>
      </c>
      <c r="K4" s="11" t="s">
        <v>21</v>
      </c>
      <c r="L4" s="7">
        <v>41208.65523148148</v>
      </c>
      <c r="M4" s="13" t="s">
        <v>22</v>
      </c>
      <c r="N4" s="13" t="s">
        <v>27</v>
      </c>
      <c r="O4" s="10" t="str">
        <f>HYPERLINK("https://pbs.twimg.com/profile_images/609765839051452416/GNW0wSt0_normal.jpg","View")</f>
        <v>View</v>
      </c>
      <c r="P4" s="14"/>
    </row>
    <row r="5">
      <c r="A5" s="7">
        <v>42429.2710300926</v>
      </c>
      <c r="B5" s="8" t="str">
        <f>HYPERLINK("https://twitter.com/UMassHistory","@UMassHistory")</f>
        <v>@UMassHistory</v>
      </c>
      <c r="C5" s="9" t="s">
        <v>18</v>
      </c>
      <c r="D5" s="9" t="s">
        <v>28</v>
      </c>
      <c r="E5" s="10" t="str">
        <f>HYPERLINK("https://twitter.com/UMassHistory/status/704282541654720513","704282541654720513")</f>
        <v>704282541654720513</v>
      </c>
      <c r="F5" s="11" t="s">
        <v>29</v>
      </c>
      <c r="G5" s="12">
        <v>722.0</v>
      </c>
      <c r="H5" s="12">
        <v>296.0</v>
      </c>
      <c r="I5" s="12">
        <v>2.0</v>
      </c>
      <c r="J5" s="12">
        <v>0.0</v>
      </c>
      <c r="K5" s="11" t="s">
        <v>21</v>
      </c>
      <c r="L5" s="7">
        <v>40408.38695601852</v>
      </c>
      <c r="M5" s="13" t="s">
        <v>22</v>
      </c>
      <c r="N5" s="13" t="s">
        <v>23</v>
      </c>
      <c r="O5" s="10" t="str">
        <f>HYPERLINK("https://pbs.twimg.com/profile_images/3586356040/2875fe2e13ecc978a7c19bbf515b7847_normal.png","View")</f>
        <v>View</v>
      </c>
      <c r="P5" s="14"/>
    </row>
    <row r="6">
      <c r="A6" s="7">
        <v>42429.3572337963</v>
      </c>
      <c r="B6" s="8" t="str">
        <f>HYPERLINK("https://twitter.com/GHAUmass","@GHAUmass")</f>
        <v>@GHAUmass</v>
      </c>
      <c r="C6" s="9" t="s">
        <v>30</v>
      </c>
      <c r="D6" s="9" t="s">
        <v>28</v>
      </c>
      <c r="E6" s="10" t="str">
        <f>HYPERLINK("https://twitter.com/GHAUmass/status/704313778880565248","704313778880565248")</f>
        <v>704313778880565248</v>
      </c>
      <c r="F6" s="11" t="s">
        <v>31</v>
      </c>
      <c r="G6" s="12">
        <v>68.0</v>
      </c>
      <c r="H6" s="12">
        <v>100.0</v>
      </c>
      <c r="I6" s="12">
        <v>2.0</v>
      </c>
      <c r="J6" s="12">
        <v>0.0</v>
      </c>
      <c r="K6" s="11" t="s">
        <v>21</v>
      </c>
      <c r="L6" s="7">
        <v>42152.65289351852</v>
      </c>
      <c r="M6" s="13" t="s">
        <v>22</v>
      </c>
      <c r="N6" s="13" t="s">
        <v>32</v>
      </c>
      <c r="O6" s="10" t="str">
        <f>HYPERLINK("https://pbs.twimg.com/profile_images/604060333590855682/Fk6r1D7d_normal.jpg","View")</f>
        <v>View</v>
      </c>
      <c r="P6" s="14"/>
    </row>
    <row r="7">
      <c r="A7" s="7">
        <v>42429.37277777778</v>
      </c>
      <c r="B7" s="8" t="str">
        <f>HYPERLINK("https://twitter.com/monicalmercado","@monicalmercado")</f>
        <v>@monicalmercado</v>
      </c>
      <c r="C7" s="9" t="s">
        <v>33</v>
      </c>
      <c r="D7" s="9" t="s">
        <v>34</v>
      </c>
      <c r="E7" s="10" t="str">
        <f>HYPERLINK("https://twitter.com/monicalmercado/status/704319415291138048","704319415291138048")</f>
        <v>704319415291138048</v>
      </c>
      <c r="F7" s="11" t="s">
        <v>31</v>
      </c>
      <c r="G7" s="12">
        <v>2443.0</v>
      </c>
      <c r="H7" s="12">
        <v>901.0</v>
      </c>
      <c r="I7" s="12">
        <v>0.0</v>
      </c>
      <c r="J7" s="12">
        <v>1.0</v>
      </c>
      <c r="K7" s="11" t="s">
        <v>21</v>
      </c>
      <c r="L7" s="7">
        <v>41048.39329861111</v>
      </c>
      <c r="M7" s="13" t="s">
        <v>35</v>
      </c>
      <c r="N7" s="13" t="s">
        <v>36</v>
      </c>
      <c r="O7" s="10" t="str">
        <f>HYPERLINK("https://pbs.twimg.com/profile_images/649760595999334400/cvNB478i_normal.jpg","View")</f>
        <v>View</v>
      </c>
      <c r="P7" s="14"/>
    </row>
    <row r="8">
      <c r="A8" s="7">
        <v>42429.51565972222</v>
      </c>
      <c r="B8" s="8" t="str">
        <f>HYPERLINK("https://twitter.com/JasonSteinhauer","@JasonSteinhauer")</f>
        <v>@JasonSteinhauer</v>
      </c>
      <c r="C8" s="9" t="s">
        <v>37</v>
      </c>
      <c r="D8" s="9" t="s">
        <v>38</v>
      </c>
      <c r="E8" s="10" t="str">
        <f>HYPERLINK("https://twitter.com/JasonSteinhauer/status/704371191071576066","704371191071576066")</f>
        <v>704371191071576066</v>
      </c>
      <c r="F8" s="11" t="s">
        <v>31</v>
      </c>
      <c r="G8" s="12">
        <v>1302.0</v>
      </c>
      <c r="H8" s="12">
        <v>1315.0</v>
      </c>
      <c r="I8" s="12">
        <v>4.0</v>
      </c>
      <c r="J8" s="12">
        <v>2.0</v>
      </c>
      <c r="K8" s="11" t="s">
        <v>21</v>
      </c>
      <c r="L8" s="7">
        <v>41169.51726851852</v>
      </c>
      <c r="M8" s="13" t="s">
        <v>39</v>
      </c>
      <c r="N8" s="13" t="s">
        <v>40</v>
      </c>
      <c r="O8" s="10" t="str">
        <f>HYPERLINK("https://pbs.twimg.com/profile_images/531574951107518465/AvUhkliP_normal.jpeg","View")</f>
        <v>View</v>
      </c>
      <c r="P8" s="14"/>
    </row>
    <row r="9">
      <c r="A9" s="7">
        <v>42429.51734953704</v>
      </c>
      <c r="B9" s="8" t="str">
        <f>HYPERLINK("https://twitter.com/UMassHistory","@UMassHistory")</f>
        <v>@UMassHistory</v>
      </c>
      <c r="C9" s="9" t="s">
        <v>18</v>
      </c>
      <c r="D9" s="9" t="s">
        <v>41</v>
      </c>
      <c r="E9" s="10" t="str">
        <f>HYPERLINK("https://twitter.com/UMassHistory/status/704371804773740544","704371804773740544")</f>
        <v>704371804773740544</v>
      </c>
      <c r="F9" s="11" t="s">
        <v>31</v>
      </c>
      <c r="G9" s="12">
        <v>722.0</v>
      </c>
      <c r="H9" s="12">
        <v>296.0</v>
      </c>
      <c r="I9" s="12">
        <v>4.0</v>
      </c>
      <c r="J9" s="12">
        <v>0.0</v>
      </c>
      <c r="K9" s="11" t="s">
        <v>21</v>
      </c>
      <c r="L9" s="7">
        <v>40408.38695601852</v>
      </c>
      <c r="M9" s="13" t="s">
        <v>22</v>
      </c>
      <c r="N9" s="13" t="s">
        <v>23</v>
      </c>
      <c r="O9" s="10" t="str">
        <f>HYPERLINK("https://pbs.twimg.com/profile_images/3586356040/2875fe2e13ecc978a7c19bbf515b7847_normal.png","View")</f>
        <v>View</v>
      </c>
      <c r="P9" s="14"/>
    </row>
    <row r="10">
      <c r="A10" s="7">
        <v>42429.52240740741</v>
      </c>
      <c r="B10" s="8" t="str">
        <f>HYPERLINK("https://twitter.com/NixoNARA","@NixoNARA")</f>
        <v>@NixoNARA</v>
      </c>
      <c r="C10" s="9" t="s">
        <v>42</v>
      </c>
      <c r="D10" s="9" t="s">
        <v>41</v>
      </c>
      <c r="E10" s="10" t="str">
        <f>HYPERLINK("https://twitter.com/NixoNARA/status/704373636292067329","704373636292067329")</f>
        <v>704373636292067329</v>
      </c>
      <c r="F10" s="11" t="s">
        <v>43</v>
      </c>
      <c r="G10" s="12">
        <v>541.0</v>
      </c>
      <c r="H10" s="12">
        <v>402.0</v>
      </c>
      <c r="I10" s="12">
        <v>4.0</v>
      </c>
      <c r="J10" s="12">
        <v>0.0</v>
      </c>
      <c r="K10" s="11" t="s">
        <v>21</v>
      </c>
      <c r="L10" s="7">
        <v>40520.75891203704</v>
      </c>
      <c r="M10" s="15"/>
      <c r="N10" s="13" t="s">
        <v>44</v>
      </c>
      <c r="O10" s="10" t="str">
        <f>HYPERLINK("https://pbs.twimg.com/profile_images/1185970366/Twitter_NixoNARA_normal.jpg","View")</f>
        <v>View</v>
      </c>
      <c r="P10" s="14"/>
    </row>
    <row r="11">
      <c r="A11" s="7">
        <v>42429.53400462963</v>
      </c>
      <c r="B11" s="8" t="str">
        <f>HYPERLINK("https://twitter.com/MarlaAtUmass","@MarlaAtUmass")</f>
        <v>@MarlaAtUmass</v>
      </c>
      <c r="C11" s="9" t="s">
        <v>45</v>
      </c>
      <c r="D11" s="9" t="s">
        <v>46</v>
      </c>
      <c r="E11" s="10" t="str">
        <f>HYPERLINK("https://twitter.com/MarlaAtUmass/status/704377840058441728","704377840058441728")</f>
        <v>704377840058441728</v>
      </c>
      <c r="F11" s="11" t="s">
        <v>31</v>
      </c>
      <c r="G11" s="12">
        <v>1993.0</v>
      </c>
      <c r="H11" s="12">
        <v>1647.0</v>
      </c>
      <c r="I11" s="12">
        <v>2.0</v>
      </c>
      <c r="J11" s="12">
        <v>5.0</v>
      </c>
      <c r="K11" s="11" t="s">
        <v>21</v>
      </c>
      <c r="L11" s="7">
        <v>40125.78074074074</v>
      </c>
      <c r="M11" s="15"/>
      <c r="N11" s="13" t="s">
        <v>47</v>
      </c>
      <c r="O11" s="10" t="str">
        <f>HYPERLINK("https://pbs.twimg.com/profile_images/565429960/Betsy_Twitter_normal.jpg","View")</f>
        <v>View</v>
      </c>
      <c r="P11" s="14"/>
    </row>
    <row r="12">
      <c r="A12" s="7">
        <v>42429.59412037037</v>
      </c>
      <c r="B12" s="8" t="str">
        <f>HYPERLINK("https://twitter.com/JasonSteinhauer","@JasonSteinhauer")</f>
        <v>@JasonSteinhauer</v>
      </c>
      <c r="C12" s="9" t="s">
        <v>37</v>
      </c>
      <c r="D12" s="9" t="s">
        <v>48</v>
      </c>
      <c r="E12" s="10" t="str">
        <f>HYPERLINK("https://twitter.com/JasonSteinhauer/status/704399624430292992","704399624430292992")</f>
        <v>704399624430292992</v>
      </c>
      <c r="F12" s="11" t="s">
        <v>31</v>
      </c>
      <c r="G12" s="12">
        <v>1302.0</v>
      </c>
      <c r="H12" s="12">
        <v>1315.0</v>
      </c>
      <c r="I12" s="12">
        <v>4.0</v>
      </c>
      <c r="J12" s="12">
        <v>5.0</v>
      </c>
      <c r="K12" s="11" t="s">
        <v>21</v>
      </c>
      <c r="L12" s="7">
        <v>41169.51726851852</v>
      </c>
      <c r="M12" s="13" t="s">
        <v>39</v>
      </c>
      <c r="N12" s="13" t="s">
        <v>40</v>
      </c>
      <c r="O12" s="10" t="str">
        <f>HYPERLINK("https://pbs.twimg.com/profile_images/531574951107518465/AvUhkliP_normal.jpeg","View")</f>
        <v>View</v>
      </c>
      <c r="P12" s="14"/>
    </row>
    <row r="13">
      <c r="A13" s="7">
        <v>42429.59560185185</v>
      </c>
      <c r="B13" s="8" t="str">
        <f>HYPERLINK("https://twitter.com/ncph","@ncph")</f>
        <v>@ncph</v>
      </c>
      <c r="C13" s="9" t="s">
        <v>49</v>
      </c>
      <c r="D13" s="9" t="s">
        <v>50</v>
      </c>
      <c r="E13" s="10" t="str">
        <f>HYPERLINK("https://twitter.com/ncph/status/704400161670307840","704400161670307840")</f>
        <v>704400161670307840</v>
      </c>
      <c r="F13" s="11" t="s">
        <v>31</v>
      </c>
      <c r="G13" s="12">
        <v>5692.0</v>
      </c>
      <c r="H13" s="12">
        <v>1937.0</v>
      </c>
      <c r="I13" s="12">
        <v>4.0</v>
      </c>
      <c r="J13" s="12">
        <v>0.0</v>
      </c>
      <c r="K13" s="11" t="s">
        <v>21</v>
      </c>
      <c r="L13" s="7">
        <v>40240.01341435185</v>
      </c>
      <c r="M13" s="13" t="s">
        <v>51</v>
      </c>
      <c r="N13" s="13" t="s">
        <v>52</v>
      </c>
      <c r="O13" s="10" t="str">
        <f>HYPERLINK("https://pbs.twimg.com/profile_images/692044482284490752/cl6DSLkD_normal.jpg","View")</f>
        <v>View</v>
      </c>
      <c r="P13" s="14"/>
    </row>
    <row r="14">
      <c r="A14" s="7">
        <v>42429.61982638889</v>
      </c>
      <c r="B14" s="8" t="str">
        <f>HYPERLINK("https://twitter.com/aglassofhistory","@aglassofhistory")</f>
        <v>@aglassofhistory</v>
      </c>
      <c r="C14" s="9" t="s">
        <v>53</v>
      </c>
      <c r="D14" s="9" t="s">
        <v>54</v>
      </c>
      <c r="E14" s="10" t="str">
        <f>HYPERLINK("https://twitter.com/aglassofhistory/status/704408941950799872","704408941950799872")</f>
        <v>704408941950799872</v>
      </c>
      <c r="F14" s="11" t="s">
        <v>31</v>
      </c>
      <c r="G14" s="12">
        <v>400.0</v>
      </c>
      <c r="H14" s="12">
        <v>733.0</v>
      </c>
      <c r="I14" s="12">
        <v>0.0</v>
      </c>
      <c r="J14" s="12">
        <v>2.0</v>
      </c>
      <c r="K14" s="11" t="s">
        <v>21</v>
      </c>
      <c r="L14" s="7">
        <v>41697.65762731482</v>
      </c>
      <c r="M14" s="13" t="s">
        <v>55</v>
      </c>
      <c r="N14" s="13" t="s">
        <v>56</v>
      </c>
      <c r="O14" s="10" t="str">
        <f>HYPERLINK("https://pbs.twimg.com/profile_images/611592888816898048/cGMlIfmz_normal.jpg","View")</f>
        <v>View</v>
      </c>
      <c r="P14" s="14"/>
    </row>
    <row r="15">
      <c r="A15" s="7">
        <v>42429.785162037035</v>
      </c>
      <c r="B15" s="8" t="str">
        <f t="shared" ref="B15:B17" si="1">HYPERLINK("https://twitter.com/GHAUmass","@GHAUmass")</f>
        <v>@GHAUmass</v>
      </c>
      <c r="C15" s="9" t="s">
        <v>30</v>
      </c>
      <c r="D15" s="9" t="s">
        <v>50</v>
      </c>
      <c r="E15" s="10" t="str">
        <f>HYPERLINK("https://twitter.com/GHAUmass/status/704468856140595200","704468856140595200")</f>
        <v>704468856140595200</v>
      </c>
      <c r="F15" s="11" t="s">
        <v>31</v>
      </c>
      <c r="G15" s="12">
        <v>68.0</v>
      </c>
      <c r="H15" s="12">
        <v>100.0</v>
      </c>
      <c r="I15" s="12">
        <v>4.0</v>
      </c>
      <c r="J15" s="12">
        <v>0.0</v>
      </c>
      <c r="K15" s="11" t="s">
        <v>21</v>
      </c>
      <c r="L15" s="7">
        <v>42152.65289351852</v>
      </c>
      <c r="M15" s="13" t="s">
        <v>22</v>
      </c>
      <c r="N15" s="13" t="s">
        <v>32</v>
      </c>
      <c r="O15" s="10" t="str">
        <f t="shared" ref="O15:O17" si="2">HYPERLINK("https://pbs.twimg.com/profile_images/604060333590855682/Fk6r1D7d_normal.jpg","View")</f>
        <v>View</v>
      </c>
      <c r="P15" s="14"/>
    </row>
    <row r="16">
      <c r="A16" s="7">
        <v>42429.7856712963</v>
      </c>
      <c r="B16" s="8" t="str">
        <f t="shared" si="1"/>
        <v>@GHAUmass</v>
      </c>
      <c r="C16" s="9" t="s">
        <v>30</v>
      </c>
      <c r="D16" s="9" t="s">
        <v>57</v>
      </c>
      <c r="E16" s="10" t="str">
        <f>HYPERLINK("https://twitter.com/GHAUmass/status/704469041004548099","704469041004548099")</f>
        <v>704469041004548099</v>
      </c>
      <c r="F16" s="11" t="s">
        <v>31</v>
      </c>
      <c r="G16" s="12">
        <v>68.0</v>
      </c>
      <c r="H16" s="12">
        <v>100.0</v>
      </c>
      <c r="I16" s="12">
        <v>2.0</v>
      </c>
      <c r="J16" s="12">
        <v>0.0</v>
      </c>
      <c r="K16" s="11" t="s">
        <v>21</v>
      </c>
      <c r="L16" s="7">
        <v>42152.65289351852</v>
      </c>
      <c r="M16" s="13" t="s">
        <v>22</v>
      </c>
      <c r="N16" s="13" t="s">
        <v>32</v>
      </c>
      <c r="O16" s="10" t="str">
        <f t="shared" si="2"/>
        <v>View</v>
      </c>
      <c r="P16" s="14"/>
    </row>
    <row r="17">
      <c r="A17" s="7">
        <v>42429.78607638889</v>
      </c>
      <c r="B17" s="8" t="str">
        <f t="shared" si="1"/>
        <v>@GHAUmass</v>
      </c>
      <c r="C17" s="9" t="s">
        <v>30</v>
      </c>
      <c r="D17" s="9" t="s">
        <v>41</v>
      </c>
      <c r="E17" s="10" t="str">
        <f>HYPERLINK("https://twitter.com/GHAUmass/status/704469187683549184","704469187683549184")</f>
        <v>704469187683549184</v>
      </c>
      <c r="F17" s="11" t="s">
        <v>31</v>
      </c>
      <c r="G17" s="12">
        <v>68.0</v>
      </c>
      <c r="H17" s="12">
        <v>100.0</v>
      </c>
      <c r="I17" s="12">
        <v>4.0</v>
      </c>
      <c r="J17" s="12">
        <v>0.0</v>
      </c>
      <c r="K17" s="11" t="s">
        <v>21</v>
      </c>
      <c r="L17" s="7">
        <v>42152.65289351852</v>
      </c>
      <c r="M17" s="13" t="s">
        <v>22</v>
      </c>
      <c r="N17" s="13" t="s">
        <v>32</v>
      </c>
      <c r="O17" s="10" t="str">
        <f t="shared" si="2"/>
        <v>View</v>
      </c>
      <c r="P17" s="14"/>
    </row>
    <row r="18">
      <c r="A18" s="7">
        <v>42429.788194444445</v>
      </c>
      <c r="B18" s="8" t="str">
        <f t="shared" ref="B18:B20" si="3">HYPERLINK("https://twitter.com/justinokc","@justinokc")</f>
        <v>@justinokc</v>
      </c>
      <c r="C18" s="9" t="s">
        <v>58</v>
      </c>
      <c r="D18" s="9" t="s">
        <v>50</v>
      </c>
      <c r="E18" s="10" t="str">
        <f>HYPERLINK("https://twitter.com/justinokc/status/704469955639640064","704469955639640064")</f>
        <v>704469955639640064</v>
      </c>
      <c r="F18" s="11" t="s">
        <v>26</v>
      </c>
      <c r="G18" s="12">
        <v>444.0</v>
      </c>
      <c r="H18" s="12">
        <v>1740.0</v>
      </c>
      <c r="I18" s="12">
        <v>4.0</v>
      </c>
      <c r="J18" s="12">
        <v>0.0</v>
      </c>
      <c r="K18" s="11" t="s">
        <v>21</v>
      </c>
      <c r="L18" s="7">
        <v>41206.658113425925</v>
      </c>
      <c r="M18" s="13" t="s">
        <v>59</v>
      </c>
      <c r="N18" s="13" t="s">
        <v>60</v>
      </c>
      <c r="O18" s="10" t="str">
        <f t="shared" ref="O18:O20" si="4">HYPERLINK("https://pbs.twimg.com/profile_images/423134042364858369/GukeR_9H_normal.jpeg","View")</f>
        <v>View</v>
      </c>
      <c r="P18" s="14"/>
    </row>
    <row r="19">
      <c r="A19" s="7">
        <v>42429.788252314815</v>
      </c>
      <c r="B19" s="8" t="str">
        <f t="shared" si="3"/>
        <v>@justinokc</v>
      </c>
      <c r="C19" s="9" t="s">
        <v>58</v>
      </c>
      <c r="D19" s="9" t="s">
        <v>57</v>
      </c>
      <c r="E19" s="10" t="str">
        <f>HYPERLINK("https://twitter.com/justinokc/status/704469976258842624","704469976258842624")</f>
        <v>704469976258842624</v>
      </c>
      <c r="F19" s="11" t="s">
        <v>26</v>
      </c>
      <c r="G19" s="12">
        <v>444.0</v>
      </c>
      <c r="H19" s="12">
        <v>1740.0</v>
      </c>
      <c r="I19" s="12">
        <v>2.0</v>
      </c>
      <c r="J19" s="12">
        <v>0.0</v>
      </c>
      <c r="K19" s="11" t="s">
        <v>21</v>
      </c>
      <c r="L19" s="7">
        <v>41206.658113425925</v>
      </c>
      <c r="M19" s="13" t="s">
        <v>59</v>
      </c>
      <c r="N19" s="13" t="s">
        <v>60</v>
      </c>
      <c r="O19" s="10" t="str">
        <f t="shared" si="4"/>
        <v>View</v>
      </c>
      <c r="P19" s="14"/>
    </row>
    <row r="20">
      <c r="A20" s="7">
        <v>42429.78829861111</v>
      </c>
      <c r="B20" s="8" t="str">
        <f t="shared" si="3"/>
        <v>@justinokc</v>
      </c>
      <c r="C20" s="9" t="s">
        <v>58</v>
      </c>
      <c r="D20" s="9" t="s">
        <v>41</v>
      </c>
      <c r="E20" s="10" t="str">
        <f>HYPERLINK("https://twitter.com/justinokc/status/704469993983967232","704469993983967232")</f>
        <v>704469993983967232</v>
      </c>
      <c r="F20" s="11" t="s">
        <v>26</v>
      </c>
      <c r="G20" s="12">
        <v>444.0</v>
      </c>
      <c r="H20" s="12">
        <v>1740.0</v>
      </c>
      <c r="I20" s="12">
        <v>4.0</v>
      </c>
      <c r="J20" s="12">
        <v>0.0</v>
      </c>
      <c r="K20" s="11" t="s">
        <v>21</v>
      </c>
      <c r="L20" s="7">
        <v>41206.658113425925</v>
      </c>
      <c r="M20" s="13" t="s">
        <v>59</v>
      </c>
      <c r="N20" s="13" t="s">
        <v>60</v>
      </c>
      <c r="O20" s="10" t="str">
        <f t="shared" si="4"/>
        <v>View</v>
      </c>
      <c r="P20" s="14"/>
    </row>
    <row r="21">
      <c r="A21" s="7">
        <v>42430.2884375</v>
      </c>
      <c r="B21" s="8" t="str">
        <f>HYPERLINK("https://twitter.com/AdamMatthewGrp","@AdamMatthewGrp")</f>
        <v>@AdamMatthewGrp</v>
      </c>
      <c r="C21" s="9" t="s">
        <v>61</v>
      </c>
      <c r="D21" s="9" t="s">
        <v>62</v>
      </c>
      <c r="E21" s="10" t="str">
        <f>HYPERLINK("https://twitter.com/AdamMatthewGrp/status/704651237136994304","704651237136994304")</f>
        <v>704651237136994304</v>
      </c>
      <c r="F21" s="11" t="s">
        <v>63</v>
      </c>
      <c r="G21" s="12">
        <v>799.0</v>
      </c>
      <c r="H21" s="12">
        <v>982.0</v>
      </c>
      <c r="I21" s="12">
        <v>0.0</v>
      </c>
      <c r="J21" s="12">
        <v>3.0</v>
      </c>
      <c r="K21" s="11" t="s">
        <v>21</v>
      </c>
      <c r="L21" s="7">
        <v>40555.44700231482</v>
      </c>
      <c r="M21" s="13" t="s">
        <v>64</v>
      </c>
      <c r="N21" s="13" t="s">
        <v>65</v>
      </c>
      <c r="O21" s="10" t="str">
        <f>HYPERLINK("https://pbs.twimg.com/profile_images/2885112332/7c6e4265b4d5db53096d9e07c1b716b4_normal.png","View")</f>
        <v>View</v>
      </c>
      <c r="P21" s="14"/>
    </row>
    <row r="22">
      <c r="A22" s="7">
        <v>42430.36716435185</v>
      </c>
      <c r="B22" s="8" t="str">
        <f>HYPERLINK("https://twitter.com/AmandaMoniz1","@AmandaMoniz1")</f>
        <v>@AmandaMoniz1</v>
      </c>
      <c r="C22" s="9" t="s">
        <v>66</v>
      </c>
      <c r="D22" s="9" t="s">
        <v>67</v>
      </c>
      <c r="E22" s="10" t="str">
        <f>HYPERLINK("https://twitter.com/AmandaMoniz1/status/704679767363227648","704679767363227648")</f>
        <v>704679767363227648</v>
      </c>
      <c r="F22" s="11" t="s">
        <v>31</v>
      </c>
      <c r="G22" s="12">
        <v>622.0</v>
      </c>
      <c r="H22" s="12">
        <v>607.0</v>
      </c>
      <c r="I22" s="12">
        <v>2.0</v>
      </c>
      <c r="J22" s="12">
        <v>3.0</v>
      </c>
      <c r="K22" s="11" t="s">
        <v>21</v>
      </c>
      <c r="L22" s="7">
        <v>40766.33971064815</v>
      </c>
      <c r="M22" s="15"/>
      <c r="N22" s="13" t="s">
        <v>68</v>
      </c>
      <c r="O22" s="10" t="str">
        <f>HYPERLINK("https://pbs.twimg.com/profile_images/378800000149111881/7969acf9cec4197748b502a6a6c3d921_normal.jpeg","View")</f>
        <v>View</v>
      </c>
      <c r="P22" s="14"/>
    </row>
    <row r="23">
      <c r="A23" s="7">
        <v>42430.40340277778</v>
      </c>
      <c r="B23" s="8" t="str">
        <f>HYPERLINK("https://twitter.com/JasonSteinhauer","@JasonSteinhauer")</f>
        <v>@JasonSteinhauer</v>
      </c>
      <c r="C23" s="9" t="s">
        <v>37</v>
      </c>
      <c r="D23" s="9" t="s">
        <v>69</v>
      </c>
      <c r="E23" s="10" t="str">
        <f>HYPERLINK("https://twitter.com/JasonSteinhauer/status/704692901129949184","704692901129949184")</f>
        <v>704692901129949184</v>
      </c>
      <c r="F23" s="11" t="s">
        <v>31</v>
      </c>
      <c r="G23" s="12">
        <v>1302.0</v>
      </c>
      <c r="H23" s="12">
        <v>1315.0</v>
      </c>
      <c r="I23" s="12">
        <v>2.0</v>
      </c>
      <c r="J23" s="12">
        <v>0.0</v>
      </c>
      <c r="K23" s="11" t="s">
        <v>21</v>
      </c>
      <c r="L23" s="7">
        <v>41169.51726851852</v>
      </c>
      <c r="M23" s="13" t="s">
        <v>39</v>
      </c>
      <c r="N23" s="13" t="s">
        <v>40</v>
      </c>
      <c r="O23" s="10" t="str">
        <f>HYPERLINK("https://pbs.twimg.com/profile_images/531574951107518465/AvUhkliP_normal.jpeg","View")</f>
        <v>View</v>
      </c>
      <c r="P23" s="14"/>
    </row>
    <row r="24">
      <c r="A24" s="7">
        <v>42430.423692129625</v>
      </c>
      <c r="B24" s="8" t="str">
        <f>HYPERLINK("https://twitter.com/MarlaAtUmass","@MarlaAtUmass")</f>
        <v>@MarlaAtUmass</v>
      </c>
      <c r="C24" s="9" t="s">
        <v>45</v>
      </c>
      <c r="D24" s="9" t="s">
        <v>69</v>
      </c>
      <c r="E24" s="10" t="str">
        <f>HYPERLINK("https://twitter.com/MarlaAtUmass/status/704700250448068608","704700250448068608")</f>
        <v>704700250448068608</v>
      </c>
      <c r="F24" s="11" t="s">
        <v>31</v>
      </c>
      <c r="G24" s="12">
        <v>1993.0</v>
      </c>
      <c r="H24" s="12">
        <v>1647.0</v>
      </c>
      <c r="I24" s="12">
        <v>2.0</v>
      </c>
      <c r="J24" s="12">
        <v>0.0</v>
      </c>
      <c r="K24" s="11" t="s">
        <v>21</v>
      </c>
      <c r="L24" s="7">
        <v>40125.78074074074</v>
      </c>
      <c r="M24" s="15"/>
      <c r="N24" s="13" t="s">
        <v>47</v>
      </c>
      <c r="O24" s="10" t="str">
        <f>HYPERLINK("https://pbs.twimg.com/profile_images/565429960/Betsy_Twitter_normal.jpg","View")</f>
        <v>View</v>
      </c>
      <c r="P24" s="14"/>
    </row>
    <row r="25">
      <c r="A25" s="7">
        <v>42430.460752314815</v>
      </c>
      <c r="B25" s="8" t="str">
        <f>HYPERLINK("https://twitter.com/jbjhistory","@jbjhistory")</f>
        <v>@jbjhistory</v>
      </c>
      <c r="C25" s="9" t="s">
        <v>70</v>
      </c>
      <c r="D25" s="9" t="s">
        <v>71</v>
      </c>
      <c r="E25" s="10" t="str">
        <f>HYPERLINK("https://twitter.com/jbjhistory/status/704713682190737408","704713682190737408")</f>
        <v>704713682190737408</v>
      </c>
      <c r="F25" s="11" t="s">
        <v>72</v>
      </c>
      <c r="G25" s="12">
        <v>496.0</v>
      </c>
      <c r="H25" s="12">
        <v>914.0</v>
      </c>
      <c r="I25" s="12">
        <v>0.0</v>
      </c>
      <c r="J25" s="12">
        <v>1.0</v>
      </c>
      <c r="K25" s="11" t="s">
        <v>21</v>
      </c>
      <c r="L25" s="7">
        <v>41022.75231481482</v>
      </c>
      <c r="M25" s="13" t="s">
        <v>73</v>
      </c>
      <c r="N25" s="13" t="s">
        <v>74</v>
      </c>
      <c r="O25" s="10" t="str">
        <f>HYPERLINK("https://pbs.twimg.com/profile_images/572584579542691840/6QE8hkeK_normal.jpeg","View")</f>
        <v>View</v>
      </c>
      <c r="P25" s="14"/>
    </row>
    <row r="26">
      <c r="A26" s="7">
        <v>42430.65414351852</v>
      </c>
      <c r="B26" s="8" t="str">
        <f>HYPERLINK("https://twitter.com/AHAhistorians","@AHAhistorians")</f>
        <v>@AHAhistorians</v>
      </c>
      <c r="C26" s="9" t="s">
        <v>75</v>
      </c>
      <c r="D26" s="9" t="s">
        <v>76</v>
      </c>
      <c r="E26" s="10" t="str">
        <f>HYPERLINK("https://twitter.com/AHAhistorians/status/704783764338171905","704783764338171905")</f>
        <v>704783764338171905</v>
      </c>
      <c r="F26" s="11" t="s">
        <v>77</v>
      </c>
      <c r="G26" s="12">
        <v>20282.0</v>
      </c>
      <c r="H26" s="12">
        <v>499.0</v>
      </c>
      <c r="I26" s="12">
        <v>2.0</v>
      </c>
      <c r="J26" s="12">
        <v>5.0</v>
      </c>
      <c r="K26" s="11" t="s">
        <v>21</v>
      </c>
      <c r="L26" s="7">
        <v>40080.329189814816</v>
      </c>
      <c r="M26" s="13" t="s">
        <v>39</v>
      </c>
      <c r="N26" s="13" t="s">
        <v>78</v>
      </c>
      <c r="O26" s="10" t="str">
        <f>HYPERLINK("https://pbs.twimg.com/profile_images/378800000607315092/0ca5f9663f005da03fc39fa9b17092ad_normal.jpeg","View")</f>
        <v>View</v>
      </c>
      <c r="P26" s="14"/>
    </row>
    <row r="27">
      <c r="A27" s="7">
        <v>42430.65548611111</v>
      </c>
      <c r="B27" s="8" t="str">
        <f>HYPERLINK("https://twitter.com/JasonSteinhauer","@JasonSteinhauer")</f>
        <v>@JasonSteinhauer</v>
      </c>
      <c r="C27" s="9" t="s">
        <v>37</v>
      </c>
      <c r="D27" s="9" t="s">
        <v>79</v>
      </c>
      <c r="E27" s="10" t="str">
        <f>HYPERLINK("https://twitter.com/JasonSteinhauer/status/704784250910937088","704784250910937088")</f>
        <v>704784250910937088</v>
      </c>
      <c r="F27" s="11" t="s">
        <v>31</v>
      </c>
      <c r="G27" s="12">
        <v>1302.0</v>
      </c>
      <c r="H27" s="12">
        <v>1315.0</v>
      </c>
      <c r="I27" s="12">
        <v>2.0</v>
      </c>
      <c r="J27" s="12">
        <v>0.0</v>
      </c>
      <c r="K27" s="11" t="s">
        <v>21</v>
      </c>
      <c r="L27" s="7">
        <v>41169.51726851852</v>
      </c>
      <c r="M27" s="13" t="s">
        <v>39</v>
      </c>
      <c r="N27" s="13" t="s">
        <v>40</v>
      </c>
      <c r="O27" s="10" t="str">
        <f>HYPERLINK("https://pbs.twimg.com/profile_images/531574951107518465/AvUhkliP_normal.jpeg","View")</f>
        <v>View</v>
      </c>
      <c r="P27" s="14"/>
    </row>
    <row r="28">
      <c r="A28" s="7">
        <v>42431.353738425925</v>
      </c>
      <c r="B28" s="8" t="str">
        <f>HYPERLINK("https://twitter.com/HistoryCtr","@HistoryCtr")</f>
        <v>@HistoryCtr</v>
      </c>
      <c r="C28" s="9" t="s">
        <v>80</v>
      </c>
      <c r="D28" s="9" t="s">
        <v>79</v>
      </c>
      <c r="E28" s="10" t="str">
        <f>HYPERLINK("https://twitter.com/HistoryCtr/status/705037287961337856","705037287961337856")</f>
        <v>705037287961337856</v>
      </c>
      <c r="F28" s="11" t="s">
        <v>77</v>
      </c>
      <c r="G28" s="12">
        <v>1298.0</v>
      </c>
      <c r="H28" s="12">
        <v>338.0</v>
      </c>
      <c r="I28" s="12">
        <v>2.0</v>
      </c>
      <c r="J28" s="12">
        <v>0.0</v>
      </c>
      <c r="K28" s="11" t="s">
        <v>21</v>
      </c>
      <c r="L28" s="7">
        <v>41248.76708333333</v>
      </c>
      <c r="M28" s="13" t="s">
        <v>39</v>
      </c>
      <c r="N28" s="13" t="s">
        <v>81</v>
      </c>
      <c r="O28" s="10" t="str">
        <f>HYPERLINK("https://pbs.twimg.com/profile_images/3608762633/172233bf2e82856fd9c89c9123981930_normal.jpeg","View")</f>
        <v>View</v>
      </c>
      <c r="P28" s="14"/>
    </row>
    <row r="29">
      <c r="A29" s="7">
        <v>42431.552500000005</v>
      </c>
      <c r="B29" s="8" t="str">
        <f>HYPERLINK("https://twitter.com/UMassHistory","@UMassHistory")</f>
        <v>@UMassHistory</v>
      </c>
      <c r="C29" s="9" t="s">
        <v>18</v>
      </c>
      <c r="D29" s="9" t="s">
        <v>82</v>
      </c>
      <c r="E29" s="10" t="str">
        <f>HYPERLINK("https://twitter.com/UMassHistory/status/705109317905752066","705109317905752066")</f>
        <v>705109317905752066</v>
      </c>
      <c r="F29" s="11" t="s">
        <v>31</v>
      </c>
      <c r="G29" s="12">
        <v>722.0</v>
      </c>
      <c r="H29" s="12">
        <v>296.0</v>
      </c>
      <c r="I29" s="12">
        <v>8.0</v>
      </c>
      <c r="J29" s="12">
        <v>9.0</v>
      </c>
      <c r="K29" s="11" t="s">
        <v>21</v>
      </c>
      <c r="L29" s="7">
        <v>40408.38695601852</v>
      </c>
      <c r="M29" s="13" t="s">
        <v>22</v>
      </c>
      <c r="N29" s="13" t="s">
        <v>23</v>
      </c>
      <c r="O29" s="10" t="str">
        <f>HYPERLINK("https://pbs.twimg.com/profile_images/3586356040/2875fe2e13ecc978a7c19bbf515b7847_normal.png","View")</f>
        <v>View</v>
      </c>
      <c r="P29" s="14"/>
    </row>
    <row r="30">
      <c r="A30" s="7">
        <v>42431.55836805556</v>
      </c>
      <c r="B30" s="8" t="str">
        <f>HYPERLINK("https://twitter.com/benoitkate","@benoitkate")</f>
        <v>@benoitkate</v>
      </c>
      <c r="C30" s="9" t="s">
        <v>83</v>
      </c>
      <c r="D30" s="9" t="s">
        <v>84</v>
      </c>
      <c r="E30" s="10" t="str">
        <f>HYPERLINK("https://twitter.com/benoitkate/status/705111444358979585","705111444358979585")</f>
        <v>705111444358979585</v>
      </c>
      <c r="F30" s="11" t="s">
        <v>26</v>
      </c>
      <c r="G30" s="12">
        <v>388.0</v>
      </c>
      <c r="H30" s="12">
        <v>230.0</v>
      </c>
      <c r="I30" s="12">
        <v>0.0</v>
      </c>
      <c r="J30" s="12">
        <v>1.0</v>
      </c>
      <c r="K30" s="11" t="s">
        <v>21</v>
      </c>
      <c r="L30" s="7">
        <v>40713.88427083333</v>
      </c>
      <c r="M30" s="13" t="s">
        <v>85</v>
      </c>
      <c r="N30" s="13" t="s">
        <v>86</v>
      </c>
      <c r="O30" s="10" t="str">
        <f>HYPERLINK("https://pbs.twimg.com/profile_images/526060856870969344/oUqx-Zk__normal.jpeg","View")</f>
        <v>View</v>
      </c>
      <c r="P30" s="14"/>
    </row>
    <row r="31">
      <c r="A31" s="7">
        <v>42431.65887731481</v>
      </c>
      <c r="B31" s="8" t="str">
        <f>HYPERLINK("https://twitter.com/juliegpeterson","@juliegpeterson")</f>
        <v>@juliegpeterson</v>
      </c>
      <c r="C31" s="9" t="s">
        <v>24</v>
      </c>
      <c r="D31" s="9" t="s">
        <v>87</v>
      </c>
      <c r="E31" s="10" t="str">
        <f>HYPERLINK("https://twitter.com/juliegpeterson/status/705147868663959556","705147868663959556")</f>
        <v>705147868663959556</v>
      </c>
      <c r="F31" s="11" t="s">
        <v>26</v>
      </c>
      <c r="G31" s="12">
        <v>239.0</v>
      </c>
      <c r="H31" s="12">
        <v>775.0</v>
      </c>
      <c r="I31" s="12">
        <v>3.0</v>
      </c>
      <c r="J31" s="12">
        <v>1.0</v>
      </c>
      <c r="K31" s="11" t="s">
        <v>21</v>
      </c>
      <c r="L31" s="7">
        <v>41208.65523148148</v>
      </c>
      <c r="M31" s="13" t="s">
        <v>22</v>
      </c>
      <c r="N31" s="13" t="s">
        <v>27</v>
      </c>
      <c r="O31" s="10" t="str">
        <f>HYPERLINK("https://pbs.twimg.com/profile_images/609765839051452416/GNW0wSt0_normal.jpg","View")</f>
        <v>View</v>
      </c>
      <c r="P31" s="14"/>
    </row>
    <row r="32">
      <c r="A32" s="7">
        <v>42431.65957175926</v>
      </c>
      <c r="B32" s="8" t="str">
        <f>HYPERLINK("https://twitter.com/GHAUmass","@GHAUmass")</f>
        <v>@GHAUmass</v>
      </c>
      <c r="C32" s="9" t="s">
        <v>30</v>
      </c>
      <c r="D32" s="9" t="s">
        <v>88</v>
      </c>
      <c r="E32" s="10" t="str">
        <f>HYPERLINK("https://twitter.com/GHAUmass/status/705148119290388480","705148119290388480")</f>
        <v>705148119290388480</v>
      </c>
      <c r="F32" s="11" t="s">
        <v>26</v>
      </c>
      <c r="G32" s="12">
        <v>68.0</v>
      </c>
      <c r="H32" s="12">
        <v>100.0</v>
      </c>
      <c r="I32" s="12">
        <v>3.0</v>
      </c>
      <c r="J32" s="12">
        <v>0.0</v>
      </c>
      <c r="K32" s="11" t="s">
        <v>21</v>
      </c>
      <c r="L32" s="7">
        <v>42152.65289351852</v>
      </c>
      <c r="M32" s="13" t="s">
        <v>22</v>
      </c>
      <c r="N32" s="13" t="s">
        <v>32</v>
      </c>
      <c r="O32" s="10" t="str">
        <f>HYPERLINK("https://pbs.twimg.com/profile_images/604060333590855682/Fk6r1D7d_normal.jpg","View")</f>
        <v>View</v>
      </c>
      <c r="P32" s="14"/>
    </row>
    <row r="33">
      <c r="A33" s="7">
        <v>42431.65971064815</v>
      </c>
      <c r="B33" s="8" t="str">
        <f>HYPERLINK("https://twitter.com/lizl_genealogy","@lizl_genealogy")</f>
        <v>@lizl_genealogy</v>
      </c>
      <c r="C33" s="9" t="s">
        <v>89</v>
      </c>
      <c r="D33" s="9" t="s">
        <v>88</v>
      </c>
      <c r="E33" s="10" t="str">
        <f>HYPERLINK("https://twitter.com/lizl_genealogy/status/705148171991670784","705148171991670784")</f>
        <v>705148171991670784</v>
      </c>
      <c r="F33" s="11" t="s">
        <v>31</v>
      </c>
      <c r="G33" s="12">
        <v>1547.0</v>
      </c>
      <c r="H33" s="12">
        <v>615.0</v>
      </c>
      <c r="I33" s="12">
        <v>3.0</v>
      </c>
      <c r="J33" s="12">
        <v>0.0</v>
      </c>
      <c r="K33" s="11" t="s">
        <v>21</v>
      </c>
      <c r="L33" s="7">
        <v>40763.52722222223</v>
      </c>
      <c r="M33" s="13" t="s">
        <v>90</v>
      </c>
      <c r="N33" s="13" t="s">
        <v>91</v>
      </c>
      <c r="O33" s="10" t="str">
        <f>HYPERLINK("https://pbs.twimg.com/profile_images/2700002859/1f2d610ddaf1f03ac7d033dd83847b45_normal.jpeg","View")</f>
        <v>View</v>
      </c>
      <c r="P33" s="14"/>
    </row>
    <row r="34">
      <c r="A34" s="7">
        <v>42431.82040509259</v>
      </c>
      <c r="B34" s="8" t="str">
        <f>HYPERLINK("https://twitter.com/pastpunditry","@pastpunditry")</f>
        <v>@pastpunditry</v>
      </c>
      <c r="C34" s="9" t="s">
        <v>92</v>
      </c>
      <c r="D34" s="9" t="s">
        <v>93</v>
      </c>
      <c r="E34" s="10" t="str">
        <f>HYPERLINK("https://twitter.com/pastpunditry/status/705206403414118400","705206403414118400")</f>
        <v>705206403414118400</v>
      </c>
      <c r="F34" s="11" t="s">
        <v>77</v>
      </c>
      <c r="G34" s="12">
        <v>890.0</v>
      </c>
      <c r="H34" s="12">
        <v>378.0</v>
      </c>
      <c r="I34" s="12">
        <v>1.0</v>
      </c>
      <c r="J34" s="12">
        <v>5.0</v>
      </c>
      <c r="K34" s="11" t="s">
        <v>21</v>
      </c>
      <c r="L34" s="7">
        <v>40283.384351851855</v>
      </c>
      <c r="M34" s="13" t="s">
        <v>94</v>
      </c>
      <c r="N34" s="13" t="s">
        <v>95</v>
      </c>
      <c r="O34" s="10" t="str">
        <f>HYPERLINK("https://pbs.twimg.com/profile_images/704873222802636800/7aFEMOY5_normal.jpg","View")</f>
        <v>View</v>
      </c>
      <c r="P34" s="14"/>
    </row>
    <row r="35">
      <c r="A35" s="7">
        <v>42431.820601851854</v>
      </c>
      <c r="B35" s="8" t="str">
        <f t="shared" ref="B35:B36" si="5">HYPERLINK("https://twitter.com/aglassofhistory","@aglassofhistory")</f>
        <v>@aglassofhistory</v>
      </c>
      <c r="C35" s="9" t="s">
        <v>53</v>
      </c>
      <c r="D35" s="9" t="s">
        <v>88</v>
      </c>
      <c r="E35" s="10" t="str">
        <f>HYPERLINK("https://twitter.com/aglassofhistory/status/705206475241693184","705206475241693184")</f>
        <v>705206475241693184</v>
      </c>
      <c r="F35" s="11" t="s">
        <v>31</v>
      </c>
      <c r="G35" s="12">
        <v>400.0</v>
      </c>
      <c r="H35" s="12">
        <v>733.0</v>
      </c>
      <c r="I35" s="12">
        <v>3.0</v>
      </c>
      <c r="J35" s="12">
        <v>0.0</v>
      </c>
      <c r="K35" s="11" t="s">
        <v>21</v>
      </c>
      <c r="L35" s="7">
        <v>41697.65762731482</v>
      </c>
      <c r="M35" s="13" t="s">
        <v>55</v>
      </c>
      <c r="N35" s="13" t="s">
        <v>56</v>
      </c>
      <c r="O35" s="10" t="str">
        <f t="shared" ref="O35:O36" si="6">HYPERLINK("https://pbs.twimg.com/profile_images/611592888816898048/cGMlIfmz_normal.jpg","View")</f>
        <v>View</v>
      </c>
      <c r="P35" s="14"/>
    </row>
    <row r="36">
      <c r="A36" s="7">
        <v>42431.820972222224</v>
      </c>
      <c r="B36" s="8" t="str">
        <f t="shared" si="5"/>
        <v>@aglassofhistory</v>
      </c>
      <c r="C36" s="9" t="s">
        <v>53</v>
      </c>
      <c r="D36" s="9" t="s">
        <v>50</v>
      </c>
      <c r="E36" s="10" t="str">
        <f>HYPERLINK("https://twitter.com/aglassofhistory/status/705206609614643201","705206609614643201")</f>
        <v>705206609614643201</v>
      </c>
      <c r="F36" s="11" t="s">
        <v>31</v>
      </c>
      <c r="G36" s="12">
        <v>400.0</v>
      </c>
      <c r="H36" s="12">
        <v>733.0</v>
      </c>
      <c r="I36" s="12">
        <v>4.0</v>
      </c>
      <c r="J36" s="12">
        <v>0.0</v>
      </c>
      <c r="K36" s="11" t="s">
        <v>21</v>
      </c>
      <c r="L36" s="7">
        <v>41697.65762731482</v>
      </c>
      <c r="M36" s="13" t="s">
        <v>55</v>
      </c>
      <c r="N36" s="13" t="s">
        <v>56</v>
      </c>
      <c r="O36" s="10" t="str">
        <f t="shared" si="6"/>
        <v>View</v>
      </c>
      <c r="P36" s="14"/>
    </row>
    <row r="37">
      <c r="A37" s="7">
        <v>42431.8212962963</v>
      </c>
      <c r="B37" s="8" t="str">
        <f>HYPERLINK("https://twitter.com/History_Doctor","@History_Doctor")</f>
        <v>@History_Doctor</v>
      </c>
      <c r="C37" s="9" t="s">
        <v>96</v>
      </c>
      <c r="D37" s="9" t="s">
        <v>97</v>
      </c>
      <c r="E37" s="10" t="str">
        <f>HYPERLINK("https://twitter.com/History_Doctor/status/705206725469720576","705206725469720576")</f>
        <v>705206725469720576</v>
      </c>
      <c r="F37" s="11" t="s">
        <v>26</v>
      </c>
      <c r="G37" s="12">
        <v>4226.0</v>
      </c>
      <c r="H37" s="12">
        <v>2572.0</v>
      </c>
      <c r="I37" s="12">
        <v>8.0</v>
      </c>
      <c r="J37" s="12">
        <v>0.0</v>
      </c>
      <c r="K37" s="11" t="s">
        <v>21</v>
      </c>
      <c r="L37" s="7">
        <v>39838.32659722222</v>
      </c>
      <c r="M37" s="13" t="s">
        <v>98</v>
      </c>
      <c r="N37" s="13" t="s">
        <v>99</v>
      </c>
      <c r="O37" s="10" t="str">
        <f>HYPERLINK("https://pbs.twimg.com/profile_images/652138401651666944/voDILXwD_normal.jpg","View")</f>
        <v>View</v>
      </c>
      <c r="P37" s="14"/>
    </row>
    <row r="38">
      <c r="A38" s="7">
        <v>42431.833703703705</v>
      </c>
      <c r="B38" s="8" t="str">
        <f>HYPERLINK("https://twitter.com/Miller_Center","@Miller_Center")</f>
        <v>@Miller_Center</v>
      </c>
      <c r="C38" s="9" t="s">
        <v>100</v>
      </c>
      <c r="D38" s="9" t="s">
        <v>101</v>
      </c>
      <c r="E38" s="10" t="str">
        <f>HYPERLINK("https://twitter.com/Miller_Center/status/705211222409478144","705211222409478144")</f>
        <v>705211222409478144</v>
      </c>
      <c r="F38" s="11" t="s">
        <v>102</v>
      </c>
      <c r="G38" s="12">
        <v>3820.0</v>
      </c>
      <c r="H38" s="12">
        <v>1198.0</v>
      </c>
      <c r="I38" s="12">
        <v>1.0</v>
      </c>
      <c r="J38" s="12">
        <v>3.0</v>
      </c>
      <c r="K38" s="11" t="s">
        <v>21</v>
      </c>
      <c r="L38" s="7">
        <v>39863.37763888889</v>
      </c>
      <c r="M38" s="13" t="s">
        <v>103</v>
      </c>
      <c r="N38" s="13" t="s">
        <v>104</v>
      </c>
      <c r="O38" s="10" t="str">
        <f>HYPERLINK("https://pbs.twimg.com/profile_images/1368672632/MC_logo_normal.jpg","View")</f>
        <v>View</v>
      </c>
      <c r="P38" s="14"/>
    </row>
    <row r="39">
      <c r="A39" s="7">
        <v>42431.84111111111</v>
      </c>
      <c r="B39" s="8" t="str">
        <f>HYPERLINK("https://twitter.com/allisonhorrocks","@allisonhorrocks")</f>
        <v>@allisonhorrocks</v>
      </c>
      <c r="C39" s="9" t="s">
        <v>105</v>
      </c>
      <c r="D39" s="9" t="s">
        <v>97</v>
      </c>
      <c r="E39" s="10" t="str">
        <f>HYPERLINK("https://twitter.com/allisonhorrocks/status/705213908689281029","705213908689281029")</f>
        <v>705213908689281029</v>
      </c>
      <c r="F39" s="11" t="s">
        <v>26</v>
      </c>
      <c r="G39" s="12">
        <v>122.0</v>
      </c>
      <c r="H39" s="12">
        <v>260.0</v>
      </c>
      <c r="I39" s="12">
        <v>8.0</v>
      </c>
      <c r="J39" s="12">
        <v>0.0</v>
      </c>
      <c r="K39" s="11" t="s">
        <v>21</v>
      </c>
      <c r="L39" s="7">
        <v>39874.8815625</v>
      </c>
      <c r="M39" s="13" t="s">
        <v>106</v>
      </c>
      <c r="N39" s="13" t="s">
        <v>107</v>
      </c>
      <c r="O39" s="10" t="str">
        <f>HYPERLINK("https://pbs.twimg.com/profile_images/562279222522032128/-phaZgxO_normal.jpeg","View")</f>
        <v>View</v>
      </c>
      <c r="P39" s="14"/>
    </row>
    <row r="40">
      <c r="A40" s="7">
        <v>42431.84232638888</v>
      </c>
      <c r="B40" s="8" t="str">
        <f>HYPERLINK("https://twitter.com/JasonSteinhauer","@JasonSteinhauer")</f>
        <v>@JasonSteinhauer</v>
      </c>
      <c r="C40" s="9" t="s">
        <v>37</v>
      </c>
      <c r="D40" s="9" t="s">
        <v>108</v>
      </c>
      <c r="E40" s="10" t="str">
        <f>HYPERLINK("https://twitter.com/JasonSteinhauer/status/705214346960486400","705214346960486400")</f>
        <v>705214346960486400</v>
      </c>
      <c r="F40" s="11" t="s">
        <v>31</v>
      </c>
      <c r="G40" s="12">
        <v>1302.0</v>
      </c>
      <c r="H40" s="12">
        <v>1315.0</v>
      </c>
      <c r="I40" s="12">
        <v>1.0</v>
      </c>
      <c r="J40" s="12">
        <v>0.0</v>
      </c>
      <c r="K40" s="11" t="s">
        <v>21</v>
      </c>
      <c r="L40" s="7">
        <v>41169.51726851852</v>
      </c>
      <c r="M40" s="13" t="s">
        <v>39</v>
      </c>
      <c r="N40" s="13" t="s">
        <v>40</v>
      </c>
      <c r="O40" s="10" t="str">
        <f>HYPERLINK("https://pbs.twimg.com/profile_images/531574951107518465/AvUhkliP_normal.jpeg","View")</f>
        <v>View</v>
      </c>
      <c r="P40" s="14"/>
    </row>
    <row r="41">
      <c r="A41" s="7">
        <v>42431.842835648145</v>
      </c>
      <c r="B41" s="8" t="str">
        <f>HYPERLINK("https://twitter.com/MichaelBoynton2","@MichaelBoynton2")</f>
        <v>@MichaelBoynton2</v>
      </c>
      <c r="C41" s="9" t="s">
        <v>109</v>
      </c>
      <c r="D41" s="9" t="s">
        <v>110</v>
      </c>
      <c r="E41" s="10" t="str">
        <f>HYPERLINK("https://twitter.com/MichaelBoynton2/status/705214532365324289","705214532365324289")</f>
        <v>705214532365324289</v>
      </c>
      <c r="F41" s="11" t="s">
        <v>26</v>
      </c>
      <c r="G41" s="12">
        <v>369.0</v>
      </c>
      <c r="H41" s="12">
        <v>1960.0</v>
      </c>
      <c r="I41" s="12">
        <v>1.0</v>
      </c>
      <c r="J41" s="12">
        <v>0.0</v>
      </c>
      <c r="K41" s="11" t="s">
        <v>21</v>
      </c>
      <c r="L41" s="7">
        <v>41118.89738425926</v>
      </c>
      <c r="M41" s="13" t="s">
        <v>111</v>
      </c>
      <c r="N41" s="13" t="s">
        <v>112</v>
      </c>
      <c r="O41" s="10" t="str">
        <f>HYPERLINK("https://pbs.twimg.com/profile_images/517062733356072960/hG0_iqgV_normal.jpeg","View")</f>
        <v>View</v>
      </c>
      <c r="P41" s="14"/>
    </row>
    <row r="42">
      <c r="A42" s="7">
        <v>42431.85564814815</v>
      </c>
      <c r="B42" s="8" t="str">
        <f>HYPERLINK("https://twitter.com/JasonSteinhauer","@JasonSteinhauer")</f>
        <v>@JasonSteinhauer</v>
      </c>
      <c r="C42" s="9" t="s">
        <v>37</v>
      </c>
      <c r="D42" s="9" t="s">
        <v>113</v>
      </c>
      <c r="E42" s="10" t="str">
        <f>HYPERLINK("https://twitter.com/JasonSteinhauer/status/705219177032900609","705219177032900609")</f>
        <v>705219177032900609</v>
      </c>
      <c r="F42" s="11" t="s">
        <v>31</v>
      </c>
      <c r="G42" s="12">
        <v>1302.0</v>
      </c>
      <c r="H42" s="12">
        <v>1315.0</v>
      </c>
      <c r="I42" s="12">
        <v>0.0</v>
      </c>
      <c r="J42" s="12">
        <v>1.0</v>
      </c>
      <c r="K42" s="11" t="s">
        <v>21</v>
      </c>
      <c r="L42" s="7">
        <v>41169.51726851852</v>
      </c>
      <c r="M42" s="13" t="s">
        <v>39</v>
      </c>
      <c r="N42" s="13" t="s">
        <v>40</v>
      </c>
      <c r="O42" s="10" t="str">
        <f>HYPERLINK("https://pbs.twimg.com/profile_images/531574951107518465/AvUhkliP_normal.jpeg","View")</f>
        <v>View</v>
      </c>
      <c r="P42" s="14"/>
    </row>
    <row r="43">
      <c r="A43" s="7">
        <v>42432.37039351852</v>
      </c>
      <c r="B43" s="8" t="str">
        <f>HYPERLINK("https://twitter.com/UMassHistory","@UMassHistory")</f>
        <v>@UMassHistory</v>
      </c>
      <c r="C43" s="9" t="s">
        <v>18</v>
      </c>
      <c r="D43" s="9" t="s">
        <v>114</v>
      </c>
      <c r="E43" s="10" t="str">
        <f>HYPERLINK("https://twitter.com/UMassHistory/status/705405715146530817","705405715146530817")</f>
        <v>705405715146530817</v>
      </c>
      <c r="F43" s="11" t="s">
        <v>29</v>
      </c>
      <c r="G43" s="12">
        <v>722.0</v>
      </c>
      <c r="H43" s="12">
        <v>296.0</v>
      </c>
      <c r="I43" s="12">
        <v>2.0</v>
      </c>
      <c r="J43" s="12">
        <v>1.0</v>
      </c>
      <c r="K43" s="11" t="s">
        <v>21</v>
      </c>
      <c r="L43" s="7">
        <v>40408.38695601852</v>
      </c>
      <c r="M43" s="13" t="s">
        <v>22</v>
      </c>
      <c r="N43" s="13" t="s">
        <v>23</v>
      </c>
      <c r="O43" s="10" t="str">
        <f>HYPERLINK("https://pbs.twimg.com/profile_images/3586356040/2875fe2e13ecc978a7c19bbf515b7847_normal.png","View")</f>
        <v>View</v>
      </c>
      <c r="P43" s="14"/>
    </row>
    <row r="44">
      <c r="A44" s="7">
        <v>42432.37388888889</v>
      </c>
      <c r="B44" s="8" t="str">
        <f>HYPERLINK("https://twitter.com/mille24c","@mille24c")</f>
        <v>@mille24c</v>
      </c>
      <c r="C44" s="9" t="s">
        <v>115</v>
      </c>
      <c r="D44" s="9" t="s">
        <v>116</v>
      </c>
      <c r="E44" s="10" t="str">
        <f>HYPERLINK("https://twitter.com/mille24c/status/705406981519986688","705406981519986688")</f>
        <v>705406981519986688</v>
      </c>
      <c r="F44" s="11" t="s">
        <v>31</v>
      </c>
      <c r="G44" s="12">
        <v>208.0</v>
      </c>
      <c r="H44" s="12">
        <v>297.0</v>
      </c>
      <c r="I44" s="12">
        <v>2.0</v>
      </c>
      <c r="J44" s="12">
        <v>0.0</v>
      </c>
      <c r="K44" s="11" t="s">
        <v>21</v>
      </c>
      <c r="L44" s="7">
        <v>39864.79206018519</v>
      </c>
      <c r="M44" s="13" t="s">
        <v>22</v>
      </c>
      <c r="N44" s="13" t="s">
        <v>117</v>
      </c>
      <c r="O44" s="10" t="str">
        <f>HYPERLINK("https://pbs.twimg.com/profile_images/676362182020481024/P0kyLli1_normal.jpg","View")</f>
        <v>View</v>
      </c>
      <c r="P44" s="14"/>
    </row>
    <row r="45">
      <c r="A45" s="7">
        <v>42432.386875</v>
      </c>
      <c r="B45" s="8" t="str">
        <f>HYPERLINK("https://twitter.com/JohnFea1","@JohnFea1")</f>
        <v>@JohnFea1</v>
      </c>
      <c r="C45" s="9" t="s">
        <v>118</v>
      </c>
      <c r="D45" s="9" t="s">
        <v>119</v>
      </c>
      <c r="E45" s="10" t="str">
        <f>HYPERLINK("https://twitter.com/JohnFea1/status/705411686061252608","705411686061252608")</f>
        <v>705411686061252608</v>
      </c>
      <c r="F45" s="11" t="s">
        <v>31</v>
      </c>
      <c r="G45" s="12">
        <v>2903.0</v>
      </c>
      <c r="H45" s="12">
        <v>1628.0</v>
      </c>
      <c r="I45" s="12">
        <v>2.0</v>
      </c>
      <c r="J45" s="12">
        <v>6.0</v>
      </c>
      <c r="K45" s="11" t="s">
        <v>21</v>
      </c>
      <c r="L45" s="7">
        <v>41009.84005787037</v>
      </c>
      <c r="M45" s="15"/>
      <c r="N45" s="13" t="s">
        <v>120</v>
      </c>
      <c r="O45" s="10" t="str">
        <f>HYPERLINK("https://pbs.twimg.com/profile_images/2090305941/Fea_speaking_normal.jpg","View")</f>
        <v>View</v>
      </c>
      <c r="P45" s="14"/>
    </row>
    <row r="46">
      <c r="A46" s="7">
        <v>42432.391909722224</v>
      </c>
      <c r="B46" s="8" t="str">
        <f>HYPERLINK("https://twitter.com/juliegpeterson","@juliegpeterson")</f>
        <v>@juliegpeterson</v>
      </c>
      <c r="C46" s="9" t="s">
        <v>24</v>
      </c>
      <c r="D46" s="9" t="s">
        <v>116</v>
      </c>
      <c r="E46" s="10" t="str">
        <f>HYPERLINK("https://twitter.com/juliegpeterson/status/705413509266477056","705413509266477056")</f>
        <v>705413509266477056</v>
      </c>
      <c r="F46" s="11" t="s">
        <v>26</v>
      </c>
      <c r="G46" s="12">
        <v>239.0</v>
      </c>
      <c r="H46" s="12">
        <v>775.0</v>
      </c>
      <c r="I46" s="12">
        <v>2.0</v>
      </c>
      <c r="J46" s="12">
        <v>0.0</v>
      </c>
      <c r="K46" s="11" t="s">
        <v>21</v>
      </c>
      <c r="L46" s="7">
        <v>41208.65523148148</v>
      </c>
      <c r="M46" s="13" t="s">
        <v>22</v>
      </c>
      <c r="N46" s="13" t="s">
        <v>27</v>
      </c>
      <c r="O46" s="10" t="str">
        <f>HYPERLINK("https://pbs.twimg.com/profile_images/609765839051452416/GNW0wSt0_normal.jpg","View")</f>
        <v>View</v>
      </c>
      <c r="P46" s="14"/>
    </row>
    <row r="47">
      <c r="A47" s="7">
        <v>42432.438055555554</v>
      </c>
      <c r="B47" s="8" t="str">
        <f>HYPERLINK("https://twitter.com/umassph","@umassph")</f>
        <v>@umassph</v>
      </c>
      <c r="C47" s="9" t="s">
        <v>121</v>
      </c>
      <c r="D47" s="9" t="s">
        <v>122</v>
      </c>
      <c r="E47" s="10" t="str">
        <f>HYPERLINK("https://twitter.com/umassph/status/705430231612592128","705430231612592128")</f>
        <v>705430231612592128</v>
      </c>
      <c r="F47" s="11" t="s">
        <v>31</v>
      </c>
      <c r="G47" s="12">
        <v>693.0</v>
      </c>
      <c r="H47" s="12">
        <v>242.0</v>
      </c>
      <c r="I47" s="12">
        <v>2.0</v>
      </c>
      <c r="J47" s="12">
        <v>2.0</v>
      </c>
      <c r="K47" s="11" t="s">
        <v>21</v>
      </c>
      <c r="L47" s="7">
        <v>40242.52853009259</v>
      </c>
      <c r="M47" s="13" t="s">
        <v>22</v>
      </c>
      <c r="N47" s="13" t="s">
        <v>123</v>
      </c>
      <c r="O47" s="10" t="str">
        <f>HYPERLINK("https://pbs.twimg.com/profile_images/3583165575/54f0bc87a29b2ae8587193829ce07299_normal.jpeg","View")</f>
        <v>View</v>
      </c>
      <c r="P47" s="14"/>
    </row>
    <row r="48">
      <c r="A48" s="7">
        <v>42432.438680555555</v>
      </c>
      <c r="B48" s="8" t="str">
        <f>HYPERLINK("https://twitter.com/erfagen","@erfagen")</f>
        <v>@erfagen</v>
      </c>
      <c r="C48" s="9" t="s">
        <v>124</v>
      </c>
      <c r="D48" s="9" t="s">
        <v>97</v>
      </c>
      <c r="E48" s="10" t="str">
        <f>HYPERLINK("https://twitter.com/erfagen/status/705430458981617665","705430458981617665")</f>
        <v>705430458981617665</v>
      </c>
      <c r="F48" s="11" t="s">
        <v>26</v>
      </c>
      <c r="G48" s="12">
        <v>1056.0</v>
      </c>
      <c r="H48" s="12">
        <v>2055.0</v>
      </c>
      <c r="I48" s="12">
        <v>8.0</v>
      </c>
      <c r="J48" s="12">
        <v>0.0</v>
      </c>
      <c r="K48" s="11" t="s">
        <v>21</v>
      </c>
      <c r="L48" s="7">
        <v>40524.93576388889</v>
      </c>
      <c r="M48" s="13" t="s">
        <v>125</v>
      </c>
      <c r="N48" s="13" t="s">
        <v>126</v>
      </c>
      <c r="O48" s="10" t="str">
        <f>HYPERLINK("https://pbs.twimg.com/profile_images/638086945722249217/mid_S_BQ_normal.jpg","View")</f>
        <v>View</v>
      </c>
      <c r="P48" s="14"/>
    </row>
    <row r="49">
      <c r="A49" s="7">
        <v>42432.44930555555</v>
      </c>
      <c r="B49" s="8" t="str">
        <f>HYPERLINK("https://twitter.com/sheishistoric","@sheishistoric")</f>
        <v>@sheishistoric</v>
      </c>
      <c r="C49" s="9" t="s">
        <v>127</v>
      </c>
      <c r="D49" s="9" t="s">
        <v>128</v>
      </c>
      <c r="E49" s="10" t="str">
        <f>HYPERLINK("https://twitter.com/sheishistoric/status/705434308065017856","705434308065017856")</f>
        <v>705434308065017856</v>
      </c>
      <c r="F49" s="11" t="s">
        <v>26</v>
      </c>
      <c r="G49" s="12">
        <v>405.0</v>
      </c>
      <c r="H49" s="12">
        <v>882.0</v>
      </c>
      <c r="I49" s="12">
        <v>2.0</v>
      </c>
      <c r="J49" s="12">
        <v>0.0</v>
      </c>
      <c r="K49" s="11" t="s">
        <v>21</v>
      </c>
      <c r="L49" s="7">
        <v>41529.842094907406</v>
      </c>
      <c r="M49" s="13" t="s">
        <v>129</v>
      </c>
      <c r="N49" s="13" t="s">
        <v>130</v>
      </c>
      <c r="O49" s="10" t="str">
        <f>HYPERLINK("https://pbs.twimg.com/profile_images/650419150620377089/bJxBf---_normal.jpg","View")</f>
        <v>View</v>
      </c>
      <c r="P49" s="14"/>
    </row>
    <row r="50">
      <c r="A50" s="7">
        <v>42432.469409722224</v>
      </c>
      <c r="B50" s="8" t="str">
        <f t="shared" ref="B50:B51" si="7">HYPERLINK("https://twitter.com/JasonSteinhauer","@JasonSteinhauer")</f>
        <v>@JasonSteinhauer</v>
      </c>
      <c r="C50" s="9" t="s">
        <v>37</v>
      </c>
      <c r="D50" s="9" t="s">
        <v>97</v>
      </c>
      <c r="E50" s="10" t="str">
        <f>HYPERLINK("https://twitter.com/JasonSteinhauer/status/705441596167299072","705441596167299072")</f>
        <v>705441596167299072</v>
      </c>
      <c r="F50" s="11" t="s">
        <v>31</v>
      </c>
      <c r="G50" s="12">
        <v>1302.0</v>
      </c>
      <c r="H50" s="12">
        <v>1315.0</v>
      </c>
      <c r="I50" s="12">
        <v>8.0</v>
      </c>
      <c r="J50" s="12">
        <v>0.0</v>
      </c>
      <c r="K50" s="11" t="s">
        <v>21</v>
      </c>
      <c r="L50" s="7">
        <v>41169.51726851852</v>
      </c>
      <c r="M50" s="13" t="s">
        <v>39</v>
      </c>
      <c r="N50" s="13" t="s">
        <v>40</v>
      </c>
      <c r="O50" s="10" t="str">
        <f t="shared" ref="O50:O51" si="8">HYPERLINK("https://pbs.twimg.com/profile_images/531574951107518465/AvUhkliP_normal.jpeg","View")</f>
        <v>View</v>
      </c>
      <c r="P50" s="14"/>
    </row>
    <row r="51">
      <c r="A51" s="7">
        <v>42432.469826388886</v>
      </c>
      <c r="B51" s="8" t="str">
        <f t="shared" si="7"/>
        <v>@JasonSteinhauer</v>
      </c>
      <c r="C51" s="9" t="s">
        <v>37</v>
      </c>
      <c r="D51" s="9" t="s">
        <v>128</v>
      </c>
      <c r="E51" s="10" t="str">
        <f>HYPERLINK("https://twitter.com/JasonSteinhauer/status/705441747527192576","705441747527192576")</f>
        <v>705441747527192576</v>
      </c>
      <c r="F51" s="11" t="s">
        <v>31</v>
      </c>
      <c r="G51" s="12">
        <v>1302.0</v>
      </c>
      <c r="H51" s="12">
        <v>1315.0</v>
      </c>
      <c r="I51" s="12">
        <v>2.0</v>
      </c>
      <c r="J51" s="12">
        <v>0.0</v>
      </c>
      <c r="K51" s="11" t="s">
        <v>21</v>
      </c>
      <c r="L51" s="7">
        <v>41169.51726851852</v>
      </c>
      <c r="M51" s="13" t="s">
        <v>39</v>
      </c>
      <c r="N51" s="13" t="s">
        <v>40</v>
      </c>
      <c r="O51" s="10" t="str">
        <f t="shared" si="8"/>
        <v>View</v>
      </c>
      <c r="P51" s="14"/>
    </row>
    <row r="52">
      <c r="A52" s="7">
        <v>42432.48673611111</v>
      </c>
      <c r="B52" s="8" t="str">
        <f>HYPERLINK("https://twitter.com/jdichtl","@jdichtl")</f>
        <v>@jdichtl</v>
      </c>
      <c r="C52" s="9" t="s">
        <v>131</v>
      </c>
      <c r="D52" s="9" t="s">
        <v>97</v>
      </c>
      <c r="E52" s="10" t="str">
        <f>HYPERLINK("https://twitter.com/jdichtl/status/705447876239818752","705447876239818752")</f>
        <v>705447876239818752</v>
      </c>
      <c r="F52" s="11" t="s">
        <v>26</v>
      </c>
      <c r="G52" s="12">
        <v>419.0</v>
      </c>
      <c r="H52" s="12">
        <v>101.0</v>
      </c>
      <c r="I52" s="12">
        <v>8.0</v>
      </c>
      <c r="J52" s="12">
        <v>0.0</v>
      </c>
      <c r="K52" s="11" t="s">
        <v>21</v>
      </c>
      <c r="L52" s="7">
        <v>40675.598761574074</v>
      </c>
      <c r="M52" s="13" t="s">
        <v>51</v>
      </c>
      <c r="N52" s="13" t="s">
        <v>132</v>
      </c>
      <c r="O52" s="10" t="str">
        <f>HYPERLINK("https://pbs.twimg.com/profile_images/3104419984/da260220a3a66fad7a8423b74e59f4c0_normal.jpeg","View")</f>
        <v>View</v>
      </c>
      <c r="P52" s="14"/>
    </row>
    <row r="53">
      <c r="A53" s="7">
        <v>42432.49427083333</v>
      </c>
      <c r="B53" s="8" t="str">
        <f>HYPERLINK("https://twitter.com/historycampaign","@historycampaign")</f>
        <v>@historycampaign</v>
      </c>
      <c r="C53" s="9" t="s">
        <v>133</v>
      </c>
      <c r="D53" s="9" t="s">
        <v>134</v>
      </c>
      <c r="E53" s="10" t="str">
        <f>HYPERLINK("https://twitter.com/historycampaign/status/705450605561647104","705450605561647104")</f>
        <v>705450605561647104</v>
      </c>
      <c r="F53" s="11" t="s">
        <v>26</v>
      </c>
      <c r="G53" s="12">
        <v>110.0</v>
      </c>
      <c r="H53" s="12">
        <v>59.0</v>
      </c>
      <c r="I53" s="12">
        <v>3.0</v>
      </c>
      <c r="J53" s="12">
        <v>1.0</v>
      </c>
      <c r="K53" s="11" t="s">
        <v>21</v>
      </c>
      <c r="L53" s="7">
        <v>42311.25096064815</v>
      </c>
      <c r="M53" s="15"/>
      <c r="N53" s="13" t="s">
        <v>135</v>
      </c>
      <c r="O53" s="10" t="str">
        <f>HYPERLINK("https://pbs.twimg.com/profile_images/673691030139609088/8v7ab61D_normal.jpg","View")</f>
        <v>View</v>
      </c>
      <c r="P53" s="14"/>
    </row>
    <row r="54">
      <c r="A54" s="7">
        <v>42432.523634259254</v>
      </c>
      <c r="B54" s="8" t="str">
        <f>HYPERLINK("https://twitter.com/ncph","@ncph")</f>
        <v>@ncph</v>
      </c>
      <c r="C54" s="9" t="s">
        <v>49</v>
      </c>
      <c r="D54" s="9" t="s">
        <v>136</v>
      </c>
      <c r="E54" s="10" t="str">
        <f>HYPERLINK("https://twitter.com/ncph/status/705461244191449089","705461244191449089")</f>
        <v>705461244191449089</v>
      </c>
      <c r="F54" s="11" t="s">
        <v>31</v>
      </c>
      <c r="G54" s="12">
        <v>5692.0</v>
      </c>
      <c r="H54" s="12">
        <v>1937.0</v>
      </c>
      <c r="I54" s="12">
        <v>2.0</v>
      </c>
      <c r="J54" s="12">
        <v>0.0</v>
      </c>
      <c r="K54" s="11" t="s">
        <v>21</v>
      </c>
      <c r="L54" s="7">
        <v>40240.01341435185</v>
      </c>
      <c r="M54" s="13" t="s">
        <v>51</v>
      </c>
      <c r="N54" s="13" t="s">
        <v>52</v>
      </c>
      <c r="O54" s="10" t="str">
        <f>HYPERLINK("https://pbs.twimg.com/profile_images/692044482284490752/cl6DSLkD_normal.jpg","View")</f>
        <v>View</v>
      </c>
      <c r="P54" s="14"/>
    </row>
    <row r="55">
      <c r="A55" s="7">
        <v>42432.52940972222</v>
      </c>
      <c r="B55" s="8" t="str">
        <f>HYPERLINK("https://twitter.com/ASUPublicHist","@ASUPublicHist")</f>
        <v>@ASUPublicHist</v>
      </c>
      <c r="C55" s="9" t="s">
        <v>137</v>
      </c>
      <c r="D55" s="9" t="s">
        <v>136</v>
      </c>
      <c r="E55" s="10" t="str">
        <f>HYPERLINK("https://twitter.com/ASUPublicHist/status/705463336805146624","705463336805146624")</f>
        <v>705463336805146624</v>
      </c>
      <c r="F55" s="11" t="s">
        <v>26</v>
      </c>
      <c r="G55" s="12">
        <v>614.0</v>
      </c>
      <c r="H55" s="12">
        <v>787.0</v>
      </c>
      <c r="I55" s="12">
        <v>2.0</v>
      </c>
      <c r="J55" s="12">
        <v>0.0</v>
      </c>
      <c r="K55" s="11" t="s">
        <v>21</v>
      </c>
      <c r="L55" s="7">
        <v>41508.403703703705</v>
      </c>
      <c r="M55" s="13" t="s">
        <v>138</v>
      </c>
      <c r="N55" s="13" t="s">
        <v>139</v>
      </c>
      <c r="O55" s="10" t="str">
        <f>HYPERLINK("https://pbs.twimg.com/profile_images/579006785048088577/NRmUrZVy_normal.jpeg","View")</f>
        <v>View</v>
      </c>
      <c r="P55" s="14"/>
    </row>
    <row r="56">
      <c r="A56" s="7">
        <v>42432.54201388889</v>
      </c>
      <c r="B56" s="8" t="str">
        <f>HYPERLINK("https://twitter.com/UMassHistory","@UMassHistory")</f>
        <v>@UMassHistory</v>
      </c>
      <c r="C56" s="9" t="s">
        <v>18</v>
      </c>
      <c r="D56" s="9" t="s">
        <v>140</v>
      </c>
      <c r="E56" s="10" t="str">
        <f>HYPERLINK("https://twitter.com/UMassHistory/status/705467907711479808","705467907711479808")</f>
        <v>705467907711479808</v>
      </c>
      <c r="F56" s="11" t="s">
        <v>20</v>
      </c>
      <c r="G56" s="12">
        <v>722.0</v>
      </c>
      <c r="H56" s="12">
        <v>296.0</v>
      </c>
      <c r="I56" s="12">
        <v>1.0</v>
      </c>
      <c r="J56" s="12">
        <v>0.0</v>
      </c>
      <c r="K56" s="11" t="s">
        <v>21</v>
      </c>
      <c r="L56" s="7">
        <v>40408.38695601852</v>
      </c>
      <c r="M56" s="13" t="s">
        <v>22</v>
      </c>
      <c r="N56" s="13" t="s">
        <v>23</v>
      </c>
      <c r="O56" s="10" t="str">
        <f>HYPERLINK("https://pbs.twimg.com/profile_images/3586356040/2875fe2e13ecc978a7c19bbf515b7847_normal.png","View")</f>
        <v>View</v>
      </c>
      <c r="P56" s="14"/>
    </row>
    <row r="57">
      <c r="A57" s="7">
        <v>42432.543715277774</v>
      </c>
      <c r="B57" s="8" t="str">
        <f>HYPERLINK("https://twitter.com/rebekkahrubin","@rebekkahrubin")</f>
        <v>@rebekkahrubin</v>
      </c>
      <c r="C57" s="9" t="s">
        <v>141</v>
      </c>
      <c r="D57" s="9" t="s">
        <v>142</v>
      </c>
      <c r="E57" s="10" t="str">
        <f>HYPERLINK("https://twitter.com/rebekkahrubin/status/705468520948219904","705468520948219904")</f>
        <v>705468520948219904</v>
      </c>
      <c r="F57" s="11" t="s">
        <v>26</v>
      </c>
      <c r="G57" s="12">
        <v>492.0</v>
      </c>
      <c r="H57" s="12">
        <v>1224.0</v>
      </c>
      <c r="I57" s="12">
        <v>0.0</v>
      </c>
      <c r="J57" s="12">
        <v>0.0</v>
      </c>
      <c r="K57" s="11" t="s">
        <v>21</v>
      </c>
      <c r="L57" s="7">
        <v>40411.521527777775</v>
      </c>
      <c r="M57" s="13" t="s">
        <v>143</v>
      </c>
      <c r="N57" s="13" t="s">
        <v>144</v>
      </c>
      <c r="O57" s="10" t="str">
        <f>HYPERLINK("https://pbs.twimg.com/profile_images/700317732588408832/Ym_-neUi_normal.jpg","View")</f>
        <v>View</v>
      </c>
      <c r="P57" s="14"/>
    </row>
    <row r="58">
      <c r="A58" s="7">
        <v>42432.54377314815</v>
      </c>
      <c r="B58" s="8" t="str">
        <f>HYPERLINK("https://twitter.com/JasonSteinhauer","@JasonSteinhauer")</f>
        <v>@JasonSteinhauer</v>
      </c>
      <c r="C58" s="9" t="s">
        <v>37</v>
      </c>
      <c r="D58" s="9" t="s">
        <v>145</v>
      </c>
      <c r="E58" s="10" t="str">
        <f>HYPERLINK("https://twitter.com/JasonSteinhauer/status/705468542695706625","705468542695706625")</f>
        <v>705468542695706625</v>
      </c>
      <c r="F58" s="11" t="s">
        <v>31</v>
      </c>
      <c r="G58" s="12">
        <v>1302.0</v>
      </c>
      <c r="H58" s="12">
        <v>1315.0</v>
      </c>
      <c r="I58" s="12">
        <v>2.0</v>
      </c>
      <c r="J58" s="12">
        <v>4.0</v>
      </c>
      <c r="K58" s="11" t="s">
        <v>21</v>
      </c>
      <c r="L58" s="7">
        <v>41169.51726851852</v>
      </c>
      <c r="M58" s="13" t="s">
        <v>39</v>
      </c>
      <c r="N58" s="13" t="s">
        <v>40</v>
      </c>
      <c r="O58" s="10" t="str">
        <f>HYPERLINK("https://pbs.twimg.com/profile_images/531574951107518465/AvUhkliP_normal.jpeg","View")</f>
        <v>View</v>
      </c>
      <c r="P58" s="14"/>
    </row>
    <row r="59">
      <c r="A59" s="7">
        <v>42432.5465625</v>
      </c>
      <c r="B59" s="8" t="str">
        <f>HYPERLINK("https://twitter.com/NicoNolden","@NicoNolden")</f>
        <v>@NicoNolden</v>
      </c>
      <c r="C59" s="9" t="s">
        <v>146</v>
      </c>
      <c r="D59" s="9" t="s">
        <v>147</v>
      </c>
      <c r="E59" s="10" t="str">
        <f>HYPERLINK("https://twitter.com/NicoNolden/status/705469553690681344","705469553690681344")</f>
        <v>705469553690681344</v>
      </c>
      <c r="F59" s="11" t="s">
        <v>148</v>
      </c>
      <c r="G59" s="12">
        <v>660.0</v>
      </c>
      <c r="H59" s="12">
        <v>1665.0</v>
      </c>
      <c r="I59" s="12">
        <v>2.0</v>
      </c>
      <c r="J59" s="12">
        <v>0.0</v>
      </c>
      <c r="K59" s="11" t="s">
        <v>21</v>
      </c>
      <c r="L59" s="7">
        <v>40938.61688657408</v>
      </c>
      <c r="M59" s="13" t="s">
        <v>149</v>
      </c>
      <c r="N59" s="13" t="s">
        <v>150</v>
      </c>
      <c r="O59" s="10" t="str">
        <f>HYPERLINK("https://pbs.twimg.com/profile_images/1792930381/Blitze_normal.jpg","View")</f>
        <v>View</v>
      </c>
      <c r="P59" s="14"/>
    </row>
    <row r="60">
      <c r="A60" s="7">
        <v>42432.572060185186</v>
      </c>
      <c r="B60" s="8" t="str">
        <f t="shared" ref="B60:B61" si="9">HYPERLINK("https://twitter.com/NixoNARA","@NixoNARA")</f>
        <v>@NixoNARA</v>
      </c>
      <c r="C60" s="9" t="s">
        <v>42</v>
      </c>
      <c r="D60" s="9" t="s">
        <v>147</v>
      </c>
      <c r="E60" s="10" t="str">
        <f>HYPERLINK("https://twitter.com/NixoNARA/status/705478795168509952","705478795168509952")</f>
        <v>705478795168509952</v>
      </c>
      <c r="F60" s="11" t="s">
        <v>43</v>
      </c>
      <c r="G60" s="12">
        <v>541.0</v>
      </c>
      <c r="H60" s="12">
        <v>402.0</v>
      </c>
      <c r="I60" s="12">
        <v>2.0</v>
      </c>
      <c r="J60" s="12">
        <v>0.0</v>
      </c>
      <c r="K60" s="11" t="s">
        <v>21</v>
      </c>
      <c r="L60" s="7">
        <v>40520.75891203704</v>
      </c>
      <c r="M60" s="15"/>
      <c r="N60" s="13" t="s">
        <v>44</v>
      </c>
      <c r="O60" s="10" t="str">
        <f t="shared" ref="O60:O61" si="10">HYPERLINK("https://pbs.twimg.com/profile_images/1185970366/Twitter_NixoNARA_normal.jpg","View")</f>
        <v>View</v>
      </c>
      <c r="P60" s="14"/>
    </row>
    <row r="61">
      <c r="A61" s="7">
        <v>42432.573124999995</v>
      </c>
      <c r="B61" s="8" t="str">
        <f t="shared" si="9"/>
        <v>@NixoNARA</v>
      </c>
      <c r="C61" s="9" t="s">
        <v>42</v>
      </c>
      <c r="D61" s="9" t="s">
        <v>151</v>
      </c>
      <c r="E61" s="10" t="str">
        <f>HYPERLINK("https://twitter.com/NixoNARA/status/705479182109839360","705479182109839360")</f>
        <v>705479182109839360</v>
      </c>
      <c r="F61" s="11" t="s">
        <v>43</v>
      </c>
      <c r="G61" s="12">
        <v>541.0</v>
      </c>
      <c r="H61" s="12">
        <v>402.0</v>
      </c>
      <c r="I61" s="12">
        <v>0.0</v>
      </c>
      <c r="J61" s="12">
        <v>0.0</v>
      </c>
      <c r="K61" s="11" t="s">
        <v>21</v>
      </c>
      <c r="L61" s="7">
        <v>40520.75891203704</v>
      </c>
      <c r="M61" s="15"/>
      <c r="N61" s="13" t="s">
        <v>44</v>
      </c>
      <c r="O61" s="10" t="str">
        <f t="shared" si="10"/>
        <v>View</v>
      </c>
      <c r="P61" s="14"/>
    </row>
    <row r="62">
      <c r="A62" s="7">
        <v>42432.5887037037</v>
      </c>
      <c r="B62" s="8" t="str">
        <f t="shared" ref="B62:B63" si="11">HYPERLINK("https://twitter.com/UMassHistory","@UMassHistory")</f>
        <v>@UMassHistory</v>
      </c>
      <c r="C62" s="9" t="s">
        <v>18</v>
      </c>
      <c r="D62" s="9" t="s">
        <v>152</v>
      </c>
      <c r="E62" s="10" t="str">
        <f>HYPERLINK("https://twitter.com/UMassHistory/status/705484824971239424","705484824971239424")</f>
        <v>705484824971239424</v>
      </c>
      <c r="F62" s="11" t="s">
        <v>31</v>
      </c>
      <c r="G62" s="12">
        <v>722.0</v>
      </c>
      <c r="H62" s="12">
        <v>296.0</v>
      </c>
      <c r="I62" s="12">
        <v>0.0</v>
      </c>
      <c r="J62" s="12">
        <v>1.0</v>
      </c>
      <c r="K62" s="11" t="s">
        <v>21</v>
      </c>
      <c r="L62" s="7">
        <v>40408.38695601852</v>
      </c>
      <c r="M62" s="13" t="s">
        <v>22</v>
      </c>
      <c r="N62" s="13" t="s">
        <v>23</v>
      </c>
      <c r="O62" s="10" t="str">
        <f t="shared" ref="O62:O63" si="12">HYPERLINK("https://pbs.twimg.com/profile_images/3586356040/2875fe2e13ecc978a7c19bbf515b7847_normal.png","View")</f>
        <v>View</v>
      </c>
      <c r="P62" s="14"/>
    </row>
    <row r="63">
      <c r="A63" s="7">
        <v>42432.58998842593</v>
      </c>
      <c r="B63" s="8" t="str">
        <f t="shared" si="11"/>
        <v>@UMassHistory</v>
      </c>
      <c r="C63" s="9" t="s">
        <v>18</v>
      </c>
      <c r="D63" s="9" t="s">
        <v>153</v>
      </c>
      <c r="E63" s="10" t="str">
        <f>HYPERLINK("https://twitter.com/UMassHistory/status/705485291415609349","705485291415609349")</f>
        <v>705485291415609349</v>
      </c>
      <c r="F63" s="11" t="s">
        <v>31</v>
      </c>
      <c r="G63" s="12">
        <v>722.0</v>
      </c>
      <c r="H63" s="12">
        <v>296.0</v>
      </c>
      <c r="I63" s="12">
        <v>3.0</v>
      </c>
      <c r="J63" s="12">
        <v>3.0</v>
      </c>
      <c r="K63" s="11" t="s">
        <v>21</v>
      </c>
      <c r="L63" s="7">
        <v>40408.38695601852</v>
      </c>
      <c r="M63" s="13" t="s">
        <v>22</v>
      </c>
      <c r="N63" s="13" t="s">
        <v>23</v>
      </c>
      <c r="O63" s="10" t="str">
        <f t="shared" si="12"/>
        <v>View</v>
      </c>
      <c r="P63" s="14"/>
    </row>
    <row r="64">
      <c r="A64" s="7">
        <v>42432.592731481476</v>
      </c>
      <c r="B64" s="8" t="str">
        <f>HYPERLINK("https://twitter.com/History_Doctor","@History_Doctor")</f>
        <v>@History_Doctor</v>
      </c>
      <c r="C64" s="9" t="s">
        <v>96</v>
      </c>
      <c r="D64" s="9" t="s">
        <v>154</v>
      </c>
      <c r="E64" s="10" t="str">
        <f>HYPERLINK("https://twitter.com/History_Doctor/status/705486286849708032","705486286849708032")</f>
        <v>705486286849708032</v>
      </c>
      <c r="F64" s="11" t="s">
        <v>26</v>
      </c>
      <c r="G64" s="12">
        <v>4226.0</v>
      </c>
      <c r="H64" s="12">
        <v>2572.0</v>
      </c>
      <c r="I64" s="12">
        <v>3.0</v>
      </c>
      <c r="J64" s="12">
        <v>0.0</v>
      </c>
      <c r="K64" s="11" t="s">
        <v>21</v>
      </c>
      <c r="L64" s="7">
        <v>39838.32659722222</v>
      </c>
      <c r="M64" s="13" t="s">
        <v>98</v>
      </c>
      <c r="N64" s="13" t="s">
        <v>99</v>
      </c>
      <c r="O64" s="10" t="str">
        <f>HYPERLINK("https://pbs.twimg.com/profile_images/652138401651666944/voDILXwD_normal.jpg","View")</f>
        <v>View</v>
      </c>
      <c r="P64" s="14"/>
    </row>
    <row r="65">
      <c r="A65" s="7">
        <v>42432.59327546296</v>
      </c>
      <c r="B65" s="8" t="str">
        <f>HYPERLINK("https://twitter.com/jmadelman","@jmadelman")</f>
        <v>@jmadelman</v>
      </c>
      <c r="C65" s="9" t="s">
        <v>155</v>
      </c>
      <c r="D65" s="9" t="s">
        <v>154</v>
      </c>
      <c r="E65" s="10" t="str">
        <f>HYPERLINK("https://twitter.com/jmadelman/status/705486481150894081","705486481150894081")</f>
        <v>705486481150894081</v>
      </c>
      <c r="F65" s="11" t="s">
        <v>26</v>
      </c>
      <c r="G65" s="12">
        <v>2676.0</v>
      </c>
      <c r="H65" s="12">
        <v>1258.0</v>
      </c>
      <c r="I65" s="12">
        <v>3.0</v>
      </c>
      <c r="J65" s="12">
        <v>0.0</v>
      </c>
      <c r="K65" s="11" t="s">
        <v>21</v>
      </c>
      <c r="L65" s="7">
        <v>40198.888761574075</v>
      </c>
      <c r="M65" s="13" t="s">
        <v>156</v>
      </c>
      <c r="N65" s="13" t="s">
        <v>157</v>
      </c>
      <c r="O65" s="10" t="str">
        <f>HYPERLINK("https://pbs.twimg.com/profile_images/633292774570201089/pdNFZfya_normal.jpg","View")</f>
        <v>View</v>
      </c>
      <c r="P65" s="14"/>
    </row>
    <row r="66">
      <c r="A66" s="7">
        <v>42432.647893518515</v>
      </c>
      <c r="B66" s="8" t="str">
        <f>HYPERLINK("https://twitter.com/samueljredman","@samueljredman")</f>
        <v>@samueljredman</v>
      </c>
      <c r="C66" s="9" t="s">
        <v>158</v>
      </c>
      <c r="D66" s="9" t="s">
        <v>159</v>
      </c>
      <c r="E66" s="10" t="str">
        <f>HYPERLINK("https://twitter.com/samueljredman/status/705506273836584960","705506273836584960")</f>
        <v>705506273836584960</v>
      </c>
      <c r="F66" s="11" t="s">
        <v>31</v>
      </c>
      <c r="G66" s="12">
        <v>5623.0</v>
      </c>
      <c r="H66" s="12">
        <v>5355.0</v>
      </c>
      <c r="I66" s="12">
        <v>10.0</v>
      </c>
      <c r="J66" s="12">
        <v>3.0</v>
      </c>
      <c r="K66" s="11" t="s">
        <v>21</v>
      </c>
      <c r="L66" s="7">
        <v>40584.98517361111</v>
      </c>
      <c r="M66" s="13" t="s">
        <v>160</v>
      </c>
      <c r="N66" s="13" t="s">
        <v>161</v>
      </c>
      <c r="O66" s="10" t="str">
        <f>HYPERLINK("https://pbs.twimg.com/profile_images/548193870278688768/8Dq7gW3U_normal.png","View")</f>
        <v>View</v>
      </c>
      <c r="P66" s="14"/>
    </row>
    <row r="67">
      <c r="A67" s="7">
        <v>42432.651238425926</v>
      </c>
      <c r="B67" s="8" t="str">
        <f>HYPERLINK("https://twitter.com/yurikgama","@yurikgama")</f>
        <v>@yurikgama</v>
      </c>
      <c r="C67" s="9" t="s">
        <v>162</v>
      </c>
      <c r="D67" s="9" t="s">
        <v>163</v>
      </c>
      <c r="E67" s="10" t="str">
        <f>HYPERLINK("https://twitter.com/yurikgama/status/705507487718445058","705507487718445058")</f>
        <v>705507487718445058</v>
      </c>
      <c r="F67" s="11" t="s">
        <v>148</v>
      </c>
      <c r="G67" s="12">
        <v>160.0</v>
      </c>
      <c r="H67" s="12">
        <v>527.0</v>
      </c>
      <c r="I67" s="12">
        <v>10.0</v>
      </c>
      <c r="J67" s="12">
        <v>0.0</v>
      </c>
      <c r="K67" s="11" t="s">
        <v>21</v>
      </c>
      <c r="L67" s="7">
        <v>42081.957141203704</v>
      </c>
      <c r="M67" s="13" t="s">
        <v>164</v>
      </c>
      <c r="N67" s="13" t="s">
        <v>165</v>
      </c>
      <c r="O67" s="10" t="str">
        <f>HYPERLINK("https://pbs.twimg.com/profile_images/620671151128354816/78CaG_g__normal.jpg","View")</f>
        <v>View</v>
      </c>
      <c r="P67" s="14"/>
    </row>
    <row r="68">
      <c r="A68" s="7">
        <v>42432.653240740736</v>
      </c>
      <c r="B68" s="8" t="str">
        <f>HYPERLINK("https://twitter.com/historycampaign","@historycampaign")</f>
        <v>@historycampaign</v>
      </c>
      <c r="C68" s="9" t="s">
        <v>133</v>
      </c>
      <c r="D68" s="9" t="s">
        <v>166</v>
      </c>
      <c r="E68" s="10" t="str">
        <f>HYPERLINK("https://twitter.com/historycampaign/status/705508213509193729","705508213509193729")</f>
        <v>705508213509193729</v>
      </c>
      <c r="F68" s="11" t="s">
        <v>31</v>
      </c>
      <c r="G68" s="12">
        <v>110.0</v>
      </c>
      <c r="H68" s="12">
        <v>59.0</v>
      </c>
      <c r="I68" s="12">
        <v>3.0</v>
      </c>
      <c r="J68" s="12">
        <v>1.0</v>
      </c>
      <c r="K68" s="11" t="s">
        <v>21</v>
      </c>
      <c r="L68" s="7">
        <v>42311.25096064815</v>
      </c>
      <c r="M68" s="15"/>
      <c r="N68" s="13" t="s">
        <v>135</v>
      </c>
      <c r="O68" s="10" t="str">
        <f>HYPERLINK("https://pbs.twimg.com/profile_images/673691030139609088/8v7ab61D_normal.jpg","View")</f>
        <v>View</v>
      </c>
      <c r="P68" s="14"/>
    </row>
    <row r="69">
      <c r="A69" s="7">
        <v>42432.65733796296</v>
      </c>
      <c r="B69" s="8" t="str">
        <f>HYPERLINK("https://twitter.com/snationknapper","@snationknapper")</f>
        <v>@snationknapper</v>
      </c>
      <c r="C69" s="9" t="s">
        <v>167</v>
      </c>
      <c r="D69" s="9" t="s">
        <v>163</v>
      </c>
      <c r="E69" s="10" t="str">
        <f>HYPERLINK("https://twitter.com/snationknapper/status/705509698301140992","705509698301140992")</f>
        <v>705509698301140992</v>
      </c>
      <c r="F69" s="11" t="s">
        <v>148</v>
      </c>
      <c r="G69" s="12">
        <v>826.0</v>
      </c>
      <c r="H69" s="12">
        <v>1135.0</v>
      </c>
      <c r="I69" s="12">
        <v>10.0</v>
      </c>
      <c r="J69" s="12">
        <v>0.0</v>
      </c>
      <c r="K69" s="11" t="s">
        <v>21</v>
      </c>
      <c r="L69" s="7">
        <v>40598.346400462964</v>
      </c>
      <c r="M69" s="13" t="s">
        <v>168</v>
      </c>
      <c r="N69" s="13" t="s">
        <v>169</v>
      </c>
      <c r="O69" s="10" t="str">
        <f>HYPERLINK("https://pbs.twimg.com/profile_images/1890184517/Stac_portrait-2_2_normal.jpg","View")</f>
        <v>View</v>
      </c>
      <c r="P69" s="14"/>
    </row>
    <row r="70">
      <c r="A70" s="7">
        <v>42432.66762731482</v>
      </c>
      <c r="B70" s="8" t="str">
        <f>HYPERLINK("https://twitter.com/panthermtnichol","@panthermtnichol")</f>
        <v>@panthermtnichol</v>
      </c>
      <c r="C70" s="9" t="s">
        <v>170</v>
      </c>
      <c r="D70" s="9" t="s">
        <v>163</v>
      </c>
      <c r="E70" s="10" t="str">
        <f>HYPERLINK("https://twitter.com/panthermtnichol/status/705513426781507584","705513426781507584")</f>
        <v>705513426781507584</v>
      </c>
      <c r="F70" s="11" t="s">
        <v>77</v>
      </c>
      <c r="G70" s="12">
        <v>223.0</v>
      </c>
      <c r="H70" s="12">
        <v>575.0</v>
      </c>
      <c r="I70" s="12">
        <v>10.0</v>
      </c>
      <c r="J70" s="12">
        <v>0.0</v>
      </c>
      <c r="K70" s="11" t="s">
        <v>21</v>
      </c>
      <c r="L70" s="7">
        <v>41161.52422453704</v>
      </c>
      <c r="M70" s="15"/>
      <c r="N70" s="13" t="s">
        <v>171</v>
      </c>
      <c r="O70" s="10" t="str">
        <f>HYPERLINK("https://pbs.twimg.com/profile_images/664600859662127104/suZFYy0l_normal.jpg","View")</f>
        <v>View</v>
      </c>
      <c r="P70" s="14"/>
    </row>
    <row r="71">
      <c r="A71" s="7">
        <v>42432.670949074076</v>
      </c>
      <c r="B71" s="8" t="str">
        <f>HYPERLINK("https://twitter.com/historein","@historein")</f>
        <v>@historein</v>
      </c>
      <c r="C71" s="9" t="s">
        <v>172</v>
      </c>
      <c r="D71" s="9" t="s">
        <v>173</v>
      </c>
      <c r="E71" s="10" t="str">
        <f>HYPERLINK("https://twitter.com/historein/status/705514632006529026","705514632006529026")</f>
        <v>705514632006529026</v>
      </c>
      <c r="F71" s="11" t="s">
        <v>31</v>
      </c>
      <c r="G71" s="12">
        <v>641.0</v>
      </c>
      <c r="H71" s="12">
        <v>753.0</v>
      </c>
      <c r="I71" s="12">
        <v>0.0</v>
      </c>
      <c r="J71" s="12">
        <v>2.0</v>
      </c>
      <c r="K71" s="11" t="s">
        <v>21</v>
      </c>
      <c r="L71" s="7">
        <v>40416.68083333333</v>
      </c>
      <c r="M71" s="13" t="s">
        <v>35</v>
      </c>
      <c r="N71" s="13" t="s">
        <v>174</v>
      </c>
      <c r="O71" s="10" t="str">
        <f>HYPERLINK("https://pbs.twimg.com/profile_images/636901483401904128/cxbavncr_normal.jpg","View")</f>
        <v>View</v>
      </c>
      <c r="P71" s="14"/>
    </row>
    <row r="72">
      <c r="A72" s="7">
        <v>42432.68703703704</v>
      </c>
      <c r="B72" s="8" t="str">
        <f>HYPERLINK("https://twitter.com/FLHistorians","@FLHistorians")</f>
        <v>@FLHistorians</v>
      </c>
      <c r="C72" s="9" t="s">
        <v>175</v>
      </c>
      <c r="D72" s="9" t="s">
        <v>163</v>
      </c>
      <c r="E72" s="10" t="str">
        <f>HYPERLINK("https://twitter.com/FLHistorians/status/705520462470766593","705520462470766593")</f>
        <v>705520462470766593</v>
      </c>
      <c r="F72" s="11" t="s">
        <v>77</v>
      </c>
      <c r="G72" s="12">
        <v>69.0</v>
      </c>
      <c r="H72" s="12">
        <v>28.0</v>
      </c>
      <c r="I72" s="12">
        <v>10.0</v>
      </c>
      <c r="J72" s="12">
        <v>0.0</v>
      </c>
      <c r="K72" s="11" t="s">
        <v>21</v>
      </c>
      <c r="L72" s="7">
        <v>41653.56506944445</v>
      </c>
      <c r="M72" s="13" t="s">
        <v>176</v>
      </c>
      <c r="N72" s="13" t="s">
        <v>177</v>
      </c>
      <c r="O72" s="10" t="str">
        <f>HYPERLINK("https://pbs.twimg.com/profile_images/462686846128893953/W3wIjUpR_normal.jpeg","View")</f>
        <v>View</v>
      </c>
      <c r="P72" s="14"/>
    </row>
    <row r="73">
      <c r="A73" s="7">
        <v>42432.693657407406</v>
      </c>
      <c r="B73" s="8" t="str">
        <f>HYPERLINK("https://twitter.com/nicholsonsonia_","@nicholsonsonia_")</f>
        <v>@nicholsonsonia_</v>
      </c>
      <c r="C73" s="9" t="s">
        <v>178</v>
      </c>
      <c r="D73" s="9" t="s">
        <v>179</v>
      </c>
      <c r="E73" s="10" t="str">
        <f>HYPERLINK("https://twitter.com/nicholsonsonia_/status/705522860761042944","705522860761042944")</f>
        <v>705522860761042944</v>
      </c>
      <c r="F73" s="11" t="s">
        <v>102</v>
      </c>
      <c r="G73" s="12">
        <v>154.0</v>
      </c>
      <c r="H73" s="12">
        <v>265.0</v>
      </c>
      <c r="I73" s="12">
        <v>3.0</v>
      </c>
      <c r="J73" s="12">
        <v>0.0</v>
      </c>
      <c r="K73" s="11" t="s">
        <v>21</v>
      </c>
      <c r="L73" s="7">
        <v>42287.57635416667</v>
      </c>
      <c r="M73" s="13" t="s">
        <v>180</v>
      </c>
      <c r="N73" s="13" t="s">
        <v>181</v>
      </c>
      <c r="O73" s="10" t="str">
        <f>HYPERLINK("https://pbs.twimg.com/profile_images/678715954088443905/MWM_lx-b_normal.jpg","View")</f>
        <v>View</v>
      </c>
      <c r="P73" s="14"/>
    </row>
    <row r="74">
      <c r="A74" s="7">
        <v>42432.71552083333</v>
      </c>
      <c r="B74" s="8" t="str">
        <f>HYPERLINK("https://twitter.com/LifeThruTime","@LifeThruTime")</f>
        <v>@LifeThruTime</v>
      </c>
      <c r="C74" s="9" t="s">
        <v>182</v>
      </c>
      <c r="D74" s="9" t="s">
        <v>163</v>
      </c>
      <c r="E74" s="10" t="str">
        <f>HYPERLINK("https://twitter.com/LifeThruTime/status/705530781217615873","705530781217615873")</f>
        <v>705530781217615873</v>
      </c>
      <c r="F74" s="11" t="s">
        <v>31</v>
      </c>
      <c r="G74" s="12">
        <v>459.0</v>
      </c>
      <c r="H74" s="12">
        <v>430.0</v>
      </c>
      <c r="I74" s="12">
        <v>10.0</v>
      </c>
      <c r="J74" s="12">
        <v>0.0</v>
      </c>
      <c r="K74" s="11" t="s">
        <v>21</v>
      </c>
      <c r="L74" s="7">
        <v>40700.6241087963</v>
      </c>
      <c r="M74" s="13" t="s">
        <v>183</v>
      </c>
      <c r="N74" s="13" t="s">
        <v>184</v>
      </c>
      <c r="O74" s="10" t="str">
        <f>HYPERLINK("https://pbs.twimg.com/profile_images/550514120751992832/3mKwHIXw_normal.jpeg","View")</f>
        <v>View</v>
      </c>
      <c r="P74" s="14"/>
    </row>
    <row r="75">
      <c r="A75" s="7">
        <v>42432.72561342592</v>
      </c>
      <c r="B75" s="8" t="str">
        <f>HYPERLINK("https://twitter.com/Sacrobosco2013","@Sacrobosco2013")</f>
        <v>@Sacrobosco2013</v>
      </c>
      <c r="C75" s="9" t="s">
        <v>185</v>
      </c>
      <c r="D75" s="9" t="s">
        <v>163</v>
      </c>
      <c r="E75" s="10" t="str">
        <f>HYPERLINK("https://twitter.com/Sacrobosco2013/status/705534439174983680","705534439174983680")</f>
        <v>705534439174983680</v>
      </c>
      <c r="F75" s="11" t="s">
        <v>26</v>
      </c>
      <c r="G75" s="12">
        <v>846.0</v>
      </c>
      <c r="H75" s="12">
        <v>1041.0</v>
      </c>
      <c r="I75" s="12">
        <v>10.0</v>
      </c>
      <c r="J75" s="12">
        <v>0.0</v>
      </c>
      <c r="K75" s="11" t="s">
        <v>21</v>
      </c>
      <c r="L75" s="7">
        <v>41403.60951388889</v>
      </c>
      <c r="M75" s="13" t="s">
        <v>186</v>
      </c>
      <c r="N75" s="13" t="s">
        <v>187</v>
      </c>
      <c r="O75" s="10" t="str">
        <f>HYPERLINK("https://pbs.twimg.com/profile_images/422941980289560576/9C_aTzvl_normal.jpeg","View")</f>
        <v>View</v>
      </c>
      <c r="P75" s="14"/>
    </row>
    <row r="76">
      <c r="A76" s="7">
        <v>42432.726111111115</v>
      </c>
      <c r="B76" s="8" t="str">
        <f>HYPERLINK("https://twitter.com/ersorpasso","@ersorpasso")</f>
        <v>@ersorpasso</v>
      </c>
      <c r="C76" s="9" t="s">
        <v>188</v>
      </c>
      <c r="D76" s="9" t="s">
        <v>163</v>
      </c>
      <c r="E76" s="10" t="str">
        <f>HYPERLINK("https://twitter.com/ersorpasso/status/705534619475697668","705534619475697668")</f>
        <v>705534619475697668</v>
      </c>
      <c r="F76" s="11" t="s">
        <v>102</v>
      </c>
      <c r="G76" s="12">
        <v>352.0</v>
      </c>
      <c r="H76" s="12">
        <v>3044.0</v>
      </c>
      <c r="I76" s="12">
        <v>10.0</v>
      </c>
      <c r="J76" s="12">
        <v>0.0</v>
      </c>
      <c r="K76" s="11" t="s">
        <v>21</v>
      </c>
      <c r="L76" s="7">
        <v>41581.60556712963</v>
      </c>
      <c r="M76" s="15"/>
      <c r="N76" s="13" t="s">
        <v>189</v>
      </c>
      <c r="O76" s="10" t="str">
        <f>HYPERLINK("https://pbs.twimg.com/profile_images/626720475826253824/eG7TzM7S_normal.jpg","View")</f>
        <v>View</v>
      </c>
      <c r="P76" s="14"/>
    </row>
    <row r="77">
      <c r="A77" s="7">
        <v>42432.74356481481</v>
      </c>
      <c r="B77" s="8" t="str">
        <f>HYPERLINK("https://twitter.com/mixed_race","@mixed_race")</f>
        <v>@mixed_race</v>
      </c>
      <c r="C77" s="9" t="s">
        <v>190</v>
      </c>
      <c r="D77" s="9" t="s">
        <v>163</v>
      </c>
      <c r="E77" s="10" t="str">
        <f>HYPERLINK("https://twitter.com/mixed_race/status/705540945563914240","705540945563914240")</f>
        <v>705540945563914240</v>
      </c>
      <c r="F77" s="11" t="s">
        <v>148</v>
      </c>
      <c r="G77" s="12">
        <v>2765.0</v>
      </c>
      <c r="H77" s="12">
        <v>1693.0</v>
      </c>
      <c r="I77" s="12">
        <v>10.0</v>
      </c>
      <c r="J77" s="12">
        <v>0.0</v>
      </c>
      <c r="K77" s="11" t="s">
        <v>21</v>
      </c>
      <c r="L77" s="7">
        <v>41093.35412037037</v>
      </c>
      <c r="M77" s="13" t="s">
        <v>191</v>
      </c>
      <c r="N77" s="13" t="s">
        <v>192</v>
      </c>
      <c r="O77" s="10" t="str">
        <f>HYPERLINK("https://pbs.twimg.com/profile_images/2363966384/e3k04vovspffvvyjvw6y_normal.jpeg","View")</f>
        <v>View</v>
      </c>
      <c r="P77" s="14"/>
    </row>
    <row r="78">
      <c r="A78" s="7">
        <v>42432.81971064815</v>
      </c>
      <c r="B78" s="8" t="str">
        <f>HYPERLINK("https://twitter.com/pastpunditry","@pastpunditry")</f>
        <v>@pastpunditry</v>
      </c>
      <c r="C78" s="9" t="s">
        <v>92</v>
      </c>
      <c r="D78" s="9" t="s">
        <v>193</v>
      </c>
      <c r="E78" s="10" t="str">
        <f>HYPERLINK("https://twitter.com/pastpunditry/status/705568539407749120","705568539407749120")</f>
        <v>705568539407749120</v>
      </c>
      <c r="F78" s="11" t="s">
        <v>77</v>
      </c>
      <c r="G78" s="12">
        <v>890.0</v>
      </c>
      <c r="H78" s="12">
        <v>378.0</v>
      </c>
      <c r="I78" s="12">
        <v>0.0</v>
      </c>
      <c r="J78" s="12">
        <v>1.0</v>
      </c>
      <c r="K78" s="11" t="s">
        <v>21</v>
      </c>
      <c r="L78" s="7">
        <v>40283.384351851855</v>
      </c>
      <c r="M78" s="13" t="s">
        <v>94</v>
      </c>
      <c r="N78" s="13" t="s">
        <v>95</v>
      </c>
      <c r="O78" s="10" t="str">
        <f>HYPERLINK("https://pbs.twimg.com/profile_images/704873222802636800/7aFEMOY5_normal.jpg","View")</f>
        <v>View</v>
      </c>
      <c r="P78" s="14"/>
    </row>
    <row r="79">
      <c r="A79" s="7">
        <v>42432.838368055556</v>
      </c>
      <c r="B79" s="8" t="str">
        <f>HYPERLINK("https://twitter.com/samueljredman","@samueljredman")</f>
        <v>@samueljredman</v>
      </c>
      <c r="C79" s="9" t="s">
        <v>158</v>
      </c>
      <c r="D79" s="9" t="s">
        <v>194</v>
      </c>
      <c r="E79" s="10" t="str">
        <f>HYPERLINK("https://twitter.com/samueljredman/status/705575301322051584","705575301322051584")</f>
        <v>705575301322051584</v>
      </c>
      <c r="F79" s="11" t="s">
        <v>72</v>
      </c>
      <c r="G79" s="12">
        <v>5623.0</v>
      </c>
      <c r="H79" s="12">
        <v>5355.0</v>
      </c>
      <c r="I79" s="12">
        <v>1.0</v>
      </c>
      <c r="J79" s="12">
        <v>0.0</v>
      </c>
      <c r="K79" s="11" t="s">
        <v>21</v>
      </c>
      <c r="L79" s="7">
        <v>40584.98517361111</v>
      </c>
      <c r="M79" s="13" t="s">
        <v>160</v>
      </c>
      <c r="N79" s="13" t="s">
        <v>161</v>
      </c>
      <c r="O79" s="10" t="str">
        <f>HYPERLINK("https://pbs.twimg.com/profile_images/548193870278688768/8Dq7gW3U_normal.png","View")</f>
        <v>View</v>
      </c>
      <c r="P79" s="14"/>
    </row>
    <row r="80">
      <c r="A80" s="7">
        <v>42432.875173611115</v>
      </c>
      <c r="B80" s="8" t="str">
        <f>HYPERLINK("https://twitter.com/sarageorgini","@sarageorgini")</f>
        <v>@sarageorgini</v>
      </c>
      <c r="C80" s="9" t="s">
        <v>195</v>
      </c>
      <c r="D80" s="9" t="s">
        <v>196</v>
      </c>
      <c r="E80" s="10" t="str">
        <f>HYPERLINK("https://twitter.com/sarageorgini/status/705588639024222209","705588639024222209")</f>
        <v>705588639024222209</v>
      </c>
      <c r="F80" s="11" t="s">
        <v>26</v>
      </c>
      <c r="G80" s="12">
        <v>957.0</v>
      </c>
      <c r="H80" s="12">
        <v>852.0</v>
      </c>
      <c r="I80" s="12">
        <v>3.0</v>
      </c>
      <c r="J80" s="12">
        <v>0.0</v>
      </c>
      <c r="K80" s="11" t="s">
        <v>21</v>
      </c>
      <c r="L80" s="7">
        <v>42218.17355324074</v>
      </c>
      <c r="M80" s="13" t="s">
        <v>197</v>
      </c>
      <c r="N80" s="13" t="s">
        <v>198</v>
      </c>
      <c r="O80" s="10" t="str">
        <f>HYPERLINK("https://pbs.twimg.com/profile_images/627960999308492800/kaLp9zOz_normal.jpg","View")</f>
        <v>View</v>
      </c>
      <c r="P80" s="14"/>
    </row>
    <row r="81">
      <c r="A81" s="7">
        <v>42432.94255787037</v>
      </c>
      <c r="B81" s="8" t="str">
        <f>HYPERLINK("https://twitter.com/samueljredman","@samueljredman")</f>
        <v>@samueljredman</v>
      </c>
      <c r="C81" s="9" t="s">
        <v>158</v>
      </c>
      <c r="D81" s="9" t="s">
        <v>97</v>
      </c>
      <c r="E81" s="10" t="str">
        <f>HYPERLINK("https://twitter.com/samueljredman/status/705613058245271552","705613058245271552")</f>
        <v>705613058245271552</v>
      </c>
      <c r="F81" s="11" t="s">
        <v>26</v>
      </c>
      <c r="G81" s="12">
        <v>5623.0</v>
      </c>
      <c r="H81" s="12">
        <v>5355.0</v>
      </c>
      <c r="I81" s="12">
        <v>8.0</v>
      </c>
      <c r="J81" s="12">
        <v>0.0</v>
      </c>
      <c r="K81" s="11" t="s">
        <v>21</v>
      </c>
      <c r="L81" s="7">
        <v>40584.98517361111</v>
      </c>
      <c r="M81" s="13" t="s">
        <v>160</v>
      </c>
      <c r="N81" s="13" t="s">
        <v>161</v>
      </c>
      <c r="O81" s="10" t="str">
        <f>HYPERLINK("https://pbs.twimg.com/profile_images/548193870278688768/8Dq7gW3U_normal.png","View")</f>
        <v>View</v>
      </c>
      <c r="P81" s="14"/>
    </row>
    <row r="82">
      <c r="A82" s="7">
        <v>42433.24914351852</v>
      </c>
      <c r="B82" s="8" t="str">
        <f t="shared" ref="B82:B83" si="13">HYPERLINK("https://twitter.com/UMassHistory","@UMassHistory")</f>
        <v>@UMassHistory</v>
      </c>
      <c r="C82" s="9" t="s">
        <v>18</v>
      </c>
      <c r="D82" s="9" t="s">
        <v>179</v>
      </c>
      <c r="E82" s="10" t="str">
        <f>HYPERLINK("https://twitter.com/UMassHistory/status/705724160992022528","705724160992022528")</f>
        <v>705724160992022528</v>
      </c>
      <c r="F82" s="11" t="s">
        <v>29</v>
      </c>
      <c r="G82" s="12">
        <v>722.0</v>
      </c>
      <c r="H82" s="12">
        <v>296.0</v>
      </c>
      <c r="I82" s="12">
        <v>3.0</v>
      </c>
      <c r="J82" s="12">
        <v>0.0</v>
      </c>
      <c r="K82" s="11" t="s">
        <v>21</v>
      </c>
      <c r="L82" s="7">
        <v>40408.38695601852</v>
      </c>
      <c r="M82" s="13" t="s">
        <v>22</v>
      </c>
      <c r="N82" s="13" t="s">
        <v>23</v>
      </c>
      <c r="O82" s="10" t="str">
        <f t="shared" ref="O82:O83" si="14">HYPERLINK("https://pbs.twimg.com/profile_images/3586356040/2875fe2e13ecc978a7c19bbf515b7847_normal.png","View")</f>
        <v>View</v>
      </c>
      <c r="P82" s="14"/>
    </row>
    <row r="83">
      <c r="A83" s="7">
        <v>42433.24940972222</v>
      </c>
      <c r="B83" s="8" t="str">
        <f t="shared" si="13"/>
        <v>@UMassHistory</v>
      </c>
      <c r="C83" s="9" t="s">
        <v>18</v>
      </c>
      <c r="D83" s="9" t="s">
        <v>196</v>
      </c>
      <c r="E83" s="10" t="str">
        <f>HYPERLINK("https://twitter.com/UMassHistory/status/705724259700711424","705724259700711424")</f>
        <v>705724259700711424</v>
      </c>
      <c r="F83" s="11" t="s">
        <v>29</v>
      </c>
      <c r="G83" s="12">
        <v>722.0</v>
      </c>
      <c r="H83" s="12">
        <v>296.0</v>
      </c>
      <c r="I83" s="12">
        <v>3.0</v>
      </c>
      <c r="J83" s="12">
        <v>0.0</v>
      </c>
      <c r="K83" s="11" t="s">
        <v>21</v>
      </c>
      <c r="L83" s="7">
        <v>40408.38695601852</v>
      </c>
      <c r="M83" s="13" t="s">
        <v>22</v>
      </c>
      <c r="N83" s="13" t="s">
        <v>23</v>
      </c>
      <c r="O83" s="10" t="str">
        <f t="shared" si="14"/>
        <v>View</v>
      </c>
      <c r="P83" s="14"/>
    </row>
    <row r="84">
      <c r="A84" s="7">
        <v>42433.293437500004</v>
      </c>
      <c r="B84" s="8" t="str">
        <f>HYPERLINK("https://twitter.com/ProfessorTMR","@ProfessorTMR")</f>
        <v>@ProfessorTMR</v>
      </c>
      <c r="C84" s="9" t="s">
        <v>199</v>
      </c>
      <c r="D84" s="9" t="s">
        <v>179</v>
      </c>
      <c r="E84" s="10" t="str">
        <f>HYPERLINK("https://twitter.com/ProfessorTMR/status/705740212455002112","705740212455002112")</f>
        <v>705740212455002112</v>
      </c>
      <c r="F84" s="11" t="s">
        <v>102</v>
      </c>
      <c r="G84" s="12">
        <v>1200.0</v>
      </c>
      <c r="H84" s="12">
        <v>1712.0</v>
      </c>
      <c r="I84" s="12">
        <v>3.0</v>
      </c>
      <c r="J84" s="12">
        <v>0.0</v>
      </c>
      <c r="K84" s="11" t="s">
        <v>21</v>
      </c>
      <c r="L84" s="7">
        <v>39657.13857638889</v>
      </c>
      <c r="M84" s="13" t="s">
        <v>200</v>
      </c>
      <c r="N84" s="13" t="s">
        <v>201</v>
      </c>
      <c r="O84" s="10" t="str">
        <f>HYPERLINK("https://pbs.twimg.com/profile_images/423841508945440769/niAqkNDQ_normal.jpeg","View")</f>
        <v>View</v>
      </c>
      <c r="P84" s="14"/>
    </row>
    <row r="85">
      <c r="A85" s="7">
        <v>42433.301574074074</v>
      </c>
      <c r="B85" s="8" t="str">
        <f>HYPERLINK("https://twitter.com/pastpunditry","@pastpunditry")</f>
        <v>@pastpunditry</v>
      </c>
      <c r="C85" s="9" t="s">
        <v>92</v>
      </c>
      <c r="D85" s="9" t="s">
        <v>202</v>
      </c>
      <c r="E85" s="10" t="str">
        <f>HYPERLINK("https://twitter.com/pastpunditry/status/705743159817543680","705743159817543680")</f>
        <v>705743159817543680</v>
      </c>
      <c r="F85" s="11" t="s">
        <v>77</v>
      </c>
      <c r="G85" s="12">
        <v>890.0</v>
      </c>
      <c r="H85" s="12">
        <v>378.0</v>
      </c>
      <c r="I85" s="12">
        <v>6.0</v>
      </c>
      <c r="J85" s="12">
        <v>5.0</v>
      </c>
      <c r="K85" s="11" t="s">
        <v>21</v>
      </c>
      <c r="L85" s="7">
        <v>40283.384351851855</v>
      </c>
      <c r="M85" s="13" t="s">
        <v>94</v>
      </c>
      <c r="N85" s="13" t="s">
        <v>95</v>
      </c>
      <c r="O85" s="10" t="str">
        <f>HYPERLINK("https://pbs.twimg.com/profile_images/704873222802636800/7aFEMOY5_normal.jpg","View")</f>
        <v>View</v>
      </c>
      <c r="P85" s="14"/>
    </row>
    <row r="86">
      <c r="A86" s="7">
        <v>42433.30197916667</v>
      </c>
      <c r="B86" s="8" t="str">
        <f>HYPERLINK("https://twitter.com/FatalPolitics","@FatalPolitics")</f>
        <v>@FatalPolitics</v>
      </c>
      <c r="C86" s="9" t="s">
        <v>203</v>
      </c>
      <c r="D86" s="9" t="s">
        <v>204</v>
      </c>
      <c r="E86" s="10" t="str">
        <f>HYPERLINK("https://twitter.com/FatalPolitics/status/705743310179082241","705743310179082241")</f>
        <v>705743310179082241</v>
      </c>
      <c r="F86" s="11" t="s">
        <v>31</v>
      </c>
      <c r="G86" s="12">
        <v>532.0</v>
      </c>
      <c r="H86" s="12">
        <v>606.0</v>
      </c>
      <c r="I86" s="12">
        <v>6.0</v>
      </c>
      <c r="J86" s="12">
        <v>0.0</v>
      </c>
      <c r="K86" s="11" t="s">
        <v>21</v>
      </c>
      <c r="L86" s="7">
        <v>39654.60980324074</v>
      </c>
      <c r="M86" s="13" t="s">
        <v>205</v>
      </c>
      <c r="N86" s="13" t="s">
        <v>206</v>
      </c>
      <c r="O86" s="10" t="str">
        <f>HYPERLINK("https://pbs.twimg.com/profile_images/600462420176465920/qndxv6Yu_normal.jpg","View")</f>
        <v>View</v>
      </c>
      <c r="P86" s="14"/>
    </row>
    <row r="87">
      <c r="A87" s="7">
        <v>42433.30300925926</v>
      </c>
      <c r="B87" s="8" t="str">
        <f>HYPERLINK("https://twitter.com/AmandaMoniz1","@AmandaMoniz1")</f>
        <v>@AmandaMoniz1</v>
      </c>
      <c r="C87" s="9" t="s">
        <v>66</v>
      </c>
      <c r="D87" s="9" t="s">
        <v>204</v>
      </c>
      <c r="E87" s="10" t="str">
        <f>HYPERLINK("https://twitter.com/AmandaMoniz1/status/705743683891687424","705743683891687424")</f>
        <v>705743683891687424</v>
      </c>
      <c r="F87" s="11" t="s">
        <v>26</v>
      </c>
      <c r="G87" s="12">
        <v>622.0</v>
      </c>
      <c r="H87" s="12">
        <v>607.0</v>
      </c>
      <c r="I87" s="12">
        <v>6.0</v>
      </c>
      <c r="J87" s="12">
        <v>0.0</v>
      </c>
      <c r="K87" s="11" t="s">
        <v>21</v>
      </c>
      <c r="L87" s="7">
        <v>40766.33971064815</v>
      </c>
      <c r="M87" s="15"/>
      <c r="N87" s="13" t="s">
        <v>68</v>
      </c>
      <c r="O87" s="10" t="str">
        <f>HYPERLINK("https://pbs.twimg.com/profile_images/378800000149111881/7969acf9cec4197748b502a6a6c3d921_normal.jpeg","View")</f>
        <v>View</v>
      </c>
      <c r="P87" s="14"/>
    </row>
    <row r="88">
      <c r="A88" s="7">
        <v>42433.313576388886</v>
      </c>
      <c r="B88" s="8" t="str">
        <f>HYPERLINK("https://twitter.com/jnthnwwlsn","@jnthnwwlsn")</f>
        <v>@jnthnwwlsn</v>
      </c>
      <c r="C88" s="9" t="s">
        <v>207</v>
      </c>
      <c r="D88" s="9" t="s">
        <v>204</v>
      </c>
      <c r="E88" s="10" t="str">
        <f>HYPERLINK("https://twitter.com/jnthnwwlsn/status/705747509579268096","705747509579268096")</f>
        <v>705747509579268096</v>
      </c>
      <c r="F88" s="11" t="s">
        <v>26</v>
      </c>
      <c r="G88" s="12">
        <v>1773.0</v>
      </c>
      <c r="H88" s="12">
        <v>2055.0</v>
      </c>
      <c r="I88" s="12">
        <v>6.0</v>
      </c>
      <c r="J88" s="12">
        <v>0.0</v>
      </c>
      <c r="K88" s="11" t="s">
        <v>21</v>
      </c>
      <c r="L88" s="7">
        <v>40637.532905092594</v>
      </c>
      <c r="M88" s="13" t="s">
        <v>208</v>
      </c>
      <c r="N88" s="13" t="s">
        <v>209</v>
      </c>
      <c r="O88" s="10" t="str">
        <f>HYPERLINK("https://pbs.twimg.com/profile_images/660922102632026113/oOp4nhy__normal.jpg","View")</f>
        <v>View</v>
      </c>
      <c r="P88" s="14"/>
    </row>
    <row r="89">
      <c r="A89" s="7">
        <v>42433.346655092595</v>
      </c>
      <c r="B89" s="8" t="str">
        <f>HYPERLINK("https://twitter.com/pastpunditry","@pastpunditry")</f>
        <v>@pastpunditry</v>
      </c>
      <c r="C89" s="9" t="s">
        <v>92</v>
      </c>
      <c r="D89" s="9" t="s">
        <v>210</v>
      </c>
      <c r="E89" s="10" t="str">
        <f>HYPERLINK("https://twitter.com/pastpunditry/status/705759499844505600","705759499844505600")</f>
        <v>705759499844505600</v>
      </c>
      <c r="F89" s="11" t="s">
        <v>77</v>
      </c>
      <c r="G89" s="12">
        <v>890.0</v>
      </c>
      <c r="H89" s="12">
        <v>378.0</v>
      </c>
      <c r="I89" s="12">
        <v>0.0</v>
      </c>
      <c r="J89" s="12">
        <v>2.0</v>
      </c>
      <c r="K89" s="11" t="s">
        <v>21</v>
      </c>
      <c r="L89" s="7">
        <v>40283.384351851855</v>
      </c>
      <c r="M89" s="13" t="s">
        <v>94</v>
      </c>
      <c r="N89" s="13" t="s">
        <v>95</v>
      </c>
      <c r="O89" s="10" t="str">
        <f>HYPERLINK("https://pbs.twimg.com/profile_images/704873222802636800/7aFEMOY5_normal.jpg","View")</f>
        <v>View</v>
      </c>
      <c r="P89" s="14"/>
    </row>
    <row r="90">
      <c r="A90" s="7">
        <v>42433.34774305555</v>
      </c>
      <c r="B90" s="8" t="str">
        <f>HYPERLINK("https://twitter.com/JulieThePH","@JulieThePH")</f>
        <v>@JulieThePH</v>
      </c>
      <c r="C90" s="9" t="s">
        <v>211</v>
      </c>
      <c r="D90" s="9" t="s">
        <v>212</v>
      </c>
      <c r="E90" s="10" t="str">
        <f>HYPERLINK("https://twitter.com/JulieThePH/status/705759893152776192","705759893152776192")</f>
        <v>705759893152776192</v>
      </c>
      <c r="F90" s="11" t="s">
        <v>31</v>
      </c>
      <c r="G90" s="12">
        <v>1234.0</v>
      </c>
      <c r="H90" s="12">
        <v>1386.0</v>
      </c>
      <c r="I90" s="12">
        <v>0.0</v>
      </c>
      <c r="J90" s="12">
        <v>5.0</v>
      </c>
      <c r="K90" s="11" t="s">
        <v>21</v>
      </c>
      <c r="L90" s="7">
        <v>40718.66918981481</v>
      </c>
      <c r="M90" s="13" t="s">
        <v>213</v>
      </c>
      <c r="N90" s="13" t="s">
        <v>214</v>
      </c>
      <c r="O90" s="10" t="str">
        <f>HYPERLINK("https://pbs.twimg.com/profile_images/596509974005686273/AqBblwMR_normal.jpg","View")</f>
        <v>View</v>
      </c>
      <c r="P90" s="14"/>
    </row>
    <row r="91">
      <c r="A91" s="7">
        <v>42433.35009259259</v>
      </c>
      <c r="B91" s="8" t="str">
        <f>HYPERLINK("https://twitter.com/mille24c","@mille24c")</f>
        <v>@mille24c</v>
      </c>
      <c r="C91" s="9" t="s">
        <v>115</v>
      </c>
      <c r="D91" s="9" t="s">
        <v>215</v>
      </c>
      <c r="E91" s="10" t="str">
        <f>HYPERLINK("https://twitter.com/mille24c/status/705760745447936000","705760745447936000")</f>
        <v>705760745447936000</v>
      </c>
      <c r="F91" s="11" t="s">
        <v>29</v>
      </c>
      <c r="G91" s="12">
        <v>208.0</v>
      </c>
      <c r="H91" s="12">
        <v>297.0</v>
      </c>
      <c r="I91" s="12">
        <v>1.0</v>
      </c>
      <c r="J91" s="12">
        <v>1.0</v>
      </c>
      <c r="K91" s="11" t="s">
        <v>21</v>
      </c>
      <c r="L91" s="7">
        <v>39864.79206018519</v>
      </c>
      <c r="M91" s="13" t="s">
        <v>22</v>
      </c>
      <c r="N91" s="13" t="s">
        <v>117</v>
      </c>
      <c r="O91" s="10" t="str">
        <f>HYPERLINK("https://pbs.twimg.com/profile_images/676362182020481024/P0kyLli1_normal.jpg","View")</f>
        <v>View</v>
      </c>
      <c r="P91" s="10" t="str">
        <f>HYPERLINK("http://ctrlq.org/maps/address/#42.38710915,-72.52660854","Map")</f>
        <v>Map</v>
      </c>
    </row>
    <row r="92">
      <c r="A92" s="7">
        <v>42433.35033564815</v>
      </c>
      <c r="B92" s="8" t="str">
        <f>HYPERLINK("https://twitter.com/pastpunditry","@pastpunditry")</f>
        <v>@pastpunditry</v>
      </c>
      <c r="C92" s="9" t="s">
        <v>92</v>
      </c>
      <c r="D92" s="9" t="s">
        <v>216</v>
      </c>
      <c r="E92" s="10" t="str">
        <f>HYPERLINK("https://twitter.com/pastpunditry/status/705760832131567616","705760832131567616")</f>
        <v>705760832131567616</v>
      </c>
      <c r="F92" s="11" t="s">
        <v>77</v>
      </c>
      <c r="G92" s="12">
        <v>890.0</v>
      </c>
      <c r="H92" s="12">
        <v>378.0</v>
      </c>
      <c r="I92" s="12">
        <v>1.0</v>
      </c>
      <c r="J92" s="12">
        <v>0.0</v>
      </c>
      <c r="K92" s="11" t="s">
        <v>21</v>
      </c>
      <c r="L92" s="7">
        <v>40283.384351851855</v>
      </c>
      <c r="M92" s="13" t="s">
        <v>94</v>
      </c>
      <c r="N92" s="13" t="s">
        <v>95</v>
      </c>
      <c r="O92" s="10" t="str">
        <f>HYPERLINK("https://pbs.twimg.com/profile_images/704873222802636800/7aFEMOY5_normal.jpg","View")</f>
        <v>View</v>
      </c>
      <c r="P92" s="14"/>
    </row>
    <row r="93">
      <c r="A93" s="7">
        <v>42433.35395833333</v>
      </c>
      <c r="B93" s="8" t="str">
        <f>HYPERLINK("https://twitter.com/mille24c","@mille24c")</f>
        <v>@mille24c</v>
      </c>
      <c r="C93" s="9" t="s">
        <v>115</v>
      </c>
      <c r="D93" s="9" t="s">
        <v>217</v>
      </c>
      <c r="E93" s="10" t="str">
        <f>HYPERLINK("https://twitter.com/mille24c/status/705762146555187200","705762146555187200")</f>
        <v>705762146555187200</v>
      </c>
      <c r="F93" s="11" t="s">
        <v>31</v>
      </c>
      <c r="G93" s="12">
        <v>208.0</v>
      </c>
      <c r="H93" s="12">
        <v>297.0</v>
      </c>
      <c r="I93" s="12">
        <v>0.0</v>
      </c>
      <c r="J93" s="12">
        <v>1.0</v>
      </c>
      <c r="K93" s="11" t="s">
        <v>21</v>
      </c>
      <c r="L93" s="7">
        <v>39864.79206018519</v>
      </c>
      <c r="M93" s="13" t="s">
        <v>22</v>
      </c>
      <c r="N93" s="13" t="s">
        <v>117</v>
      </c>
      <c r="O93" s="10" t="str">
        <f>HYPERLINK("https://pbs.twimg.com/profile_images/676362182020481024/P0kyLli1_normal.jpg","View")</f>
        <v>View</v>
      </c>
      <c r="P93" s="14"/>
    </row>
    <row r="94">
      <c r="A94" s="7">
        <v>42433.35488425926</v>
      </c>
      <c r="B94" s="8" t="str">
        <f>HYPERLINK("https://twitter.com/historein","@historein")</f>
        <v>@historein</v>
      </c>
      <c r="C94" s="9" t="s">
        <v>172</v>
      </c>
      <c r="D94" s="9" t="s">
        <v>218</v>
      </c>
      <c r="E94" s="10" t="str">
        <f>HYPERLINK("https://twitter.com/historein/status/705762482028191744","705762482028191744")</f>
        <v>705762482028191744</v>
      </c>
      <c r="F94" s="11" t="s">
        <v>31</v>
      </c>
      <c r="G94" s="12">
        <v>641.0</v>
      </c>
      <c r="H94" s="12">
        <v>753.0</v>
      </c>
      <c r="I94" s="12">
        <v>0.0</v>
      </c>
      <c r="J94" s="12">
        <v>1.0</v>
      </c>
      <c r="K94" s="11" t="s">
        <v>21</v>
      </c>
      <c r="L94" s="7">
        <v>40416.68083333333</v>
      </c>
      <c r="M94" s="13" t="s">
        <v>35</v>
      </c>
      <c r="N94" s="13" t="s">
        <v>174</v>
      </c>
      <c r="O94" s="10" t="str">
        <f>HYPERLINK("https://pbs.twimg.com/profile_images/636901483401904128/cxbavncr_normal.jpg","View")</f>
        <v>View</v>
      </c>
      <c r="P94" s="14"/>
    </row>
    <row r="95">
      <c r="A95" s="7">
        <v>42433.355219907404</v>
      </c>
      <c r="B95" s="8" t="str">
        <f>HYPERLINK("https://twitter.com/JulieThePH","@JulieThePH")</f>
        <v>@JulieThePH</v>
      </c>
      <c r="C95" s="9" t="s">
        <v>211</v>
      </c>
      <c r="D95" s="9" t="s">
        <v>219</v>
      </c>
      <c r="E95" s="10" t="str">
        <f>HYPERLINK("https://twitter.com/JulieThePH/status/705762602824167426","705762602824167426")</f>
        <v>705762602824167426</v>
      </c>
      <c r="F95" s="11" t="s">
        <v>31</v>
      </c>
      <c r="G95" s="12">
        <v>1234.0</v>
      </c>
      <c r="H95" s="12">
        <v>1386.0</v>
      </c>
      <c r="I95" s="12">
        <v>1.0</v>
      </c>
      <c r="J95" s="12">
        <v>1.0</v>
      </c>
      <c r="K95" s="11" t="s">
        <v>21</v>
      </c>
      <c r="L95" s="7">
        <v>40718.66918981481</v>
      </c>
      <c r="M95" s="13" t="s">
        <v>213</v>
      </c>
      <c r="N95" s="13" t="s">
        <v>214</v>
      </c>
      <c r="O95" s="10" t="str">
        <f>HYPERLINK("https://pbs.twimg.com/profile_images/596509974005686273/AqBblwMR_normal.jpg","View")</f>
        <v>View</v>
      </c>
      <c r="P95" s="14"/>
    </row>
    <row r="96">
      <c r="A96" s="7">
        <v>42433.3553125</v>
      </c>
      <c r="B96" s="8" t="str">
        <f t="shared" ref="B96:B97" si="15">HYPERLINK("https://twitter.com/pastpunditry","@pastpunditry")</f>
        <v>@pastpunditry</v>
      </c>
      <c r="C96" s="9" t="s">
        <v>92</v>
      </c>
      <c r="D96" s="9" t="s">
        <v>220</v>
      </c>
      <c r="E96" s="10" t="str">
        <f>HYPERLINK("https://twitter.com/pastpunditry/status/705762636592488453","705762636592488453")</f>
        <v>705762636592488453</v>
      </c>
      <c r="F96" s="11" t="s">
        <v>77</v>
      </c>
      <c r="G96" s="12">
        <v>890.0</v>
      </c>
      <c r="H96" s="12">
        <v>378.0</v>
      </c>
      <c r="I96" s="12">
        <v>1.0</v>
      </c>
      <c r="J96" s="12">
        <v>0.0</v>
      </c>
      <c r="K96" s="11" t="s">
        <v>21</v>
      </c>
      <c r="L96" s="7">
        <v>40283.384351851855</v>
      </c>
      <c r="M96" s="13" t="s">
        <v>94</v>
      </c>
      <c r="N96" s="13" t="s">
        <v>95</v>
      </c>
      <c r="O96" s="10" t="str">
        <f t="shared" ref="O96:O97" si="16">HYPERLINK("https://pbs.twimg.com/profile_images/704873222802636800/7aFEMOY5_normal.jpg","View")</f>
        <v>View</v>
      </c>
      <c r="P96" s="14"/>
    </row>
    <row r="97">
      <c r="A97" s="7">
        <v>42433.35585648148</v>
      </c>
      <c r="B97" s="8" t="str">
        <f t="shared" si="15"/>
        <v>@pastpunditry</v>
      </c>
      <c r="C97" s="9" t="s">
        <v>92</v>
      </c>
      <c r="D97" s="9" t="s">
        <v>221</v>
      </c>
      <c r="E97" s="10" t="str">
        <f>HYPERLINK("https://twitter.com/pastpunditry/status/705762831703089152","705762831703089152")</f>
        <v>705762831703089152</v>
      </c>
      <c r="F97" s="11" t="s">
        <v>77</v>
      </c>
      <c r="G97" s="12">
        <v>890.0</v>
      </c>
      <c r="H97" s="12">
        <v>378.0</v>
      </c>
      <c r="I97" s="12">
        <v>0.0</v>
      </c>
      <c r="J97" s="12">
        <v>1.0</v>
      </c>
      <c r="K97" s="11" t="s">
        <v>21</v>
      </c>
      <c r="L97" s="7">
        <v>40283.384351851855</v>
      </c>
      <c r="M97" s="13" t="s">
        <v>94</v>
      </c>
      <c r="N97" s="13" t="s">
        <v>95</v>
      </c>
      <c r="O97" s="10" t="str">
        <f t="shared" si="16"/>
        <v>View</v>
      </c>
      <c r="P97" s="14"/>
    </row>
    <row r="98">
      <c r="A98" s="7">
        <v>42433.35592592593</v>
      </c>
      <c r="B98" s="8" t="str">
        <f>HYPERLINK("https://twitter.com/JulieThePH","@JulieThePH")</f>
        <v>@JulieThePH</v>
      </c>
      <c r="C98" s="9" t="s">
        <v>211</v>
      </c>
      <c r="D98" s="9" t="s">
        <v>222</v>
      </c>
      <c r="E98" s="10" t="str">
        <f>HYPERLINK("https://twitter.com/JulieThePH/status/705762857565200388","705762857565200388")</f>
        <v>705762857565200388</v>
      </c>
      <c r="F98" s="11" t="s">
        <v>31</v>
      </c>
      <c r="G98" s="12">
        <v>1234.0</v>
      </c>
      <c r="H98" s="12">
        <v>1386.0</v>
      </c>
      <c r="I98" s="12">
        <v>0.0</v>
      </c>
      <c r="J98" s="12">
        <v>0.0</v>
      </c>
      <c r="K98" s="11" t="s">
        <v>21</v>
      </c>
      <c r="L98" s="7">
        <v>40718.66918981481</v>
      </c>
      <c r="M98" s="13" t="s">
        <v>213</v>
      </c>
      <c r="N98" s="13" t="s">
        <v>214</v>
      </c>
      <c r="O98" s="10" t="str">
        <f>HYPERLINK("https://pbs.twimg.com/profile_images/596509974005686273/AqBblwMR_normal.jpg","View")</f>
        <v>View</v>
      </c>
      <c r="P98" s="14"/>
    </row>
    <row r="99">
      <c r="A99" s="7">
        <v>42433.35650462963</v>
      </c>
      <c r="B99" s="8" t="str">
        <f>HYPERLINK("https://twitter.com/AmandaMoniz1","@AmandaMoniz1")</f>
        <v>@AmandaMoniz1</v>
      </c>
      <c r="C99" s="9" t="s">
        <v>66</v>
      </c>
      <c r="D99" s="9" t="s">
        <v>223</v>
      </c>
      <c r="E99" s="10" t="str">
        <f>HYPERLINK("https://twitter.com/AmandaMoniz1/status/705763067028709376","705763067028709376")</f>
        <v>705763067028709376</v>
      </c>
      <c r="F99" s="11" t="s">
        <v>31</v>
      </c>
      <c r="G99" s="12">
        <v>622.0</v>
      </c>
      <c r="H99" s="12">
        <v>607.0</v>
      </c>
      <c r="I99" s="12">
        <v>0.0</v>
      </c>
      <c r="J99" s="12">
        <v>0.0</v>
      </c>
      <c r="K99" s="11" t="s">
        <v>21</v>
      </c>
      <c r="L99" s="7">
        <v>40766.33971064815</v>
      </c>
      <c r="M99" s="15"/>
      <c r="N99" s="13" t="s">
        <v>68</v>
      </c>
      <c r="O99" s="10" t="str">
        <f>HYPERLINK("https://pbs.twimg.com/profile_images/378800000149111881/7969acf9cec4197748b502a6a6c3d921_normal.jpeg","View")</f>
        <v>View</v>
      </c>
      <c r="P99" s="14"/>
    </row>
    <row r="100">
      <c r="A100" s="7">
        <v>42433.35738425926</v>
      </c>
      <c r="B100" s="8" t="str">
        <f>HYPERLINK("https://twitter.com/JulieThePH","@JulieThePH")</f>
        <v>@JulieThePH</v>
      </c>
      <c r="C100" s="9" t="s">
        <v>211</v>
      </c>
      <c r="D100" s="9" t="s">
        <v>224</v>
      </c>
      <c r="E100" s="10" t="str">
        <f>HYPERLINK("https://twitter.com/JulieThePH/status/705763386194325504","705763386194325504")</f>
        <v>705763386194325504</v>
      </c>
      <c r="F100" s="11" t="s">
        <v>31</v>
      </c>
      <c r="G100" s="12">
        <v>1234.0</v>
      </c>
      <c r="H100" s="12">
        <v>1386.0</v>
      </c>
      <c r="I100" s="12">
        <v>2.0</v>
      </c>
      <c r="J100" s="12">
        <v>5.0</v>
      </c>
      <c r="K100" s="11" t="s">
        <v>21</v>
      </c>
      <c r="L100" s="7">
        <v>40718.66918981481</v>
      </c>
      <c r="M100" s="13" t="s">
        <v>213</v>
      </c>
      <c r="N100" s="13" t="s">
        <v>214</v>
      </c>
      <c r="O100" s="10" t="str">
        <f>HYPERLINK("https://pbs.twimg.com/profile_images/596509974005686273/AqBblwMR_normal.jpg","View")</f>
        <v>View</v>
      </c>
      <c r="P100" s="14"/>
    </row>
    <row r="101">
      <c r="A101" s="7">
        <v>42433.35747685185</v>
      </c>
      <c r="B101" s="8" t="str">
        <f>HYPERLINK("https://twitter.com/pastpunditry","@pastpunditry")</f>
        <v>@pastpunditry</v>
      </c>
      <c r="C101" s="9" t="s">
        <v>92</v>
      </c>
      <c r="D101" s="9" t="s">
        <v>225</v>
      </c>
      <c r="E101" s="10" t="str">
        <f>HYPERLINK("https://twitter.com/pastpunditry/status/705763419656474624","705763419656474624")</f>
        <v>705763419656474624</v>
      </c>
      <c r="F101" s="11" t="s">
        <v>77</v>
      </c>
      <c r="G101" s="12">
        <v>890.0</v>
      </c>
      <c r="H101" s="12">
        <v>378.0</v>
      </c>
      <c r="I101" s="12">
        <v>2.0</v>
      </c>
      <c r="J101" s="12">
        <v>0.0</v>
      </c>
      <c r="K101" s="11" t="s">
        <v>21</v>
      </c>
      <c r="L101" s="7">
        <v>40283.384351851855</v>
      </c>
      <c r="M101" s="13" t="s">
        <v>94</v>
      </c>
      <c r="N101" s="13" t="s">
        <v>95</v>
      </c>
      <c r="O101" s="10" t="str">
        <f>HYPERLINK("https://pbs.twimg.com/profile_images/704873222802636800/7aFEMOY5_normal.jpg","View")</f>
        <v>View</v>
      </c>
      <c r="P101" s="14"/>
    </row>
    <row r="102">
      <c r="A102" s="7">
        <v>42433.36004629629</v>
      </c>
      <c r="B102" s="8" t="str">
        <f>HYPERLINK("https://twitter.com/brianleechphd","@brianleechphd")</f>
        <v>@brianleechphd</v>
      </c>
      <c r="C102" s="9" t="s">
        <v>226</v>
      </c>
      <c r="D102" s="9" t="s">
        <v>225</v>
      </c>
      <c r="E102" s="10" t="str">
        <f>HYPERLINK("https://twitter.com/brianleechphd/status/705764351496556545","705764351496556545")</f>
        <v>705764351496556545</v>
      </c>
      <c r="F102" s="11" t="s">
        <v>26</v>
      </c>
      <c r="G102" s="12">
        <v>677.0</v>
      </c>
      <c r="H102" s="12">
        <v>1499.0</v>
      </c>
      <c r="I102" s="12">
        <v>2.0</v>
      </c>
      <c r="J102" s="12">
        <v>0.0</v>
      </c>
      <c r="K102" s="11" t="s">
        <v>21</v>
      </c>
      <c r="L102" s="7">
        <v>41677.99570601852</v>
      </c>
      <c r="M102" s="13" t="s">
        <v>227</v>
      </c>
      <c r="N102" s="13" t="s">
        <v>228</v>
      </c>
      <c r="O102" s="10" t="str">
        <f>HYPERLINK("https://pbs.twimg.com/profile_images/629489328272592896/BDQ7tdkf_normal.jpg","View")</f>
        <v>View</v>
      </c>
      <c r="P102" s="14"/>
    </row>
    <row r="103">
      <c r="A103" s="7">
        <v>42433.360659722224</v>
      </c>
      <c r="B103" s="8" t="str">
        <f>HYPERLINK("https://twitter.com/JulieThePH","@JulieThePH")</f>
        <v>@JulieThePH</v>
      </c>
      <c r="C103" s="9" t="s">
        <v>211</v>
      </c>
      <c r="D103" s="9" t="s">
        <v>229</v>
      </c>
      <c r="E103" s="10" t="str">
        <f>HYPERLINK("https://twitter.com/JulieThePH/status/705764572544761856","705764572544761856")</f>
        <v>705764572544761856</v>
      </c>
      <c r="F103" s="11" t="s">
        <v>31</v>
      </c>
      <c r="G103" s="12">
        <v>1234.0</v>
      </c>
      <c r="H103" s="12">
        <v>1386.0</v>
      </c>
      <c r="I103" s="12">
        <v>0.0</v>
      </c>
      <c r="J103" s="12">
        <v>0.0</v>
      </c>
      <c r="K103" s="11" t="s">
        <v>21</v>
      </c>
      <c r="L103" s="7">
        <v>40718.66918981481</v>
      </c>
      <c r="M103" s="13" t="s">
        <v>213</v>
      </c>
      <c r="N103" s="13" t="s">
        <v>214</v>
      </c>
      <c r="O103" s="10" t="str">
        <f>HYPERLINK("https://pbs.twimg.com/profile_images/596509974005686273/AqBblwMR_normal.jpg","View")</f>
        <v>View</v>
      </c>
      <c r="P103" s="14"/>
    </row>
    <row r="104">
      <c r="A104" s="7">
        <v>42433.36126157407</v>
      </c>
      <c r="B104" s="8" t="str">
        <f>HYPERLINK("https://twitter.com/AmandaMoniz1","@AmandaMoniz1")</f>
        <v>@AmandaMoniz1</v>
      </c>
      <c r="C104" s="9" t="s">
        <v>66</v>
      </c>
      <c r="D104" s="9" t="s">
        <v>230</v>
      </c>
      <c r="E104" s="10" t="str">
        <f>HYPERLINK("https://twitter.com/AmandaMoniz1/status/705764790443089920","705764790443089920")</f>
        <v>705764790443089920</v>
      </c>
      <c r="F104" s="11" t="s">
        <v>31</v>
      </c>
      <c r="G104" s="12">
        <v>622.0</v>
      </c>
      <c r="H104" s="12">
        <v>607.0</v>
      </c>
      <c r="I104" s="12">
        <v>2.0</v>
      </c>
      <c r="J104" s="12">
        <v>0.0</v>
      </c>
      <c r="K104" s="11" t="s">
        <v>21</v>
      </c>
      <c r="L104" s="7">
        <v>40766.33971064815</v>
      </c>
      <c r="M104" s="15"/>
      <c r="N104" s="13" t="s">
        <v>68</v>
      </c>
      <c r="O104" s="10" t="str">
        <f>HYPERLINK("https://pbs.twimg.com/profile_images/378800000149111881/7969acf9cec4197748b502a6a6c3d921_normal.jpeg","View")</f>
        <v>View</v>
      </c>
      <c r="P104" s="14"/>
    </row>
    <row r="105">
      <c r="A105" s="7">
        <v>42433.36194444445</v>
      </c>
      <c r="B105" s="8" t="str">
        <f>HYPERLINK("https://twitter.com/pastpunditry","@pastpunditry")</f>
        <v>@pastpunditry</v>
      </c>
      <c r="C105" s="9" t="s">
        <v>92</v>
      </c>
      <c r="D105" s="9" t="s">
        <v>231</v>
      </c>
      <c r="E105" s="10" t="str">
        <f>HYPERLINK("https://twitter.com/pastpunditry/status/705765040033558532","705765040033558532")</f>
        <v>705765040033558532</v>
      </c>
      <c r="F105" s="11" t="s">
        <v>77</v>
      </c>
      <c r="G105" s="12">
        <v>890.0</v>
      </c>
      <c r="H105" s="12">
        <v>378.0</v>
      </c>
      <c r="I105" s="12">
        <v>2.0</v>
      </c>
      <c r="J105" s="12">
        <v>0.0</v>
      </c>
      <c r="K105" s="11" t="s">
        <v>21</v>
      </c>
      <c r="L105" s="7">
        <v>40283.384351851855</v>
      </c>
      <c r="M105" s="13" t="s">
        <v>94</v>
      </c>
      <c r="N105" s="13" t="s">
        <v>95</v>
      </c>
      <c r="O105" s="10" t="str">
        <f>HYPERLINK("https://pbs.twimg.com/profile_images/704873222802636800/7aFEMOY5_normal.jpg","View")</f>
        <v>View</v>
      </c>
      <c r="P105" s="14"/>
    </row>
    <row r="106">
      <c r="A106" s="7">
        <v>42433.362175925926</v>
      </c>
      <c r="B106" s="8" t="str">
        <f>HYPERLINK("https://twitter.com/mille24c","@mille24c")</f>
        <v>@mille24c</v>
      </c>
      <c r="C106" s="9" t="s">
        <v>115</v>
      </c>
      <c r="D106" s="9" t="s">
        <v>232</v>
      </c>
      <c r="E106" s="10" t="str">
        <f>HYPERLINK("https://twitter.com/mille24c/status/705765123458207745","705765123458207745")</f>
        <v>705765123458207745</v>
      </c>
      <c r="F106" s="11" t="s">
        <v>29</v>
      </c>
      <c r="G106" s="12">
        <v>208.0</v>
      </c>
      <c r="H106" s="12">
        <v>297.0</v>
      </c>
      <c r="I106" s="12">
        <v>5.0</v>
      </c>
      <c r="J106" s="12">
        <v>7.0</v>
      </c>
      <c r="K106" s="11" t="s">
        <v>21</v>
      </c>
      <c r="L106" s="7">
        <v>39864.79206018519</v>
      </c>
      <c r="M106" s="13" t="s">
        <v>22</v>
      </c>
      <c r="N106" s="13" t="s">
        <v>117</v>
      </c>
      <c r="O106" s="10" t="str">
        <f>HYPERLINK("https://pbs.twimg.com/profile_images/676362182020481024/P0kyLli1_normal.jpg","View")</f>
        <v>View</v>
      </c>
      <c r="P106" s="10" t="str">
        <f>HYPERLINK("http://ctrlq.org/maps/address/#42.38712641,-72.52659779","Map")</f>
        <v>Map</v>
      </c>
    </row>
    <row r="107">
      <c r="A107" s="7">
        <v>42433.36226851852</v>
      </c>
      <c r="B107" s="8" t="str">
        <f>HYPERLINK("https://twitter.com/brianleechphd","@brianleechphd")</f>
        <v>@brianleechphd</v>
      </c>
      <c r="C107" s="9" t="s">
        <v>226</v>
      </c>
      <c r="D107" s="9" t="s">
        <v>231</v>
      </c>
      <c r="E107" s="10" t="str">
        <f>HYPERLINK("https://twitter.com/brianleechphd/status/705765155225866240","705765155225866240")</f>
        <v>705765155225866240</v>
      </c>
      <c r="F107" s="11" t="s">
        <v>26</v>
      </c>
      <c r="G107" s="12">
        <v>677.0</v>
      </c>
      <c r="H107" s="12">
        <v>1499.0</v>
      </c>
      <c r="I107" s="12">
        <v>2.0</v>
      </c>
      <c r="J107" s="12">
        <v>0.0</v>
      </c>
      <c r="K107" s="11" t="s">
        <v>21</v>
      </c>
      <c r="L107" s="7">
        <v>41677.99570601852</v>
      </c>
      <c r="M107" s="13" t="s">
        <v>227</v>
      </c>
      <c r="N107" s="13" t="s">
        <v>228</v>
      </c>
      <c r="O107" s="10" t="str">
        <f>HYPERLINK("https://pbs.twimg.com/profile_images/629489328272592896/BDQ7tdkf_normal.jpg","View")</f>
        <v>View</v>
      </c>
      <c r="P107" s="14"/>
    </row>
    <row r="108">
      <c r="A108" s="7">
        <v>42433.3625</v>
      </c>
      <c r="B108" s="8" t="str">
        <f t="shared" ref="B108:B109" si="17">HYPERLINK("https://twitter.com/pastpunditry","@pastpunditry")</f>
        <v>@pastpunditry</v>
      </c>
      <c r="C108" s="9" t="s">
        <v>92</v>
      </c>
      <c r="D108" s="9" t="s">
        <v>233</v>
      </c>
      <c r="E108" s="10" t="str">
        <f>HYPERLINK("https://twitter.com/pastpunditry/status/705765238730260481","705765238730260481")</f>
        <v>705765238730260481</v>
      </c>
      <c r="F108" s="11" t="s">
        <v>77</v>
      </c>
      <c r="G108" s="12">
        <v>890.0</v>
      </c>
      <c r="H108" s="12">
        <v>378.0</v>
      </c>
      <c r="I108" s="12">
        <v>0.0</v>
      </c>
      <c r="J108" s="12">
        <v>0.0</v>
      </c>
      <c r="K108" s="11" t="s">
        <v>21</v>
      </c>
      <c r="L108" s="7">
        <v>40283.384351851855</v>
      </c>
      <c r="M108" s="13" t="s">
        <v>94</v>
      </c>
      <c r="N108" s="13" t="s">
        <v>95</v>
      </c>
      <c r="O108" s="10" t="str">
        <f t="shared" ref="O108:O109" si="18">HYPERLINK("https://pbs.twimg.com/profile_images/704873222802636800/7aFEMOY5_normal.jpg","View")</f>
        <v>View</v>
      </c>
      <c r="P108" s="14"/>
    </row>
    <row r="109">
      <c r="A109" s="7">
        <v>42433.362557870365</v>
      </c>
      <c r="B109" s="8" t="str">
        <f t="shared" si="17"/>
        <v>@pastpunditry</v>
      </c>
      <c r="C109" s="9" t="s">
        <v>92</v>
      </c>
      <c r="D109" s="9" t="s">
        <v>234</v>
      </c>
      <c r="E109" s="10" t="str">
        <f>HYPERLINK("https://twitter.com/pastpunditry/status/705765260565880835","705765260565880835")</f>
        <v>705765260565880835</v>
      </c>
      <c r="F109" s="11" t="s">
        <v>77</v>
      </c>
      <c r="G109" s="12">
        <v>890.0</v>
      </c>
      <c r="H109" s="12">
        <v>378.0</v>
      </c>
      <c r="I109" s="12">
        <v>5.0</v>
      </c>
      <c r="J109" s="12">
        <v>0.0</v>
      </c>
      <c r="K109" s="11" t="s">
        <v>21</v>
      </c>
      <c r="L109" s="7">
        <v>40283.384351851855</v>
      </c>
      <c r="M109" s="13" t="s">
        <v>94</v>
      </c>
      <c r="N109" s="13" t="s">
        <v>95</v>
      </c>
      <c r="O109" s="10" t="str">
        <f t="shared" si="18"/>
        <v>View</v>
      </c>
      <c r="P109" s="14"/>
    </row>
    <row r="110">
      <c r="A110" s="7">
        <v>42433.36299768518</v>
      </c>
      <c r="B110" s="8" t="str">
        <f>HYPERLINK("https://twitter.com/brianleechphd","@brianleechphd")</f>
        <v>@brianleechphd</v>
      </c>
      <c r="C110" s="9" t="s">
        <v>226</v>
      </c>
      <c r="D110" s="9" t="s">
        <v>234</v>
      </c>
      <c r="E110" s="10" t="str">
        <f>HYPERLINK("https://twitter.com/brianleechphd/status/705765420926705664","705765420926705664")</f>
        <v>705765420926705664</v>
      </c>
      <c r="F110" s="11" t="s">
        <v>26</v>
      </c>
      <c r="G110" s="12">
        <v>677.0</v>
      </c>
      <c r="H110" s="12">
        <v>1499.0</v>
      </c>
      <c r="I110" s="12">
        <v>5.0</v>
      </c>
      <c r="J110" s="12">
        <v>0.0</v>
      </c>
      <c r="K110" s="11" t="s">
        <v>21</v>
      </c>
      <c r="L110" s="7">
        <v>41677.99570601852</v>
      </c>
      <c r="M110" s="13" t="s">
        <v>227</v>
      </c>
      <c r="N110" s="13" t="s">
        <v>228</v>
      </c>
      <c r="O110" s="10" t="str">
        <f>HYPERLINK("https://pbs.twimg.com/profile_images/629489328272592896/BDQ7tdkf_normal.jpg","View")</f>
        <v>View</v>
      </c>
      <c r="P110" s="14"/>
    </row>
    <row r="111">
      <c r="A111" s="7">
        <v>42433.36310185185</v>
      </c>
      <c r="B111" s="8" t="str">
        <f>HYPERLINK("https://twitter.com/JulieThePH","@JulieThePH")</f>
        <v>@JulieThePH</v>
      </c>
      <c r="C111" s="9" t="s">
        <v>211</v>
      </c>
      <c r="D111" s="9" t="s">
        <v>235</v>
      </c>
      <c r="E111" s="10" t="str">
        <f>HYPERLINK("https://twitter.com/JulieThePH/status/705765456767016960","705765456767016960")</f>
        <v>705765456767016960</v>
      </c>
      <c r="F111" s="11" t="s">
        <v>31</v>
      </c>
      <c r="G111" s="12">
        <v>1234.0</v>
      </c>
      <c r="H111" s="12">
        <v>1386.0</v>
      </c>
      <c r="I111" s="12">
        <v>1.0</v>
      </c>
      <c r="J111" s="12">
        <v>0.0</v>
      </c>
      <c r="K111" s="11" t="s">
        <v>21</v>
      </c>
      <c r="L111" s="7">
        <v>40718.66918981481</v>
      </c>
      <c r="M111" s="13" t="s">
        <v>213</v>
      </c>
      <c r="N111" s="13" t="s">
        <v>214</v>
      </c>
      <c r="O111" s="10" t="str">
        <f>HYPERLINK("https://pbs.twimg.com/profile_images/596509974005686273/AqBblwMR_normal.jpg","View")</f>
        <v>View</v>
      </c>
      <c r="P111" s="14"/>
    </row>
    <row r="112">
      <c r="A112" s="7">
        <v>42433.36319444445</v>
      </c>
      <c r="B112" s="8" t="str">
        <f>HYPERLINK("https://twitter.com/pastpunditry","@pastpunditry")</f>
        <v>@pastpunditry</v>
      </c>
      <c r="C112" s="9" t="s">
        <v>92</v>
      </c>
      <c r="D112" s="9" t="s">
        <v>236</v>
      </c>
      <c r="E112" s="10" t="str">
        <f>HYPERLINK("https://twitter.com/pastpunditry/status/705765492187860992","705765492187860992")</f>
        <v>705765492187860992</v>
      </c>
      <c r="F112" s="11" t="s">
        <v>77</v>
      </c>
      <c r="G112" s="12">
        <v>890.0</v>
      </c>
      <c r="H112" s="12">
        <v>378.0</v>
      </c>
      <c r="I112" s="12">
        <v>1.0</v>
      </c>
      <c r="J112" s="12">
        <v>0.0</v>
      </c>
      <c r="K112" s="11" t="s">
        <v>21</v>
      </c>
      <c r="L112" s="7">
        <v>40283.384351851855</v>
      </c>
      <c r="M112" s="13" t="s">
        <v>94</v>
      </c>
      <c r="N112" s="13" t="s">
        <v>95</v>
      </c>
      <c r="O112" s="10" t="str">
        <f>HYPERLINK("https://pbs.twimg.com/profile_images/704873222802636800/7aFEMOY5_normal.jpg","View")</f>
        <v>View</v>
      </c>
      <c r="P112" s="14"/>
    </row>
    <row r="113">
      <c r="A113" s="7">
        <v>42433.36396990741</v>
      </c>
      <c r="B113" s="8" t="str">
        <f>HYPERLINK("https://twitter.com/JulieThePH","@JulieThePH")</f>
        <v>@JulieThePH</v>
      </c>
      <c r="C113" s="9" t="s">
        <v>211</v>
      </c>
      <c r="D113" s="9" t="s">
        <v>237</v>
      </c>
      <c r="E113" s="10" t="str">
        <f>HYPERLINK("https://twitter.com/JulieThePH/status/705765771901796352","705765771901796352")</f>
        <v>705765771901796352</v>
      </c>
      <c r="F113" s="11" t="s">
        <v>31</v>
      </c>
      <c r="G113" s="12">
        <v>1234.0</v>
      </c>
      <c r="H113" s="12">
        <v>1386.0</v>
      </c>
      <c r="I113" s="12">
        <v>1.0</v>
      </c>
      <c r="J113" s="12">
        <v>0.0</v>
      </c>
      <c r="K113" s="11" t="s">
        <v>21</v>
      </c>
      <c r="L113" s="7">
        <v>40718.66918981481</v>
      </c>
      <c r="M113" s="13" t="s">
        <v>213</v>
      </c>
      <c r="N113" s="13" t="s">
        <v>214</v>
      </c>
      <c r="O113" s="10" t="str">
        <f>HYPERLINK("https://pbs.twimg.com/profile_images/596509974005686273/AqBblwMR_normal.jpg","View")</f>
        <v>View</v>
      </c>
      <c r="P113" s="14"/>
    </row>
    <row r="114">
      <c r="A114" s="7">
        <v>42433.36423611111</v>
      </c>
      <c r="B114" s="8" t="str">
        <f t="shared" ref="B114:B115" si="19">HYPERLINK("https://twitter.com/pastpunditry","@pastpunditry")</f>
        <v>@pastpunditry</v>
      </c>
      <c r="C114" s="9" t="s">
        <v>92</v>
      </c>
      <c r="D114" s="9" t="s">
        <v>238</v>
      </c>
      <c r="E114" s="10" t="str">
        <f>HYPERLINK("https://twitter.com/pastpunditry/status/705765871084511232","705765871084511232")</f>
        <v>705765871084511232</v>
      </c>
      <c r="F114" s="11" t="s">
        <v>77</v>
      </c>
      <c r="G114" s="12">
        <v>890.0</v>
      </c>
      <c r="H114" s="12">
        <v>378.0</v>
      </c>
      <c r="I114" s="12">
        <v>0.0</v>
      </c>
      <c r="J114" s="12">
        <v>0.0</v>
      </c>
      <c r="K114" s="11" t="s">
        <v>21</v>
      </c>
      <c r="L114" s="7">
        <v>40283.384351851855</v>
      </c>
      <c r="M114" s="13" t="s">
        <v>94</v>
      </c>
      <c r="N114" s="13" t="s">
        <v>95</v>
      </c>
      <c r="O114" s="10" t="str">
        <f t="shared" ref="O114:O115" si="20">HYPERLINK("https://pbs.twimg.com/profile_images/704873222802636800/7aFEMOY5_normal.jpg","View")</f>
        <v>View</v>
      </c>
      <c r="P114" s="14"/>
    </row>
    <row r="115">
      <c r="A115" s="7">
        <v>42433.3644212963</v>
      </c>
      <c r="B115" s="8" t="str">
        <f t="shared" si="19"/>
        <v>@pastpunditry</v>
      </c>
      <c r="C115" s="9" t="s">
        <v>92</v>
      </c>
      <c r="D115" s="9" t="s">
        <v>239</v>
      </c>
      <c r="E115" s="10" t="str">
        <f>HYPERLINK("https://twitter.com/pastpunditry/status/705765935278379008","705765935278379008")</f>
        <v>705765935278379008</v>
      </c>
      <c r="F115" s="11" t="s">
        <v>77</v>
      </c>
      <c r="G115" s="12">
        <v>890.0</v>
      </c>
      <c r="H115" s="12">
        <v>378.0</v>
      </c>
      <c r="I115" s="12">
        <v>1.0</v>
      </c>
      <c r="J115" s="12">
        <v>0.0</v>
      </c>
      <c r="K115" s="11" t="s">
        <v>21</v>
      </c>
      <c r="L115" s="7">
        <v>40283.384351851855</v>
      </c>
      <c r="M115" s="13" t="s">
        <v>94</v>
      </c>
      <c r="N115" s="13" t="s">
        <v>95</v>
      </c>
      <c r="O115" s="10" t="str">
        <f t="shared" si="20"/>
        <v>View</v>
      </c>
      <c r="P115" s="14"/>
    </row>
    <row r="116">
      <c r="A116" s="7">
        <v>42433.36444444444</v>
      </c>
      <c r="B116" s="8" t="str">
        <f>HYPERLINK("https://twitter.com/AmandaMoniz1","@AmandaMoniz1")</f>
        <v>@AmandaMoniz1</v>
      </c>
      <c r="C116" s="9" t="s">
        <v>66</v>
      </c>
      <c r="D116" s="9" t="s">
        <v>240</v>
      </c>
      <c r="E116" s="10" t="str">
        <f>HYPERLINK("https://twitter.com/AmandaMoniz1/status/705765945223077889","705765945223077889")</f>
        <v>705765945223077889</v>
      </c>
      <c r="F116" s="11" t="s">
        <v>31</v>
      </c>
      <c r="G116" s="12">
        <v>622.0</v>
      </c>
      <c r="H116" s="12">
        <v>607.0</v>
      </c>
      <c r="I116" s="12">
        <v>0.0</v>
      </c>
      <c r="J116" s="12">
        <v>0.0</v>
      </c>
      <c r="K116" s="11" t="s">
        <v>21</v>
      </c>
      <c r="L116" s="7">
        <v>40766.33971064815</v>
      </c>
      <c r="M116" s="15"/>
      <c r="N116" s="13" t="s">
        <v>68</v>
      </c>
      <c r="O116" s="10" t="str">
        <f>HYPERLINK("https://pbs.twimg.com/profile_images/378800000149111881/7969acf9cec4197748b502a6a6c3d921_normal.jpeg","View")</f>
        <v>View</v>
      </c>
      <c r="P116" s="14"/>
    </row>
    <row r="117">
      <c r="A117" s="7">
        <v>42433.36452546297</v>
      </c>
      <c r="B117" s="8" t="str">
        <f t="shared" ref="B117:B118" si="21">HYPERLINK("https://twitter.com/JulieThePH","@JulieThePH")</f>
        <v>@JulieThePH</v>
      </c>
      <c r="C117" s="9" t="s">
        <v>211</v>
      </c>
      <c r="D117" s="9" t="s">
        <v>241</v>
      </c>
      <c r="E117" s="10" t="str">
        <f>HYPERLINK("https://twitter.com/JulieThePH/status/705765972557303808","705765972557303808")</f>
        <v>705765972557303808</v>
      </c>
      <c r="F117" s="11" t="s">
        <v>31</v>
      </c>
      <c r="G117" s="12">
        <v>1234.0</v>
      </c>
      <c r="H117" s="12">
        <v>1386.0</v>
      </c>
      <c r="I117" s="12">
        <v>0.0</v>
      </c>
      <c r="J117" s="12">
        <v>0.0</v>
      </c>
      <c r="K117" s="11" t="s">
        <v>21</v>
      </c>
      <c r="L117" s="7">
        <v>40718.66918981481</v>
      </c>
      <c r="M117" s="13" t="s">
        <v>213</v>
      </c>
      <c r="N117" s="13" t="s">
        <v>214</v>
      </c>
      <c r="O117" s="10" t="str">
        <f t="shared" ref="O117:O118" si="22">HYPERLINK("https://pbs.twimg.com/profile_images/596509974005686273/AqBblwMR_normal.jpg","View")</f>
        <v>View</v>
      </c>
      <c r="P117" s="14"/>
    </row>
    <row r="118">
      <c r="A118" s="7">
        <v>42433.364953703705</v>
      </c>
      <c r="B118" s="8" t="str">
        <f t="shared" si="21"/>
        <v>@JulieThePH</v>
      </c>
      <c r="C118" s="9" t="s">
        <v>211</v>
      </c>
      <c r="D118" s="9" t="s">
        <v>234</v>
      </c>
      <c r="E118" s="10" t="str">
        <f>HYPERLINK("https://twitter.com/JulieThePH/status/705766130045034499","705766130045034499")</f>
        <v>705766130045034499</v>
      </c>
      <c r="F118" s="11" t="s">
        <v>31</v>
      </c>
      <c r="G118" s="12">
        <v>1234.0</v>
      </c>
      <c r="H118" s="12">
        <v>1386.0</v>
      </c>
      <c r="I118" s="12">
        <v>5.0</v>
      </c>
      <c r="J118" s="12">
        <v>0.0</v>
      </c>
      <c r="K118" s="11" t="s">
        <v>21</v>
      </c>
      <c r="L118" s="7">
        <v>40718.66918981481</v>
      </c>
      <c r="M118" s="13" t="s">
        <v>213</v>
      </c>
      <c r="N118" s="13" t="s">
        <v>214</v>
      </c>
      <c r="O118" s="10" t="str">
        <f t="shared" si="22"/>
        <v>View</v>
      </c>
      <c r="P118" s="14"/>
    </row>
    <row r="119">
      <c r="A119" s="7">
        <v>42433.36585648148</v>
      </c>
      <c r="B119" s="8" t="str">
        <f>HYPERLINK("https://twitter.com/pastpunditry","@pastpunditry")</f>
        <v>@pastpunditry</v>
      </c>
      <c r="C119" s="9" t="s">
        <v>92</v>
      </c>
      <c r="D119" s="9" t="s">
        <v>242</v>
      </c>
      <c r="E119" s="10" t="str">
        <f>HYPERLINK("https://twitter.com/pastpunditry/status/705766454948438016","705766454948438016")</f>
        <v>705766454948438016</v>
      </c>
      <c r="F119" s="11" t="s">
        <v>77</v>
      </c>
      <c r="G119" s="12">
        <v>890.0</v>
      </c>
      <c r="H119" s="12">
        <v>378.0</v>
      </c>
      <c r="I119" s="12">
        <v>0.0</v>
      </c>
      <c r="J119" s="12">
        <v>0.0</v>
      </c>
      <c r="K119" s="11" t="s">
        <v>21</v>
      </c>
      <c r="L119" s="7">
        <v>40283.384351851855</v>
      </c>
      <c r="M119" s="13" t="s">
        <v>94</v>
      </c>
      <c r="N119" s="13" t="s">
        <v>95</v>
      </c>
      <c r="O119" s="10" t="str">
        <f>HYPERLINK("https://pbs.twimg.com/profile_images/704873222802636800/7aFEMOY5_normal.jpg","View")</f>
        <v>View</v>
      </c>
      <c r="P119" s="14"/>
    </row>
    <row r="120">
      <c r="A120" s="7">
        <v>42433.365891203706</v>
      </c>
      <c r="B120" s="8" t="str">
        <f>HYPERLINK("https://twitter.com/JulieThePH","@JulieThePH")</f>
        <v>@JulieThePH</v>
      </c>
      <c r="C120" s="9" t="s">
        <v>211</v>
      </c>
      <c r="D120" s="9" t="s">
        <v>243</v>
      </c>
      <c r="E120" s="10" t="str">
        <f>HYPERLINK("https://twitter.com/JulieThePH/status/705766468030500864","705766468030500864")</f>
        <v>705766468030500864</v>
      </c>
      <c r="F120" s="11" t="s">
        <v>31</v>
      </c>
      <c r="G120" s="12">
        <v>1234.0</v>
      </c>
      <c r="H120" s="12">
        <v>1386.0</v>
      </c>
      <c r="I120" s="12">
        <v>1.0</v>
      </c>
      <c r="J120" s="12">
        <v>1.0</v>
      </c>
      <c r="K120" s="11" t="s">
        <v>21</v>
      </c>
      <c r="L120" s="7">
        <v>40718.66918981481</v>
      </c>
      <c r="M120" s="13" t="s">
        <v>213</v>
      </c>
      <c r="N120" s="13" t="s">
        <v>214</v>
      </c>
      <c r="O120" s="10" t="str">
        <f>HYPERLINK("https://pbs.twimg.com/profile_images/596509974005686273/AqBblwMR_normal.jpg","View")</f>
        <v>View</v>
      </c>
      <c r="P120" s="14"/>
    </row>
    <row r="121">
      <c r="A121" s="7">
        <v>42433.36597222222</v>
      </c>
      <c r="B121" s="8" t="str">
        <f>HYPERLINK("https://twitter.com/pastpunditry","@pastpunditry")</f>
        <v>@pastpunditry</v>
      </c>
      <c r="C121" s="9" t="s">
        <v>92</v>
      </c>
      <c r="D121" s="9" t="s">
        <v>244</v>
      </c>
      <c r="E121" s="10" t="str">
        <f>HYPERLINK("https://twitter.com/pastpunditry/status/705766498078486528","705766498078486528")</f>
        <v>705766498078486528</v>
      </c>
      <c r="F121" s="11" t="s">
        <v>77</v>
      </c>
      <c r="G121" s="12">
        <v>890.0</v>
      </c>
      <c r="H121" s="12">
        <v>378.0</v>
      </c>
      <c r="I121" s="12">
        <v>1.0</v>
      </c>
      <c r="J121" s="12">
        <v>0.0</v>
      </c>
      <c r="K121" s="11" t="s">
        <v>21</v>
      </c>
      <c r="L121" s="7">
        <v>40283.384351851855</v>
      </c>
      <c r="M121" s="13" t="s">
        <v>94</v>
      </c>
      <c r="N121" s="13" t="s">
        <v>95</v>
      </c>
      <c r="O121" s="10" t="str">
        <f>HYPERLINK("https://pbs.twimg.com/profile_images/704873222802636800/7aFEMOY5_normal.jpg","View")</f>
        <v>View</v>
      </c>
      <c r="P121" s="14"/>
    </row>
    <row r="122">
      <c r="A122" s="7">
        <v>42433.36641203704</v>
      </c>
      <c r="B122" s="8" t="str">
        <f>HYPERLINK("https://twitter.com/AmandaMoniz1","@AmandaMoniz1")</f>
        <v>@AmandaMoniz1</v>
      </c>
      <c r="C122" s="9" t="s">
        <v>66</v>
      </c>
      <c r="D122" s="9" t="s">
        <v>245</v>
      </c>
      <c r="E122" s="10" t="str">
        <f>HYPERLINK("https://twitter.com/AmandaMoniz1/status/705766656279187456","705766656279187456")</f>
        <v>705766656279187456</v>
      </c>
      <c r="F122" s="11" t="s">
        <v>31</v>
      </c>
      <c r="G122" s="12">
        <v>622.0</v>
      </c>
      <c r="H122" s="12">
        <v>607.0</v>
      </c>
      <c r="I122" s="12">
        <v>1.0</v>
      </c>
      <c r="J122" s="12">
        <v>2.0</v>
      </c>
      <c r="K122" s="11" t="s">
        <v>21</v>
      </c>
      <c r="L122" s="7">
        <v>40766.33971064815</v>
      </c>
      <c r="M122" s="15"/>
      <c r="N122" s="13" t="s">
        <v>68</v>
      </c>
      <c r="O122" s="10" t="str">
        <f>HYPERLINK("https://pbs.twimg.com/profile_images/378800000149111881/7969acf9cec4197748b502a6a6c3d921_normal.jpeg","View")</f>
        <v>View</v>
      </c>
      <c r="P122" s="14"/>
    </row>
    <row r="123">
      <c r="A123" s="7">
        <v>42433.36649305555</v>
      </c>
      <c r="B123" s="8" t="str">
        <f>HYPERLINK("https://twitter.com/pastpunditry","@pastpunditry")</f>
        <v>@pastpunditry</v>
      </c>
      <c r="C123" s="9" t="s">
        <v>92</v>
      </c>
      <c r="D123" s="9" t="s">
        <v>246</v>
      </c>
      <c r="E123" s="10" t="str">
        <f>HYPERLINK("https://twitter.com/pastpunditry/status/705766686587285504","705766686587285504")</f>
        <v>705766686587285504</v>
      </c>
      <c r="F123" s="11" t="s">
        <v>77</v>
      </c>
      <c r="G123" s="12">
        <v>890.0</v>
      </c>
      <c r="H123" s="12">
        <v>378.0</v>
      </c>
      <c r="I123" s="12">
        <v>1.0</v>
      </c>
      <c r="J123" s="12">
        <v>0.0</v>
      </c>
      <c r="K123" s="11" t="s">
        <v>21</v>
      </c>
      <c r="L123" s="7">
        <v>40283.384351851855</v>
      </c>
      <c r="M123" s="13" t="s">
        <v>94</v>
      </c>
      <c r="N123" s="13" t="s">
        <v>95</v>
      </c>
      <c r="O123" s="10" t="str">
        <f>HYPERLINK("https://pbs.twimg.com/profile_images/704873222802636800/7aFEMOY5_normal.jpg","View")</f>
        <v>View</v>
      </c>
      <c r="P123" s="14"/>
    </row>
    <row r="124">
      <c r="A124" s="7">
        <v>42433.36675925926</v>
      </c>
      <c r="B124" s="8" t="str">
        <f>HYPERLINK("https://twitter.com/JulieThePH","@JulieThePH")</f>
        <v>@JulieThePH</v>
      </c>
      <c r="C124" s="9" t="s">
        <v>211</v>
      </c>
      <c r="D124" s="9" t="s">
        <v>247</v>
      </c>
      <c r="E124" s="10" t="str">
        <f>HYPERLINK("https://twitter.com/JulieThePH/status/705766782079004672","705766782079004672")</f>
        <v>705766782079004672</v>
      </c>
      <c r="F124" s="11" t="s">
        <v>31</v>
      </c>
      <c r="G124" s="12">
        <v>1234.0</v>
      </c>
      <c r="H124" s="12">
        <v>1386.0</v>
      </c>
      <c r="I124" s="12">
        <v>0.0</v>
      </c>
      <c r="J124" s="12">
        <v>2.0</v>
      </c>
      <c r="K124" s="11" t="s">
        <v>21</v>
      </c>
      <c r="L124" s="7">
        <v>40718.66918981481</v>
      </c>
      <c r="M124" s="13" t="s">
        <v>213</v>
      </c>
      <c r="N124" s="13" t="s">
        <v>214</v>
      </c>
      <c r="O124" s="10" t="str">
        <f>HYPERLINK("https://pbs.twimg.com/profile_images/596509974005686273/AqBblwMR_normal.jpg","View")</f>
        <v>View</v>
      </c>
      <c r="P124" s="14"/>
    </row>
    <row r="125">
      <c r="A125" s="7">
        <v>42433.366990740746</v>
      </c>
      <c r="B125" s="8" t="str">
        <f>HYPERLINK("https://twitter.com/AmandaMoniz1","@AmandaMoniz1")</f>
        <v>@AmandaMoniz1</v>
      </c>
      <c r="C125" s="9" t="s">
        <v>66</v>
      </c>
      <c r="D125" s="9" t="s">
        <v>248</v>
      </c>
      <c r="E125" s="10" t="str">
        <f>HYPERLINK("https://twitter.com/AmandaMoniz1/status/705766869152763904","705766869152763904")</f>
        <v>705766869152763904</v>
      </c>
      <c r="F125" s="11" t="s">
        <v>31</v>
      </c>
      <c r="G125" s="12">
        <v>622.0</v>
      </c>
      <c r="H125" s="12">
        <v>607.0</v>
      </c>
      <c r="I125" s="12">
        <v>1.0</v>
      </c>
      <c r="J125" s="12">
        <v>2.0</v>
      </c>
      <c r="K125" s="11" t="s">
        <v>21</v>
      </c>
      <c r="L125" s="7">
        <v>40766.33971064815</v>
      </c>
      <c r="M125" s="15"/>
      <c r="N125" s="13" t="s">
        <v>68</v>
      </c>
      <c r="O125" s="10" t="str">
        <f>HYPERLINK("https://pbs.twimg.com/profile_images/378800000149111881/7969acf9cec4197748b502a6a6c3d921_normal.jpeg","View")</f>
        <v>View</v>
      </c>
      <c r="P125" s="14"/>
    </row>
    <row r="126">
      <c r="A126" s="7">
        <v>42433.36759259259</v>
      </c>
      <c r="B126" s="8" t="str">
        <f t="shared" ref="B126:B127" si="23">HYPERLINK("https://twitter.com/pastpunditry","@pastpunditry")</f>
        <v>@pastpunditry</v>
      </c>
      <c r="C126" s="9" t="s">
        <v>92</v>
      </c>
      <c r="D126" s="9" t="s">
        <v>249</v>
      </c>
      <c r="E126" s="10" t="str">
        <f>HYPERLINK("https://twitter.com/pastpunditry/status/705767086145015809","705767086145015809")</f>
        <v>705767086145015809</v>
      </c>
      <c r="F126" s="11" t="s">
        <v>77</v>
      </c>
      <c r="G126" s="12">
        <v>890.0</v>
      </c>
      <c r="H126" s="12">
        <v>378.0</v>
      </c>
      <c r="I126" s="12">
        <v>1.0</v>
      </c>
      <c r="J126" s="12">
        <v>1.0</v>
      </c>
      <c r="K126" s="11" t="s">
        <v>21</v>
      </c>
      <c r="L126" s="7">
        <v>40283.384351851855</v>
      </c>
      <c r="M126" s="13" t="s">
        <v>94</v>
      </c>
      <c r="N126" s="13" t="s">
        <v>95</v>
      </c>
      <c r="O126" s="10" t="str">
        <f t="shared" ref="O126:O127" si="24">HYPERLINK("https://pbs.twimg.com/profile_images/704873222802636800/7aFEMOY5_normal.jpg","View")</f>
        <v>View</v>
      </c>
      <c r="P126" s="14"/>
    </row>
    <row r="127">
      <c r="A127" s="7">
        <v>42433.367743055554</v>
      </c>
      <c r="B127" s="8" t="str">
        <f t="shared" si="23"/>
        <v>@pastpunditry</v>
      </c>
      <c r="C127" s="9" t="s">
        <v>92</v>
      </c>
      <c r="D127" s="9" t="s">
        <v>250</v>
      </c>
      <c r="E127" s="10" t="str">
        <f>HYPERLINK("https://twitter.com/pastpunditry/status/705767142692667392","705767142692667392")</f>
        <v>705767142692667392</v>
      </c>
      <c r="F127" s="11" t="s">
        <v>77</v>
      </c>
      <c r="G127" s="12">
        <v>890.0</v>
      </c>
      <c r="H127" s="12">
        <v>378.0</v>
      </c>
      <c r="I127" s="12">
        <v>1.0</v>
      </c>
      <c r="J127" s="12">
        <v>0.0</v>
      </c>
      <c r="K127" s="11" t="s">
        <v>21</v>
      </c>
      <c r="L127" s="7">
        <v>40283.384351851855</v>
      </c>
      <c r="M127" s="13" t="s">
        <v>94</v>
      </c>
      <c r="N127" s="13" t="s">
        <v>95</v>
      </c>
      <c r="O127" s="10" t="str">
        <f t="shared" si="24"/>
        <v>View</v>
      </c>
      <c r="P127" s="14"/>
    </row>
    <row r="128">
      <c r="A128" s="7">
        <v>42433.36792824074</v>
      </c>
      <c r="B128" s="8" t="str">
        <f>HYPERLINK("https://twitter.com/t_lacy","@t_lacy")</f>
        <v>@t_lacy</v>
      </c>
      <c r="C128" s="9" t="s">
        <v>251</v>
      </c>
      <c r="D128" s="9" t="s">
        <v>204</v>
      </c>
      <c r="E128" s="10" t="str">
        <f>HYPERLINK("https://twitter.com/t_lacy/status/705767207050059776","705767207050059776")</f>
        <v>705767207050059776</v>
      </c>
      <c r="F128" s="11" t="s">
        <v>31</v>
      </c>
      <c r="G128" s="12">
        <v>1138.0</v>
      </c>
      <c r="H128" s="12">
        <v>1120.0</v>
      </c>
      <c r="I128" s="12">
        <v>6.0</v>
      </c>
      <c r="J128" s="12">
        <v>0.0</v>
      </c>
      <c r="K128" s="11" t="s">
        <v>21</v>
      </c>
      <c r="L128" s="7">
        <v>40948.47206018519</v>
      </c>
      <c r="M128" s="13" t="s">
        <v>252</v>
      </c>
      <c r="N128" s="13" t="s">
        <v>253</v>
      </c>
      <c r="O128" s="10" t="str">
        <f>HYPERLINK("https://pbs.twimg.com/profile_images/608092277970341888/r9_R8PJP_normal.jpg","View")</f>
        <v>View</v>
      </c>
      <c r="P128" s="14"/>
    </row>
    <row r="129">
      <c r="A129" s="7">
        <v>42433.36876157408</v>
      </c>
      <c r="B129" s="8" t="str">
        <f>HYPERLINK("https://twitter.com/JulieThePH","@JulieThePH")</f>
        <v>@JulieThePH</v>
      </c>
      <c r="C129" s="9" t="s">
        <v>211</v>
      </c>
      <c r="D129" s="9" t="s">
        <v>254</v>
      </c>
      <c r="E129" s="10" t="str">
        <f>HYPERLINK("https://twitter.com/JulieThePH/status/705767510147203076","705767510147203076")</f>
        <v>705767510147203076</v>
      </c>
      <c r="F129" s="11" t="s">
        <v>31</v>
      </c>
      <c r="G129" s="12">
        <v>1234.0</v>
      </c>
      <c r="H129" s="12">
        <v>1386.0</v>
      </c>
      <c r="I129" s="12">
        <v>1.0</v>
      </c>
      <c r="J129" s="12">
        <v>0.0</v>
      </c>
      <c r="K129" s="11" t="s">
        <v>21</v>
      </c>
      <c r="L129" s="7">
        <v>40718.66918981481</v>
      </c>
      <c r="M129" s="13" t="s">
        <v>213</v>
      </c>
      <c r="N129" s="13" t="s">
        <v>214</v>
      </c>
      <c r="O129" s="10" t="str">
        <f>HYPERLINK("https://pbs.twimg.com/profile_images/596509974005686273/AqBblwMR_normal.jpg","View")</f>
        <v>View</v>
      </c>
      <c r="P129" s="14"/>
    </row>
    <row r="130">
      <c r="A130" s="7">
        <v>42433.36881944444</v>
      </c>
      <c r="B130" s="8" t="str">
        <f>HYPERLINK("https://twitter.com/historycampaign","@historycampaign")</f>
        <v>@historycampaign</v>
      </c>
      <c r="C130" s="9" t="s">
        <v>133</v>
      </c>
      <c r="D130" s="9" t="s">
        <v>255</v>
      </c>
      <c r="E130" s="10" t="str">
        <f>HYPERLINK("https://twitter.com/historycampaign/status/705767529281687553","705767529281687553")</f>
        <v>705767529281687553</v>
      </c>
      <c r="F130" s="11" t="s">
        <v>26</v>
      </c>
      <c r="G130" s="12">
        <v>110.0</v>
      </c>
      <c r="H130" s="12">
        <v>59.0</v>
      </c>
      <c r="I130" s="12">
        <v>0.0</v>
      </c>
      <c r="J130" s="12">
        <v>3.0</v>
      </c>
      <c r="K130" s="11" t="s">
        <v>21</v>
      </c>
      <c r="L130" s="7">
        <v>42311.25096064815</v>
      </c>
      <c r="M130" s="15"/>
      <c r="N130" s="13" t="s">
        <v>135</v>
      </c>
      <c r="O130" s="10" t="str">
        <f>HYPERLINK("https://pbs.twimg.com/profile_images/673691030139609088/8v7ab61D_normal.jpg","View")</f>
        <v>View</v>
      </c>
      <c r="P130" s="14"/>
    </row>
    <row r="131">
      <c r="A131" s="7">
        <v>42433.37150462963</v>
      </c>
      <c r="B131" s="8" t="str">
        <f>HYPERLINK("https://twitter.com/szvan","@szvan")</f>
        <v>@szvan</v>
      </c>
      <c r="C131" s="9" t="s">
        <v>256</v>
      </c>
      <c r="D131" s="9" t="s">
        <v>204</v>
      </c>
      <c r="E131" s="10" t="str">
        <f>HYPERLINK("https://twitter.com/szvan/status/705768502313897984","705768502313897984")</f>
        <v>705768502313897984</v>
      </c>
      <c r="F131" s="11" t="s">
        <v>102</v>
      </c>
      <c r="G131" s="12">
        <v>3165.0</v>
      </c>
      <c r="H131" s="12">
        <v>767.0</v>
      </c>
      <c r="I131" s="12">
        <v>6.0</v>
      </c>
      <c r="J131" s="12">
        <v>0.0</v>
      </c>
      <c r="K131" s="11" t="s">
        <v>21</v>
      </c>
      <c r="L131" s="7">
        <v>39931.86871527778</v>
      </c>
      <c r="M131" s="13" t="s">
        <v>257</v>
      </c>
      <c r="N131" s="13" t="s">
        <v>258</v>
      </c>
      <c r="O131" s="10" t="str">
        <f>HYPERLINK("https://pbs.twimg.com/profile_images/1723802853/AD_Avatar_normal.png","View")</f>
        <v>View</v>
      </c>
      <c r="P131" s="14"/>
    </row>
    <row r="132">
      <c r="A132" s="7">
        <v>42433.37206018518</v>
      </c>
      <c r="B132" s="8" t="str">
        <f>HYPERLINK("https://twitter.com/AmandaMoniz1","@AmandaMoniz1")</f>
        <v>@AmandaMoniz1</v>
      </c>
      <c r="C132" s="9" t="s">
        <v>66</v>
      </c>
      <c r="D132" s="9" t="s">
        <v>259</v>
      </c>
      <c r="E132" s="10" t="str">
        <f>HYPERLINK("https://twitter.com/AmandaMoniz1/status/705768703779082240","705768703779082240")</f>
        <v>705768703779082240</v>
      </c>
      <c r="F132" s="11" t="s">
        <v>31</v>
      </c>
      <c r="G132" s="12">
        <v>622.0</v>
      </c>
      <c r="H132" s="12">
        <v>607.0</v>
      </c>
      <c r="I132" s="12">
        <v>0.0</v>
      </c>
      <c r="J132" s="12">
        <v>1.0</v>
      </c>
      <c r="K132" s="11" t="s">
        <v>21</v>
      </c>
      <c r="L132" s="7">
        <v>40766.33971064815</v>
      </c>
      <c r="M132" s="15"/>
      <c r="N132" s="13" t="s">
        <v>68</v>
      </c>
      <c r="O132" s="10" t="str">
        <f>HYPERLINK("https://pbs.twimg.com/profile_images/378800000149111881/7969acf9cec4197748b502a6a6c3d921_normal.jpeg","View")</f>
        <v>View</v>
      </c>
      <c r="P132" s="14"/>
    </row>
    <row r="133">
      <c r="A133" s="7">
        <v>42433.372812500005</v>
      </c>
      <c r="B133" s="8" t="str">
        <f>HYPERLINK("https://twitter.com/JulieThePH","@JulieThePH")</f>
        <v>@JulieThePH</v>
      </c>
      <c r="C133" s="9" t="s">
        <v>211</v>
      </c>
      <c r="D133" s="9" t="s">
        <v>260</v>
      </c>
      <c r="E133" s="10" t="str">
        <f>HYPERLINK("https://twitter.com/JulieThePH/status/705768977713209344","705768977713209344")</f>
        <v>705768977713209344</v>
      </c>
      <c r="F133" s="11" t="s">
        <v>31</v>
      </c>
      <c r="G133" s="12">
        <v>1234.0</v>
      </c>
      <c r="H133" s="12">
        <v>1386.0</v>
      </c>
      <c r="I133" s="12">
        <v>1.0</v>
      </c>
      <c r="J133" s="12">
        <v>1.0</v>
      </c>
      <c r="K133" s="11" t="s">
        <v>21</v>
      </c>
      <c r="L133" s="7">
        <v>40718.66918981481</v>
      </c>
      <c r="M133" s="13" t="s">
        <v>213</v>
      </c>
      <c r="N133" s="13" t="s">
        <v>214</v>
      </c>
      <c r="O133" s="10" t="str">
        <f>HYPERLINK("https://pbs.twimg.com/profile_images/596509974005686273/AqBblwMR_normal.jpg","View")</f>
        <v>View</v>
      </c>
      <c r="P133" s="14"/>
    </row>
    <row r="134">
      <c r="A134" s="7">
        <v>42433.37290509259</v>
      </c>
      <c r="B134" s="8" t="str">
        <f>HYPERLINK("https://twitter.com/pastpunditry","@pastpunditry")</f>
        <v>@pastpunditry</v>
      </c>
      <c r="C134" s="9" t="s">
        <v>92</v>
      </c>
      <c r="D134" s="9" t="s">
        <v>261</v>
      </c>
      <c r="E134" s="10" t="str">
        <f>HYPERLINK("https://twitter.com/pastpunditry/status/705769010269450240","705769010269450240")</f>
        <v>705769010269450240</v>
      </c>
      <c r="F134" s="11" t="s">
        <v>77</v>
      </c>
      <c r="G134" s="12">
        <v>890.0</v>
      </c>
      <c r="H134" s="12">
        <v>378.0</v>
      </c>
      <c r="I134" s="12">
        <v>1.0</v>
      </c>
      <c r="J134" s="12">
        <v>0.0</v>
      </c>
      <c r="K134" s="11" t="s">
        <v>21</v>
      </c>
      <c r="L134" s="7">
        <v>40283.384351851855</v>
      </c>
      <c r="M134" s="13" t="s">
        <v>94</v>
      </c>
      <c r="N134" s="13" t="s">
        <v>95</v>
      </c>
      <c r="O134" s="10" t="str">
        <f>HYPERLINK("https://pbs.twimg.com/profile_images/704873222802636800/7aFEMOY5_normal.jpg","View")</f>
        <v>View</v>
      </c>
      <c r="P134" s="14"/>
    </row>
    <row r="135">
      <c r="A135" s="7">
        <v>42433.373182870375</v>
      </c>
      <c r="B135" s="8" t="str">
        <f t="shared" ref="B135:B136" si="25">HYPERLINK("https://twitter.com/JulieThePH","@JulieThePH")</f>
        <v>@JulieThePH</v>
      </c>
      <c r="C135" s="9" t="s">
        <v>211</v>
      </c>
      <c r="D135" s="9" t="s">
        <v>262</v>
      </c>
      <c r="E135" s="10" t="str">
        <f>HYPERLINK("https://twitter.com/JulieThePH/status/705769109947031554","705769109947031554")</f>
        <v>705769109947031554</v>
      </c>
      <c r="F135" s="11" t="s">
        <v>31</v>
      </c>
      <c r="G135" s="12">
        <v>1234.0</v>
      </c>
      <c r="H135" s="12">
        <v>1386.0</v>
      </c>
      <c r="I135" s="12">
        <v>0.0</v>
      </c>
      <c r="J135" s="12">
        <v>1.0</v>
      </c>
      <c r="K135" s="11" t="s">
        <v>21</v>
      </c>
      <c r="L135" s="7">
        <v>40718.66918981481</v>
      </c>
      <c r="M135" s="13" t="s">
        <v>213</v>
      </c>
      <c r="N135" s="13" t="s">
        <v>214</v>
      </c>
      <c r="O135" s="10" t="str">
        <f t="shared" ref="O135:O136" si="26">HYPERLINK("https://pbs.twimg.com/profile_images/596509974005686273/AqBblwMR_normal.jpg","View")</f>
        <v>View</v>
      </c>
      <c r="P135" s="14"/>
    </row>
    <row r="136">
      <c r="A136" s="7">
        <v>42433.37394675926</v>
      </c>
      <c r="B136" s="8" t="str">
        <f t="shared" si="25"/>
        <v>@JulieThePH</v>
      </c>
      <c r="C136" s="9" t="s">
        <v>211</v>
      </c>
      <c r="D136" s="9" t="s">
        <v>263</v>
      </c>
      <c r="E136" s="10" t="str">
        <f>HYPERLINK("https://twitter.com/JulieThePH/status/705769388344004608","705769388344004608")</f>
        <v>705769388344004608</v>
      </c>
      <c r="F136" s="11" t="s">
        <v>31</v>
      </c>
      <c r="G136" s="12">
        <v>1234.0</v>
      </c>
      <c r="H136" s="12">
        <v>1386.0</v>
      </c>
      <c r="I136" s="12">
        <v>2.0</v>
      </c>
      <c r="J136" s="12">
        <v>1.0</v>
      </c>
      <c r="K136" s="11" t="s">
        <v>21</v>
      </c>
      <c r="L136" s="7">
        <v>40718.66918981481</v>
      </c>
      <c r="M136" s="13" t="s">
        <v>213</v>
      </c>
      <c r="N136" s="13" t="s">
        <v>214</v>
      </c>
      <c r="O136" s="10" t="str">
        <f t="shared" si="26"/>
        <v>View</v>
      </c>
      <c r="P136" s="14"/>
    </row>
    <row r="137">
      <c r="A137" s="7">
        <v>42433.37423611111</v>
      </c>
      <c r="B137" s="8" t="str">
        <f t="shared" ref="B137:B138" si="27">HYPERLINK("https://twitter.com/pastpunditry","@pastpunditry")</f>
        <v>@pastpunditry</v>
      </c>
      <c r="C137" s="9" t="s">
        <v>92</v>
      </c>
      <c r="D137" s="9" t="s">
        <v>264</v>
      </c>
      <c r="E137" s="10" t="str">
        <f>HYPERLINK("https://twitter.com/pastpunditry/status/705769493033783297","705769493033783297")</f>
        <v>705769493033783297</v>
      </c>
      <c r="F137" s="11" t="s">
        <v>77</v>
      </c>
      <c r="G137" s="12">
        <v>890.0</v>
      </c>
      <c r="H137" s="12">
        <v>378.0</v>
      </c>
      <c r="I137" s="12">
        <v>1.0</v>
      </c>
      <c r="J137" s="12">
        <v>1.0</v>
      </c>
      <c r="K137" s="11" t="s">
        <v>21</v>
      </c>
      <c r="L137" s="7">
        <v>40283.384351851855</v>
      </c>
      <c r="M137" s="13" t="s">
        <v>94</v>
      </c>
      <c r="N137" s="13" t="s">
        <v>95</v>
      </c>
      <c r="O137" s="10" t="str">
        <f t="shared" ref="O137:O138" si="28">HYPERLINK("https://pbs.twimg.com/profile_images/704873222802636800/7aFEMOY5_normal.jpg","View")</f>
        <v>View</v>
      </c>
      <c r="P137" s="14"/>
    </row>
    <row r="138">
      <c r="A138" s="7">
        <v>42433.37440972222</v>
      </c>
      <c r="B138" s="8" t="str">
        <f t="shared" si="27"/>
        <v>@pastpunditry</v>
      </c>
      <c r="C138" s="9" t="s">
        <v>92</v>
      </c>
      <c r="D138" s="9" t="s">
        <v>265</v>
      </c>
      <c r="E138" s="10" t="str">
        <f>HYPERLINK("https://twitter.com/pastpunditry/status/705769556808232961","705769556808232961")</f>
        <v>705769556808232961</v>
      </c>
      <c r="F138" s="11" t="s">
        <v>77</v>
      </c>
      <c r="G138" s="12">
        <v>890.0</v>
      </c>
      <c r="H138" s="12">
        <v>378.0</v>
      </c>
      <c r="I138" s="12">
        <v>2.0</v>
      </c>
      <c r="J138" s="12">
        <v>0.0</v>
      </c>
      <c r="K138" s="11" t="s">
        <v>21</v>
      </c>
      <c r="L138" s="7">
        <v>40283.384351851855</v>
      </c>
      <c r="M138" s="13" t="s">
        <v>94</v>
      </c>
      <c r="N138" s="13" t="s">
        <v>95</v>
      </c>
      <c r="O138" s="10" t="str">
        <f t="shared" si="28"/>
        <v>View</v>
      </c>
      <c r="P138" s="14"/>
    </row>
    <row r="139">
      <c r="A139" s="7">
        <v>42433.376192129625</v>
      </c>
      <c r="B139" s="8" t="str">
        <f t="shared" ref="B139:B140" si="29">HYPERLINK("https://twitter.com/AmandaMoniz1","@AmandaMoniz1")</f>
        <v>@AmandaMoniz1</v>
      </c>
      <c r="C139" s="9" t="s">
        <v>66</v>
      </c>
      <c r="D139" s="9" t="s">
        <v>265</v>
      </c>
      <c r="E139" s="10" t="str">
        <f>HYPERLINK("https://twitter.com/AmandaMoniz1/status/705770204152913921","705770204152913921")</f>
        <v>705770204152913921</v>
      </c>
      <c r="F139" s="11" t="s">
        <v>31</v>
      </c>
      <c r="G139" s="12">
        <v>622.0</v>
      </c>
      <c r="H139" s="12">
        <v>607.0</v>
      </c>
      <c r="I139" s="12">
        <v>2.0</v>
      </c>
      <c r="J139" s="12">
        <v>0.0</v>
      </c>
      <c r="K139" s="11" t="s">
        <v>21</v>
      </c>
      <c r="L139" s="7">
        <v>40766.33971064815</v>
      </c>
      <c r="M139" s="15"/>
      <c r="N139" s="13" t="s">
        <v>68</v>
      </c>
      <c r="O139" s="10" t="str">
        <f t="shared" ref="O139:O140" si="30">HYPERLINK("https://pbs.twimg.com/profile_images/378800000149111881/7969acf9cec4197748b502a6a6c3d921_normal.jpeg","View")</f>
        <v>View</v>
      </c>
      <c r="P139" s="14"/>
    </row>
    <row r="140">
      <c r="A140" s="7">
        <v>42433.37636574074</v>
      </c>
      <c r="B140" s="8" t="str">
        <f t="shared" si="29"/>
        <v>@AmandaMoniz1</v>
      </c>
      <c r="C140" s="9" t="s">
        <v>66</v>
      </c>
      <c r="D140" s="9" t="s">
        <v>266</v>
      </c>
      <c r="E140" s="10" t="str">
        <f>HYPERLINK("https://twitter.com/AmandaMoniz1/status/705770265486163968","705770265486163968")</f>
        <v>705770265486163968</v>
      </c>
      <c r="F140" s="11" t="s">
        <v>31</v>
      </c>
      <c r="G140" s="12">
        <v>622.0</v>
      </c>
      <c r="H140" s="12">
        <v>607.0</v>
      </c>
      <c r="I140" s="12">
        <v>1.0</v>
      </c>
      <c r="J140" s="12">
        <v>0.0</v>
      </c>
      <c r="K140" s="11" t="s">
        <v>21</v>
      </c>
      <c r="L140" s="7">
        <v>40766.33971064815</v>
      </c>
      <c r="M140" s="15"/>
      <c r="N140" s="13" t="s">
        <v>68</v>
      </c>
      <c r="O140" s="10" t="str">
        <f t="shared" si="30"/>
        <v>View</v>
      </c>
      <c r="P140" s="14"/>
    </row>
    <row r="141">
      <c r="A141" s="7">
        <v>42433.37646990741</v>
      </c>
      <c r="B141" s="8" t="str">
        <f>HYPERLINK("https://twitter.com/JulieThePH","@JulieThePH")</f>
        <v>@JulieThePH</v>
      </c>
      <c r="C141" s="9" t="s">
        <v>211</v>
      </c>
      <c r="D141" s="9" t="s">
        <v>267</v>
      </c>
      <c r="E141" s="10" t="str">
        <f>HYPERLINK("https://twitter.com/JulieThePH/status/705770305105563648","705770305105563648")</f>
        <v>705770305105563648</v>
      </c>
      <c r="F141" s="11" t="s">
        <v>31</v>
      </c>
      <c r="G141" s="12">
        <v>1234.0</v>
      </c>
      <c r="H141" s="12">
        <v>1386.0</v>
      </c>
      <c r="I141" s="12">
        <v>0.0</v>
      </c>
      <c r="J141" s="12">
        <v>3.0</v>
      </c>
      <c r="K141" s="11" t="s">
        <v>21</v>
      </c>
      <c r="L141" s="7">
        <v>40718.66918981481</v>
      </c>
      <c r="M141" s="13" t="s">
        <v>213</v>
      </c>
      <c r="N141" s="13" t="s">
        <v>214</v>
      </c>
      <c r="O141" s="10" t="str">
        <f>HYPERLINK("https://pbs.twimg.com/profile_images/596509974005686273/AqBblwMR_normal.jpg","View")</f>
        <v>View</v>
      </c>
      <c r="P141" s="14"/>
    </row>
    <row r="142">
      <c r="A142" s="7">
        <v>42433.37795138889</v>
      </c>
      <c r="B142" s="8" t="str">
        <f>HYPERLINK("https://twitter.com/LindseyBMaxwell","@LindseyBMaxwell")</f>
        <v>@LindseyBMaxwell</v>
      </c>
      <c r="C142" s="9" t="s">
        <v>268</v>
      </c>
      <c r="D142" s="9" t="s">
        <v>269</v>
      </c>
      <c r="E142" s="10" t="str">
        <f>HYPERLINK("https://twitter.com/LindseyBMaxwell/status/705770840978231298","705770840978231298")</f>
        <v>705770840978231298</v>
      </c>
      <c r="F142" s="11" t="s">
        <v>31</v>
      </c>
      <c r="G142" s="12">
        <v>206.0</v>
      </c>
      <c r="H142" s="12">
        <v>562.0</v>
      </c>
      <c r="I142" s="12">
        <v>1.0</v>
      </c>
      <c r="J142" s="12">
        <v>1.0</v>
      </c>
      <c r="K142" s="11" t="s">
        <v>21</v>
      </c>
      <c r="L142" s="7">
        <v>39756.5959375</v>
      </c>
      <c r="M142" s="13" t="s">
        <v>270</v>
      </c>
      <c r="N142" s="13" t="s">
        <v>271</v>
      </c>
      <c r="O142" s="10" t="str">
        <f>HYPERLINK("https://pbs.twimg.com/profile_images/673967026277257216/Uuzu-Oax_normal.png","View")</f>
        <v>View</v>
      </c>
      <c r="P142" s="14"/>
    </row>
    <row r="143">
      <c r="A143" s="7">
        <v>42433.37821759259</v>
      </c>
      <c r="B143" s="8" t="str">
        <f>HYPERLINK("https://twitter.com/erfagen","@erfagen")</f>
        <v>@erfagen</v>
      </c>
      <c r="C143" s="9" t="s">
        <v>124</v>
      </c>
      <c r="D143" s="9" t="s">
        <v>272</v>
      </c>
      <c r="E143" s="10" t="str">
        <f>HYPERLINK("https://twitter.com/erfagen/status/705770934607749121","705770934607749121")</f>
        <v>705770934607749121</v>
      </c>
      <c r="F143" s="11" t="s">
        <v>26</v>
      </c>
      <c r="G143" s="12">
        <v>1056.0</v>
      </c>
      <c r="H143" s="12">
        <v>2055.0</v>
      </c>
      <c r="I143" s="12">
        <v>2.0</v>
      </c>
      <c r="J143" s="12">
        <v>3.0</v>
      </c>
      <c r="K143" s="11" t="s">
        <v>21</v>
      </c>
      <c r="L143" s="7">
        <v>40524.93576388889</v>
      </c>
      <c r="M143" s="13" t="s">
        <v>125</v>
      </c>
      <c r="N143" s="13" t="s">
        <v>126</v>
      </c>
      <c r="O143" s="10" t="str">
        <f>HYPERLINK("https://pbs.twimg.com/profile_images/638086945722249217/mid_S_BQ_normal.jpg","View")</f>
        <v>View</v>
      </c>
      <c r="P143" s="14"/>
    </row>
    <row r="144">
      <c r="A144" s="7">
        <v>42433.37825231481</v>
      </c>
      <c r="B144" s="8" t="str">
        <f>HYPERLINK("https://twitter.com/JulieThePH","@JulieThePH")</f>
        <v>@JulieThePH</v>
      </c>
      <c r="C144" s="9" t="s">
        <v>211</v>
      </c>
      <c r="D144" s="9" t="s">
        <v>273</v>
      </c>
      <c r="E144" s="10" t="str">
        <f>HYPERLINK("https://twitter.com/JulieThePH/status/705770951011651585","705770951011651585")</f>
        <v>705770951011651585</v>
      </c>
      <c r="F144" s="11" t="s">
        <v>31</v>
      </c>
      <c r="G144" s="12">
        <v>1234.0</v>
      </c>
      <c r="H144" s="12">
        <v>1386.0</v>
      </c>
      <c r="I144" s="12">
        <v>0.0</v>
      </c>
      <c r="J144" s="12">
        <v>2.0</v>
      </c>
      <c r="K144" s="11" t="s">
        <v>21</v>
      </c>
      <c r="L144" s="7">
        <v>40718.66918981481</v>
      </c>
      <c r="M144" s="13" t="s">
        <v>213</v>
      </c>
      <c r="N144" s="13" t="s">
        <v>214</v>
      </c>
      <c r="O144" s="10" t="str">
        <f>HYPERLINK("https://pbs.twimg.com/profile_images/596509974005686273/AqBblwMR_normal.jpg","View")</f>
        <v>View</v>
      </c>
      <c r="P144" s="14"/>
    </row>
    <row r="145">
      <c r="A145" s="7">
        <v>42433.378333333334</v>
      </c>
      <c r="B145" s="8" t="str">
        <f t="shared" ref="B145:B146" si="31">HYPERLINK("https://twitter.com/pastpunditry","@pastpunditry")</f>
        <v>@pastpunditry</v>
      </c>
      <c r="C145" s="9" t="s">
        <v>92</v>
      </c>
      <c r="D145" s="9" t="s">
        <v>274</v>
      </c>
      <c r="E145" s="10" t="str">
        <f>HYPERLINK("https://twitter.com/pastpunditry/status/705770979553886208","705770979553886208")</f>
        <v>705770979553886208</v>
      </c>
      <c r="F145" s="11" t="s">
        <v>77</v>
      </c>
      <c r="G145" s="12">
        <v>890.0</v>
      </c>
      <c r="H145" s="12">
        <v>378.0</v>
      </c>
      <c r="I145" s="12">
        <v>0.0</v>
      </c>
      <c r="J145" s="12">
        <v>1.0</v>
      </c>
      <c r="K145" s="11" t="s">
        <v>21</v>
      </c>
      <c r="L145" s="7">
        <v>40283.384351851855</v>
      </c>
      <c r="M145" s="13" t="s">
        <v>94</v>
      </c>
      <c r="N145" s="13" t="s">
        <v>95</v>
      </c>
      <c r="O145" s="10" t="str">
        <f t="shared" ref="O145:O146" si="32">HYPERLINK("https://pbs.twimg.com/profile_images/704873222802636800/7aFEMOY5_normal.jpg","View")</f>
        <v>View</v>
      </c>
      <c r="P145" s="14"/>
    </row>
    <row r="146">
      <c r="A146" s="7">
        <v>42433.379537037035</v>
      </c>
      <c r="B146" s="8" t="str">
        <f t="shared" si="31"/>
        <v>@pastpunditry</v>
      </c>
      <c r="C146" s="9" t="s">
        <v>92</v>
      </c>
      <c r="D146" s="9" t="s">
        <v>275</v>
      </c>
      <c r="E146" s="10" t="str">
        <f>HYPERLINK("https://twitter.com/pastpunditry/status/705771416134815744","705771416134815744")</f>
        <v>705771416134815744</v>
      </c>
      <c r="F146" s="11" t="s">
        <v>77</v>
      </c>
      <c r="G146" s="12">
        <v>890.0</v>
      </c>
      <c r="H146" s="12">
        <v>378.0</v>
      </c>
      <c r="I146" s="12">
        <v>0.0</v>
      </c>
      <c r="J146" s="12">
        <v>2.0</v>
      </c>
      <c r="K146" s="11" t="s">
        <v>21</v>
      </c>
      <c r="L146" s="7">
        <v>40283.384351851855</v>
      </c>
      <c r="M146" s="13" t="s">
        <v>94</v>
      </c>
      <c r="N146" s="13" t="s">
        <v>95</v>
      </c>
      <c r="O146" s="10" t="str">
        <f t="shared" si="32"/>
        <v>View</v>
      </c>
      <c r="P146" s="14"/>
    </row>
    <row r="147">
      <c r="A147" s="7">
        <v>42433.37967592593</v>
      </c>
      <c r="B147" s="8" t="str">
        <f>HYPERLINK("https://twitter.com/JulieThePH","@JulieThePH")</f>
        <v>@JulieThePH</v>
      </c>
      <c r="C147" s="9" t="s">
        <v>211</v>
      </c>
      <c r="D147" s="9" t="s">
        <v>276</v>
      </c>
      <c r="E147" s="10" t="str">
        <f>HYPERLINK("https://twitter.com/JulieThePH/status/705771466869096448","705771466869096448")</f>
        <v>705771466869096448</v>
      </c>
      <c r="F147" s="11" t="s">
        <v>31</v>
      </c>
      <c r="G147" s="12">
        <v>1234.0</v>
      </c>
      <c r="H147" s="12">
        <v>1386.0</v>
      </c>
      <c r="I147" s="12">
        <v>3.0</v>
      </c>
      <c r="J147" s="12">
        <v>3.0</v>
      </c>
      <c r="K147" s="11" t="s">
        <v>21</v>
      </c>
      <c r="L147" s="7">
        <v>40718.66918981481</v>
      </c>
      <c r="M147" s="13" t="s">
        <v>213</v>
      </c>
      <c r="N147" s="13" t="s">
        <v>214</v>
      </c>
      <c r="O147" s="10" t="str">
        <f>HYPERLINK("https://pbs.twimg.com/profile_images/596509974005686273/AqBblwMR_normal.jpg","View")</f>
        <v>View</v>
      </c>
      <c r="P147" s="14"/>
    </row>
    <row r="148">
      <c r="A148" s="7">
        <v>42433.3809837963</v>
      </c>
      <c r="B148" s="8" t="str">
        <f>HYPERLINK("https://twitter.com/AmandaMoniz1","@AmandaMoniz1")</f>
        <v>@AmandaMoniz1</v>
      </c>
      <c r="C148" s="9" t="s">
        <v>66</v>
      </c>
      <c r="D148" s="9" t="s">
        <v>277</v>
      </c>
      <c r="E148" s="10" t="str">
        <f>HYPERLINK("https://twitter.com/AmandaMoniz1/status/705771938447290368","705771938447290368")</f>
        <v>705771938447290368</v>
      </c>
      <c r="F148" s="11" t="s">
        <v>31</v>
      </c>
      <c r="G148" s="12">
        <v>622.0</v>
      </c>
      <c r="H148" s="12">
        <v>607.0</v>
      </c>
      <c r="I148" s="12">
        <v>3.0</v>
      </c>
      <c r="J148" s="12">
        <v>0.0</v>
      </c>
      <c r="K148" s="11" t="s">
        <v>21</v>
      </c>
      <c r="L148" s="7">
        <v>40766.33971064815</v>
      </c>
      <c r="M148" s="15"/>
      <c r="N148" s="13" t="s">
        <v>68</v>
      </c>
      <c r="O148" s="10" t="str">
        <f>HYPERLINK("https://pbs.twimg.com/profile_images/378800000149111881/7969acf9cec4197748b502a6a6c3d921_normal.jpeg","View")</f>
        <v>View</v>
      </c>
      <c r="P148" s="14"/>
    </row>
    <row r="149">
      <c r="A149" s="7">
        <v>42433.38221064815</v>
      </c>
      <c r="B149" s="8" t="str">
        <f>HYPERLINK("https://twitter.com/JimGrossmanAHA","@JimGrossmanAHA")</f>
        <v>@JimGrossmanAHA</v>
      </c>
      <c r="C149" s="9" t="s">
        <v>278</v>
      </c>
      <c r="D149" s="9" t="s">
        <v>277</v>
      </c>
      <c r="E149" s="10" t="str">
        <f>HYPERLINK("https://twitter.com/JimGrossmanAHA/status/705772382250782720","705772382250782720")</f>
        <v>705772382250782720</v>
      </c>
      <c r="F149" s="11" t="s">
        <v>31</v>
      </c>
      <c r="G149" s="12">
        <v>2241.0</v>
      </c>
      <c r="H149" s="12">
        <v>368.0</v>
      </c>
      <c r="I149" s="12">
        <v>3.0</v>
      </c>
      <c r="J149" s="12">
        <v>0.0</v>
      </c>
      <c r="K149" s="11" t="s">
        <v>21</v>
      </c>
      <c r="L149" s="7">
        <v>41576.36603009259</v>
      </c>
      <c r="M149" s="13" t="s">
        <v>279</v>
      </c>
      <c r="N149" s="13" t="s">
        <v>280</v>
      </c>
      <c r="O149" s="10" t="str">
        <f>HYPERLINK("https://pbs.twimg.com/profile_images/378800000667891782/44d7b181c077bf16ab07b242f7ad81b9_normal.png","View")</f>
        <v>View</v>
      </c>
      <c r="P149" s="14"/>
    </row>
    <row r="150">
      <c r="A150" s="7">
        <v>42433.384930555556</v>
      </c>
      <c r="B150" s="8" t="str">
        <f>HYPERLINK("https://twitter.com/JulieThePH","@JulieThePH")</f>
        <v>@JulieThePH</v>
      </c>
      <c r="C150" s="9" t="s">
        <v>211</v>
      </c>
      <c r="D150" s="9" t="s">
        <v>281</v>
      </c>
      <c r="E150" s="10" t="str">
        <f>HYPERLINK("https://twitter.com/JulieThePH/status/705773368562327552","705773368562327552")</f>
        <v>705773368562327552</v>
      </c>
      <c r="F150" s="11" t="s">
        <v>31</v>
      </c>
      <c r="G150" s="12">
        <v>1234.0</v>
      </c>
      <c r="H150" s="12">
        <v>1386.0</v>
      </c>
      <c r="I150" s="12">
        <v>0.0</v>
      </c>
      <c r="J150" s="12">
        <v>2.0</v>
      </c>
      <c r="K150" s="11" t="s">
        <v>21</v>
      </c>
      <c r="L150" s="7">
        <v>40718.66918981481</v>
      </c>
      <c r="M150" s="13" t="s">
        <v>213</v>
      </c>
      <c r="N150" s="13" t="s">
        <v>214</v>
      </c>
      <c r="O150" s="10" t="str">
        <f>HYPERLINK("https://pbs.twimg.com/profile_images/596509974005686273/AqBblwMR_normal.jpg","View")</f>
        <v>View</v>
      </c>
      <c r="P150" s="14"/>
    </row>
    <row r="151">
      <c r="A151" s="7">
        <v>42433.385729166665</v>
      </c>
      <c r="B151" s="8" t="str">
        <f>HYPERLINK("https://twitter.com/pastpunditry","@pastpunditry")</f>
        <v>@pastpunditry</v>
      </c>
      <c r="C151" s="9" t="s">
        <v>92</v>
      </c>
      <c r="D151" s="9" t="s">
        <v>282</v>
      </c>
      <c r="E151" s="10" t="str">
        <f>HYPERLINK("https://twitter.com/pastpunditry/status/705773658787205120","705773658787205120")</f>
        <v>705773658787205120</v>
      </c>
      <c r="F151" s="11" t="s">
        <v>77</v>
      </c>
      <c r="G151" s="12">
        <v>890.0</v>
      </c>
      <c r="H151" s="12">
        <v>378.0</v>
      </c>
      <c r="I151" s="12">
        <v>1.0</v>
      </c>
      <c r="J151" s="12">
        <v>3.0</v>
      </c>
      <c r="K151" s="11" t="s">
        <v>21</v>
      </c>
      <c r="L151" s="7">
        <v>40283.384351851855</v>
      </c>
      <c r="M151" s="13" t="s">
        <v>94</v>
      </c>
      <c r="N151" s="13" t="s">
        <v>95</v>
      </c>
      <c r="O151" s="10" t="str">
        <f>HYPERLINK("https://pbs.twimg.com/profile_images/704873222802636800/7aFEMOY5_normal.jpg","View")</f>
        <v>View</v>
      </c>
      <c r="P151" s="14"/>
    </row>
    <row r="152">
      <c r="A152" s="7">
        <v>42433.38604166667</v>
      </c>
      <c r="B152" s="8" t="str">
        <f>HYPERLINK("https://twitter.com/JulieThePH","@JulieThePH")</f>
        <v>@JulieThePH</v>
      </c>
      <c r="C152" s="9" t="s">
        <v>211</v>
      </c>
      <c r="D152" s="9" t="s">
        <v>283</v>
      </c>
      <c r="E152" s="10" t="str">
        <f>HYPERLINK("https://twitter.com/JulieThePH/status/705773772675162112","705773772675162112")</f>
        <v>705773772675162112</v>
      </c>
      <c r="F152" s="11" t="s">
        <v>31</v>
      </c>
      <c r="G152" s="12">
        <v>1234.0</v>
      </c>
      <c r="H152" s="12">
        <v>1386.0</v>
      </c>
      <c r="I152" s="12">
        <v>1.0</v>
      </c>
      <c r="J152" s="12">
        <v>0.0</v>
      </c>
      <c r="K152" s="11" t="s">
        <v>21</v>
      </c>
      <c r="L152" s="7">
        <v>40718.66918981481</v>
      </c>
      <c r="M152" s="13" t="s">
        <v>213</v>
      </c>
      <c r="N152" s="13" t="s">
        <v>214</v>
      </c>
      <c r="O152" s="10" t="str">
        <f>HYPERLINK("https://pbs.twimg.com/profile_images/596509974005686273/AqBblwMR_normal.jpg","View")</f>
        <v>View</v>
      </c>
      <c r="P152" s="14"/>
    </row>
    <row r="153">
      <c r="A153" s="7">
        <v>42433.38657407407</v>
      </c>
      <c r="B153" s="8" t="str">
        <f>HYPERLINK("https://twitter.com/uofcfreethinker","@uofcfreethinker")</f>
        <v>@uofcfreethinker</v>
      </c>
      <c r="C153" s="9" t="s">
        <v>284</v>
      </c>
      <c r="D153" s="9" t="s">
        <v>204</v>
      </c>
      <c r="E153" s="10" t="str">
        <f>HYPERLINK("https://twitter.com/uofcfreethinker/status/705773964283531264","705773964283531264")</f>
        <v>705773964283531264</v>
      </c>
      <c r="F153" s="11" t="s">
        <v>148</v>
      </c>
      <c r="G153" s="12">
        <v>498.0</v>
      </c>
      <c r="H153" s="12">
        <v>243.0</v>
      </c>
      <c r="I153" s="12">
        <v>6.0</v>
      </c>
      <c r="J153" s="12">
        <v>0.0</v>
      </c>
      <c r="K153" s="11" t="s">
        <v>21</v>
      </c>
      <c r="L153" s="7">
        <v>40419.04922453704</v>
      </c>
      <c r="M153" s="13" t="s">
        <v>285</v>
      </c>
      <c r="N153" s="13" t="s">
        <v>286</v>
      </c>
      <c r="O153" s="10" t="str">
        <f>HYPERLINK("https://pbs.twimg.com/profile_images/1918642476/2YogIkK0_normal","View")</f>
        <v>View</v>
      </c>
      <c r="P153" s="14"/>
    </row>
    <row r="154">
      <c r="A154" s="7">
        <v>42433.390798611115</v>
      </c>
      <c r="B154" s="8" t="str">
        <f>HYPERLINK("https://twitter.com/JulieThePH","@JulieThePH")</f>
        <v>@JulieThePH</v>
      </c>
      <c r="C154" s="9" t="s">
        <v>211</v>
      </c>
      <c r="D154" s="9" t="s">
        <v>287</v>
      </c>
      <c r="E154" s="10" t="str">
        <f>HYPERLINK("https://twitter.com/JulieThePH/status/705775497494532097","705775497494532097")</f>
        <v>705775497494532097</v>
      </c>
      <c r="F154" s="11" t="s">
        <v>31</v>
      </c>
      <c r="G154" s="12">
        <v>1234.0</v>
      </c>
      <c r="H154" s="12">
        <v>1386.0</v>
      </c>
      <c r="I154" s="12">
        <v>1.0</v>
      </c>
      <c r="J154" s="12">
        <v>0.0</v>
      </c>
      <c r="K154" s="11" t="s">
        <v>21</v>
      </c>
      <c r="L154" s="7">
        <v>40718.66918981481</v>
      </c>
      <c r="M154" s="13" t="s">
        <v>213</v>
      </c>
      <c r="N154" s="13" t="s">
        <v>214</v>
      </c>
      <c r="O154" s="10" t="str">
        <f>HYPERLINK("https://pbs.twimg.com/profile_images/596509974005686273/AqBblwMR_normal.jpg","View")</f>
        <v>View</v>
      </c>
      <c r="P154" s="14"/>
    </row>
    <row r="155">
      <c r="A155" s="7">
        <v>42433.3915162037</v>
      </c>
      <c r="B155" s="8" t="str">
        <f>HYPERLINK("https://twitter.com/MarlaAtUmass","@MarlaAtUmass")</f>
        <v>@MarlaAtUmass</v>
      </c>
      <c r="C155" s="9" t="s">
        <v>45</v>
      </c>
      <c r="D155" s="9" t="s">
        <v>288</v>
      </c>
      <c r="E155" s="10" t="str">
        <f>HYPERLINK("https://twitter.com/MarlaAtUmass/status/705775757503627266","705775757503627266")</f>
        <v>705775757503627266</v>
      </c>
      <c r="F155" s="11" t="s">
        <v>31</v>
      </c>
      <c r="G155" s="12">
        <v>1993.0</v>
      </c>
      <c r="H155" s="12">
        <v>1647.0</v>
      </c>
      <c r="I155" s="12">
        <v>3.0</v>
      </c>
      <c r="J155" s="12">
        <v>3.0</v>
      </c>
      <c r="K155" s="11" t="s">
        <v>21</v>
      </c>
      <c r="L155" s="7">
        <v>40125.78074074074</v>
      </c>
      <c r="M155" s="15"/>
      <c r="N155" s="13" t="s">
        <v>47</v>
      </c>
      <c r="O155" s="10" t="str">
        <f>HYPERLINK("https://pbs.twimg.com/profile_images/565429960/Betsy_Twitter_normal.jpg","View")</f>
        <v>View</v>
      </c>
      <c r="P155" s="14"/>
    </row>
    <row r="156">
      <c r="A156" s="7">
        <v>42433.391817129625</v>
      </c>
      <c r="B156" s="8" t="str">
        <f>HYPERLINK("https://twitter.com/pastpunditry","@pastpunditry")</f>
        <v>@pastpunditry</v>
      </c>
      <c r="C156" s="9" t="s">
        <v>92</v>
      </c>
      <c r="D156" s="9" t="s">
        <v>289</v>
      </c>
      <c r="E156" s="10" t="str">
        <f>HYPERLINK("https://twitter.com/pastpunditry/status/705775866211602433","705775866211602433")</f>
        <v>705775866211602433</v>
      </c>
      <c r="F156" s="11" t="s">
        <v>77</v>
      </c>
      <c r="G156" s="12">
        <v>890.0</v>
      </c>
      <c r="H156" s="12">
        <v>378.0</v>
      </c>
      <c r="I156" s="12">
        <v>3.0</v>
      </c>
      <c r="J156" s="12">
        <v>0.0</v>
      </c>
      <c r="K156" s="11" t="s">
        <v>21</v>
      </c>
      <c r="L156" s="7">
        <v>40283.384351851855</v>
      </c>
      <c r="M156" s="13" t="s">
        <v>94</v>
      </c>
      <c r="N156" s="13" t="s">
        <v>95</v>
      </c>
      <c r="O156" s="10" t="str">
        <f>HYPERLINK("https://pbs.twimg.com/profile_images/704873222802636800/7aFEMOY5_normal.jpg","View")</f>
        <v>View</v>
      </c>
      <c r="P156" s="14"/>
    </row>
    <row r="157">
      <c r="A157" s="7">
        <v>42433.39231481482</v>
      </c>
      <c r="B157" s="8" t="str">
        <f>HYPERLINK("https://twitter.com/JimGrossmanAHA","@JimGrossmanAHA")</f>
        <v>@JimGrossmanAHA</v>
      </c>
      <c r="C157" s="9" t="s">
        <v>278</v>
      </c>
      <c r="D157" s="9" t="s">
        <v>290</v>
      </c>
      <c r="E157" s="10" t="str">
        <f>HYPERLINK("https://twitter.com/JimGrossmanAHA/status/705776045916626944","705776045916626944")</f>
        <v>705776045916626944</v>
      </c>
      <c r="F157" s="11" t="s">
        <v>31</v>
      </c>
      <c r="G157" s="12">
        <v>2241.0</v>
      </c>
      <c r="H157" s="12">
        <v>368.0</v>
      </c>
      <c r="I157" s="12">
        <v>2.0</v>
      </c>
      <c r="J157" s="12">
        <v>3.0</v>
      </c>
      <c r="K157" s="11" t="s">
        <v>21</v>
      </c>
      <c r="L157" s="7">
        <v>41576.36603009259</v>
      </c>
      <c r="M157" s="13" t="s">
        <v>279</v>
      </c>
      <c r="N157" s="13" t="s">
        <v>280</v>
      </c>
      <c r="O157" s="10" t="str">
        <f>HYPERLINK("https://pbs.twimg.com/profile_images/378800000667891782/44d7b181c077bf16ab07b242f7ad81b9_normal.png","View")</f>
        <v>View</v>
      </c>
      <c r="P157" s="14"/>
    </row>
    <row r="158">
      <c r="A158" s="7">
        <v>42433.39268518519</v>
      </c>
      <c r="B158" s="8" t="str">
        <f>HYPERLINK("https://twitter.com/pastpunditry","@pastpunditry")</f>
        <v>@pastpunditry</v>
      </c>
      <c r="C158" s="9" t="s">
        <v>92</v>
      </c>
      <c r="D158" s="9" t="s">
        <v>291</v>
      </c>
      <c r="E158" s="10" t="str">
        <f>HYPERLINK("https://twitter.com/pastpunditry/status/705776178972512257","705776178972512257")</f>
        <v>705776178972512257</v>
      </c>
      <c r="F158" s="11" t="s">
        <v>77</v>
      </c>
      <c r="G158" s="12">
        <v>890.0</v>
      </c>
      <c r="H158" s="12">
        <v>378.0</v>
      </c>
      <c r="I158" s="12">
        <v>2.0</v>
      </c>
      <c r="J158" s="12">
        <v>0.0</v>
      </c>
      <c r="K158" s="11" t="s">
        <v>21</v>
      </c>
      <c r="L158" s="7">
        <v>40283.384351851855</v>
      </c>
      <c r="M158" s="13" t="s">
        <v>94</v>
      </c>
      <c r="N158" s="13" t="s">
        <v>95</v>
      </c>
      <c r="O158" s="10" t="str">
        <f>HYPERLINK("https://pbs.twimg.com/profile_images/704873222802636800/7aFEMOY5_normal.jpg","View")</f>
        <v>View</v>
      </c>
      <c r="P158" s="14"/>
    </row>
    <row r="159">
      <c r="A159" s="7">
        <v>42433.394432870366</v>
      </c>
      <c r="B159" s="8" t="str">
        <f t="shared" ref="B159:B160" si="33">HYPERLINK("https://twitter.com/samueljredman","@samueljredman")</f>
        <v>@samueljredman</v>
      </c>
      <c r="C159" s="9" t="s">
        <v>158</v>
      </c>
      <c r="D159" s="9" t="s">
        <v>291</v>
      </c>
      <c r="E159" s="10" t="str">
        <f>HYPERLINK("https://twitter.com/samueljredman/status/705776812354359296","705776812354359296")</f>
        <v>705776812354359296</v>
      </c>
      <c r="F159" s="11" t="s">
        <v>26</v>
      </c>
      <c r="G159" s="12">
        <v>5623.0</v>
      </c>
      <c r="H159" s="12">
        <v>5355.0</v>
      </c>
      <c r="I159" s="12">
        <v>2.0</v>
      </c>
      <c r="J159" s="12">
        <v>0.0</v>
      </c>
      <c r="K159" s="11" t="s">
        <v>21</v>
      </c>
      <c r="L159" s="7">
        <v>40584.98517361111</v>
      </c>
      <c r="M159" s="13" t="s">
        <v>160</v>
      </c>
      <c r="N159" s="13" t="s">
        <v>161</v>
      </c>
      <c r="O159" s="10" t="str">
        <f t="shared" ref="O159:O160" si="34">HYPERLINK("https://pbs.twimg.com/profile_images/548193870278688768/8Dq7gW3U_normal.png","View")</f>
        <v>View</v>
      </c>
      <c r="P159" s="14"/>
    </row>
    <row r="160">
      <c r="A160" s="7">
        <v>42433.39461805555</v>
      </c>
      <c r="B160" s="8" t="str">
        <f t="shared" si="33"/>
        <v>@samueljredman</v>
      </c>
      <c r="C160" s="9" t="s">
        <v>158</v>
      </c>
      <c r="D160" s="9" t="s">
        <v>234</v>
      </c>
      <c r="E160" s="10" t="str">
        <f>HYPERLINK("https://twitter.com/samueljredman/status/705776878846668802","705776878846668802")</f>
        <v>705776878846668802</v>
      </c>
      <c r="F160" s="11" t="s">
        <v>26</v>
      </c>
      <c r="G160" s="12">
        <v>5623.0</v>
      </c>
      <c r="H160" s="12">
        <v>5355.0</v>
      </c>
      <c r="I160" s="12">
        <v>5.0</v>
      </c>
      <c r="J160" s="12">
        <v>0.0</v>
      </c>
      <c r="K160" s="11" t="s">
        <v>21</v>
      </c>
      <c r="L160" s="7">
        <v>40584.98517361111</v>
      </c>
      <c r="M160" s="13" t="s">
        <v>160</v>
      </c>
      <c r="N160" s="13" t="s">
        <v>161</v>
      </c>
      <c r="O160" s="10" t="str">
        <f t="shared" si="34"/>
        <v>View</v>
      </c>
      <c r="P160" s="14"/>
    </row>
    <row r="161">
      <c r="A161" s="7">
        <v>42433.39498842593</v>
      </c>
      <c r="B161" s="8" t="str">
        <f>HYPERLINK("https://twitter.com/JulieThePH","@JulieThePH")</f>
        <v>@JulieThePH</v>
      </c>
      <c r="C161" s="9" t="s">
        <v>211</v>
      </c>
      <c r="D161" s="9" t="s">
        <v>292</v>
      </c>
      <c r="E161" s="10" t="str">
        <f>HYPERLINK("https://twitter.com/JulieThePH/status/705777014125498368","705777014125498368")</f>
        <v>705777014125498368</v>
      </c>
      <c r="F161" s="11" t="s">
        <v>31</v>
      </c>
      <c r="G161" s="12">
        <v>1234.0</v>
      </c>
      <c r="H161" s="12">
        <v>1386.0</v>
      </c>
      <c r="I161" s="12">
        <v>6.0</v>
      </c>
      <c r="J161" s="12">
        <v>2.0</v>
      </c>
      <c r="K161" s="11" t="s">
        <v>21</v>
      </c>
      <c r="L161" s="7">
        <v>40718.66918981481</v>
      </c>
      <c r="M161" s="13" t="s">
        <v>213</v>
      </c>
      <c r="N161" s="13" t="s">
        <v>214</v>
      </c>
      <c r="O161" s="10" t="str">
        <f>HYPERLINK("https://pbs.twimg.com/profile_images/596509974005686273/AqBblwMR_normal.jpg","View")</f>
        <v>View</v>
      </c>
      <c r="P161" s="14"/>
    </row>
    <row r="162">
      <c r="A162" s="7">
        <v>42433.39506944444</v>
      </c>
      <c r="B162" s="8" t="str">
        <f>HYPERLINK("https://twitter.com/pastpunditry","@pastpunditry")</f>
        <v>@pastpunditry</v>
      </c>
      <c r="C162" s="9" t="s">
        <v>92</v>
      </c>
      <c r="D162" s="9" t="s">
        <v>293</v>
      </c>
      <c r="E162" s="10" t="str">
        <f>HYPERLINK("https://twitter.com/pastpunditry/status/705777043418583040","705777043418583040")</f>
        <v>705777043418583040</v>
      </c>
      <c r="F162" s="11" t="s">
        <v>77</v>
      </c>
      <c r="G162" s="12">
        <v>890.0</v>
      </c>
      <c r="H162" s="12">
        <v>378.0</v>
      </c>
      <c r="I162" s="12">
        <v>6.0</v>
      </c>
      <c r="J162" s="12">
        <v>0.0</v>
      </c>
      <c r="K162" s="11" t="s">
        <v>21</v>
      </c>
      <c r="L162" s="7">
        <v>40283.384351851855</v>
      </c>
      <c r="M162" s="13" t="s">
        <v>94</v>
      </c>
      <c r="N162" s="13" t="s">
        <v>95</v>
      </c>
      <c r="O162" s="10" t="str">
        <f>HYPERLINK("https://pbs.twimg.com/profile_images/704873222802636800/7aFEMOY5_normal.jpg","View")</f>
        <v>View</v>
      </c>
      <c r="P162" s="14"/>
    </row>
    <row r="163">
      <c r="A163" s="7">
        <v>42433.39534722222</v>
      </c>
      <c r="B163" s="8" t="str">
        <f>HYPERLINK("https://twitter.com/JenHoward","@JenHoward")</f>
        <v>@JenHoward</v>
      </c>
      <c r="C163" s="9" t="s">
        <v>294</v>
      </c>
      <c r="D163" s="9" t="s">
        <v>293</v>
      </c>
      <c r="E163" s="10" t="str">
        <f>HYPERLINK("https://twitter.com/JenHoward/status/705777145625387008","705777145625387008")</f>
        <v>705777145625387008</v>
      </c>
      <c r="F163" s="11" t="s">
        <v>31</v>
      </c>
      <c r="G163" s="12">
        <v>7938.0</v>
      </c>
      <c r="H163" s="12">
        <v>1403.0</v>
      </c>
      <c r="I163" s="12">
        <v>6.0</v>
      </c>
      <c r="J163" s="12">
        <v>0.0</v>
      </c>
      <c r="K163" s="11" t="s">
        <v>21</v>
      </c>
      <c r="L163" s="7">
        <v>39687.58096064815</v>
      </c>
      <c r="M163" s="13" t="s">
        <v>295</v>
      </c>
      <c r="N163" s="13" t="s">
        <v>296</v>
      </c>
      <c r="O163" s="10" t="str">
        <f>HYPERLINK("https://pbs.twimg.com/profile_images/59085983/LelaCatPicture_normal.jpg","View")</f>
        <v>View</v>
      </c>
      <c r="P163" s="14"/>
    </row>
    <row r="164">
      <c r="A164" s="7">
        <v>42433.396527777775</v>
      </c>
      <c r="B164" s="8" t="str">
        <f>HYPERLINK("https://twitter.com/JL_McPherson_","@JL_McPherson_")</f>
        <v>@JL_McPherson_</v>
      </c>
      <c r="C164" s="9" t="s">
        <v>297</v>
      </c>
      <c r="D164" s="9" t="s">
        <v>277</v>
      </c>
      <c r="E164" s="10" t="str">
        <f>HYPERLINK("https://twitter.com/JL_McPherson_/status/705777570684338176","705777570684338176")</f>
        <v>705777570684338176</v>
      </c>
      <c r="F164" s="11" t="s">
        <v>26</v>
      </c>
      <c r="G164" s="12">
        <v>144.0</v>
      </c>
      <c r="H164" s="12">
        <v>415.0</v>
      </c>
      <c r="I164" s="12">
        <v>3.0</v>
      </c>
      <c r="J164" s="12">
        <v>0.0</v>
      </c>
      <c r="K164" s="11" t="s">
        <v>21</v>
      </c>
      <c r="L164" s="7">
        <v>40607.711226851854</v>
      </c>
      <c r="M164" s="13" t="s">
        <v>298</v>
      </c>
      <c r="N164" s="13" t="s">
        <v>299</v>
      </c>
      <c r="O164" s="10" t="str">
        <f>HYPERLINK("https://pbs.twimg.com/profile_images/562649272173068288/zFENKIgW_normal.png","View")</f>
        <v>View</v>
      </c>
      <c r="P164" s="14"/>
    </row>
    <row r="165">
      <c r="A165" s="7">
        <v>42433.39747685185</v>
      </c>
      <c r="B165" s="8" t="str">
        <f>HYPERLINK("https://twitter.com/dvhunter","@dvhunter")</f>
        <v>@dvhunter</v>
      </c>
      <c r="C165" s="9" t="s">
        <v>300</v>
      </c>
      <c r="D165" s="9" t="s">
        <v>293</v>
      </c>
      <c r="E165" s="10" t="str">
        <f>HYPERLINK("https://twitter.com/dvhunter/status/705777914877386754","705777914877386754")</f>
        <v>705777914877386754</v>
      </c>
      <c r="F165" s="11" t="s">
        <v>31</v>
      </c>
      <c r="G165" s="12">
        <v>808.0</v>
      </c>
      <c r="H165" s="12">
        <v>1076.0</v>
      </c>
      <c r="I165" s="12">
        <v>6.0</v>
      </c>
      <c r="J165" s="12">
        <v>0.0</v>
      </c>
      <c r="K165" s="11" t="s">
        <v>21</v>
      </c>
      <c r="L165" s="7">
        <v>39738.713541666664</v>
      </c>
      <c r="M165" s="13" t="s">
        <v>301</v>
      </c>
      <c r="N165" s="13" t="s">
        <v>302</v>
      </c>
      <c r="O165" s="10" t="str">
        <f>HYPERLINK("https://pbs.twimg.com/profile_images/655217817395077121/kJLvzPfP_normal.jpg","View")</f>
        <v>View</v>
      </c>
      <c r="P165" s="14"/>
    </row>
    <row r="166">
      <c r="A166" s="7">
        <v>42433.39785879629</v>
      </c>
      <c r="B166" s="8" t="str">
        <f>HYPERLINK("https://twitter.com/JimGrossmanAHA","@JimGrossmanAHA")</f>
        <v>@JimGrossmanAHA</v>
      </c>
      <c r="C166" s="9" t="s">
        <v>278</v>
      </c>
      <c r="D166" s="9" t="s">
        <v>303</v>
      </c>
      <c r="E166" s="10" t="str">
        <f>HYPERLINK("https://twitter.com/JimGrossmanAHA/status/705778054031921152","705778054031921152")</f>
        <v>705778054031921152</v>
      </c>
      <c r="F166" s="11" t="s">
        <v>31</v>
      </c>
      <c r="G166" s="12">
        <v>2241.0</v>
      </c>
      <c r="H166" s="12">
        <v>368.0</v>
      </c>
      <c r="I166" s="12">
        <v>1.0</v>
      </c>
      <c r="J166" s="12">
        <v>2.0</v>
      </c>
      <c r="K166" s="11" t="s">
        <v>21</v>
      </c>
      <c r="L166" s="7">
        <v>41576.36603009259</v>
      </c>
      <c r="M166" s="13" t="s">
        <v>279</v>
      </c>
      <c r="N166" s="13" t="s">
        <v>280</v>
      </c>
      <c r="O166" s="10" t="str">
        <f>HYPERLINK("https://pbs.twimg.com/profile_images/378800000667891782/44d7b181c077bf16ab07b242f7ad81b9_normal.png","View")</f>
        <v>View</v>
      </c>
      <c r="P166" s="14"/>
    </row>
    <row r="167">
      <c r="A167" s="7">
        <v>42433.39792824074</v>
      </c>
      <c r="B167" s="8" t="str">
        <f>HYPERLINK("https://twitter.com/JulieThePH","@JulieThePH")</f>
        <v>@JulieThePH</v>
      </c>
      <c r="C167" s="9" t="s">
        <v>211</v>
      </c>
      <c r="D167" s="9" t="s">
        <v>304</v>
      </c>
      <c r="E167" s="10" t="str">
        <f>HYPERLINK("https://twitter.com/JulieThePH/status/705778079323521024","705778079323521024")</f>
        <v>705778079323521024</v>
      </c>
      <c r="F167" s="11" t="s">
        <v>31</v>
      </c>
      <c r="G167" s="12">
        <v>1234.0</v>
      </c>
      <c r="H167" s="12">
        <v>1386.0</v>
      </c>
      <c r="I167" s="12">
        <v>3.0</v>
      </c>
      <c r="J167" s="12">
        <v>3.0</v>
      </c>
      <c r="K167" s="11" t="s">
        <v>21</v>
      </c>
      <c r="L167" s="7">
        <v>40718.66918981481</v>
      </c>
      <c r="M167" s="13" t="s">
        <v>213</v>
      </c>
      <c r="N167" s="13" t="s">
        <v>214</v>
      </c>
      <c r="O167" s="10" t="str">
        <f>HYPERLINK("https://pbs.twimg.com/profile_images/596509974005686273/AqBblwMR_normal.jpg","View")</f>
        <v>View</v>
      </c>
      <c r="P167" s="14"/>
    </row>
    <row r="168">
      <c r="A168" s="7">
        <v>42433.397997685184</v>
      </c>
      <c r="B168" s="8" t="str">
        <f>HYPERLINK("https://twitter.com/pastpunditry","@pastpunditry")</f>
        <v>@pastpunditry</v>
      </c>
      <c r="C168" s="9" t="s">
        <v>92</v>
      </c>
      <c r="D168" s="9" t="s">
        <v>305</v>
      </c>
      <c r="E168" s="10" t="str">
        <f>HYPERLINK("https://twitter.com/pastpunditry/status/705778105768648704","705778105768648704")</f>
        <v>705778105768648704</v>
      </c>
      <c r="F168" s="11" t="s">
        <v>77</v>
      </c>
      <c r="G168" s="12">
        <v>890.0</v>
      </c>
      <c r="H168" s="12">
        <v>378.0</v>
      </c>
      <c r="I168" s="12">
        <v>3.0</v>
      </c>
      <c r="J168" s="12">
        <v>0.0</v>
      </c>
      <c r="K168" s="11" t="s">
        <v>21</v>
      </c>
      <c r="L168" s="7">
        <v>40283.384351851855</v>
      </c>
      <c r="M168" s="13" t="s">
        <v>94</v>
      </c>
      <c r="N168" s="13" t="s">
        <v>95</v>
      </c>
      <c r="O168" s="10" t="str">
        <f>HYPERLINK("https://pbs.twimg.com/profile_images/704873222802636800/7aFEMOY5_normal.jpg","View")</f>
        <v>View</v>
      </c>
      <c r="P168" s="14"/>
    </row>
    <row r="169">
      <c r="A169" s="7">
        <v>42433.39854166667</v>
      </c>
      <c r="B169" s="8" t="str">
        <f>HYPERLINK("https://twitter.com/mattdelmont","@mattdelmont")</f>
        <v>@mattdelmont</v>
      </c>
      <c r="C169" s="9" t="s">
        <v>306</v>
      </c>
      <c r="D169" s="9" t="s">
        <v>293</v>
      </c>
      <c r="E169" s="10" t="str">
        <f>HYPERLINK("https://twitter.com/mattdelmont/status/705778300992393217","705778300992393217")</f>
        <v>705778300992393217</v>
      </c>
      <c r="F169" s="11" t="s">
        <v>77</v>
      </c>
      <c r="G169" s="12">
        <v>1661.0</v>
      </c>
      <c r="H169" s="12">
        <v>1442.0</v>
      </c>
      <c r="I169" s="12">
        <v>6.0</v>
      </c>
      <c r="J169" s="12">
        <v>0.0</v>
      </c>
      <c r="K169" s="11" t="s">
        <v>21</v>
      </c>
      <c r="L169" s="7">
        <v>40697.92171296296</v>
      </c>
      <c r="M169" s="13" t="s">
        <v>138</v>
      </c>
      <c r="N169" s="13" t="s">
        <v>307</v>
      </c>
      <c r="O169" s="10" t="str">
        <f>HYPERLINK("https://pbs.twimg.com/profile_images/1762571664/POY_photo_-_web_normal.jpg","View")</f>
        <v>View</v>
      </c>
      <c r="P169" s="14"/>
    </row>
    <row r="170">
      <c r="A170" s="7">
        <v>42433.398981481485</v>
      </c>
      <c r="B170" s="8" t="str">
        <f>HYPERLINK("https://twitter.com/AmandaMoniz1","@AmandaMoniz1")</f>
        <v>@AmandaMoniz1</v>
      </c>
      <c r="C170" s="9" t="s">
        <v>66</v>
      </c>
      <c r="D170" s="9" t="s">
        <v>308</v>
      </c>
      <c r="E170" s="10" t="str">
        <f>HYPERLINK("https://twitter.com/AmandaMoniz1/status/705778459436576768","705778459436576768")</f>
        <v>705778459436576768</v>
      </c>
      <c r="F170" s="11" t="s">
        <v>31</v>
      </c>
      <c r="G170" s="12">
        <v>622.0</v>
      </c>
      <c r="H170" s="12">
        <v>607.0</v>
      </c>
      <c r="I170" s="12">
        <v>2.0</v>
      </c>
      <c r="J170" s="12">
        <v>1.0</v>
      </c>
      <c r="K170" s="11" t="s">
        <v>21</v>
      </c>
      <c r="L170" s="7">
        <v>40766.33971064815</v>
      </c>
      <c r="M170" s="15"/>
      <c r="N170" s="13" t="s">
        <v>68</v>
      </c>
      <c r="O170" s="10" t="str">
        <f>HYPERLINK("https://pbs.twimg.com/profile_images/378800000149111881/7969acf9cec4197748b502a6a6c3d921_normal.jpeg","View")</f>
        <v>View</v>
      </c>
      <c r="P170" s="14"/>
    </row>
    <row r="171">
      <c r="A171" s="7">
        <v>42433.39905092593</v>
      </c>
      <c r="B171" s="8" t="str">
        <f>HYPERLINK("https://twitter.com/JimGrossmanAHA","@JimGrossmanAHA")</f>
        <v>@JimGrossmanAHA</v>
      </c>
      <c r="C171" s="9" t="s">
        <v>278</v>
      </c>
      <c r="D171" s="9" t="s">
        <v>309</v>
      </c>
      <c r="E171" s="10" t="str">
        <f>HYPERLINK("https://twitter.com/JimGrossmanAHA/status/705778486930235392","705778486930235392")</f>
        <v>705778486930235392</v>
      </c>
      <c r="F171" s="11" t="s">
        <v>31</v>
      </c>
      <c r="G171" s="12">
        <v>2241.0</v>
      </c>
      <c r="H171" s="12">
        <v>368.0</v>
      </c>
      <c r="I171" s="12">
        <v>4.0</v>
      </c>
      <c r="J171" s="12">
        <v>5.0</v>
      </c>
      <c r="K171" s="11" t="s">
        <v>21</v>
      </c>
      <c r="L171" s="7">
        <v>41576.36603009259</v>
      </c>
      <c r="M171" s="13" t="s">
        <v>279</v>
      </c>
      <c r="N171" s="13" t="s">
        <v>280</v>
      </c>
      <c r="O171" s="10" t="str">
        <f>HYPERLINK("https://pbs.twimg.com/profile_images/378800000667891782/44d7b181c077bf16ab07b242f7ad81b9_normal.png","View")</f>
        <v>View</v>
      </c>
      <c r="P171" s="14"/>
    </row>
    <row r="172">
      <c r="A172" s="7">
        <v>42433.39922453703</v>
      </c>
      <c r="B172" s="8" t="str">
        <f>HYPERLINK("https://twitter.com/AmandaMoniz1","@AmandaMoniz1")</f>
        <v>@AmandaMoniz1</v>
      </c>
      <c r="C172" s="9" t="s">
        <v>66</v>
      </c>
      <c r="D172" s="9" t="s">
        <v>310</v>
      </c>
      <c r="E172" s="10" t="str">
        <f>HYPERLINK("https://twitter.com/AmandaMoniz1/status/705778547839864832","705778547839864832")</f>
        <v>705778547839864832</v>
      </c>
      <c r="F172" s="11" t="s">
        <v>31</v>
      </c>
      <c r="G172" s="12">
        <v>622.0</v>
      </c>
      <c r="H172" s="12">
        <v>607.0</v>
      </c>
      <c r="I172" s="12">
        <v>4.0</v>
      </c>
      <c r="J172" s="12">
        <v>0.0</v>
      </c>
      <c r="K172" s="11" t="s">
        <v>21</v>
      </c>
      <c r="L172" s="7">
        <v>40766.33971064815</v>
      </c>
      <c r="M172" s="15"/>
      <c r="N172" s="13" t="s">
        <v>68</v>
      </c>
      <c r="O172" s="10" t="str">
        <f>HYPERLINK("https://pbs.twimg.com/profile_images/378800000149111881/7969acf9cec4197748b502a6a6c3d921_normal.jpeg","View")</f>
        <v>View</v>
      </c>
      <c r="P172" s="14"/>
    </row>
    <row r="173">
      <c r="A173" s="7">
        <v>42433.39928240741</v>
      </c>
      <c r="B173" s="8" t="str">
        <f t="shared" ref="B173:B174" si="35">HYPERLINK("https://twitter.com/pastpunditry","@pastpunditry")</f>
        <v>@pastpunditry</v>
      </c>
      <c r="C173" s="9" t="s">
        <v>92</v>
      </c>
      <c r="D173" s="9" t="s">
        <v>311</v>
      </c>
      <c r="E173" s="10" t="str">
        <f>HYPERLINK("https://twitter.com/pastpunditry/status/705778568492621825","705778568492621825")</f>
        <v>705778568492621825</v>
      </c>
      <c r="F173" s="11" t="s">
        <v>77</v>
      </c>
      <c r="G173" s="12">
        <v>890.0</v>
      </c>
      <c r="H173" s="12">
        <v>378.0</v>
      </c>
      <c r="I173" s="12">
        <v>2.0</v>
      </c>
      <c r="J173" s="12">
        <v>0.0</v>
      </c>
      <c r="K173" s="11" t="s">
        <v>21</v>
      </c>
      <c r="L173" s="7">
        <v>40283.384351851855</v>
      </c>
      <c r="M173" s="13" t="s">
        <v>94</v>
      </c>
      <c r="N173" s="13" t="s">
        <v>95</v>
      </c>
      <c r="O173" s="10" t="str">
        <f t="shared" ref="O173:O174" si="36">HYPERLINK("https://pbs.twimg.com/profile_images/704873222802636800/7aFEMOY5_normal.jpg","View")</f>
        <v>View</v>
      </c>
      <c r="P173" s="14"/>
    </row>
    <row r="174">
      <c r="A174" s="7">
        <v>42433.399305555555</v>
      </c>
      <c r="B174" s="8" t="str">
        <f t="shared" si="35"/>
        <v>@pastpunditry</v>
      </c>
      <c r="C174" s="9" t="s">
        <v>92</v>
      </c>
      <c r="D174" s="9" t="s">
        <v>310</v>
      </c>
      <c r="E174" s="10" t="str">
        <f>HYPERLINK("https://twitter.com/pastpunditry/status/705778579892736000","705778579892736000")</f>
        <v>705778579892736000</v>
      </c>
      <c r="F174" s="11" t="s">
        <v>77</v>
      </c>
      <c r="G174" s="12">
        <v>890.0</v>
      </c>
      <c r="H174" s="12">
        <v>378.0</v>
      </c>
      <c r="I174" s="12">
        <v>4.0</v>
      </c>
      <c r="J174" s="12">
        <v>0.0</v>
      </c>
      <c r="K174" s="11" t="s">
        <v>21</v>
      </c>
      <c r="L174" s="7">
        <v>40283.384351851855</v>
      </c>
      <c r="M174" s="13" t="s">
        <v>94</v>
      </c>
      <c r="N174" s="13" t="s">
        <v>95</v>
      </c>
      <c r="O174" s="10" t="str">
        <f t="shared" si="36"/>
        <v>View</v>
      </c>
      <c r="P174" s="14"/>
    </row>
    <row r="175">
      <c r="A175" s="7">
        <v>42433.400231481486</v>
      </c>
      <c r="B175" s="8" t="str">
        <f>HYPERLINK("https://twitter.com/JulieThePH","@JulieThePH")</f>
        <v>@JulieThePH</v>
      </c>
      <c r="C175" s="9" t="s">
        <v>211</v>
      </c>
      <c r="D175" s="9" t="s">
        <v>312</v>
      </c>
      <c r="E175" s="10" t="str">
        <f>HYPERLINK("https://twitter.com/JulieThePH/status/705778913889394688","705778913889394688")</f>
        <v>705778913889394688</v>
      </c>
      <c r="F175" s="11" t="s">
        <v>31</v>
      </c>
      <c r="G175" s="12">
        <v>1234.0</v>
      </c>
      <c r="H175" s="12">
        <v>1386.0</v>
      </c>
      <c r="I175" s="12">
        <v>6.0</v>
      </c>
      <c r="J175" s="12">
        <v>5.0</v>
      </c>
      <c r="K175" s="11" t="s">
        <v>21</v>
      </c>
      <c r="L175" s="7">
        <v>40718.66918981481</v>
      </c>
      <c r="M175" s="13" t="s">
        <v>213</v>
      </c>
      <c r="N175" s="13" t="s">
        <v>214</v>
      </c>
      <c r="O175" s="10" t="str">
        <f>HYPERLINK("https://pbs.twimg.com/profile_images/596509974005686273/AqBblwMR_normal.jpg","View")</f>
        <v>View</v>
      </c>
      <c r="P175" s="14"/>
    </row>
    <row r="176">
      <c r="A176" s="7">
        <v>42433.400347222225</v>
      </c>
      <c r="B176" s="8" t="str">
        <f>HYPERLINK("https://twitter.com/JimGrossmanAHA","@JimGrossmanAHA")</f>
        <v>@JimGrossmanAHA</v>
      </c>
      <c r="C176" s="9" t="s">
        <v>278</v>
      </c>
      <c r="D176" s="9" t="s">
        <v>313</v>
      </c>
      <c r="E176" s="10" t="str">
        <f>HYPERLINK("https://twitter.com/JimGrossmanAHA/status/705778955031339009","705778955031339009")</f>
        <v>705778955031339009</v>
      </c>
      <c r="F176" s="11" t="s">
        <v>31</v>
      </c>
      <c r="G176" s="12">
        <v>2241.0</v>
      </c>
      <c r="H176" s="12">
        <v>368.0</v>
      </c>
      <c r="I176" s="12">
        <v>5.0</v>
      </c>
      <c r="J176" s="12">
        <v>2.0</v>
      </c>
      <c r="K176" s="11" t="s">
        <v>21</v>
      </c>
      <c r="L176" s="7">
        <v>41576.36603009259</v>
      </c>
      <c r="M176" s="13" t="s">
        <v>279</v>
      </c>
      <c r="N176" s="13" t="s">
        <v>280</v>
      </c>
      <c r="O176" s="10" t="str">
        <f>HYPERLINK("https://pbs.twimg.com/profile_images/378800000667891782/44d7b181c077bf16ab07b242f7ad81b9_normal.png","View")</f>
        <v>View</v>
      </c>
      <c r="P176" s="14"/>
    </row>
    <row r="177">
      <c r="A177" s="7">
        <v>42433.40083333333</v>
      </c>
      <c r="B177" s="8" t="str">
        <f t="shared" ref="B177:B178" si="37">HYPERLINK("https://twitter.com/AmandaMoniz1","@AmandaMoniz1")</f>
        <v>@AmandaMoniz1</v>
      </c>
      <c r="C177" s="9" t="s">
        <v>66</v>
      </c>
      <c r="D177" s="9" t="s">
        <v>314</v>
      </c>
      <c r="E177" s="10" t="str">
        <f>HYPERLINK("https://twitter.com/AmandaMoniz1/status/705779133482201088","705779133482201088")</f>
        <v>705779133482201088</v>
      </c>
      <c r="F177" s="11" t="s">
        <v>31</v>
      </c>
      <c r="G177" s="12">
        <v>622.0</v>
      </c>
      <c r="H177" s="12">
        <v>607.0</v>
      </c>
      <c r="I177" s="12">
        <v>6.0</v>
      </c>
      <c r="J177" s="12">
        <v>0.0</v>
      </c>
      <c r="K177" s="11" t="s">
        <v>21</v>
      </c>
      <c r="L177" s="7">
        <v>40766.33971064815</v>
      </c>
      <c r="M177" s="15"/>
      <c r="N177" s="13" t="s">
        <v>68</v>
      </c>
      <c r="O177" s="10" t="str">
        <f t="shared" ref="O177:O178" si="38">HYPERLINK("https://pbs.twimg.com/profile_images/378800000149111881/7969acf9cec4197748b502a6a6c3d921_normal.jpeg","View")</f>
        <v>View</v>
      </c>
      <c r="P177" s="14"/>
    </row>
    <row r="178">
      <c r="A178" s="7">
        <v>42433.40090277778</v>
      </c>
      <c r="B178" s="8" t="str">
        <f t="shared" si="37"/>
        <v>@AmandaMoniz1</v>
      </c>
      <c r="C178" s="9" t="s">
        <v>66</v>
      </c>
      <c r="D178" s="9" t="s">
        <v>315</v>
      </c>
      <c r="E178" s="10" t="str">
        <f>HYPERLINK("https://twitter.com/AmandaMoniz1/status/705779156576051202","705779156576051202")</f>
        <v>705779156576051202</v>
      </c>
      <c r="F178" s="11" t="s">
        <v>31</v>
      </c>
      <c r="G178" s="12">
        <v>622.0</v>
      </c>
      <c r="H178" s="12">
        <v>607.0</v>
      </c>
      <c r="I178" s="12">
        <v>5.0</v>
      </c>
      <c r="J178" s="12">
        <v>0.0</v>
      </c>
      <c r="K178" s="11" t="s">
        <v>21</v>
      </c>
      <c r="L178" s="7">
        <v>40766.33971064815</v>
      </c>
      <c r="M178" s="15"/>
      <c r="N178" s="13" t="s">
        <v>68</v>
      </c>
      <c r="O178" s="10" t="str">
        <f t="shared" si="38"/>
        <v>View</v>
      </c>
      <c r="P178" s="14"/>
    </row>
    <row r="179">
      <c r="A179" s="7">
        <v>42433.40126157408</v>
      </c>
      <c r="B179" s="8" t="str">
        <f>HYPERLINK("https://twitter.com/samueljredman","@samueljredman")</f>
        <v>@samueljredman</v>
      </c>
      <c r="C179" s="9" t="s">
        <v>158</v>
      </c>
      <c r="D179" s="9" t="s">
        <v>310</v>
      </c>
      <c r="E179" s="10" t="str">
        <f>HYPERLINK("https://twitter.com/samueljredman/status/705779286112915456","705779286112915456")</f>
        <v>705779286112915456</v>
      </c>
      <c r="F179" s="11" t="s">
        <v>26</v>
      </c>
      <c r="G179" s="12">
        <v>5623.0</v>
      </c>
      <c r="H179" s="12">
        <v>5355.0</v>
      </c>
      <c r="I179" s="12">
        <v>4.0</v>
      </c>
      <c r="J179" s="12">
        <v>0.0</v>
      </c>
      <c r="K179" s="11" t="s">
        <v>21</v>
      </c>
      <c r="L179" s="7">
        <v>40584.98517361111</v>
      </c>
      <c r="M179" s="13" t="s">
        <v>160</v>
      </c>
      <c r="N179" s="13" t="s">
        <v>161</v>
      </c>
      <c r="O179" s="10" t="str">
        <f>HYPERLINK("https://pbs.twimg.com/profile_images/548193870278688768/8Dq7gW3U_normal.png","View")</f>
        <v>View</v>
      </c>
      <c r="P179" s="14"/>
    </row>
    <row r="180">
      <c r="A180" s="7">
        <v>42433.40136574074</v>
      </c>
      <c r="B180" s="8" t="str">
        <f>HYPERLINK("https://twitter.com/JulieThePH","@JulieThePH")</f>
        <v>@JulieThePH</v>
      </c>
      <c r="C180" s="9" t="s">
        <v>211</v>
      </c>
      <c r="D180" s="9" t="s">
        <v>315</v>
      </c>
      <c r="E180" s="10" t="str">
        <f>HYPERLINK("https://twitter.com/JulieThePH/status/705779326797611008","705779326797611008")</f>
        <v>705779326797611008</v>
      </c>
      <c r="F180" s="11" t="s">
        <v>31</v>
      </c>
      <c r="G180" s="12">
        <v>1234.0</v>
      </c>
      <c r="H180" s="12">
        <v>1386.0</v>
      </c>
      <c r="I180" s="12">
        <v>5.0</v>
      </c>
      <c r="J180" s="12">
        <v>0.0</v>
      </c>
      <c r="K180" s="11" t="s">
        <v>21</v>
      </c>
      <c r="L180" s="7">
        <v>40718.66918981481</v>
      </c>
      <c r="M180" s="13" t="s">
        <v>213</v>
      </c>
      <c r="N180" s="13" t="s">
        <v>214</v>
      </c>
      <c r="O180" s="10" t="str">
        <f>HYPERLINK("https://pbs.twimg.com/profile_images/596509974005686273/AqBblwMR_normal.jpg","View")</f>
        <v>View</v>
      </c>
      <c r="P180" s="14"/>
    </row>
    <row r="181">
      <c r="A181" s="7">
        <v>42433.40137731482</v>
      </c>
      <c r="B181" s="8" t="str">
        <f>HYPERLINK("https://twitter.com/samueljredman","@samueljredman")</f>
        <v>@samueljredman</v>
      </c>
      <c r="C181" s="9" t="s">
        <v>158</v>
      </c>
      <c r="D181" s="9" t="s">
        <v>314</v>
      </c>
      <c r="E181" s="10" t="str">
        <f>HYPERLINK("https://twitter.com/samueljredman/status/705779330249596928","705779330249596928")</f>
        <v>705779330249596928</v>
      </c>
      <c r="F181" s="11" t="s">
        <v>26</v>
      </c>
      <c r="G181" s="12">
        <v>5623.0</v>
      </c>
      <c r="H181" s="12">
        <v>5355.0</v>
      </c>
      <c r="I181" s="12">
        <v>6.0</v>
      </c>
      <c r="J181" s="12">
        <v>0.0</v>
      </c>
      <c r="K181" s="11" t="s">
        <v>21</v>
      </c>
      <c r="L181" s="7">
        <v>40584.98517361111</v>
      </c>
      <c r="M181" s="13" t="s">
        <v>160</v>
      </c>
      <c r="N181" s="13" t="s">
        <v>161</v>
      </c>
      <c r="O181" s="10" t="str">
        <f>HYPERLINK("https://pbs.twimg.com/profile_images/548193870278688768/8Dq7gW3U_normal.png","View")</f>
        <v>View</v>
      </c>
      <c r="P181" s="14"/>
    </row>
    <row r="182">
      <c r="A182" s="7">
        <v>42433.40148148148</v>
      </c>
      <c r="B182" s="8" t="str">
        <f>HYPERLINK("https://twitter.com/JulieThePH","@JulieThePH")</f>
        <v>@JulieThePH</v>
      </c>
      <c r="C182" s="9" t="s">
        <v>211</v>
      </c>
      <c r="D182" s="9" t="s">
        <v>311</v>
      </c>
      <c r="E182" s="10" t="str">
        <f>HYPERLINK("https://twitter.com/JulieThePH/status/705779368384192513","705779368384192513")</f>
        <v>705779368384192513</v>
      </c>
      <c r="F182" s="11" t="s">
        <v>31</v>
      </c>
      <c r="G182" s="12">
        <v>1234.0</v>
      </c>
      <c r="H182" s="12">
        <v>1386.0</v>
      </c>
      <c r="I182" s="12">
        <v>2.0</v>
      </c>
      <c r="J182" s="12">
        <v>0.0</v>
      </c>
      <c r="K182" s="11" t="s">
        <v>21</v>
      </c>
      <c r="L182" s="7">
        <v>40718.66918981481</v>
      </c>
      <c r="M182" s="13" t="s">
        <v>213</v>
      </c>
      <c r="N182" s="13" t="s">
        <v>214</v>
      </c>
      <c r="O182" s="10" t="str">
        <f>HYPERLINK("https://pbs.twimg.com/profile_images/596509974005686273/AqBblwMR_normal.jpg","View")</f>
        <v>View</v>
      </c>
      <c r="P182" s="14"/>
    </row>
    <row r="183">
      <c r="A183" s="7">
        <v>42433.402141203704</v>
      </c>
      <c r="B183" s="8" t="str">
        <f t="shared" ref="B183:B184" si="39">HYPERLINK("https://twitter.com/pastpunditry","@pastpunditry")</f>
        <v>@pastpunditry</v>
      </c>
      <c r="C183" s="9" t="s">
        <v>92</v>
      </c>
      <c r="D183" s="9" t="s">
        <v>314</v>
      </c>
      <c r="E183" s="10" t="str">
        <f>HYPERLINK("https://twitter.com/pastpunditry/status/705779604150206464","705779604150206464")</f>
        <v>705779604150206464</v>
      </c>
      <c r="F183" s="11" t="s">
        <v>77</v>
      </c>
      <c r="G183" s="12">
        <v>890.0</v>
      </c>
      <c r="H183" s="12">
        <v>378.0</v>
      </c>
      <c r="I183" s="12">
        <v>6.0</v>
      </c>
      <c r="J183" s="12">
        <v>0.0</v>
      </c>
      <c r="K183" s="11" t="s">
        <v>21</v>
      </c>
      <c r="L183" s="7">
        <v>40283.384351851855</v>
      </c>
      <c r="M183" s="13" t="s">
        <v>94</v>
      </c>
      <c r="N183" s="13" t="s">
        <v>95</v>
      </c>
      <c r="O183" s="10" t="str">
        <f t="shared" ref="O183:O184" si="40">HYPERLINK("https://pbs.twimg.com/profile_images/704873222802636800/7aFEMOY5_normal.jpg","View")</f>
        <v>View</v>
      </c>
      <c r="P183" s="14"/>
    </row>
    <row r="184">
      <c r="A184" s="7">
        <v>42433.40216435185</v>
      </c>
      <c r="B184" s="8" t="str">
        <f t="shared" si="39"/>
        <v>@pastpunditry</v>
      </c>
      <c r="C184" s="9" t="s">
        <v>92</v>
      </c>
      <c r="D184" s="9" t="s">
        <v>315</v>
      </c>
      <c r="E184" s="10" t="str">
        <f>HYPERLINK("https://twitter.com/pastpunditry/status/705779616288542721","705779616288542721")</f>
        <v>705779616288542721</v>
      </c>
      <c r="F184" s="11" t="s">
        <v>77</v>
      </c>
      <c r="G184" s="12">
        <v>890.0</v>
      </c>
      <c r="H184" s="12">
        <v>378.0</v>
      </c>
      <c r="I184" s="12">
        <v>5.0</v>
      </c>
      <c r="J184" s="12">
        <v>0.0</v>
      </c>
      <c r="K184" s="11" t="s">
        <v>21</v>
      </c>
      <c r="L184" s="7">
        <v>40283.384351851855</v>
      </c>
      <c r="M184" s="13" t="s">
        <v>94</v>
      </c>
      <c r="N184" s="13" t="s">
        <v>95</v>
      </c>
      <c r="O184" s="10" t="str">
        <f t="shared" si="40"/>
        <v>View</v>
      </c>
      <c r="P184" s="14"/>
    </row>
    <row r="185">
      <c r="A185" s="7">
        <v>42433.40462962963</v>
      </c>
      <c r="B185" s="8" t="str">
        <f>HYPERLINK("https://twitter.com/NickSacco55","@NickSacco55")</f>
        <v>@NickSacco55</v>
      </c>
      <c r="C185" s="9" t="s">
        <v>316</v>
      </c>
      <c r="D185" s="9" t="s">
        <v>317</v>
      </c>
      <c r="E185" s="10" t="str">
        <f>HYPERLINK("https://twitter.com/NickSacco55/status/705780508882509826","705780508882509826")</f>
        <v>705780508882509826</v>
      </c>
      <c r="F185" s="11" t="s">
        <v>31</v>
      </c>
      <c r="G185" s="12">
        <v>1104.0</v>
      </c>
      <c r="H185" s="12">
        <v>1022.0</v>
      </c>
      <c r="I185" s="12">
        <v>0.0</v>
      </c>
      <c r="J185" s="12">
        <v>1.0</v>
      </c>
      <c r="K185" s="11" t="s">
        <v>21</v>
      </c>
      <c r="L185" s="7">
        <v>41281.8080787037</v>
      </c>
      <c r="M185" s="13" t="s">
        <v>318</v>
      </c>
      <c r="N185" s="13" t="s">
        <v>319</v>
      </c>
      <c r="O185" s="10" t="str">
        <f>HYPERLINK("https://pbs.twimg.com/profile_images/578883221963718656/EVCuitrj_normal.jpeg","View")</f>
        <v>View</v>
      </c>
      <c r="P185" s="14"/>
    </row>
    <row r="186">
      <c r="A186" s="7">
        <v>42433.40510416667</v>
      </c>
      <c r="B186" s="8" t="str">
        <f>HYPERLINK("https://twitter.com/mille24c","@mille24c")</f>
        <v>@mille24c</v>
      </c>
      <c r="C186" s="9" t="s">
        <v>115</v>
      </c>
      <c r="D186" s="9" t="s">
        <v>314</v>
      </c>
      <c r="E186" s="10" t="str">
        <f>HYPERLINK("https://twitter.com/mille24c/status/705780679364243456","705780679364243456")</f>
        <v>705780679364243456</v>
      </c>
      <c r="F186" s="11" t="s">
        <v>31</v>
      </c>
      <c r="G186" s="12">
        <v>208.0</v>
      </c>
      <c r="H186" s="12">
        <v>297.0</v>
      </c>
      <c r="I186" s="12">
        <v>6.0</v>
      </c>
      <c r="J186" s="12">
        <v>0.0</v>
      </c>
      <c r="K186" s="11" t="s">
        <v>21</v>
      </c>
      <c r="L186" s="7">
        <v>39864.79206018519</v>
      </c>
      <c r="M186" s="13" t="s">
        <v>22</v>
      </c>
      <c r="N186" s="13" t="s">
        <v>117</v>
      </c>
      <c r="O186" s="10" t="str">
        <f>HYPERLINK("https://pbs.twimg.com/profile_images/676362182020481024/P0kyLli1_normal.jpg","View")</f>
        <v>View</v>
      </c>
      <c r="P186" s="14"/>
    </row>
    <row r="187">
      <c r="A187" s="7">
        <v>42433.40556712963</v>
      </c>
      <c r="B187" s="8" t="str">
        <f>HYPERLINK("https://twitter.com/JulieThePH","@JulieThePH")</f>
        <v>@JulieThePH</v>
      </c>
      <c r="C187" s="9" t="s">
        <v>211</v>
      </c>
      <c r="D187" s="9" t="s">
        <v>320</v>
      </c>
      <c r="E187" s="10" t="str">
        <f>HYPERLINK("https://twitter.com/JulieThePH/status/705780848524705792","705780848524705792")</f>
        <v>705780848524705792</v>
      </c>
      <c r="F187" s="11" t="s">
        <v>31</v>
      </c>
      <c r="G187" s="12">
        <v>1234.0</v>
      </c>
      <c r="H187" s="12">
        <v>1386.0</v>
      </c>
      <c r="I187" s="12">
        <v>0.0</v>
      </c>
      <c r="J187" s="12">
        <v>2.0</v>
      </c>
      <c r="K187" s="11" t="s">
        <v>21</v>
      </c>
      <c r="L187" s="7">
        <v>40718.66918981481</v>
      </c>
      <c r="M187" s="13" t="s">
        <v>213</v>
      </c>
      <c r="N187" s="13" t="s">
        <v>214</v>
      </c>
      <c r="O187" s="10" t="str">
        <f>HYPERLINK("https://pbs.twimg.com/profile_images/596509974005686273/AqBblwMR_normal.jpg","View")</f>
        <v>View</v>
      </c>
      <c r="P187" s="14"/>
    </row>
    <row r="188">
      <c r="A188" s="7">
        <v>42433.407002314816</v>
      </c>
      <c r="B188" s="8" t="str">
        <f>HYPERLINK("https://twitter.com/lemfowler","@lemfowler")</f>
        <v>@lemfowler</v>
      </c>
      <c r="C188" s="9" t="s">
        <v>321</v>
      </c>
      <c r="D188" s="9" t="s">
        <v>196</v>
      </c>
      <c r="E188" s="10" t="str">
        <f>HYPERLINK("https://twitter.com/lemfowler/status/705781368953958401","705781368953958401")</f>
        <v>705781368953958401</v>
      </c>
      <c r="F188" s="11" t="s">
        <v>26</v>
      </c>
      <c r="G188" s="12">
        <v>71.0</v>
      </c>
      <c r="H188" s="12">
        <v>143.0</v>
      </c>
      <c r="I188" s="12">
        <v>3.0</v>
      </c>
      <c r="J188" s="12">
        <v>0.0</v>
      </c>
      <c r="K188" s="11" t="s">
        <v>21</v>
      </c>
      <c r="L188" s="7">
        <v>39966.526354166665</v>
      </c>
      <c r="M188" s="13" t="s">
        <v>322</v>
      </c>
      <c r="N188" s="13" t="s">
        <v>323</v>
      </c>
      <c r="O188" s="10" t="str">
        <f>HYPERLINK("https://pbs.twimg.com/profile_images/456912328651333632/xZNKjSh9_normal.jpeg","View")</f>
        <v>View</v>
      </c>
      <c r="P188" s="14"/>
    </row>
    <row r="189">
      <c r="A189" s="7">
        <v>42433.4075</v>
      </c>
      <c r="B189" s="8" t="str">
        <f>HYPERLINK("https://twitter.com/jamiaw","@jamiaw")</f>
        <v>@jamiaw</v>
      </c>
      <c r="C189" s="9" t="s">
        <v>324</v>
      </c>
      <c r="D189" s="9" t="s">
        <v>289</v>
      </c>
      <c r="E189" s="10" t="str">
        <f>HYPERLINK("https://twitter.com/jamiaw/status/705781548910571520","705781548910571520")</f>
        <v>705781548910571520</v>
      </c>
      <c r="F189" s="11" t="s">
        <v>77</v>
      </c>
      <c r="G189" s="12">
        <v>11335.0</v>
      </c>
      <c r="H189" s="12">
        <v>7815.0</v>
      </c>
      <c r="I189" s="12">
        <v>3.0</v>
      </c>
      <c r="J189" s="12">
        <v>0.0</v>
      </c>
      <c r="K189" s="11" t="s">
        <v>21</v>
      </c>
      <c r="L189" s="7">
        <v>39642.39741898148</v>
      </c>
      <c r="M189" s="13" t="s">
        <v>325</v>
      </c>
      <c r="N189" s="13" t="s">
        <v>326</v>
      </c>
      <c r="O189" s="10" t="str">
        <f>HYPERLINK("https://pbs.twimg.com/profile_images/701102020061753344/5zH70uem_normal.jpg","View")</f>
        <v>View</v>
      </c>
      <c r="P189" s="14"/>
    </row>
    <row r="190">
      <c r="A190" s="7">
        <v>42433.4075</v>
      </c>
      <c r="B190" s="8" t="str">
        <f t="shared" ref="B190:B191" si="41">HYPERLINK("https://twitter.com/womenactmedia","@womenactmedia")</f>
        <v>@womenactmedia</v>
      </c>
      <c r="C190" s="9" t="s">
        <v>327</v>
      </c>
      <c r="D190" s="9" t="s">
        <v>289</v>
      </c>
      <c r="E190" s="10" t="str">
        <f>HYPERLINK("https://twitter.com/womenactmedia/status/705781548923166720","705781548923166720")</f>
        <v>705781548923166720</v>
      </c>
      <c r="F190" s="11" t="s">
        <v>77</v>
      </c>
      <c r="G190" s="12">
        <v>12621.0</v>
      </c>
      <c r="H190" s="12">
        <v>856.0</v>
      </c>
      <c r="I190" s="12">
        <v>3.0</v>
      </c>
      <c r="J190" s="12">
        <v>0.0</v>
      </c>
      <c r="K190" s="11" t="s">
        <v>21</v>
      </c>
      <c r="L190" s="7">
        <v>39891.48053240741</v>
      </c>
      <c r="M190" s="15"/>
      <c r="N190" s="13" t="s">
        <v>328</v>
      </c>
      <c r="O190" s="10" t="str">
        <f t="shared" ref="O190:O191" si="42">HYPERLINK("https://pbs.twimg.com/profile_images/646533311/wam_logo_square_normal.jpg","View")</f>
        <v>View</v>
      </c>
      <c r="P190" s="14"/>
    </row>
    <row r="191">
      <c r="A191" s="7">
        <v>42433.40766203703</v>
      </c>
      <c r="B191" s="8" t="str">
        <f t="shared" si="41"/>
        <v>@womenactmedia</v>
      </c>
      <c r="C191" s="9" t="s">
        <v>327</v>
      </c>
      <c r="D191" s="9" t="s">
        <v>329</v>
      </c>
      <c r="E191" s="10" t="str">
        <f>HYPERLINK("https://twitter.com/womenactmedia/status/705781608486473729","705781608486473729")</f>
        <v>705781608486473729</v>
      </c>
      <c r="F191" s="11" t="s">
        <v>77</v>
      </c>
      <c r="G191" s="12">
        <v>12621.0</v>
      </c>
      <c r="H191" s="12">
        <v>856.0</v>
      </c>
      <c r="I191" s="12">
        <v>2.0</v>
      </c>
      <c r="J191" s="12">
        <v>0.0</v>
      </c>
      <c r="K191" s="11" t="s">
        <v>21</v>
      </c>
      <c r="L191" s="7">
        <v>39891.48053240741</v>
      </c>
      <c r="M191" s="15"/>
      <c r="N191" s="13" t="s">
        <v>328</v>
      </c>
      <c r="O191" s="10" t="str">
        <f t="shared" si="42"/>
        <v>View</v>
      </c>
      <c r="P191" s="14"/>
    </row>
    <row r="192">
      <c r="A192" s="7">
        <v>42433.40766203703</v>
      </c>
      <c r="B192" s="8" t="str">
        <f>HYPERLINK("https://twitter.com/jamiaw","@jamiaw")</f>
        <v>@jamiaw</v>
      </c>
      <c r="C192" s="9" t="s">
        <v>324</v>
      </c>
      <c r="D192" s="9" t="s">
        <v>329</v>
      </c>
      <c r="E192" s="10" t="str">
        <f>HYPERLINK("https://twitter.com/jamiaw/status/705781608490668032","705781608490668032")</f>
        <v>705781608490668032</v>
      </c>
      <c r="F192" s="11" t="s">
        <v>77</v>
      </c>
      <c r="G192" s="12">
        <v>11335.0</v>
      </c>
      <c r="H192" s="12">
        <v>7815.0</v>
      </c>
      <c r="I192" s="12">
        <v>2.0</v>
      </c>
      <c r="J192" s="12">
        <v>0.0</v>
      </c>
      <c r="K192" s="11" t="s">
        <v>21</v>
      </c>
      <c r="L192" s="7">
        <v>39642.39741898148</v>
      </c>
      <c r="M192" s="13" t="s">
        <v>325</v>
      </c>
      <c r="N192" s="13" t="s">
        <v>326</v>
      </c>
      <c r="O192" s="10" t="str">
        <f>HYPERLINK("https://pbs.twimg.com/profile_images/701102020061753344/5zH70uem_normal.jpg","View")</f>
        <v>View</v>
      </c>
      <c r="P192" s="14"/>
    </row>
    <row r="193">
      <c r="A193" s="7">
        <v>42433.40831018519</v>
      </c>
      <c r="B193" s="8" t="str">
        <f>HYPERLINK("https://twitter.com/pastpunditry","@pastpunditry")</f>
        <v>@pastpunditry</v>
      </c>
      <c r="C193" s="9" t="s">
        <v>92</v>
      </c>
      <c r="D193" s="9" t="s">
        <v>330</v>
      </c>
      <c r="E193" s="10" t="str">
        <f>HYPERLINK("https://twitter.com/pastpunditry/status/705781840171417600","705781840171417600")</f>
        <v>705781840171417600</v>
      </c>
      <c r="F193" s="11" t="s">
        <v>77</v>
      </c>
      <c r="G193" s="12">
        <v>890.0</v>
      </c>
      <c r="H193" s="12">
        <v>378.0</v>
      </c>
      <c r="I193" s="12">
        <v>1.0</v>
      </c>
      <c r="J193" s="12">
        <v>2.0</v>
      </c>
      <c r="K193" s="11" t="s">
        <v>21</v>
      </c>
      <c r="L193" s="7">
        <v>40283.384351851855</v>
      </c>
      <c r="M193" s="13" t="s">
        <v>94</v>
      </c>
      <c r="N193" s="13" t="s">
        <v>95</v>
      </c>
      <c r="O193" s="10" t="str">
        <f>HYPERLINK("https://pbs.twimg.com/profile_images/704873222802636800/7aFEMOY5_normal.jpg","View")</f>
        <v>View</v>
      </c>
      <c r="P193" s="14"/>
    </row>
    <row r="194">
      <c r="A194" s="7">
        <v>42433.408368055556</v>
      </c>
      <c r="B194" s="8" t="str">
        <f>HYPERLINK("https://twitter.com/juliegpeterson","@juliegpeterson")</f>
        <v>@juliegpeterson</v>
      </c>
      <c r="C194" s="9" t="s">
        <v>24</v>
      </c>
      <c r="D194" s="9" t="s">
        <v>163</v>
      </c>
      <c r="E194" s="10" t="str">
        <f>HYPERLINK("https://twitter.com/juliegpeterson/status/705781864422903808","705781864422903808")</f>
        <v>705781864422903808</v>
      </c>
      <c r="F194" s="11" t="s">
        <v>31</v>
      </c>
      <c r="G194" s="12">
        <v>239.0</v>
      </c>
      <c r="H194" s="12">
        <v>775.0</v>
      </c>
      <c r="I194" s="12">
        <v>10.0</v>
      </c>
      <c r="J194" s="12">
        <v>0.0</v>
      </c>
      <c r="K194" s="11" t="s">
        <v>21</v>
      </c>
      <c r="L194" s="7">
        <v>41208.65523148148</v>
      </c>
      <c r="M194" s="13" t="s">
        <v>22</v>
      </c>
      <c r="N194" s="13" t="s">
        <v>27</v>
      </c>
      <c r="O194" s="10" t="str">
        <f>HYPERLINK("https://pbs.twimg.com/profile_images/609765839051452416/GNW0wSt0_normal.jpg","View")</f>
        <v>View</v>
      </c>
      <c r="P194" s="14"/>
    </row>
    <row r="195">
      <c r="A195" s="7">
        <v>42433.40902777778</v>
      </c>
      <c r="B195" s="8" t="str">
        <f>HYPERLINK("https://twitter.com/JulieThePH","@JulieThePH")</f>
        <v>@JulieThePH</v>
      </c>
      <c r="C195" s="9" t="s">
        <v>211</v>
      </c>
      <c r="D195" s="9" t="s">
        <v>331</v>
      </c>
      <c r="E195" s="10" t="str">
        <f>HYPERLINK("https://twitter.com/JulieThePH/status/705782099979198466","705782099979198466")</f>
        <v>705782099979198466</v>
      </c>
      <c r="F195" s="11" t="s">
        <v>31</v>
      </c>
      <c r="G195" s="12">
        <v>1234.0</v>
      </c>
      <c r="H195" s="12">
        <v>1386.0</v>
      </c>
      <c r="I195" s="12">
        <v>1.0</v>
      </c>
      <c r="J195" s="12">
        <v>0.0</v>
      </c>
      <c r="K195" s="11" t="s">
        <v>21</v>
      </c>
      <c r="L195" s="7">
        <v>40718.66918981481</v>
      </c>
      <c r="M195" s="13" t="s">
        <v>213</v>
      </c>
      <c r="N195" s="13" t="s">
        <v>214</v>
      </c>
      <c r="O195" s="10" t="str">
        <f>HYPERLINK("https://pbs.twimg.com/profile_images/596509974005686273/AqBblwMR_normal.jpg","View")</f>
        <v>View</v>
      </c>
      <c r="P195" s="14"/>
    </row>
    <row r="196">
      <c r="A196" s="7">
        <v>42433.409155092595</v>
      </c>
      <c r="B196" s="8" t="str">
        <f>HYPERLINK("https://twitter.com/jamiaw","@jamiaw")</f>
        <v>@jamiaw</v>
      </c>
      <c r="C196" s="9" t="s">
        <v>324</v>
      </c>
      <c r="D196" s="9" t="s">
        <v>315</v>
      </c>
      <c r="E196" s="10" t="str">
        <f>HYPERLINK("https://twitter.com/jamiaw/status/705782148901511168","705782148901511168")</f>
        <v>705782148901511168</v>
      </c>
      <c r="F196" s="11" t="s">
        <v>77</v>
      </c>
      <c r="G196" s="12">
        <v>11335.0</v>
      </c>
      <c r="H196" s="12">
        <v>7815.0</v>
      </c>
      <c r="I196" s="12">
        <v>5.0</v>
      </c>
      <c r="J196" s="12">
        <v>0.0</v>
      </c>
      <c r="K196" s="11" t="s">
        <v>21</v>
      </c>
      <c r="L196" s="7">
        <v>39642.39741898148</v>
      </c>
      <c r="M196" s="13" t="s">
        <v>325</v>
      </c>
      <c r="N196" s="13" t="s">
        <v>326</v>
      </c>
      <c r="O196" s="10" t="str">
        <f>HYPERLINK("https://pbs.twimg.com/profile_images/701102020061753344/5zH70uem_normal.jpg","View")</f>
        <v>View</v>
      </c>
      <c r="P196" s="14"/>
    </row>
    <row r="197">
      <c r="A197" s="7">
        <v>42433.409155092595</v>
      </c>
      <c r="B197" s="8" t="str">
        <f>HYPERLINK("https://twitter.com/womenactmedia","@womenactmedia")</f>
        <v>@womenactmedia</v>
      </c>
      <c r="C197" s="9" t="s">
        <v>327</v>
      </c>
      <c r="D197" s="9" t="s">
        <v>315</v>
      </c>
      <c r="E197" s="10" t="str">
        <f>HYPERLINK("https://twitter.com/womenactmedia/status/705782148935127041","705782148935127041")</f>
        <v>705782148935127041</v>
      </c>
      <c r="F197" s="11" t="s">
        <v>77</v>
      </c>
      <c r="G197" s="12">
        <v>12621.0</v>
      </c>
      <c r="H197" s="12">
        <v>856.0</v>
      </c>
      <c r="I197" s="12">
        <v>5.0</v>
      </c>
      <c r="J197" s="12">
        <v>0.0</v>
      </c>
      <c r="K197" s="11" t="s">
        <v>21</v>
      </c>
      <c r="L197" s="7">
        <v>39891.48053240741</v>
      </c>
      <c r="M197" s="15"/>
      <c r="N197" s="13" t="s">
        <v>328</v>
      </c>
      <c r="O197" s="10" t="str">
        <f>HYPERLINK("https://pbs.twimg.com/profile_images/646533311/wam_logo_square_normal.jpg","View")</f>
        <v>View</v>
      </c>
      <c r="P197" s="14"/>
    </row>
    <row r="198">
      <c r="A198" s="7">
        <v>42433.40954861111</v>
      </c>
      <c r="B198" s="8" t="str">
        <f>HYPERLINK("https://twitter.com/pastpunditry","@pastpunditry")</f>
        <v>@pastpunditry</v>
      </c>
      <c r="C198" s="9" t="s">
        <v>92</v>
      </c>
      <c r="D198" s="9" t="s">
        <v>332</v>
      </c>
      <c r="E198" s="10" t="str">
        <f>HYPERLINK("https://twitter.com/pastpunditry/status/705782289553334273","705782289553334273")</f>
        <v>705782289553334273</v>
      </c>
      <c r="F198" s="11" t="s">
        <v>77</v>
      </c>
      <c r="G198" s="12">
        <v>890.0</v>
      </c>
      <c r="H198" s="12">
        <v>378.0</v>
      </c>
      <c r="I198" s="12">
        <v>1.0</v>
      </c>
      <c r="J198" s="12">
        <v>3.0</v>
      </c>
      <c r="K198" s="11" t="s">
        <v>21</v>
      </c>
      <c r="L198" s="7">
        <v>40283.384351851855</v>
      </c>
      <c r="M198" s="13" t="s">
        <v>94</v>
      </c>
      <c r="N198" s="13" t="s">
        <v>95</v>
      </c>
      <c r="O198" s="10" t="str">
        <f>HYPERLINK("https://pbs.twimg.com/profile_images/704873222802636800/7aFEMOY5_normal.jpg","View")</f>
        <v>View</v>
      </c>
      <c r="P198" s="14"/>
    </row>
    <row r="199">
      <c r="A199" s="7">
        <v>42433.40972222222</v>
      </c>
      <c r="B199" s="8" t="str">
        <f>HYPERLINK("https://twitter.com/jamiaw","@jamiaw")</f>
        <v>@jamiaw</v>
      </c>
      <c r="C199" s="9" t="s">
        <v>324</v>
      </c>
      <c r="D199" s="9" t="s">
        <v>333</v>
      </c>
      <c r="E199" s="10" t="str">
        <f>HYPERLINK("https://twitter.com/jamiaw/status/705782352753074178","705782352753074178")</f>
        <v>705782352753074178</v>
      </c>
      <c r="F199" s="11" t="s">
        <v>77</v>
      </c>
      <c r="G199" s="12">
        <v>11335.0</v>
      </c>
      <c r="H199" s="12">
        <v>7815.0</v>
      </c>
      <c r="I199" s="12">
        <v>1.0</v>
      </c>
      <c r="J199" s="12">
        <v>0.0</v>
      </c>
      <c r="K199" s="11" t="s">
        <v>21</v>
      </c>
      <c r="L199" s="7">
        <v>39642.39741898148</v>
      </c>
      <c r="M199" s="13" t="s">
        <v>325</v>
      </c>
      <c r="N199" s="13" t="s">
        <v>326</v>
      </c>
      <c r="O199" s="10" t="str">
        <f>HYPERLINK("https://pbs.twimg.com/profile_images/701102020061753344/5zH70uem_normal.jpg","View")</f>
        <v>View</v>
      </c>
      <c r="P199" s="14"/>
    </row>
    <row r="200">
      <c r="A200" s="7">
        <v>42433.410682870366</v>
      </c>
      <c r="B200" s="8" t="str">
        <f>HYPERLINK("https://twitter.com/umassph","@umassph")</f>
        <v>@umassph</v>
      </c>
      <c r="C200" s="9" t="s">
        <v>121</v>
      </c>
      <c r="D200" s="9" t="s">
        <v>334</v>
      </c>
      <c r="E200" s="10" t="str">
        <f>HYPERLINK("https://twitter.com/umassph/status/705782701467504640","705782701467504640")</f>
        <v>705782701467504640</v>
      </c>
      <c r="F200" s="11" t="s">
        <v>31</v>
      </c>
      <c r="G200" s="12">
        <v>693.0</v>
      </c>
      <c r="H200" s="12">
        <v>242.0</v>
      </c>
      <c r="I200" s="12">
        <v>1.0</v>
      </c>
      <c r="J200" s="12">
        <v>1.0</v>
      </c>
      <c r="K200" s="11" t="s">
        <v>21</v>
      </c>
      <c r="L200" s="7">
        <v>40242.52853009259</v>
      </c>
      <c r="M200" s="13" t="s">
        <v>22</v>
      </c>
      <c r="N200" s="13" t="s">
        <v>123</v>
      </c>
      <c r="O200" s="10" t="str">
        <f>HYPERLINK("https://pbs.twimg.com/profile_images/3583165575/54f0bc87a29b2ae8587193829ce07299_normal.jpeg","View")</f>
        <v>View</v>
      </c>
      <c r="P200" s="14"/>
    </row>
    <row r="201">
      <c r="A201" s="7">
        <v>42433.41076388889</v>
      </c>
      <c r="B201" s="8" t="str">
        <f>HYPERLINK("https://twitter.com/pastpunditry","@pastpunditry")</f>
        <v>@pastpunditry</v>
      </c>
      <c r="C201" s="9" t="s">
        <v>92</v>
      </c>
      <c r="D201" s="9" t="s">
        <v>335</v>
      </c>
      <c r="E201" s="10" t="str">
        <f>HYPERLINK("https://twitter.com/pastpunditry/status/705782729913270273","705782729913270273")</f>
        <v>705782729913270273</v>
      </c>
      <c r="F201" s="11" t="s">
        <v>77</v>
      </c>
      <c r="G201" s="12">
        <v>890.0</v>
      </c>
      <c r="H201" s="12">
        <v>378.0</v>
      </c>
      <c r="I201" s="12">
        <v>1.0</v>
      </c>
      <c r="J201" s="12">
        <v>0.0</v>
      </c>
      <c r="K201" s="11" t="s">
        <v>21</v>
      </c>
      <c r="L201" s="7">
        <v>40283.384351851855</v>
      </c>
      <c r="M201" s="13" t="s">
        <v>94</v>
      </c>
      <c r="N201" s="13" t="s">
        <v>95</v>
      </c>
      <c r="O201" s="10" t="str">
        <f>HYPERLINK("https://pbs.twimg.com/profile_images/704873222802636800/7aFEMOY5_normal.jpg","View")</f>
        <v>View</v>
      </c>
      <c r="P201" s="14"/>
    </row>
    <row r="202">
      <c r="A202" s="7">
        <v>42433.41076388889</v>
      </c>
      <c r="B202" s="8" t="str">
        <f>HYPERLINK("https://twitter.com/JulieThePH","@JulieThePH")</f>
        <v>@JulieThePH</v>
      </c>
      <c r="C202" s="9" t="s">
        <v>211</v>
      </c>
      <c r="D202" s="9" t="s">
        <v>336</v>
      </c>
      <c r="E202" s="10" t="str">
        <f>HYPERLINK("https://twitter.com/JulieThePH/status/705782732782182400","705782732782182400")</f>
        <v>705782732782182400</v>
      </c>
      <c r="F202" s="11" t="s">
        <v>31</v>
      </c>
      <c r="G202" s="12">
        <v>1234.0</v>
      </c>
      <c r="H202" s="12">
        <v>1386.0</v>
      </c>
      <c r="I202" s="12">
        <v>1.0</v>
      </c>
      <c r="J202" s="12">
        <v>0.0</v>
      </c>
      <c r="K202" s="11" t="s">
        <v>21</v>
      </c>
      <c r="L202" s="7">
        <v>40718.66918981481</v>
      </c>
      <c r="M202" s="13" t="s">
        <v>213</v>
      </c>
      <c r="N202" s="13" t="s">
        <v>214</v>
      </c>
      <c r="O202" s="10" t="str">
        <f>HYPERLINK("https://pbs.twimg.com/profile_images/596509974005686273/AqBblwMR_normal.jpg","View")</f>
        <v>View</v>
      </c>
      <c r="P202" s="14"/>
    </row>
    <row r="203">
      <c r="A203" s="7">
        <v>42433.41633101852</v>
      </c>
      <c r="B203" s="8" t="str">
        <f>HYPERLINK("https://twitter.com/samueljredman","@samueljredman")</f>
        <v>@samueljredman</v>
      </c>
      <c r="C203" s="9" t="s">
        <v>158</v>
      </c>
      <c r="D203" s="9" t="s">
        <v>337</v>
      </c>
      <c r="E203" s="10" t="str">
        <f>HYPERLINK("https://twitter.com/samueljredman/status/705784749789474816","705784749789474816")</f>
        <v>705784749789474816</v>
      </c>
      <c r="F203" s="11" t="s">
        <v>31</v>
      </c>
      <c r="G203" s="12">
        <v>5623.0</v>
      </c>
      <c r="H203" s="12">
        <v>5355.0</v>
      </c>
      <c r="I203" s="12">
        <v>0.0</v>
      </c>
      <c r="J203" s="12">
        <v>2.0</v>
      </c>
      <c r="K203" s="11" t="s">
        <v>21</v>
      </c>
      <c r="L203" s="7">
        <v>40584.98517361111</v>
      </c>
      <c r="M203" s="13" t="s">
        <v>160</v>
      </c>
      <c r="N203" s="13" t="s">
        <v>161</v>
      </c>
      <c r="O203" s="10" t="str">
        <f>HYPERLINK("https://pbs.twimg.com/profile_images/548193870278688768/8Dq7gW3U_normal.png","View")</f>
        <v>View</v>
      </c>
      <c r="P203" s="14"/>
    </row>
    <row r="204">
      <c r="A204" s="7">
        <v>42433.4279050926</v>
      </c>
      <c r="B204" s="8" t="str">
        <f>HYPERLINK("https://twitter.com/mille24c","@mille24c")</f>
        <v>@mille24c</v>
      </c>
      <c r="C204" s="9" t="s">
        <v>115</v>
      </c>
      <c r="D204" s="9" t="s">
        <v>338</v>
      </c>
      <c r="E204" s="10" t="str">
        <f>HYPERLINK("https://twitter.com/mille24c/status/705788941727875072","705788941727875072")</f>
        <v>705788941727875072</v>
      </c>
      <c r="F204" s="11" t="s">
        <v>29</v>
      </c>
      <c r="G204" s="12">
        <v>208.0</v>
      </c>
      <c r="H204" s="12">
        <v>297.0</v>
      </c>
      <c r="I204" s="12">
        <v>6.0</v>
      </c>
      <c r="J204" s="12">
        <v>3.0</v>
      </c>
      <c r="K204" s="11" t="s">
        <v>21</v>
      </c>
      <c r="L204" s="7">
        <v>39864.79206018519</v>
      </c>
      <c r="M204" s="13" t="s">
        <v>22</v>
      </c>
      <c r="N204" s="13" t="s">
        <v>117</v>
      </c>
      <c r="O204" s="10" t="str">
        <f>HYPERLINK("https://pbs.twimg.com/profile_images/676362182020481024/P0kyLli1_normal.jpg","View")</f>
        <v>View</v>
      </c>
      <c r="P204" s="10" t="str">
        <f>HYPERLINK("http://ctrlq.org/maps/address/#42.3871479,-72.52649386","Map")</f>
        <v>Map</v>
      </c>
    </row>
    <row r="205">
      <c r="A205" s="7">
        <v>42433.42936342592</v>
      </c>
      <c r="B205" s="8" t="str">
        <f>HYPERLINK("https://twitter.com/JulieThePH","@JulieThePH")</f>
        <v>@JulieThePH</v>
      </c>
      <c r="C205" s="9" t="s">
        <v>211</v>
      </c>
      <c r="D205" s="9" t="s">
        <v>339</v>
      </c>
      <c r="E205" s="10" t="str">
        <f>HYPERLINK("https://twitter.com/JulieThePH/status/705789471019638784","705789471019638784")</f>
        <v>705789471019638784</v>
      </c>
      <c r="F205" s="11" t="s">
        <v>31</v>
      </c>
      <c r="G205" s="12">
        <v>1234.0</v>
      </c>
      <c r="H205" s="12">
        <v>1386.0</v>
      </c>
      <c r="I205" s="12">
        <v>6.0</v>
      </c>
      <c r="J205" s="12">
        <v>0.0</v>
      </c>
      <c r="K205" s="11" t="s">
        <v>21</v>
      </c>
      <c r="L205" s="7">
        <v>40718.66918981481</v>
      </c>
      <c r="M205" s="13" t="s">
        <v>213</v>
      </c>
      <c r="N205" s="13" t="s">
        <v>214</v>
      </c>
      <c r="O205" s="10" t="str">
        <f>HYPERLINK("https://pbs.twimg.com/profile_images/596509974005686273/AqBblwMR_normal.jpg","View")</f>
        <v>View</v>
      </c>
      <c r="P205" s="14"/>
    </row>
    <row r="206">
      <c r="A206" s="7">
        <v>42433.42940972222</v>
      </c>
      <c r="B206" s="8" t="str">
        <f t="shared" ref="B206:B207" si="43">HYPERLINK("https://twitter.com/pastpunditry","@pastpunditry")</f>
        <v>@pastpunditry</v>
      </c>
      <c r="C206" s="9" t="s">
        <v>92</v>
      </c>
      <c r="D206" s="9" t="s">
        <v>339</v>
      </c>
      <c r="E206" s="10" t="str">
        <f>HYPERLINK("https://twitter.com/pastpunditry/status/705789488753152000","705789488753152000")</f>
        <v>705789488753152000</v>
      </c>
      <c r="F206" s="11" t="s">
        <v>77</v>
      </c>
      <c r="G206" s="12">
        <v>890.0</v>
      </c>
      <c r="H206" s="12">
        <v>378.0</v>
      </c>
      <c r="I206" s="12">
        <v>6.0</v>
      </c>
      <c r="J206" s="12">
        <v>0.0</v>
      </c>
      <c r="K206" s="11" t="s">
        <v>21</v>
      </c>
      <c r="L206" s="7">
        <v>40283.384351851855</v>
      </c>
      <c r="M206" s="13" t="s">
        <v>94</v>
      </c>
      <c r="N206" s="13" t="s">
        <v>95</v>
      </c>
      <c r="O206" s="10" t="str">
        <f t="shared" ref="O206:O207" si="44">HYPERLINK("https://pbs.twimg.com/profile_images/704873222802636800/7aFEMOY5_normal.jpg","View")</f>
        <v>View</v>
      </c>
      <c r="P206" s="14"/>
    </row>
    <row r="207">
      <c r="A207" s="7">
        <v>42433.43003472222</v>
      </c>
      <c r="B207" s="8" t="str">
        <f t="shared" si="43"/>
        <v>@pastpunditry</v>
      </c>
      <c r="C207" s="9" t="s">
        <v>92</v>
      </c>
      <c r="D207" s="9" t="s">
        <v>340</v>
      </c>
      <c r="E207" s="10" t="str">
        <f>HYPERLINK("https://twitter.com/pastpunditry/status/705789715186843649","705789715186843649")</f>
        <v>705789715186843649</v>
      </c>
      <c r="F207" s="11" t="s">
        <v>77</v>
      </c>
      <c r="G207" s="12">
        <v>890.0</v>
      </c>
      <c r="H207" s="12">
        <v>378.0</v>
      </c>
      <c r="I207" s="12">
        <v>0.0</v>
      </c>
      <c r="J207" s="12">
        <v>1.0</v>
      </c>
      <c r="K207" s="11" t="s">
        <v>21</v>
      </c>
      <c r="L207" s="7">
        <v>40283.384351851855</v>
      </c>
      <c r="M207" s="13" t="s">
        <v>94</v>
      </c>
      <c r="N207" s="13" t="s">
        <v>95</v>
      </c>
      <c r="O207" s="10" t="str">
        <f t="shared" si="44"/>
        <v>View</v>
      </c>
      <c r="P207" s="14"/>
    </row>
    <row r="208">
      <c r="A208" s="7">
        <v>42433.43011574074</v>
      </c>
      <c r="B208" s="8" t="str">
        <f>HYPERLINK("https://twitter.com/umassph","@umassph")</f>
        <v>@umassph</v>
      </c>
      <c r="C208" s="9" t="s">
        <v>121</v>
      </c>
      <c r="D208" s="9" t="s">
        <v>339</v>
      </c>
      <c r="E208" s="10" t="str">
        <f>HYPERLINK("https://twitter.com/umassph/status/705789743896911872","705789743896911872")</f>
        <v>705789743896911872</v>
      </c>
      <c r="F208" s="11" t="s">
        <v>31</v>
      </c>
      <c r="G208" s="12">
        <v>693.0</v>
      </c>
      <c r="H208" s="12">
        <v>242.0</v>
      </c>
      <c r="I208" s="12">
        <v>6.0</v>
      </c>
      <c r="J208" s="12">
        <v>0.0</v>
      </c>
      <c r="K208" s="11" t="s">
        <v>21</v>
      </c>
      <c r="L208" s="7">
        <v>40242.52853009259</v>
      </c>
      <c r="M208" s="13" t="s">
        <v>22</v>
      </c>
      <c r="N208" s="13" t="s">
        <v>123</v>
      </c>
      <c r="O208" s="10" t="str">
        <f>HYPERLINK("https://pbs.twimg.com/profile_images/3583165575/54f0bc87a29b2ae8587193829ce07299_normal.jpeg","View")</f>
        <v>View</v>
      </c>
      <c r="P208" s="14"/>
    </row>
    <row r="209">
      <c r="A209" s="7">
        <v>42433.4305787037</v>
      </c>
      <c r="B209" s="8" t="str">
        <f>HYPERLINK("https://twitter.com/mathhistory","@mathhistory")</f>
        <v>@mathhistory</v>
      </c>
      <c r="C209" s="9" t="s">
        <v>341</v>
      </c>
      <c r="D209" s="9" t="s">
        <v>342</v>
      </c>
      <c r="E209" s="10" t="str">
        <f>HYPERLINK("https://twitter.com/mathhistory/status/705789910058459136","705789910058459136")</f>
        <v>705789910058459136</v>
      </c>
      <c r="F209" s="11" t="s">
        <v>26</v>
      </c>
      <c r="G209" s="12">
        <v>788.0</v>
      </c>
      <c r="H209" s="12">
        <v>1100.0</v>
      </c>
      <c r="I209" s="12">
        <v>1.0</v>
      </c>
      <c r="J209" s="12">
        <v>3.0</v>
      </c>
      <c r="K209" s="11" t="s">
        <v>21</v>
      </c>
      <c r="L209" s="7">
        <v>41089.96089120371</v>
      </c>
      <c r="M209" s="13" t="s">
        <v>343</v>
      </c>
      <c r="N209" s="13" t="s">
        <v>344</v>
      </c>
      <c r="O209" s="10" t="str">
        <f>HYPERLINK("https://pbs.twimg.com/profile_images/3034769023/09adfcbebccfeef2a42e39aaac64ede5_normal.jpeg","View")</f>
        <v>View</v>
      </c>
      <c r="P209" s="14"/>
    </row>
    <row r="210">
      <c r="A210" s="7">
        <v>42433.433333333334</v>
      </c>
      <c r="B210" s="8" t="str">
        <f>HYPERLINK("https://twitter.com/historein","@historein")</f>
        <v>@historein</v>
      </c>
      <c r="C210" s="9" t="s">
        <v>172</v>
      </c>
      <c r="D210" s="9" t="s">
        <v>305</v>
      </c>
      <c r="E210" s="10" t="str">
        <f>HYPERLINK("https://twitter.com/historein/status/705790910680973312","705790910680973312")</f>
        <v>705790910680973312</v>
      </c>
      <c r="F210" s="11" t="s">
        <v>31</v>
      </c>
      <c r="G210" s="12">
        <v>641.0</v>
      </c>
      <c r="H210" s="12">
        <v>753.0</v>
      </c>
      <c r="I210" s="12">
        <v>3.0</v>
      </c>
      <c r="J210" s="12">
        <v>0.0</v>
      </c>
      <c r="K210" s="11" t="s">
        <v>21</v>
      </c>
      <c r="L210" s="7">
        <v>40416.68083333333</v>
      </c>
      <c r="M210" s="13" t="s">
        <v>35</v>
      </c>
      <c r="N210" s="13" t="s">
        <v>174</v>
      </c>
      <c r="O210" s="10" t="str">
        <f>HYPERLINK("https://pbs.twimg.com/profile_images/636901483401904128/cxbavncr_normal.jpg","View")</f>
        <v>View</v>
      </c>
      <c r="P210" s="14"/>
    </row>
    <row r="211">
      <c r="A211" s="7">
        <v>42433.43371527777</v>
      </c>
      <c r="B211" s="8" t="str">
        <f>HYPERLINK("https://twitter.com/JimGrossmanAHA","@JimGrossmanAHA")</f>
        <v>@JimGrossmanAHA</v>
      </c>
      <c r="C211" s="9" t="s">
        <v>278</v>
      </c>
      <c r="D211" s="9" t="s">
        <v>345</v>
      </c>
      <c r="E211" s="10" t="str">
        <f>HYPERLINK("https://twitter.com/JimGrossmanAHA/status/705791049520648192","705791049520648192")</f>
        <v>705791049520648192</v>
      </c>
      <c r="F211" s="11" t="s">
        <v>31</v>
      </c>
      <c r="G211" s="12">
        <v>2241.0</v>
      </c>
      <c r="H211" s="12">
        <v>368.0</v>
      </c>
      <c r="I211" s="12">
        <v>1.0</v>
      </c>
      <c r="J211" s="12">
        <v>3.0</v>
      </c>
      <c r="K211" s="11" t="s">
        <v>21</v>
      </c>
      <c r="L211" s="7">
        <v>41576.36603009259</v>
      </c>
      <c r="M211" s="13" t="s">
        <v>279</v>
      </c>
      <c r="N211" s="13" t="s">
        <v>280</v>
      </c>
      <c r="O211" s="10" t="str">
        <f>HYPERLINK("https://pbs.twimg.com/profile_images/378800000667891782/44d7b181c077bf16ab07b242f7ad81b9_normal.png","View")</f>
        <v>View</v>
      </c>
      <c r="P211" s="14"/>
    </row>
    <row r="212">
      <c r="A212" s="7">
        <v>42433.43583333334</v>
      </c>
      <c r="B212" s="8" t="str">
        <f>HYPERLINK("https://twitter.com/mille24c","@mille24c")</f>
        <v>@mille24c</v>
      </c>
      <c r="C212" s="9" t="s">
        <v>115</v>
      </c>
      <c r="D212" s="9" t="s">
        <v>346</v>
      </c>
      <c r="E212" s="10" t="str">
        <f>HYPERLINK("https://twitter.com/mille24c/status/705791814847111169","705791814847111169")</f>
        <v>705791814847111169</v>
      </c>
      <c r="F212" s="11" t="s">
        <v>29</v>
      </c>
      <c r="G212" s="12">
        <v>208.0</v>
      </c>
      <c r="H212" s="12">
        <v>297.0</v>
      </c>
      <c r="I212" s="12">
        <v>3.0</v>
      </c>
      <c r="J212" s="12">
        <v>3.0</v>
      </c>
      <c r="K212" s="11" t="s">
        <v>21</v>
      </c>
      <c r="L212" s="7">
        <v>39864.79206018519</v>
      </c>
      <c r="M212" s="13" t="s">
        <v>22</v>
      </c>
      <c r="N212" s="13" t="s">
        <v>117</v>
      </c>
      <c r="O212" s="10" t="str">
        <f>HYPERLINK("https://pbs.twimg.com/profile_images/676362182020481024/P0kyLli1_normal.jpg","View")</f>
        <v>View</v>
      </c>
      <c r="P212" s="10" t="str">
        <f>HYPERLINK("http://ctrlq.org/maps/address/#42.38710784,-72.52655499","Map")</f>
        <v>Map</v>
      </c>
    </row>
    <row r="213">
      <c r="A213" s="7">
        <v>42433.437210648146</v>
      </c>
      <c r="B213" s="8" t="str">
        <f>HYPERLINK("https://twitter.com/mathhistory","@mathhistory")</f>
        <v>@mathhistory</v>
      </c>
      <c r="C213" s="9" t="s">
        <v>341</v>
      </c>
      <c r="D213" s="9" t="s">
        <v>347</v>
      </c>
      <c r="E213" s="10" t="str">
        <f>HYPERLINK("https://twitter.com/mathhistory/status/705792315462385664","705792315462385664")</f>
        <v>705792315462385664</v>
      </c>
      <c r="F213" s="11" t="s">
        <v>26</v>
      </c>
      <c r="G213" s="12">
        <v>788.0</v>
      </c>
      <c r="H213" s="12">
        <v>1100.0</v>
      </c>
      <c r="I213" s="12">
        <v>3.0</v>
      </c>
      <c r="J213" s="12">
        <v>10.0</v>
      </c>
      <c r="K213" s="11" t="s">
        <v>21</v>
      </c>
      <c r="L213" s="7">
        <v>41089.96089120371</v>
      </c>
      <c r="M213" s="13" t="s">
        <v>343</v>
      </c>
      <c r="N213" s="13" t="s">
        <v>344</v>
      </c>
      <c r="O213" s="10" t="str">
        <f>HYPERLINK("https://pbs.twimg.com/profile_images/3034769023/09adfcbebccfeef2a42e39aaac64ede5_normal.jpeg","View")</f>
        <v>View</v>
      </c>
      <c r="P213" s="14"/>
    </row>
    <row r="214">
      <c r="A214" s="7">
        <v>42433.43722222222</v>
      </c>
      <c r="B214" s="8" t="str">
        <f>HYPERLINK("https://twitter.com/MarlaAtUmass","@MarlaAtUmass")</f>
        <v>@MarlaAtUmass</v>
      </c>
      <c r="C214" s="9" t="s">
        <v>45</v>
      </c>
      <c r="D214" s="9" t="s">
        <v>348</v>
      </c>
      <c r="E214" s="10" t="str">
        <f>HYPERLINK("https://twitter.com/MarlaAtUmass/status/705792319807733760","705792319807733760")</f>
        <v>705792319807733760</v>
      </c>
      <c r="F214" s="11" t="s">
        <v>31</v>
      </c>
      <c r="G214" s="12">
        <v>1993.0</v>
      </c>
      <c r="H214" s="12">
        <v>1647.0</v>
      </c>
      <c r="I214" s="12">
        <v>2.0</v>
      </c>
      <c r="J214" s="12">
        <v>6.0</v>
      </c>
      <c r="K214" s="11" t="s">
        <v>21</v>
      </c>
      <c r="L214" s="7">
        <v>40125.78074074074</v>
      </c>
      <c r="M214" s="15"/>
      <c r="N214" s="13" t="s">
        <v>47</v>
      </c>
      <c r="O214" s="10" t="str">
        <f>HYPERLINK("https://pbs.twimg.com/profile_images/565429960/Betsy_Twitter_normal.jpg","View")</f>
        <v>View</v>
      </c>
      <c r="P214" s="14"/>
    </row>
    <row r="215">
      <c r="A215" s="7">
        <v>42433.437303240746</v>
      </c>
      <c r="B215" s="8" t="str">
        <f>HYPERLINK("https://twitter.com/NCPHnewgrad","@NCPHnewgrad")</f>
        <v>@NCPHnewgrad</v>
      </c>
      <c r="C215" s="9" t="s">
        <v>349</v>
      </c>
      <c r="D215" s="9" t="s">
        <v>350</v>
      </c>
      <c r="E215" s="10" t="str">
        <f>HYPERLINK("https://twitter.com/NCPHnewgrad/status/705792349465665536","705792349465665536")</f>
        <v>705792349465665536</v>
      </c>
      <c r="F215" s="11" t="s">
        <v>26</v>
      </c>
      <c r="G215" s="12">
        <v>536.0</v>
      </c>
      <c r="H215" s="12">
        <v>455.0</v>
      </c>
      <c r="I215" s="12">
        <v>2.0</v>
      </c>
      <c r="J215" s="12">
        <v>4.0</v>
      </c>
      <c r="K215" s="11" t="s">
        <v>21</v>
      </c>
      <c r="L215" s="7">
        <v>41956.38762731482</v>
      </c>
      <c r="M215" s="15"/>
      <c r="N215" s="13" t="s">
        <v>351</v>
      </c>
      <c r="O215" s="10" t="str">
        <f>HYPERLINK("https://pbs.twimg.com/profile_images/532916202662682624/yIN4DbeM_normal.png","View")</f>
        <v>View</v>
      </c>
      <c r="P215" s="14"/>
    </row>
    <row r="216">
      <c r="A216" s="7">
        <v>42433.43818287037</v>
      </c>
      <c r="B216" s="8" t="str">
        <f>HYPERLINK("https://twitter.com/mille24c","@mille24c")</f>
        <v>@mille24c</v>
      </c>
      <c r="C216" s="9" t="s">
        <v>115</v>
      </c>
      <c r="D216" s="9" t="s">
        <v>352</v>
      </c>
      <c r="E216" s="10" t="str">
        <f>HYPERLINK("https://twitter.com/mille24c/status/705792667381325824","705792667381325824")</f>
        <v>705792667381325824</v>
      </c>
      <c r="F216" s="11" t="s">
        <v>31</v>
      </c>
      <c r="G216" s="12">
        <v>208.0</v>
      </c>
      <c r="H216" s="12">
        <v>297.0</v>
      </c>
      <c r="I216" s="12">
        <v>3.0</v>
      </c>
      <c r="J216" s="12">
        <v>0.0</v>
      </c>
      <c r="K216" s="11" t="s">
        <v>21</v>
      </c>
      <c r="L216" s="7">
        <v>39864.79206018519</v>
      </c>
      <c r="M216" s="13" t="s">
        <v>22</v>
      </c>
      <c r="N216" s="13" t="s">
        <v>117</v>
      </c>
      <c r="O216" s="10" t="str">
        <f>HYPERLINK("https://pbs.twimg.com/profile_images/676362182020481024/P0kyLli1_normal.jpg","View")</f>
        <v>View</v>
      </c>
      <c r="P216" s="14"/>
    </row>
    <row r="217">
      <c r="A217" s="7">
        <v>42433.440358796295</v>
      </c>
      <c r="B217" s="8" t="str">
        <f>HYPERLINK("https://twitter.com/GHAUmass","@GHAUmass")</f>
        <v>@GHAUmass</v>
      </c>
      <c r="C217" s="9" t="s">
        <v>30</v>
      </c>
      <c r="D217" s="9" t="s">
        <v>353</v>
      </c>
      <c r="E217" s="10" t="str">
        <f>HYPERLINK("https://twitter.com/GHAUmass/status/705793454287233024","705793454287233024")</f>
        <v>705793454287233024</v>
      </c>
      <c r="F217" s="11" t="s">
        <v>31</v>
      </c>
      <c r="G217" s="12">
        <v>68.0</v>
      </c>
      <c r="H217" s="12">
        <v>100.0</v>
      </c>
      <c r="I217" s="12">
        <v>3.0</v>
      </c>
      <c r="J217" s="12">
        <v>0.0</v>
      </c>
      <c r="K217" s="11" t="s">
        <v>21</v>
      </c>
      <c r="L217" s="7">
        <v>42152.65289351852</v>
      </c>
      <c r="M217" s="13" t="s">
        <v>22</v>
      </c>
      <c r="N217" s="13" t="s">
        <v>32</v>
      </c>
      <c r="O217" s="10" t="str">
        <f>HYPERLINK("https://pbs.twimg.com/profile_images/604060333590855682/Fk6r1D7d_normal.jpg","View")</f>
        <v>View</v>
      </c>
      <c r="P217" s="14"/>
    </row>
    <row r="218">
      <c r="A218" s="7">
        <v>42433.44107638889</v>
      </c>
      <c r="B218" s="8" t="str">
        <f>HYPERLINK("https://twitter.com/JulieThePH","@JulieThePH")</f>
        <v>@JulieThePH</v>
      </c>
      <c r="C218" s="9" t="s">
        <v>211</v>
      </c>
      <c r="D218" s="9" t="s">
        <v>354</v>
      </c>
      <c r="E218" s="10" t="str">
        <f>HYPERLINK("https://twitter.com/JulieThePH/status/705793714002731008","705793714002731008")</f>
        <v>705793714002731008</v>
      </c>
      <c r="F218" s="11" t="s">
        <v>31</v>
      </c>
      <c r="G218" s="12">
        <v>1234.0</v>
      </c>
      <c r="H218" s="12">
        <v>1386.0</v>
      </c>
      <c r="I218" s="12">
        <v>1.0</v>
      </c>
      <c r="J218" s="12">
        <v>3.0</v>
      </c>
      <c r="K218" s="11" t="s">
        <v>21</v>
      </c>
      <c r="L218" s="7">
        <v>40718.66918981481</v>
      </c>
      <c r="M218" s="13" t="s">
        <v>213</v>
      </c>
      <c r="N218" s="13" t="s">
        <v>214</v>
      </c>
      <c r="O218" s="10" t="str">
        <f>HYPERLINK("https://pbs.twimg.com/profile_images/596509974005686273/AqBblwMR_normal.jpg","View")</f>
        <v>View</v>
      </c>
      <c r="P218" s="14"/>
    </row>
    <row r="219">
      <c r="A219" s="7">
        <v>42433.44116898148</v>
      </c>
      <c r="B219" s="8" t="str">
        <f>HYPERLINK("https://twitter.com/historein","@historein")</f>
        <v>@historein</v>
      </c>
      <c r="C219" s="9" t="s">
        <v>172</v>
      </c>
      <c r="D219" s="9" t="s">
        <v>355</v>
      </c>
      <c r="E219" s="10" t="str">
        <f>HYPERLINK("https://twitter.com/historein/status/705793748115050497","705793748115050497")</f>
        <v>705793748115050497</v>
      </c>
      <c r="F219" s="11" t="s">
        <v>31</v>
      </c>
      <c r="G219" s="12">
        <v>641.0</v>
      </c>
      <c r="H219" s="12">
        <v>753.0</v>
      </c>
      <c r="I219" s="12">
        <v>1.0</v>
      </c>
      <c r="J219" s="12">
        <v>4.0</v>
      </c>
      <c r="K219" s="11" t="s">
        <v>21</v>
      </c>
      <c r="L219" s="7">
        <v>40416.68083333333</v>
      </c>
      <c r="M219" s="13" t="s">
        <v>35</v>
      </c>
      <c r="N219" s="13" t="s">
        <v>174</v>
      </c>
      <c r="O219" s="10" t="str">
        <f>HYPERLINK("https://pbs.twimg.com/profile_images/636901483401904128/cxbavncr_normal.jpg","View")</f>
        <v>View</v>
      </c>
      <c r="P219" s="14"/>
    </row>
    <row r="220">
      <c r="A220" s="7">
        <v>42433.44262731481</v>
      </c>
      <c r="B220" s="8" t="str">
        <f>HYPERLINK("https://twitter.com/JulieThePH","@JulieThePH")</f>
        <v>@JulieThePH</v>
      </c>
      <c r="C220" s="9" t="s">
        <v>211</v>
      </c>
      <c r="D220" s="9" t="s">
        <v>356</v>
      </c>
      <c r="E220" s="10" t="str">
        <f>HYPERLINK("https://twitter.com/JulieThePH/status/705794277381693441","705794277381693441")</f>
        <v>705794277381693441</v>
      </c>
      <c r="F220" s="11" t="s">
        <v>31</v>
      </c>
      <c r="G220" s="12">
        <v>1234.0</v>
      </c>
      <c r="H220" s="12">
        <v>1386.0</v>
      </c>
      <c r="I220" s="12">
        <v>2.0</v>
      </c>
      <c r="J220" s="12">
        <v>0.0</v>
      </c>
      <c r="K220" s="11" t="s">
        <v>21</v>
      </c>
      <c r="L220" s="7">
        <v>40718.66918981481</v>
      </c>
      <c r="M220" s="13" t="s">
        <v>213</v>
      </c>
      <c r="N220" s="13" t="s">
        <v>214</v>
      </c>
      <c r="O220" s="10" t="str">
        <f>HYPERLINK("https://pbs.twimg.com/profile_images/596509974005686273/AqBblwMR_normal.jpg","View")</f>
        <v>View</v>
      </c>
      <c r="P220" s="14"/>
    </row>
    <row r="221">
      <c r="A221" s="7">
        <v>42433.44271990741</v>
      </c>
      <c r="B221" s="8" t="str">
        <f>HYPERLINK("https://twitter.com/pastpunditry","@pastpunditry")</f>
        <v>@pastpunditry</v>
      </c>
      <c r="C221" s="9" t="s">
        <v>92</v>
      </c>
      <c r="D221" s="9" t="s">
        <v>357</v>
      </c>
      <c r="E221" s="10" t="str">
        <f>HYPERLINK("https://twitter.com/pastpunditry/status/705794311988838400","705794311988838400")</f>
        <v>705794311988838400</v>
      </c>
      <c r="F221" s="11" t="s">
        <v>77</v>
      </c>
      <c r="G221" s="12">
        <v>890.0</v>
      </c>
      <c r="H221" s="12">
        <v>378.0</v>
      </c>
      <c r="I221" s="12">
        <v>1.0</v>
      </c>
      <c r="J221" s="12">
        <v>0.0</v>
      </c>
      <c r="K221" s="11" t="s">
        <v>21</v>
      </c>
      <c r="L221" s="7">
        <v>40283.384351851855</v>
      </c>
      <c r="M221" s="13" t="s">
        <v>94</v>
      </c>
      <c r="N221" s="13" t="s">
        <v>95</v>
      </c>
      <c r="O221" s="10" t="str">
        <f>HYPERLINK("https://pbs.twimg.com/profile_images/704873222802636800/7aFEMOY5_normal.jpg","View")</f>
        <v>View</v>
      </c>
      <c r="P221" s="14"/>
    </row>
    <row r="222">
      <c r="A222" s="7">
        <v>42433.442766203705</v>
      </c>
      <c r="B222" s="8" t="str">
        <f>HYPERLINK("https://twitter.com/JulieThePH","@JulieThePH")</f>
        <v>@JulieThePH</v>
      </c>
      <c r="C222" s="9" t="s">
        <v>211</v>
      </c>
      <c r="D222" s="9" t="s">
        <v>352</v>
      </c>
      <c r="E222" s="10" t="str">
        <f>HYPERLINK("https://twitter.com/JulieThePH/status/705794329017712640","705794329017712640")</f>
        <v>705794329017712640</v>
      </c>
      <c r="F222" s="11" t="s">
        <v>31</v>
      </c>
      <c r="G222" s="12">
        <v>1234.0</v>
      </c>
      <c r="H222" s="12">
        <v>1386.0</v>
      </c>
      <c r="I222" s="12">
        <v>3.0</v>
      </c>
      <c r="J222" s="12">
        <v>0.0</v>
      </c>
      <c r="K222" s="11" t="s">
        <v>21</v>
      </c>
      <c r="L222" s="7">
        <v>40718.66918981481</v>
      </c>
      <c r="M222" s="13" t="s">
        <v>213</v>
      </c>
      <c r="N222" s="13" t="s">
        <v>214</v>
      </c>
      <c r="O222" s="10" t="str">
        <f>HYPERLINK("https://pbs.twimg.com/profile_images/596509974005686273/AqBblwMR_normal.jpg","View")</f>
        <v>View</v>
      </c>
      <c r="P222" s="14"/>
    </row>
    <row r="223">
      <c r="A223" s="7">
        <v>42433.44332175926</v>
      </c>
      <c r="B223" s="8" t="str">
        <f>HYPERLINK("https://twitter.com/pastpunditry","@pastpunditry")</f>
        <v>@pastpunditry</v>
      </c>
      <c r="C223" s="9" t="s">
        <v>92</v>
      </c>
      <c r="D223" s="9" t="s">
        <v>358</v>
      </c>
      <c r="E223" s="10" t="str">
        <f>HYPERLINK("https://twitter.com/pastpunditry/status/705794531480965120","705794531480965120")</f>
        <v>705794531480965120</v>
      </c>
      <c r="F223" s="11" t="s">
        <v>77</v>
      </c>
      <c r="G223" s="12">
        <v>890.0</v>
      </c>
      <c r="H223" s="12">
        <v>378.0</v>
      </c>
      <c r="I223" s="12">
        <v>1.0</v>
      </c>
      <c r="J223" s="12">
        <v>0.0</v>
      </c>
      <c r="K223" s="11" t="s">
        <v>21</v>
      </c>
      <c r="L223" s="7">
        <v>40283.384351851855</v>
      </c>
      <c r="M223" s="13" t="s">
        <v>94</v>
      </c>
      <c r="N223" s="13" t="s">
        <v>95</v>
      </c>
      <c r="O223" s="10" t="str">
        <f>HYPERLINK("https://pbs.twimg.com/profile_images/704873222802636800/7aFEMOY5_normal.jpg","View")</f>
        <v>View</v>
      </c>
      <c r="P223" s="14"/>
    </row>
    <row r="224">
      <c r="A224" s="7">
        <v>42433.44362268518</v>
      </c>
      <c r="B224" s="8" t="str">
        <f>HYPERLINK("https://twitter.com/rebekkahrubin","@rebekkahrubin")</f>
        <v>@rebekkahrubin</v>
      </c>
      <c r="C224" s="9" t="s">
        <v>141</v>
      </c>
      <c r="D224" s="9" t="s">
        <v>359</v>
      </c>
      <c r="E224" s="10" t="str">
        <f>HYPERLINK("https://twitter.com/rebekkahrubin/status/705794637592657920","705794637592657920")</f>
        <v>705794637592657920</v>
      </c>
      <c r="F224" s="11" t="s">
        <v>26</v>
      </c>
      <c r="G224" s="12">
        <v>492.0</v>
      </c>
      <c r="H224" s="12">
        <v>1224.0</v>
      </c>
      <c r="I224" s="12">
        <v>1.0</v>
      </c>
      <c r="J224" s="12">
        <v>0.0</v>
      </c>
      <c r="K224" s="11" t="s">
        <v>21</v>
      </c>
      <c r="L224" s="7">
        <v>40411.521527777775</v>
      </c>
      <c r="M224" s="13" t="s">
        <v>143</v>
      </c>
      <c r="N224" s="13" t="s">
        <v>144</v>
      </c>
      <c r="O224" s="10" t="str">
        <f>HYPERLINK("https://pbs.twimg.com/profile_images/700317732588408832/Ym_-neUi_normal.jpg","View")</f>
        <v>View</v>
      </c>
      <c r="P224" s="14"/>
    </row>
    <row r="225">
      <c r="A225" s="7">
        <v>42433.4446875</v>
      </c>
      <c r="B225" s="8" t="str">
        <f>HYPERLINK("https://twitter.com/nicholsonsonia_","@nicholsonsonia_")</f>
        <v>@nicholsonsonia_</v>
      </c>
      <c r="C225" s="9" t="s">
        <v>178</v>
      </c>
      <c r="D225" s="9" t="s">
        <v>360</v>
      </c>
      <c r="E225" s="10" t="str">
        <f>HYPERLINK("https://twitter.com/nicholsonsonia_/status/705795023510503426","705795023510503426")</f>
        <v>705795023510503426</v>
      </c>
      <c r="F225" s="11" t="s">
        <v>102</v>
      </c>
      <c r="G225" s="12">
        <v>154.0</v>
      </c>
      <c r="H225" s="12">
        <v>265.0</v>
      </c>
      <c r="I225" s="12">
        <v>0.0</v>
      </c>
      <c r="J225" s="12">
        <v>2.0</v>
      </c>
      <c r="K225" s="11" t="s">
        <v>21</v>
      </c>
      <c r="L225" s="7">
        <v>42287.57635416667</v>
      </c>
      <c r="M225" s="13" t="s">
        <v>180</v>
      </c>
      <c r="N225" s="13" t="s">
        <v>181</v>
      </c>
      <c r="O225" s="10" t="str">
        <f>HYPERLINK("https://pbs.twimg.com/profile_images/678715954088443905/MWM_lx-b_normal.jpg","View")</f>
        <v>View</v>
      </c>
      <c r="P225" s="14"/>
    </row>
    <row r="226">
      <c r="A226" s="7">
        <v>42433.44494212963</v>
      </c>
      <c r="B226" s="8" t="str">
        <f>HYPERLINK("https://twitter.com/pastpunditry","@pastpunditry")</f>
        <v>@pastpunditry</v>
      </c>
      <c r="C226" s="9" t="s">
        <v>92</v>
      </c>
      <c r="D226" s="9" t="s">
        <v>361</v>
      </c>
      <c r="E226" s="10" t="str">
        <f>HYPERLINK("https://twitter.com/pastpunditry/status/705795114938015744","705795114938015744")</f>
        <v>705795114938015744</v>
      </c>
      <c r="F226" s="11" t="s">
        <v>77</v>
      </c>
      <c r="G226" s="12">
        <v>890.0</v>
      </c>
      <c r="H226" s="12">
        <v>378.0</v>
      </c>
      <c r="I226" s="12">
        <v>0.0</v>
      </c>
      <c r="J226" s="12">
        <v>2.0</v>
      </c>
      <c r="K226" s="11" t="s">
        <v>21</v>
      </c>
      <c r="L226" s="7">
        <v>40283.384351851855</v>
      </c>
      <c r="M226" s="13" t="s">
        <v>94</v>
      </c>
      <c r="N226" s="13" t="s">
        <v>95</v>
      </c>
      <c r="O226" s="10" t="str">
        <f>HYPERLINK("https://pbs.twimg.com/profile_images/704873222802636800/7aFEMOY5_normal.jpg","View")</f>
        <v>View</v>
      </c>
      <c r="P226" s="14"/>
    </row>
    <row r="227">
      <c r="A227" s="7">
        <v>42433.445127314815</v>
      </c>
      <c r="B227" s="8" t="str">
        <f>HYPERLINK("https://twitter.com/JulieThePH","@JulieThePH")</f>
        <v>@JulieThePH</v>
      </c>
      <c r="C227" s="9" t="s">
        <v>211</v>
      </c>
      <c r="D227" s="9" t="s">
        <v>362</v>
      </c>
      <c r="E227" s="10" t="str">
        <f>HYPERLINK("https://twitter.com/JulieThePH/status/705795183930114048","705795183930114048")</f>
        <v>705795183930114048</v>
      </c>
      <c r="F227" s="11" t="s">
        <v>31</v>
      </c>
      <c r="G227" s="12">
        <v>1234.0</v>
      </c>
      <c r="H227" s="12">
        <v>1386.0</v>
      </c>
      <c r="I227" s="12">
        <v>5.0</v>
      </c>
      <c r="J227" s="12">
        <v>3.0</v>
      </c>
      <c r="K227" s="11" t="s">
        <v>21</v>
      </c>
      <c r="L227" s="7">
        <v>40718.66918981481</v>
      </c>
      <c r="M227" s="13" t="s">
        <v>213</v>
      </c>
      <c r="N227" s="13" t="s">
        <v>214</v>
      </c>
      <c r="O227" s="10" t="str">
        <f>HYPERLINK("https://pbs.twimg.com/profile_images/596509974005686273/AqBblwMR_normal.jpg","View")</f>
        <v>View</v>
      </c>
      <c r="P227" s="14"/>
    </row>
    <row r="228">
      <c r="A228" s="7">
        <v>42433.4453125</v>
      </c>
      <c r="B228" s="8" t="str">
        <f>HYPERLINK("https://twitter.com/pastpunditry","@pastpunditry")</f>
        <v>@pastpunditry</v>
      </c>
      <c r="C228" s="9" t="s">
        <v>92</v>
      </c>
      <c r="D228" s="9" t="s">
        <v>363</v>
      </c>
      <c r="E228" s="10" t="str">
        <f>HYPERLINK("https://twitter.com/pastpunditry/status/705795248954413057","705795248954413057")</f>
        <v>705795248954413057</v>
      </c>
      <c r="F228" s="11" t="s">
        <v>77</v>
      </c>
      <c r="G228" s="12">
        <v>890.0</v>
      </c>
      <c r="H228" s="12">
        <v>378.0</v>
      </c>
      <c r="I228" s="12">
        <v>5.0</v>
      </c>
      <c r="J228" s="12">
        <v>0.0</v>
      </c>
      <c r="K228" s="11" t="s">
        <v>21</v>
      </c>
      <c r="L228" s="7">
        <v>40283.384351851855</v>
      </c>
      <c r="M228" s="13" t="s">
        <v>94</v>
      </c>
      <c r="N228" s="13" t="s">
        <v>95</v>
      </c>
      <c r="O228" s="10" t="str">
        <f>HYPERLINK("https://pbs.twimg.com/profile_images/704873222802636800/7aFEMOY5_normal.jpg","View")</f>
        <v>View</v>
      </c>
      <c r="P228" s="14"/>
    </row>
    <row r="229">
      <c r="A229" s="7">
        <v>42433.44777777778</v>
      </c>
      <c r="B229" s="8" t="str">
        <f>HYPERLINK("https://twitter.com/JulieThePH","@JulieThePH")</f>
        <v>@JulieThePH</v>
      </c>
      <c r="C229" s="9" t="s">
        <v>211</v>
      </c>
      <c r="D229" s="9" t="s">
        <v>364</v>
      </c>
      <c r="E229" s="10" t="str">
        <f>HYPERLINK("https://twitter.com/JulieThePH/status/705796142613843968","705796142613843968")</f>
        <v>705796142613843968</v>
      </c>
      <c r="F229" s="11" t="s">
        <v>31</v>
      </c>
      <c r="G229" s="12">
        <v>1234.0</v>
      </c>
      <c r="H229" s="12">
        <v>1386.0</v>
      </c>
      <c r="I229" s="12">
        <v>2.0</v>
      </c>
      <c r="J229" s="12">
        <v>1.0</v>
      </c>
      <c r="K229" s="11" t="s">
        <v>21</v>
      </c>
      <c r="L229" s="7">
        <v>40718.66918981481</v>
      </c>
      <c r="M229" s="13" t="s">
        <v>213</v>
      </c>
      <c r="N229" s="13" t="s">
        <v>214</v>
      </c>
      <c r="O229" s="10" t="str">
        <f>HYPERLINK("https://pbs.twimg.com/profile_images/596509974005686273/AqBblwMR_normal.jpg","View")</f>
        <v>View</v>
      </c>
      <c r="P229" s="14"/>
    </row>
    <row r="230">
      <c r="A230" s="7">
        <v>42433.447847222225</v>
      </c>
      <c r="B230" s="8" t="str">
        <f>HYPERLINK("https://twitter.com/pastpunditry","@pastpunditry")</f>
        <v>@pastpunditry</v>
      </c>
      <c r="C230" s="9" t="s">
        <v>92</v>
      </c>
      <c r="D230" s="9" t="s">
        <v>365</v>
      </c>
      <c r="E230" s="10" t="str">
        <f>HYPERLINK("https://twitter.com/pastpunditry/status/705796168580788225","705796168580788225")</f>
        <v>705796168580788225</v>
      </c>
      <c r="F230" s="11" t="s">
        <v>77</v>
      </c>
      <c r="G230" s="12">
        <v>890.0</v>
      </c>
      <c r="H230" s="12">
        <v>378.0</v>
      </c>
      <c r="I230" s="12">
        <v>2.0</v>
      </c>
      <c r="J230" s="12">
        <v>0.0</v>
      </c>
      <c r="K230" s="11" t="s">
        <v>21</v>
      </c>
      <c r="L230" s="7">
        <v>40283.384351851855</v>
      </c>
      <c r="M230" s="13" t="s">
        <v>94</v>
      </c>
      <c r="N230" s="13" t="s">
        <v>95</v>
      </c>
      <c r="O230" s="10" t="str">
        <f>HYPERLINK("https://pbs.twimg.com/profile_images/704873222802636800/7aFEMOY5_normal.jpg","View")</f>
        <v>View</v>
      </c>
      <c r="P230" s="14"/>
    </row>
    <row r="231">
      <c r="A231" s="7">
        <v>42433.449270833335</v>
      </c>
      <c r="B231" s="8" t="str">
        <f>HYPERLINK("https://twitter.com/jamiaw","@jamiaw")</f>
        <v>@jamiaw</v>
      </c>
      <c r="C231" s="9" t="s">
        <v>324</v>
      </c>
      <c r="D231" s="9" t="s">
        <v>363</v>
      </c>
      <c r="E231" s="10" t="str">
        <f>HYPERLINK("https://twitter.com/jamiaw/status/705796687311282176","705796687311282176")</f>
        <v>705796687311282176</v>
      </c>
      <c r="F231" s="11" t="s">
        <v>31</v>
      </c>
      <c r="G231" s="12">
        <v>11335.0</v>
      </c>
      <c r="H231" s="12">
        <v>7815.0</v>
      </c>
      <c r="I231" s="12">
        <v>5.0</v>
      </c>
      <c r="J231" s="12">
        <v>0.0</v>
      </c>
      <c r="K231" s="11" t="s">
        <v>21</v>
      </c>
      <c r="L231" s="7">
        <v>39642.39741898148</v>
      </c>
      <c r="M231" s="13" t="s">
        <v>325</v>
      </c>
      <c r="N231" s="13" t="s">
        <v>326</v>
      </c>
      <c r="O231" s="10" t="str">
        <f>HYPERLINK("https://pbs.twimg.com/profile_images/701102020061753344/5zH70uem_normal.jpg","View")</f>
        <v>View</v>
      </c>
      <c r="P231" s="14"/>
    </row>
    <row r="232">
      <c r="A232" s="7">
        <v>42433.44971064814</v>
      </c>
      <c r="B232" s="8" t="str">
        <f>HYPERLINK("https://twitter.com/umassph","@umassph")</f>
        <v>@umassph</v>
      </c>
      <c r="C232" s="9" t="s">
        <v>121</v>
      </c>
      <c r="D232" s="9" t="s">
        <v>305</v>
      </c>
      <c r="E232" s="10" t="str">
        <f>HYPERLINK("https://twitter.com/umassph/status/705796844882935808","705796844882935808")</f>
        <v>705796844882935808</v>
      </c>
      <c r="F232" s="11" t="s">
        <v>31</v>
      </c>
      <c r="G232" s="12">
        <v>693.0</v>
      </c>
      <c r="H232" s="12">
        <v>242.0</v>
      </c>
      <c r="I232" s="12">
        <v>3.0</v>
      </c>
      <c r="J232" s="12">
        <v>0.0</v>
      </c>
      <c r="K232" s="11" t="s">
        <v>21</v>
      </c>
      <c r="L232" s="7">
        <v>40242.52853009259</v>
      </c>
      <c r="M232" s="13" t="s">
        <v>22</v>
      </c>
      <c r="N232" s="13" t="s">
        <v>123</v>
      </c>
      <c r="O232" s="10" t="str">
        <f>HYPERLINK("https://pbs.twimg.com/profile_images/3583165575/54f0bc87a29b2ae8587193829ce07299_normal.jpeg","View")</f>
        <v>View</v>
      </c>
      <c r="P232" s="14"/>
    </row>
    <row r="233">
      <c r="A233" s="7">
        <v>42433.44975694444</v>
      </c>
      <c r="B233" s="8" t="str">
        <f>HYPERLINK("https://twitter.com/jamiaw","@jamiaw")</f>
        <v>@jamiaw</v>
      </c>
      <c r="C233" s="9" t="s">
        <v>324</v>
      </c>
      <c r="D233" s="9" t="s">
        <v>314</v>
      </c>
      <c r="E233" s="10" t="str">
        <f>HYPERLINK("https://twitter.com/jamiaw/status/705796860741554176","705796860741554176")</f>
        <v>705796860741554176</v>
      </c>
      <c r="F233" s="11" t="s">
        <v>31</v>
      </c>
      <c r="G233" s="12">
        <v>11335.0</v>
      </c>
      <c r="H233" s="12">
        <v>7815.0</v>
      </c>
      <c r="I233" s="12">
        <v>6.0</v>
      </c>
      <c r="J233" s="12">
        <v>0.0</v>
      </c>
      <c r="K233" s="11" t="s">
        <v>21</v>
      </c>
      <c r="L233" s="7">
        <v>39642.39741898148</v>
      </c>
      <c r="M233" s="13" t="s">
        <v>325</v>
      </c>
      <c r="N233" s="13" t="s">
        <v>326</v>
      </c>
      <c r="O233" s="10" t="str">
        <f>HYPERLINK("https://pbs.twimg.com/profile_images/701102020061753344/5zH70uem_normal.jpg","View")</f>
        <v>View</v>
      </c>
      <c r="P233" s="14"/>
    </row>
    <row r="234">
      <c r="A234" s="7">
        <v>42433.44981481481</v>
      </c>
      <c r="B234" s="8" t="str">
        <f t="shared" ref="B234:B235" si="45">HYPERLINK("https://twitter.com/pastpunditry","@pastpunditry")</f>
        <v>@pastpunditry</v>
      </c>
      <c r="C234" s="9" t="s">
        <v>92</v>
      </c>
      <c r="D234" s="9" t="s">
        <v>366</v>
      </c>
      <c r="E234" s="10" t="str">
        <f>HYPERLINK("https://twitter.com/pastpunditry/status/705796881620799489","705796881620799489")</f>
        <v>705796881620799489</v>
      </c>
      <c r="F234" s="11" t="s">
        <v>77</v>
      </c>
      <c r="G234" s="12">
        <v>890.0</v>
      </c>
      <c r="H234" s="12">
        <v>378.0</v>
      </c>
      <c r="I234" s="12">
        <v>0.0</v>
      </c>
      <c r="J234" s="12">
        <v>1.0</v>
      </c>
      <c r="K234" s="11" t="s">
        <v>21</v>
      </c>
      <c r="L234" s="7">
        <v>40283.384351851855</v>
      </c>
      <c r="M234" s="13" t="s">
        <v>94</v>
      </c>
      <c r="N234" s="13" t="s">
        <v>95</v>
      </c>
      <c r="O234" s="10" t="str">
        <f t="shared" ref="O234:O235" si="46">HYPERLINK("https://pbs.twimg.com/profile_images/704873222802636800/7aFEMOY5_normal.jpg","View")</f>
        <v>View</v>
      </c>
      <c r="P234" s="14"/>
    </row>
    <row r="235">
      <c r="A235" s="7">
        <v>42433.45053240741</v>
      </c>
      <c r="B235" s="8" t="str">
        <f t="shared" si="45"/>
        <v>@pastpunditry</v>
      </c>
      <c r="C235" s="9" t="s">
        <v>92</v>
      </c>
      <c r="D235" s="9" t="s">
        <v>367</v>
      </c>
      <c r="E235" s="10" t="str">
        <f>HYPERLINK("https://twitter.com/pastpunditry/status/705797143743823872","705797143743823872")</f>
        <v>705797143743823872</v>
      </c>
      <c r="F235" s="11" t="s">
        <v>77</v>
      </c>
      <c r="G235" s="12">
        <v>890.0</v>
      </c>
      <c r="H235" s="12">
        <v>378.0</v>
      </c>
      <c r="I235" s="12">
        <v>0.0</v>
      </c>
      <c r="J235" s="12">
        <v>1.0</v>
      </c>
      <c r="K235" s="11" t="s">
        <v>21</v>
      </c>
      <c r="L235" s="7">
        <v>40283.384351851855</v>
      </c>
      <c r="M235" s="13" t="s">
        <v>94</v>
      </c>
      <c r="N235" s="13" t="s">
        <v>95</v>
      </c>
      <c r="O235" s="10" t="str">
        <f t="shared" si="46"/>
        <v>View</v>
      </c>
      <c r="P235" s="14"/>
    </row>
    <row r="236">
      <c r="A236" s="7">
        <v>42433.45064814815</v>
      </c>
      <c r="B236" s="8" t="str">
        <f t="shared" ref="B236:B237" si="47">HYPERLINK("https://twitter.com/gothamscholar","@gothamscholar")</f>
        <v>@gothamscholar</v>
      </c>
      <c r="C236" s="9" t="s">
        <v>368</v>
      </c>
      <c r="D236" s="9" t="s">
        <v>293</v>
      </c>
      <c r="E236" s="10" t="str">
        <f>HYPERLINK("https://twitter.com/gothamscholar/status/705797184986476544","705797184986476544")</f>
        <v>705797184986476544</v>
      </c>
      <c r="F236" s="11" t="s">
        <v>31</v>
      </c>
      <c r="G236" s="12">
        <v>96.0</v>
      </c>
      <c r="H236" s="12">
        <v>342.0</v>
      </c>
      <c r="I236" s="12">
        <v>6.0</v>
      </c>
      <c r="J236" s="12">
        <v>0.0</v>
      </c>
      <c r="K236" s="11" t="s">
        <v>21</v>
      </c>
      <c r="L236" s="7">
        <v>40239.46717592592</v>
      </c>
      <c r="M236" s="15"/>
      <c r="N236" s="13" t="s">
        <v>369</v>
      </c>
      <c r="O236" s="10" t="str">
        <f t="shared" ref="O236:O237" si="48">HYPERLINK("https://pbs.twimg.com/profile_images/460795104903442432/94uhSQON_normal.jpeg","View")</f>
        <v>View</v>
      </c>
      <c r="P236" s="14"/>
    </row>
    <row r="237">
      <c r="A237" s="7">
        <v>42433.45101851852</v>
      </c>
      <c r="B237" s="8" t="str">
        <f t="shared" si="47"/>
        <v>@gothamscholar</v>
      </c>
      <c r="C237" s="9" t="s">
        <v>368</v>
      </c>
      <c r="D237" s="9" t="s">
        <v>370</v>
      </c>
      <c r="E237" s="10" t="str">
        <f>HYPERLINK("https://twitter.com/gothamscholar/status/705797318986096640","705797318986096640")</f>
        <v>705797318986096640</v>
      </c>
      <c r="F237" s="11" t="s">
        <v>31</v>
      </c>
      <c r="G237" s="12">
        <v>96.0</v>
      </c>
      <c r="H237" s="12">
        <v>342.0</v>
      </c>
      <c r="I237" s="12">
        <v>1.0</v>
      </c>
      <c r="J237" s="12">
        <v>0.0</v>
      </c>
      <c r="K237" s="11" t="s">
        <v>21</v>
      </c>
      <c r="L237" s="7">
        <v>40239.46717592592</v>
      </c>
      <c r="M237" s="15"/>
      <c r="N237" s="13" t="s">
        <v>369</v>
      </c>
      <c r="O237" s="10" t="str">
        <f t="shared" si="48"/>
        <v>View</v>
      </c>
      <c r="P237" s="14"/>
    </row>
    <row r="238">
      <c r="A238" s="7">
        <v>42433.4515625</v>
      </c>
      <c r="B238" s="8" t="str">
        <f>HYPERLINK("https://twitter.com/mille24c","@mille24c")</f>
        <v>@mille24c</v>
      </c>
      <c r="C238" s="9" t="s">
        <v>115</v>
      </c>
      <c r="D238" s="9" t="s">
        <v>363</v>
      </c>
      <c r="E238" s="10" t="str">
        <f>HYPERLINK("https://twitter.com/mille24c/status/705797515271135234","705797515271135234")</f>
        <v>705797515271135234</v>
      </c>
      <c r="F238" s="11" t="s">
        <v>31</v>
      </c>
      <c r="G238" s="12">
        <v>208.0</v>
      </c>
      <c r="H238" s="12">
        <v>297.0</v>
      </c>
      <c r="I238" s="12">
        <v>5.0</v>
      </c>
      <c r="J238" s="12">
        <v>0.0</v>
      </c>
      <c r="K238" s="11" t="s">
        <v>21</v>
      </c>
      <c r="L238" s="7">
        <v>39864.79206018519</v>
      </c>
      <c r="M238" s="13" t="s">
        <v>22</v>
      </c>
      <c r="N238" s="13" t="s">
        <v>117</v>
      </c>
      <c r="O238" s="10" t="str">
        <f>HYPERLINK("https://pbs.twimg.com/profile_images/676362182020481024/P0kyLli1_normal.jpg","View")</f>
        <v>View</v>
      </c>
      <c r="P238" s="14"/>
    </row>
    <row r="239">
      <c r="A239" s="7">
        <v>42433.452060185184</v>
      </c>
      <c r="B239" s="8" t="str">
        <f t="shared" ref="B239:B240" si="49">HYPERLINK("https://twitter.com/pastpunditry","@pastpunditry")</f>
        <v>@pastpunditry</v>
      </c>
      <c r="C239" s="9" t="s">
        <v>92</v>
      </c>
      <c r="D239" s="9" t="s">
        <v>371</v>
      </c>
      <c r="E239" s="10" t="str">
        <f>HYPERLINK("https://twitter.com/pastpunditry/status/705797698063048705","705797698063048705")</f>
        <v>705797698063048705</v>
      </c>
      <c r="F239" s="11" t="s">
        <v>77</v>
      </c>
      <c r="G239" s="12">
        <v>890.0</v>
      </c>
      <c r="H239" s="12">
        <v>378.0</v>
      </c>
      <c r="I239" s="12">
        <v>0.0</v>
      </c>
      <c r="J239" s="12">
        <v>2.0</v>
      </c>
      <c r="K239" s="11" t="s">
        <v>21</v>
      </c>
      <c r="L239" s="7">
        <v>40283.384351851855</v>
      </c>
      <c r="M239" s="13" t="s">
        <v>94</v>
      </c>
      <c r="N239" s="13" t="s">
        <v>95</v>
      </c>
      <c r="O239" s="10" t="str">
        <f t="shared" ref="O239:O240" si="50">HYPERLINK("https://pbs.twimg.com/profile_images/704873222802636800/7aFEMOY5_normal.jpg","View")</f>
        <v>View</v>
      </c>
      <c r="P239" s="14"/>
    </row>
    <row r="240">
      <c r="A240" s="7">
        <v>42433.45297453704</v>
      </c>
      <c r="B240" s="8" t="str">
        <f t="shared" si="49"/>
        <v>@pastpunditry</v>
      </c>
      <c r="C240" s="9" t="s">
        <v>92</v>
      </c>
      <c r="D240" s="9" t="s">
        <v>372</v>
      </c>
      <c r="E240" s="10" t="str">
        <f>HYPERLINK("https://twitter.com/pastpunditry/status/705798026795810817","705798026795810817")</f>
        <v>705798026795810817</v>
      </c>
      <c r="F240" s="11" t="s">
        <v>77</v>
      </c>
      <c r="G240" s="12">
        <v>890.0</v>
      </c>
      <c r="H240" s="12">
        <v>378.0</v>
      </c>
      <c r="I240" s="12">
        <v>1.0</v>
      </c>
      <c r="J240" s="12">
        <v>2.0</v>
      </c>
      <c r="K240" s="11" t="s">
        <v>21</v>
      </c>
      <c r="L240" s="7">
        <v>40283.384351851855</v>
      </c>
      <c r="M240" s="13" t="s">
        <v>94</v>
      </c>
      <c r="N240" s="13" t="s">
        <v>95</v>
      </c>
      <c r="O240" s="10" t="str">
        <f t="shared" si="50"/>
        <v>View</v>
      </c>
      <c r="P240" s="14"/>
    </row>
    <row r="241">
      <c r="A241" s="7">
        <v>42433.45354166666</v>
      </c>
      <c r="B241" s="8" t="str">
        <f>HYPERLINK("https://twitter.com/gothamscholar","@gothamscholar")</f>
        <v>@gothamscholar</v>
      </c>
      <c r="C241" s="9" t="s">
        <v>368</v>
      </c>
      <c r="D241" s="9" t="s">
        <v>373</v>
      </c>
      <c r="E241" s="10" t="str">
        <f>HYPERLINK("https://twitter.com/gothamscholar/status/705798231289163776","705798231289163776")</f>
        <v>705798231289163776</v>
      </c>
      <c r="F241" s="11" t="s">
        <v>31</v>
      </c>
      <c r="G241" s="12">
        <v>96.0</v>
      </c>
      <c r="H241" s="12">
        <v>342.0</v>
      </c>
      <c r="I241" s="12">
        <v>2.0</v>
      </c>
      <c r="J241" s="12">
        <v>0.0</v>
      </c>
      <c r="K241" s="11" t="s">
        <v>21</v>
      </c>
      <c r="L241" s="7">
        <v>40239.46717592592</v>
      </c>
      <c r="M241" s="15"/>
      <c r="N241" s="13" t="s">
        <v>369</v>
      </c>
      <c r="O241" s="10" t="str">
        <f>HYPERLINK("https://pbs.twimg.com/profile_images/460795104903442432/94uhSQON_normal.jpeg","View")</f>
        <v>View</v>
      </c>
      <c r="P241" s="14"/>
    </row>
    <row r="242">
      <c r="A242" s="7">
        <v>42433.454930555556</v>
      </c>
      <c r="B242" s="8" t="str">
        <f>HYPERLINK("https://twitter.com/jamiaw","@jamiaw")</f>
        <v>@jamiaw</v>
      </c>
      <c r="C242" s="9" t="s">
        <v>324</v>
      </c>
      <c r="D242" s="9" t="s">
        <v>374</v>
      </c>
      <c r="E242" s="10" t="str">
        <f>HYPERLINK("https://twitter.com/jamiaw/status/705798734853120001","705798734853120001")</f>
        <v>705798734853120001</v>
      </c>
      <c r="F242" s="11" t="s">
        <v>31</v>
      </c>
      <c r="G242" s="12">
        <v>11335.0</v>
      </c>
      <c r="H242" s="12">
        <v>7815.0</v>
      </c>
      <c r="I242" s="12">
        <v>1.0</v>
      </c>
      <c r="J242" s="12">
        <v>2.0</v>
      </c>
      <c r="K242" s="11" t="s">
        <v>21</v>
      </c>
      <c r="L242" s="7">
        <v>39642.39741898148</v>
      </c>
      <c r="M242" s="13" t="s">
        <v>325</v>
      </c>
      <c r="N242" s="13" t="s">
        <v>326</v>
      </c>
      <c r="O242" s="10" t="str">
        <f>HYPERLINK("https://pbs.twimg.com/profile_images/701102020061753344/5zH70uem_normal.jpg","View")</f>
        <v>View</v>
      </c>
      <c r="P242" s="14"/>
    </row>
    <row r="243">
      <c r="A243" s="7">
        <v>42433.45574074074</v>
      </c>
      <c r="B243" s="8" t="str">
        <f>HYPERLINK("https://twitter.com/pastpunditry","@pastpunditry")</f>
        <v>@pastpunditry</v>
      </c>
      <c r="C243" s="9" t="s">
        <v>92</v>
      </c>
      <c r="D243" s="9" t="s">
        <v>375</v>
      </c>
      <c r="E243" s="10" t="str">
        <f>HYPERLINK("https://twitter.com/pastpunditry/status/705799030178189312","705799030178189312")</f>
        <v>705799030178189312</v>
      </c>
      <c r="F243" s="11" t="s">
        <v>77</v>
      </c>
      <c r="G243" s="12">
        <v>890.0</v>
      </c>
      <c r="H243" s="12">
        <v>378.0</v>
      </c>
      <c r="I243" s="12">
        <v>1.0</v>
      </c>
      <c r="J243" s="12">
        <v>1.0</v>
      </c>
      <c r="K243" s="11" t="s">
        <v>21</v>
      </c>
      <c r="L243" s="7">
        <v>40283.384351851855</v>
      </c>
      <c r="M243" s="13" t="s">
        <v>94</v>
      </c>
      <c r="N243" s="13" t="s">
        <v>95</v>
      </c>
      <c r="O243" s="10" t="str">
        <f>HYPERLINK("https://pbs.twimg.com/profile_images/704873222802636800/7aFEMOY5_normal.jpg","View")</f>
        <v>View</v>
      </c>
      <c r="P243" s="14"/>
    </row>
    <row r="244">
      <c r="A244" s="7">
        <v>42433.45582175926</v>
      </c>
      <c r="B244" s="8" t="str">
        <f>HYPERLINK("https://twitter.com/womenactmedia","@womenactmedia")</f>
        <v>@womenactmedia</v>
      </c>
      <c r="C244" s="9" t="s">
        <v>327</v>
      </c>
      <c r="D244" s="9" t="s">
        <v>376</v>
      </c>
      <c r="E244" s="10" t="str">
        <f>HYPERLINK("https://twitter.com/womenactmedia/status/705799058183561217","705799058183561217")</f>
        <v>705799058183561217</v>
      </c>
      <c r="F244" s="11" t="s">
        <v>77</v>
      </c>
      <c r="G244" s="12">
        <v>12621.0</v>
      </c>
      <c r="H244" s="12">
        <v>856.0</v>
      </c>
      <c r="I244" s="12">
        <v>1.0</v>
      </c>
      <c r="J244" s="12">
        <v>4.0</v>
      </c>
      <c r="K244" s="11" t="s">
        <v>21</v>
      </c>
      <c r="L244" s="7">
        <v>39891.48053240741</v>
      </c>
      <c r="M244" s="15"/>
      <c r="N244" s="13" t="s">
        <v>328</v>
      </c>
      <c r="O244" s="10" t="str">
        <f>HYPERLINK("https://pbs.twimg.com/profile_images/646533311/wam_logo_square_normal.jpg","View")</f>
        <v>View</v>
      </c>
      <c r="P244" s="14"/>
    </row>
    <row r="245">
      <c r="A245" s="7">
        <v>42433.456655092596</v>
      </c>
      <c r="B245" s="8" t="str">
        <f t="shared" ref="B245:B246" si="51">HYPERLINK("https://twitter.com/JohnFea1","@JohnFea1")</f>
        <v>@JohnFea1</v>
      </c>
      <c r="C245" s="9" t="s">
        <v>118</v>
      </c>
      <c r="D245" s="9" t="s">
        <v>377</v>
      </c>
      <c r="E245" s="10" t="str">
        <f>HYPERLINK("https://twitter.com/JohnFea1/status/705799360727093249","705799360727093249")</f>
        <v>705799360727093249</v>
      </c>
      <c r="F245" s="11" t="s">
        <v>26</v>
      </c>
      <c r="G245" s="12">
        <v>2903.0</v>
      </c>
      <c r="H245" s="12">
        <v>1628.0</v>
      </c>
      <c r="I245" s="12">
        <v>1.0</v>
      </c>
      <c r="J245" s="12">
        <v>0.0</v>
      </c>
      <c r="K245" s="11" t="s">
        <v>21</v>
      </c>
      <c r="L245" s="7">
        <v>41009.84005787037</v>
      </c>
      <c r="M245" s="15"/>
      <c r="N245" s="13" t="s">
        <v>120</v>
      </c>
      <c r="O245" s="10" t="str">
        <f t="shared" ref="O245:O246" si="52">HYPERLINK("https://pbs.twimg.com/profile_images/2090305941/Fea_speaking_normal.jpg","View")</f>
        <v>View</v>
      </c>
      <c r="P245" s="14"/>
    </row>
    <row r="246">
      <c r="A246" s="7">
        <v>42433.45704861111</v>
      </c>
      <c r="B246" s="8" t="str">
        <f t="shared" si="51"/>
        <v>@JohnFea1</v>
      </c>
      <c r="C246" s="9" t="s">
        <v>118</v>
      </c>
      <c r="D246" s="9" t="s">
        <v>293</v>
      </c>
      <c r="E246" s="10" t="str">
        <f>HYPERLINK("https://twitter.com/JohnFea1/status/705799502184239104","705799502184239104")</f>
        <v>705799502184239104</v>
      </c>
      <c r="F246" s="11" t="s">
        <v>26</v>
      </c>
      <c r="G246" s="12">
        <v>2903.0</v>
      </c>
      <c r="H246" s="12">
        <v>1628.0</v>
      </c>
      <c r="I246" s="12">
        <v>6.0</v>
      </c>
      <c r="J246" s="12">
        <v>0.0</v>
      </c>
      <c r="K246" s="11" t="s">
        <v>21</v>
      </c>
      <c r="L246" s="7">
        <v>41009.84005787037</v>
      </c>
      <c r="M246" s="15"/>
      <c r="N246" s="13" t="s">
        <v>120</v>
      </c>
      <c r="O246" s="10" t="str">
        <f t="shared" si="52"/>
        <v>View</v>
      </c>
      <c r="P246" s="14"/>
    </row>
    <row r="247">
      <c r="A247" s="7">
        <v>42433.460625</v>
      </c>
      <c r="B247" s="8" t="str">
        <f>HYPERLINK("https://twitter.com/aglassofhistory","@aglassofhistory")</f>
        <v>@aglassofhistory</v>
      </c>
      <c r="C247" s="9" t="s">
        <v>53</v>
      </c>
      <c r="D247" s="9" t="s">
        <v>353</v>
      </c>
      <c r="E247" s="10" t="str">
        <f>HYPERLINK("https://twitter.com/aglassofhistory/status/705800798530367488","705800798530367488")</f>
        <v>705800798530367488</v>
      </c>
      <c r="F247" s="11" t="s">
        <v>148</v>
      </c>
      <c r="G247" s="12">
        <v>400.0</v>
      </c>
      <c r="H247" s="12">
        <v>733.0</v>
      </c>
      <c r="I247" s="12">
        <v>3.0</v>
      </c>
      <c r="J247" s="12">
        <v>0.0</v>
      </c>
      <c r="K247" s="11" t="s">
        <v>21</v>
      </c>
      <c r="L247" s="7">
        <v>41697.65762731482</v>
      </c>
      <c r="M247" s="13" t="s">
        <v>55</v>
      </c>
      <c r="N247" s="13" t="s">
        <v>56</v>
      </c>
      <c r="O247" s="10" t="str">
        <f>HYPERLINK("https://pbs.twimg.com/profile_images/611592888816898048/cGMlIfmz_normal.jpg","View")</f>
        <v>View</v>
      </c>
      <c r="P247" s="14"/>
    </row>
    <row r="248">
      <c r="A248" s="7">
        <v>42433.460648148146</v>
      </c>
      <c r="B248" s="8" t="str">
        <f t="shared" ref="B248:B249" si="53">HYPERLINK("https://twitter.com/pastpunditry","@pastpunditry")</f>
        <v>@pastpunditry</v>
      </c>
      <c r="C248" s="9" t="s">
        <v>92</v>
      </c>
      <c r="D248" s="9" t="s">
        <v>378</v>
      </c>
      <c r="E248" s="10" t="str">
        <f>HYPERLINK("https://twitter.com/pastpunditry/status/705800806520512515","705800806520512515")</f>
        <v>705800806520512515</v>
      </c>
      <c r="F248" s="11" t="s">
        <v>77</v>
      </c>
      <c r="G248" s="12">
        <v>890.0</v>
      </c>
      <c r="H248" s="12">
        <v>378.0</v>
      </c>
      <c r="I248" s="12">
        <v>1.0</v>
      </c>
      <c r="J248" s="12">
        <v>0.0</v>
      </c>
      <c r="K248" s="11" t="s">
        <v>21</v>
      </c>
      <c r="L248" s="7">
        <v>40283.384351851855</v>
      </c>
      <c r="M248" s="13" t="s">
        <v>94</v>
      </c>
      <c r="N248" s="13" t="s">
        <v>95</v>
      </c>
      <c r="O248" s="10" t="str">
        <f t="shared" ref="O248:O249" si="54">HYPERLINK("https://pbs.twimg.com/profile_images/704873222802636800/7aFEMOY5_normal.jpg","View")</f>
        <v>View</v>
      </c>
      <c r="P248" s="14"/>
    </row>
    <row r="249">
      <c r="A249" s="7">
        <v>42433.46099537037</v>
      </c>
      <c r="B249" s="8" t="str">
        <f t="shared" si="53"/>
        <v>@pastpunditry</v>
      </c>
      <c r="C249" s="9" t="s">
        <v>92</v>
      </c>
      <c r="D249" s="9" t="s">
        <v>379</v>
      </c>
      <c r="E249" s="10" t="str">
        <f>HYPERLINK("https://twitter.com/pastpunditry/status/705800935453360129","705800935453360129")</f>
        <v>705800935453360129</v>
      </c>
      <c r="F249" s="11" t="s">
        <v>77</v>
      </c>
      <c r="G249" s="12">
        <v>890.0</v>
      </c>
      <c r="H249" s="12">
        <v>378.0</v>
      </c>
      <c r="I249" s="12">
        <v>1.0</v>
      </c>
      <c r="J249" s="12">
        <v>1.0</v>
      </c>
      <c r="K249" s="11" t="s">
        <v>21</v>
      </c>
      <c r="L249" s="7">
        <v>40283.384351851855</v>
      </c>
      <c r="M249" s="13" t="s">
        <v>94</v>
      </c>
      <c r="N249" s="13" t="s">
        <v>95</v>
      </c>
      <c r="O249" s="10" t="str">
        <f t="shared" si="54"/>
        <v>View</v>
      </c>
      <c r="P249" s="14"/>
    </row>
    <row r="250">
      <c r="A250" s="7">
        <v>42433.46166666667</v>
      </c>
      <c r="B250" s="8" t="str">
        <f t="shared" ref="B250:B252" si="55">HYPERLINK("https://twitter.com/samueljredman","@samueljredman")</f>
        <v>@samueljredman</v>
      </c>
      <c r="C250" s="9" t="s">
        <v>158</v>
      </c>
      <c r="D250" s="9" t="s">
        <v>380</v>
      </c>
      <c r="E250" s="10" t="str">
        <f>HYPERLINK("https://twitter.com/samueljredman/status/705801176269332480","705801176269332480")</f>
        <v>705801176269332480</v>
      </c>
      <c r="F250" s="11" t="s">
        <v>26</v>
      </c>
      <c r="G250" s="12">
        <v>5623.0</v>
      </c>
      <c r="H250" s="12">
        <v>5355.0</v>
      </c>
      <c r="I250" s="12">
        <v>1.0</v>
      </c>
      <c r="J250" s="12">
        <v>0.0</v>
      </c>
      <c r="K250" s="11" t="s">
        <v>21</v>
      </c>
      <c r="L250" s="7">
        <v>40584.98517361111</v>
      </c>
      <c r="M250" s="13" t="s">
        <v>160</v>
      </c>
      <c r="N250" s="13" t="s">
        <v>161</v>
      </c>
      <c r="O250" s="10" t="str">
        <f t="shared" ref="O250:O252" si="56">HYPERLINK("https://pbs.twimg.com/profile_images/548193870278688768/8Dq7gW3U_normal.png","View")</f>
        <v>View</v>
      </c>
      <c r="P250" s="14"/>
    </row>
    <row r="251">
      <c r="A251" s="7">
        <v>42433.461689814816</v>
      </c>
      <c r="B251" s="8" t="str">
        <f t="shared" si="55"/>
        <v>@samueljredman</v>
      </c>
      <c r="C251" s="9" t="s">
        <v>158</v>
      </c>
      <c r="D251" s="9" t="s">
        <v>381</v>
      </c>
      <c r="E251" s="10" t="str">
        <f>HYPERLINK("https://twitter.com/samueljredman/status/705801185173905408","705801185173905408")</f>
        <v>705801185173905408</v>
      </c>
      <c r="F251" s="11" t="s">
        <v>26</v>
      </c>
      <c r="G251" s="12">
        <v>5623.0</v>
      </c>
      <c r="H251" s="12">
        <v>5355.0</v>
      </c>
      <c r="I251" s="12">
        <v>1.0</v>
      </c>
      <c r="J251" s="12">
        <v>0.0</v>
      </c>
      <c r="K251" s="11" t="s">
        <v>21</v>
      </c>
      <c r="L251" s="7">
        <v>40584.98517361111</v>
      </c>
      <c r="M251" s="13" t="s">
        <v>160</v>
      </c>
      <c r="N251" s="13" t="s">
        <v>161</v>
      </c>
      <c r="O251" s="10" t="str">
        <f t="shared" si="56"/>
        <v>View</v>
      </c>
      <c r="P251" s="14"/>
    </row>
    <row r="252">
      <c r="A252" s="7">
        <v>42433.46177083333</v>
      </c>
      <c r="B252" s="8" t="str">
        <f t="shared" si="55"/>
        <v>@samueljredman</v>
      </c>
      <c r="C252" s="9" t="s">
        <v>158</v>
      </c>
      <c r="D252" s="9" t="s">
        <v>382</v>
      </c>
      <c r="E252" s="10" t="str">
        <f>HYPERLINK("https://twitter.com/samueljredman/status/705801213242175488","705801213242175488")</f>
        <v>705801213242175488</v>
      </c>
      <c r="F252" s="11" t="s">
        <v>26</v>
      </c>
      <c r="G252" s="12">
        <v>5623.0</v>
      </c>
      <c r="H252" s="12">
        <v>5355.0</v>
      </c>
      <c r="I252" s="12">
        <v>1.0</v>
      </c>
      <c r="J252" s="12">
        <v>0.0</v>
      </c>
      <c r="K252" s="11" t="s">
        <v>21</v>
      </c>
      <c r="L252" s="7">
        <v>40584.98517361111</v>
      </c>
      <c r="M252" s="13" t="s">
        <v>160</v>
      </c>
      <c r="N252" s="13" t="s">
        <v>161</v>
      </c>
      <c r="O252" s="10" t="str">
        <f t="shared" si="56"/>
        <v>View</v>
      </c>
      <c r="P252" s="14"/>
    </row>
    <row r="253">
      <c r="A253" s="7">
        <v>42433.4618287037</v>
      </c>
      <c r="B253" s="8" t="str">
        <f>HYPERLINK("https://twitter.com/pastpunditry","@pastpunditry")</f>
        <v>@pastpunditry</v>
      </c>
      <c r="C253" s="9" t="s">
        <v>92</v>
      </c>
      <c r="D253" s="9" t="s">
        <v>383</v>
      </c>
      <c r="E253" s="10" t="str">
        <f>HYPERLINK("https://twitter.com/pastpunditry/status/705801235509714946","705801235509714946")</f>
        <v>705801235509714946</v>
      </c>
      <c r="F253" s="11" t="s">
        <v>77</v>
      </c>
      <c r="G253" s="12">
        <v>890.0</v>
      </c>
      <c r="H253" s="12">
        <v>378.0</v>
      </c>
      <c r="I253" s="12">
        <v>0.0</v>
      </c>
      <c r="J253" s="12">
        <v>1.0</v>
      </c>
      <c r="K253" s="11" t="s">
        <v>21</v>
      </c>
      <c r="L253" s="7">
        <v>40283.384351851855</v>
      </c>
      <c r="M253" s="13" t="s">
        <v>94</v>
      </c>
      <c r="N253" s="13" t="s">
        <v>95</v>
      </c>
      <c r="O253" s="10" t="str">
        <f>HYPERLINK("https://pbs.twimg.com/profile_images/704873222802636800/7aFEMOY5_normal.jpg","View")</f>
        <v>View</v>
      </c>
      <c r="P253" s="14"/>
    </row>
    <row r="254">
      <c r="A254" s="7">
        <v>42433.46203703704</v>
      </c>
      <c r="B254" s="8" t="str">
        <f>HYPERLINK("https://twitter.com/samueljredman","@samueljredman")</f>
        <v>@samueljredman</v>
      </c>
      <c r="C254" s="9" t="s">
        <v>158</v>
      </c>
      <c r="D254" s="9" t="s">
        <v>365</v>
      </c>
      <c r="E254" s="10" t="str">
        <f>HYPERLINK("https://twitter.com/samueljredman/status/705801310201839616","705801310201839616")</f>
        <v>705801310201839616</v>
      </c>
      <c r="F254" s="11" t="s">
        <v>26</v>
      </c>
      <c r="G254" s="12">
        <v>5623.0</v>
      </c>
      <c r="H254" s="12">
        <v>5355.0</v>
      </c>
      <c r="I254" s="12">
        <v>2.0</v>
      </c>
      <c r="J254" s="12">
        <v>0.0</v>
      </c>
      <c r="K254" s="11" t="s">
        <v>21</v>
      </c>
      <c r="L254" s="7">
        <v>40584.98517361111</v>
      </c>
      <c r="M254" s="13" t="s">
        <v>160</v>
      </c>
      <c r="N254" s="13" t="s">
        <v>161</v>
      </c>
      <c r="O254" s="10" t="str">
        <f>HYPERLINK("https://pbs.twimg.com/profile_images/548193870278688768/8Dq7gW3U_normal.png","View")</f>
        <v>View</v>
      </c>
      <c r="P254" s="14"/>
    </row>
    <row r="255">
      <c r="A255" s="7">
        <v>42433.46267361111</v>
      </c>
      <c r="B255" s="8" t="str">
        <f t="shared" ref="B255:B257" si="57">HYPERLINK("https://twitter.com/pastpunditry","@pastpunditry")</f>
        <v>@pastpunditry</v>
      </c>
      <c r="C255" s="9" t="s">
        <v>92</v>
      </c>
      <c r="D255" s="9" t="s">
        <v>384</v>
      </c>
      <c r="E255" s="10" t="str">
        <f>HYPERLINK("https://twitter.com/pastpunditry/status/705801542046244864","705801542046244864")</f>
        <v>705801542046244864</v>
      </c>
      <c r="F255" s="11" t="s">
        <v>77</v>
      </c>
      <c r="G255" s="12">
        <v>890.0</v>
      </c>
      <c r="H255" s="12">
        <v>378.0</v>
      </c>
      <c r="I255" s="12">
        <v>0.0</v>
      </c>
      <c r="J255" s="12">
        <v>1.0</v>
      </c>
      <c r="K255" s="11" t="s">
        <v>21</v>
      </c>
      <c r="L255" s="7">
        <v>40283.384351851855</v>
      </c>
      <c r="M255" s="13" t="s">
        <v>94</v>
      </c>
      <c r="N255" s="13" t="s">
        <v>95</v>
      </c>
      <c r="O255" s="10" t="str">
        <f t="shared" ref="O255:O257" si="58">HYPERLINK("https://pbs.twimg.com/profile_images/704873222802636800/7aFEMOY5_normal.jpg","View")</f>
        <v>View</v>
      </c>
      <c r="P255" s="14"/>
    </row>
    <row r="256">
      <c r="A256" s="7">
        <v>42433.46403935185</v>
      </c>
      <c r="B256" s="8" t="str">
        <f t="shared" si="57"/>
        <v>@pastpunditry</v>
      </c>
      <c r="C256" s="9" t="s">
        <v>92</v>
      </c>
      <c r="D256" s="9" t="s">
        <v>385</v>
      </c>
      <c r="E256" s="10" t="str">
        <f>HYPERLINK("https://twitter.com/pastpunditry/status/705802037976555520","705802037976555520")</f>
        <v>705802037976555520</v>
      </c>
      <c r="F256" s="11" t="s">
        <v>77</v>
      </c>
      <c r="G256" s="12">
        <v>890.0</v>
      </c>
      <c r="H256" s="12">
        <v>378.0</v>
      </c>
      <c r="I256" s="12">
        <v>0.0</v>
      </c>
      <c r="J256" s="12">
        <v>1.0</v>
      </c>
      <c r="K256" s="11" t="s">
        <v>21</v>
      </c>
      <c r="L256" s="7">
        <v>40283.384351851855</v>
      </c>
      <c r="M256" s="13" t="s">
        <v>94</v>
      </c>
      <c r="N256" s="13" t="s">
        <v>95</v>
      </c>
      <c r="O256" s="10" t="str">
        <f t="shared" si="58"/>
        <v>View</v>
      </c>
      <c r="P256" s="14"/>
    </row>
    <row r="257">
      <c r="A257" s="7">
        <v>42433.467199074075</v>
      </c>
      <c r="B257" s="8" t="str">
        <f t="shared" si="57"/>
        <v>@pastpunditry</v>
      </c>
      <c r="C257" s="9" t="s">
        <v>92</v>
      </c>
      <c r="D257" s="9" t="s">
        <v>386</v>
      </c>
      <c r="E257" s="10" t="str">
        <f>HYPERLINK("https://twitter.com/pastpunditry/status/705803183080214529","705803183080214529")</f>
        <v>705803183080214529</v>
      </c>
      <c r="F257" s="11" t="s">
        <v>77</v>
      </c>
      <c r="G257" s="12">
        <v>890.0</v>
      </c>
      <c r="H257" s="12">
        <v>378.0</v>
      </c>
      <c r="I257" s="12">
        <v>2.0</v>
      </c>
      <c r="J257" s="12">
        <v>2.0</v>
      </c>
      <c r="K257" s="11" t="s">
        <v>21</v>
      </c>
      <c r="L257" s="7">
        <v>40283.384351851855</v>
      </c>
      <c r="M257" s="13" t="s">
        <v>94</v>
      </c>
      <c r="N257" s="13" t="s">
        <v>95</v>
      </c>
      <c r="O257" s="10" t="str">
        <f t="shared" si="58"/>
        <v>View</v>
      </c>
      <c r="P257" s="14"/>
    </row>
    <row r="258">
      <c r="A258" s="7">
        <v>42433.468993055554</v>
      </c>
      <c r="B258" s="8" t="str">
        <f>HYPERLINK("https://twitter.com/ATErickson","@ATErickson")</f>
        <v>@ATErickson</v>
      </c>
      <c r="C258" s="9" t="s">
        <v>387</v>
      </c>
      <c r="D258" s="9" t="s">
        <v>388</v>
      </c>
      <c r="E258" s="10" t="str">
        <f>HYPERLINK("https://twitter.com/ATErickson/status/705803830450118656","705803830450118656")</f>
        <v>705803830450118656</v>
      </c>
      <c r="F258" s="11" t="s">
        <v>31</v>
      </c>
      <c r="G258" s="12">
        <v>346.0</v>
      </c>
      <c r="H258" s="12">
        <v>389.0</v>
      </c>
      <c r="I258" s="12">
        <v>1.0</v>
      </c>
      <c r="J258" s="12">
        <v>6.0</v>
      </c>
      <c r="K258" s="11" t="s">
        <v>21</v>
      </c>
      <c r="L258" s="7">
        <v>40120.57623842593</v>
      </c>
      <c r="M258" s="13" t="s">
        <v>389</v>
      </c>
      <c r="N258" s="13" t="s">
        <v>390</v>
      </c>
      <c r="O258" s="10" t="str">
        <f>HYPERLINK("https://pbs.twimg.com/profile_images/686322140753301505/1O3R49E1_normal.jpg","View")</f>
        <v>View</v>
      </c>
      <c r="P258" s="14"/>
    </row>
    <row r="259">
      <c r="A259" s="7">
        <v>42433.46908564815</v>
      </c>
      <c r="B259" s="8" t="str">
        <f>HYPERLINK("https://twitter.com/pastpunditry","@pastpunditry")</f>
        <v>@pastpunditry</v>
      </c>
      <c r="C259" s="9" t="s">
        <v>92</v>
      </c>
      <c r="D259" s="9" t="s">
        <v>391</v>
      </c>
      <c r="E259" s="10" t="str">
        <f>HYPERLINK("https://twitter.com/pastpunditry/status/705803864772059136","705803864772059136")</f>
        <v>705803864772059136</v>
      </c>
      <c r="F259" s="11" t="s">
        <v>77</v>
      </c>
      <c r="G259" s="12">
        <v>890.0</v>
      </c>
      <c r="H259" s="12">
        <v>378.0</v>
      </c>
      <c r="I259" s="12">
        <v>1.0</v>
      </c>
      <c r="J259" s="12">
        <v>0.0</v>
      </c>
      <c r="K259" s="11" t="s">
        <v>21</v>
      </c>
      <c r="L259" s="7">
        <v>40283.384351851855</v>
      </c>
      <c r="M259" s="13" t="s">
        <v>94</v>
      </c>
      <c r="N259" s="13" t="s">
        <v>95</v>
      </c>
      <c r="O259" s="10" t="str">
        <f>HYPERLINK("https://pbs.twimg.com/profile_images/704873222802636800/7aFEMOY5_normal.jpg","View")</f>
        <v>View</v>
      </c>
      <c r="P259" s="14"/>
    </row>
    <row r="260">
      <c r="A260" s="7">
        <v>42433.4691087963</v>
      </c>
      <c r="B260" s="8" t="str">
        <f>HYPERLINK("https://twitter.com/LeahRigueur","@LeahRigueur")</f>
        <v>@LeahRigueur</v>
      </c>
      <c r="C260" s="9" t="s">
        <v>392</v>
      </c>
      <c r="D260" s="9" t="s">
        <v>314</v>
      </c>
      <c r="E260" s="10" t="str">
        <f>HYPERLINK("https://twitter.com/LeahRigueur/status/705803874402177025","705803874402177025")</f>
        <v>705803874402177025</v>
      </c>
      <c r="F260" s="11" t="s">
        <v>393</v>
      </c>
      <c r="G260" s="12">
        <v>1299.0</v>
      </c>
      <c r="H260" s="12">
        <v>815.0</v>
      </c>
      <c r="I260" s="12">
        <v>6.0</v>
      </c>
      <c r="J260" s="12">
        <v>0.0</v>
      </c>
      <c r="K260" s="11" t="s">
        <v>21</v>
      </c>
      <c r="L260" s="7">
        <v>42276.422430555554</v>
      </c>
      <c r="M260" s="13" t="s">
        <v>394</v>
      </c>
      <c r="N260" s="13" t="s">
        <v>395</v>
      </c>
      <c r="O260" s="10" t="str">
        <f>HYPERLINK("https://pbs.twimg.com/profile_images/692379060840824834/ZPgEeZXq_normal.jpg","View")</f>
        <v>View</v>
      </c>
      <c r="P260" s="14"/>
    </row>
    <row r="261">
      <c r="A261" s="7">
        <v>42433.47025462963</v>
      </c>
      <c r="B261" s="8" t="str">
        <f t="shared" ref="B261:B262" si="59">HYPERLINK("https://twitter.com/pastpunditry","@pastpunditry")</f>
        <v>@pastpunditry</v>
      </c>
      <c r="C261" s="9" t="s">
        <v>92</v>
      </c>
      <c r="D261" s="9" t="s">
        <v>396</v>
      </c>
      <c r="E261" s="10" t="str">
        <f>HYPERLINK("https://twitter.com/pastpunditry/status/705804291475378179","705804291475378179")</f>
        <v>705804291475378179</v>
      </c>
      <c r="F261" s="11" t="s">
        <v>77</v>
      </c>
      <c r="G261" s="12">
        <v>890.0</v>
      </c>
      <c r="H261" s="12">
        <v>378.0</v>
      </c>
      <c r="I261" s="12">
        <v>1.0</v>
      </c>
      <c r="J261" s="12">
        <v>2.0</v>
      </c>
      <c r="K261" s="11" t="s">
        <v>21</v>
      </c>
      <c r="L261" s="7">
        <v>40283.384351851855</v>
      </c>
      <c r="M261" s="13" t="s">
        <v>94</v>
      </c>
      <c r="N261" s="13" t="s">
        <v>95</v>
      </c>
      <c r="O261" s="10" t="str">
        <f t="shared" ref="O261:O262" si="60">HYPERLINK("https://pbs.twimg.com/profile_images/704873222802636800/7aFEMOY5_normal.jpg","View")</f>
        <v>View</v>
      </c>
      <c r="P261" s="14"/>
    </row>
    <row r="262">
      <c r="A262" s="7">
        <v>42433.47072916667</v>
      </c>
      <c r="B262" s="8" t="str">
        <f t="shared" si="59"/>
        <v>@pastpunditry</v>
      </c>
      <c r="C262" s="9" t="s">
        <v>92</v>
      </c>
      <c r="D262" s="9" t="s">
        <v>397</v>
      </c>
      <c r="E262" s="10" t="str">
        <f>HYPERLINK("https://twitter.com/pastpunditry/status/705804460002508800","705804460002508800")</f>
        <v>705804460002508800</v>
      </c>
      <c r="F262" s="11" t="s">
        <v>77</v>
      </c>
      <c r="G262" s="12">
        <v>890.0</v>
      </c>
      <c r="H262" s="12">
        <v>378.0</v>
      </c>
      <c r="I262" s="12">
        <v>0.0</v>
      </c>
      <c r="J262" s="12">
        <v>1.0</v>
      </c>
      <c r="K262" s="11" t="s">
        <v>21</v>
      </c>
      <c r="L262" s="7">
        <v>40283.384351851855</v>
      </c>
      <c r="M262" s="13" t="s">
        <v>94</v>
      </c>
      <c r="N262" s="13" t="s">
        <v>95</v>
      </c>
      <c r="O262" s="10" t="str">
        <f t="shared" si="60"/>
        <v>View</v>
      </c>
      <c r="P262" s="14"/>
    </row>
    <row r="263">
      <c r="A263" s="7">
        <v>42433.47101851852</v>
      </c>
      <c r="B263" s="8" t="str">
        <f>HYPERLINK("https://twitter.com/JulieThePH","@JulieThePH")</f>
        <v>@JulieThePH</v>
      </c>
      <c r="C263" s="9" t="s">
        <v>211</v>
      </c>
      <c r="D263" s="9" t="s">
        <v>398</v>
      </c>
      <c r="E263" s="10" t="str">
        <f>HYPERLINK("https://twitter.com/JulieThePH/status/705804565208285184","705804565208285184")</f>
        <v>705804565208285184</v>
      </c>
      <c r="F263" s="11" t="s">
        <v>31</v>
      </c>
      <c r="G263" s="12">
        <v>1234.0</v>
      </c>
      <c r="H263" s="12">
        <v>1386.0</v>
      </c>
      <c r="I263" s="12">
        <v>2.0</v>
      </c>
      <c r="J263" s="12">
        <v>3.0</v>
      </c>
      <c r="K263" s="11" t="s">
        <v>21</v>
      </c>
      <c r="L263" s="7">
        <v>40718.66918981481</v>
      </c>
      <c r="M263" s="13" t="s">
        <v>213</v>
      </c>
      <c r="N263" s="13" t="s">
        <v>214</v>
      </c>
      <c r="O263" s="10" t="str">
        <f>HYPERLINK("https://pbs.twimg.com/profile_images/596509974005686273/AqBblwMR_normal.jpg","View")</f>
        <v>View</v>
      </c>
      <c r="P263" s="14"/>
    </row>
    <row r="264">
      <c r="A264" s="7">
        <v>42433.47107638889</v>
      </c>
      <c r="B264" s="8" t="str">
        <f t="shared" ref="B264:B265" si="61">HYPERLINK("https://twitter.com/pastpunditry","@pastpunditry")</f>
        <v>@pastpunditry</v>
      </c>
      <c r="C264" s="9" t="s">
        <v>92</v>
      </c>
      <c r="D264" s="9" t="s">
        <v>399</v>
      </c>
      <c r="E264" s="10" t="str">
        <f>HYPERLINK("https://twitter.com/pastpunditry/status/705804588692205568","705804588692205568")</f>
        <v>705804588692205568</v>
      </c>
      <c r="F264" s="11" t="s">
        <v>77</v>
      </c>
      <c r="G264" s="12">
        <v>890.0</v>
      </c>
      <c r="H264" s="12">
        <v>378.0</v>
      </c>
      <c r="I264" s="12">
        <v>2.0</v>
      </c>
      <c r="J264" s="12">
        <v>0.0</v>
      </c>
      <c r="K264" s="11" t="s">
        <v>21</v>
      </c>
      <c r="L264" s="7">
        <v>40283.384351851855</v>
      </c>
      <c r="M264" s="13" t="s">
        <v>94</v>
      </c>
      <c r="N264" s="13" t="s">
        <v>95</v>
      </c>
      <c r="O264" s="10" t="str">
        <f t="shared" ref="O264:O265" si="62">HYPERLINK("https://pbs.twimg.com/profile_images/704873222802636800/7aFEMOY5_normal.jpg","View")</f>
        <v>View</v>
      </c>
      <c r="P264" s="14"/>
    </row>
    <row r="265">
      <c r="A265" s="7">
        <v>42433.471655092595</v>
      </c>
      <c r="B265" s="8" t="str">
        <f t="shared" si="61"/>
        <v>@pastpunditry</v>
      </c>
      <c r="C265" s="9" t="s">
        <v>92</v>
      </c>
      <c r="D265" s="9" t="s">
        <v>400</v>
      </c>
      <c r="E265" s="10" t="str">
        <f>HYPERLINK("https://twitter.com/pastpunditry/status/705804796666781696","705804796666781696")</f>
        <v>705804796666781696</v>
      </c>
      <c r="F265" s="11" t="s">
        <v>77</v>
      </c>
      <c r="G265" s="12">
        <v>890.0</v>
      </c>
      <c r="H265" s="12">
        <v>378.0</v>
      </c>
      <c r="I265" s="12">
        <v>5.0</v>
      </c>
      <c r="J265" s="12">
        <v>6.0</v>
      </c>
      <c r="K265" s="11" t="s">
        <v>21</v>
      </c>
      <c r="L265" s="7">
        <v>40283.384351851855</v>
      </c>
      <c r="M265" s="13" t="s">
        <v>94</v>
      </c>
      <c r="N265" s="13" t="s">
        <v>95</v>
      </c>
      <c r="O265" s="10" t="str">
        <f t="shared" si="62"/>
        <v>View</v>
      </c>
      <c r="P265" s="14"/>
    </row>
    <row r="266">
      <c r="A266" s="7">
        <v>42433.472187499996</v>
      </c>
      <c r="B266" s="8" t="str">
        <f>HYPERLINK("https://twitter.com/JulieThePH","@JulieThePH")</f>
        <v>@JulieThePH</v>
      </c>
      <c r="C266" s="9" t="s">
        <v>211</v>
      </c>
      <c r="D266" s="9" t="s">
        <v>401</v>
      </c>
      <c r="E266" s="10" t="str">
        <f>HYPERLINK("https://twitter.com/JulieThePH/status/705804988380016640","705804988380016640")</f>
        <v>705804988380016640</v>
      </c>
      <c r="F266" s="11" t="s">
        <v>31</v>
      </c>
      <c r="G266" s="12">
        <v>1234.0</v>
      </c>
      <c r="H266" s="12">
        <v>1386.0</v>
      </c>
      <c r="I266" s="12">
        <v>0.0</v>
      </c>
      <c r="J266" s="12">
        <v>2.0</v>
      </c>
      <c r="K266" s="11" t="s">
        <v>21</v>
      </c>
      <c r="L266" s="7">
        <v>40718.66918981481</v>
      </c>
      <c r="M266" s="13" t="s">
        <v>213</v>
      </c>
      <c r="N266" s="13" t="s">
        <v>214</v>
      </c>
      <c r="O266" s="10" t="str">
        <f>HYPERLINK("https://pbs.twimg.com/profile_images/596509974005686273/AqBblwMR_normal.jpg","View")</f>
        <v>View</v>
      </c>
      <c r="P266" s="14"/>
    </row>
    <row r="267">
      <c r="A267" s="7">
        <v>42433.47246527778</v>
      </c>
      <c r="B267" s="8" t="str">
        <f>HYPERLINK("https://twitter.com/MarlaAtUmass","@MarlaAtUmass")</f>
        <v>@MarlaAtUmass</v>
      </c>
      <c r="C267" s="9" t="s">
        <v>45</v>
      </c>
      <c r="D267" s="9" t="s">
        <v>402</v>
      </c>
      <c r="E267" s="10" t="str">
        <f>HYPERLINK("https://twitter.com/MarlaAtUmass/status/705805091652116480","705805091652116480")</f>
        <v>705805091652116480</v>
      </c>
      <c r="F267" s="11" t="s">
        <v>31</v>
      </c>
      <c r="G267" s="12">
        <v>1993.0</v>
      </c>
      <c r="H267" s="12">
        <v>1647.0</v>
      </c>
      <c r="I267" s="12">
        <v>2.0</v>
      </c>
      <c r="J267" s="12">
        <v>5.0</v>
      </c>
      <c r="K267" s="11" t="s">
        <v>21</v>
      </c>
      <c r="L267" s="7">
        <v>40125.78074074074</v>
      </c>
      <c r="M267" s="15"/>
      <c r="N267" s="13" t="s">
        <v>47</v>
      </c>
      <c r="O267" s="10" t="str">
        <f>HYPERLINK("https://pbs.twimg.com/profile_images/565429960/Betsy_Twitter_normal.jpg","View")</f>
        <v>View</v>
      </c>
      <c r="P267" s="14"/>
    </row>
    <row r="268">
      <c r="A268" s="7">
        <v>42433.47292824074</v>
      </c>
      <c r="B268" s="8" t="str">
        <f t="shared" ref="B268:B271" si="63">HYPERLINK("https://twitter.com/samueljredman","@samueljredman")</f>
        <v>@samueljredman</v>
      </c>
      <c r="C268" s="9" t="s">
        <v>158</v>
      </c>
      <c r="D268" s="9" t="s">
        <v>373</v>
      </c>
      <c r="E268" s="10" t="str">
        <f>HYPERLINK("https://twitter.com/samueljredman/status/705805259164270592","705805259164270592")</f>
        <v>705805259164270592</v>
      </c>
      <c r="F268" s="11" t="s">
        <v>26</v>
      </c>
      <c r="G268" s="12">
        <v>5623.0</v>
      </c>
      <c r="H268" s="12">
        <v>5355.0</v>
      </c>
      <c r="I268" s="12">
        <v>2.0</v>
      </c>
      <c r="J268" s="12">
        <v>0.0</v>
      </c>
      <c r="K268" s="11" t="s">
        <v>21</v>
      </c>
      <c r="L268" s="7">
        <v>40584.98517361111</v>
      </c>
      <c r="M268" s="13" t="s">
        <v>160</v>
      </c>
      <c r="N268" s="13" t="s">
        <v>161</v>
      </c>
      <c r="O268" s="10" t="str">
        <f t="shared" ref="O268:O271" si="64">HYPERLINK("https://pbs.twimg.com/profile_images/548193870278688768/8Dq7gW3U_normal.png","View")</f>
        <v>View</v>
      </c>
      <c r="P268" s="14"/>
    </row>
    <row r="269">
      <c r="A269" s="7">
        <v>42433.47300925926</v>
      </c>
      <c r="B269" s="8" t="str">
        <f t="shared" si="63"/>
        <v>@samueljredman</v>
      </c>
      <c r="C269" s="9" t="s">
        <v>158</v>
      </c>
      <c r="D269" s="9" t="s">
        <v>356</v>
      </c>
      <c r="E269" s="10" t="str">
        <f>HYPERLINK("https://twitter.com/samueljredman/status/705805288021094401","705805288021094401")</f>
        <v>705805288021094401</v>
      </c>
      <c r="F269" s="11" t="s">
        <v>26</v>
      </c>
      <c r="G269" s="12">
        <v>5623.0</v>
      </c>
      <c r="H269" s="12">
        <v>5355.0</v>
      </c>
      <c r="I269" s="12">
        <v>2.0</v>
      </c>
      <c r="J269" s="12">
        <v>0.0</v>
      </c>
      <c r="K269" s="11" t="s">
        <v>21</v>
      </c>
      <c r="L269" s="7">
        <v>40584.98517361111</v>
      </c>
      <c r="M269" s="13" t="s">
        <v>160</v>
      </c>
      <c r="N269" s="13" t="s">
        <v>161</v>
      </c>
      <c r="O269" s="10" t="str">
        <f t="shared" si="64"/>
        <v>View</v>
      </c>
      <c r="P269" s="14"/>
    </row>
    <row r="270">
      <c r="A270" s="7">
        <v>42433.47310185185</v>
      </c>
      <c r="B270" s="8" t="str">
        <f t="shared" si="63"/>
        <v>@samueljredman</v>
      </c>
      <c r="C270" s="9" t="s">
        <v>158</v>
      </c>
      <c r="D270" s="9" t="s">
        <v>352</v>
      </c>
      <c r="E270" s="10" t="str">
        <f>HYPERLINK("https://twitter.com/samueljredman/status/705805320950521856","705805320950521856")</f>
        <v>705805320950521856</v>
      </c>
      <c r="F270" s="11" t="s">
        <v>26</v>
      </c>
      <c r="G270" s="12">
        <v>5623.0</v>
      </c>
      <c r="H270" s="12">
        <v>5355.0</v>
      </c>
      <c r="I270" s="12">
        <v>3.0</v>
      </c>
      <c r="J270" s="12">
        <v>0.0</v>
      </c>
      <c r="K270" s="11" t="s">
        <v>21</v>
      </c>
      <c r="L270" s="7">
        <v>40584.98517361111</v>
      </c>
      <c r="M270" s="13" t="s">
        <v>160</v>
      </c>
      <c r="N270" s="13" t="s">
        <v>161</v>
      </c>
      <c r="O270" s="10" t="str">
        <f t="shared" si="64"/>
        <v>View</v>
      </c>
      <c r="P270" s="14"/>
    </row>
    <row r="271">
      <c r="A271" s="7">
        <v>42433.47314814814</v>
      </c>
      <c r="B271" s="8" t="str">
        <f t="shared" si="63"/>
        <v>@samueljredman</v>
      </c>
      <c r="C271" s="9" t="s">
        <v>158</v>
      </c>
      <c r="D271" s="9" t="s">
        <v>353</v>
      </c>
      <c r="E271" s="10" t="str">
        <f>HYPERLINK("https://twitter.com/samueljredman/status/705805338063331328","705805338063331328")</f>
        <v>705805338063331328</v>
      </c>
      <c r="F271" s="11" t="s">
        <v>26</v>
      </c>
      <c r="G271" s="12">
        <v>5623.0</v>
      </c>
      <c r="H271" s="12">
        <v>5355.0</v>
      </c>
      <c r="I271" s="12">
        <v>3.0</v>
      </c>
      <c r="J271" s="12">
        <v>0.0</v>
      </c>
      <c r="K271" s="11" t="s">
        <v>21</v>
      </c>
      <c r="L271" s="7">
        <v>40584.98517361111</v>
      </c>
      <c r="M271" s="13" t="s">
        <v>160</v>
      </c>
      <c r="N271" s="13" t="s">
        <v>161</v>
      </c>
      <c r="O271" s="10" t="str">
        <f t="shared" si="64"/>
        <v>View</v>
      </c>
      <c r="P271" s="14"/>
    </row>
    <row r="272">
      <c r="A272" s="7">
        <v>42433.4731712963</v>
      </c>
      <c r="B272" s="8" t="str">
        <f>HYPERLINK("https://twitter.com/pastpunditry","@pastpunditry")</f>
        <v>@pastpunditry</v>
      </c>
      <c r="C272" s="9" t="s">
        <v>92</v>
      </c>
      <c r="D272" s="9" t="s">
        <v>403</v>
      </c>
      <c r="E272" s="10" t="str">
        <f>HYPERLINK("https://twitter.com/pastpunditry/status/705805347504656385","705805347504656385")</f>
        <v>705805347504656385</v>
      </c>
      <c r="F272" s="11" t="s">
        <v>77</v>
      </c>
      <c r="G272" s="12">
        <v>890.0</v>
      </c>
      <c r="H272" s="12">
        <v>378.0</v>
      </c>
      <c r="I272" s="12">
        <v>2.0</v>
      </c>
      <c r="J272" s="12">
        <v>2.0</v>
      </c>
      <c r="K272" s="11" t="s">
        <v>21</v>
      </c>
      <c r="L272" s="7">
        <v>40283.384351851855</v>
      </c>
      <c r="M272" s="13" t="s">
        <v>94</v>
      </c>
      <c r="N272" s="13" t="s">
        <v>95</v>
      </c>
      <c r="O272" s="10" t="str">
        <f>HYPERLINK("https://pbs.twimg.com/profile_images/704873222802636800/7aFEMOY5_normal.jpg","View")</f>
        <v>View</v>
      </c>
      <c r="P272" s="14"/>
    </row>
    <row r="273">
      <c r="A273" s="7">
        <v>42433.47324074074</v>
      </c>
      <c r="B273" s="8" t="str">
        <f t="shared" ref="B273:B275" si="65">HYPERLINK("https://twitter.com/samueljredman","@samueljredman")</f>
        <v>@samueljredman</v>
      </c>
      <c r="C273" s="9" t="s">
        <v>158</v>
      </c>
      <c r="D273" s="9" t="s">
        <v>404</v>
      </c>
      <c r="E273" s="10" t="str">
        <f>HYPERLINK("https://twitter.com/samueljredman/status/705805370153967616","705805370153967616")</f>
        <v>705805370153967616</v>
      </c>
      <c r="F273" s="11" t="s">
        <v>26</v>
      </c>
      <c r="G273" s="12">
        <v>5623.0</v>
      </c>
      <c r="H273" s="12">
        <v>5355.0</v>
      </c>
      <c r="I273" s="12">
        <v>1.0</v>
      </c>
      <c r="J273" s="12">
        <v>0.0</v>
      </c>
      <c r="K273" s="11" t="s">
        <v>21</v>
      </c>
      <c r="L273" s="7">
        <v>40584.98517361111</v>
      </c>
      <c r="M273" s="13" t="s">
        <v>160</v>
      </c>
      <c r="N273" s="13" t="s">
        <v>161</v>
      </c>
      <c r="O273" s="10" t="str">
        <f t="shared" ref="O273:O275" si="66">HYPERLINK("https://pbs.twimg.com/profile_images/548193870278688768/8Dq7gW3U_normal.png","View")</f>
        <v>View</v>
      </c>
      <c r="P273" s="14"/>
    </row>
    <row r="274">
      <c r="A274" s="7">
        <v>42433.47329861111</v>
      </c>
      <c r="B274" s="8" t="str">
        <f t="shared" si="65"/>
        <v>@samueljredman</v>
      </c>
      <c r="C274" s="9" t="s">
        <v>158</v>
      </c>
      <c r="D274" s="9" t="s">
        <v>339</v>
      </c>
      <c r="E274" s="10" t="str">
        <f>HYPERLINK("https://twitter.com/samueljredman/status/705805392547291136","705805392547291136")</f>
        <v>705805392547291136</v>
      </c>
      <c r="F274" s="11" t="s">
        <v>26</v>
      </c>
      <c r="G274" s="12">
        <v>5623.0</v>
      </c>
      <c r="H274" s="12">
        <v>5355.0</v>
      </c>
      <c r="I274" s="12">
        <v>6.0</v>
      </c>
      <c r="J274" s="12">
        <v>0.0</v>
      </c>
      <c r="K274" s="11" t="s">
        <v>21</v>
      </c>
      <c r="L274" s="7">
        <v>40584.98517361111</v>
      </c>
      <c r="M274" s="13" t="s">
        <v>160</v>
      </c>
      <c r="N274" s="13" t="s">
        <v>161</v>
      </c>
      <c r="O274" s="10" t="str">
        <f t="shared" si="66"/>
        <v>View</v>
      </c>
      <c r="P274" s="14"/>
    </row>
    <row r="275">
      <c r="A275" s="7">
        <v>42433.474074074074</v>
      </c>
      <c r="B275" s="8" t="str">
        <f t="shared" si="65"/>
        <v>@samueljredman</v>
      </c>
      <c r="C275" s="9" t="s">
        <v>158</v>
      </c>
      <c r="D275" s="9" t="s">
        <v>405</v>
      </c>
      <c r="E275" s="10" t="str">
        <f>HYPERLINK("https://twitter.com/samueljredman/status/705805672529666049","705805672529666049")</f>
        <v>705805672529666049</v>
      </c>
      <c r="F275" s="11" t="s">
        <v>26</v>
      </c>
      <c r="G275" s="12">
        <v>5623.0</v>
      </c>
      <c r="H275" s="12">
        <v>5355.0</v>
      </c>
      <c r="I275" s="12">
        <v>1.0</v>
      </c>
      <c r="J275" s="12">
        <v>2.0</v>
      </c>
      <c r="K275" s="11" t="s">
        <v>21</v>
      </c>
      <c r="L275" s="7">
        <v>40584.98517361111</v>
      </c>
      <c r="M275" s="13" t="s">
        <v>160</v>
      </c>
      <c r="N275" s="13" t="s">
        <v>161</v>
      </c>
      <c r="O275" s="10" t="str">
        <f t="shared" si="66"/>
        <v>View</v>
      </c>
      <c r="P275" s="14"/>
    </row>
    <row r="276">
      <c r="A276" s="7">
        <v>42433.47409722222</v>
      </c>
      <c r="B276" s="8" t="str">
        <f>HYPERLINK("https://twitter.com/mille24c","@mille24c")</f>
        <v>@mille24c</v>
      </c>
      <c r="C276" s="9" t="s">
        <v>115</v>
      </c>
      <c r="D276" s="9" t="s">
        <v>406</v>
      </c>
      <c r="E276" s="10" t="str">
        <f>HYPERLINK("https://twitter.com/mille24c/status/705805684147937281","705805684147937281")</f>
        <v>705805684147937281</v>
      </c>
      <c r="F276" s="11" t="s">
        <v>31</v>
      </c>
      <c r="G276" s="12">
        <v>208.0</v>
      </c>
      <c r="H276" s="12">
        <v>297.0</v>
      </c>
      <c r="I276" s="12">
        <v>5.0</v>
      </c>
      <c r="J276" s="12">
        <v>0.0</v>
      </c>
      <c r="K276" s="11" t="s">
        <v>21</v>
      </c>
      <c r="L276" s="7">
        <v>39864.79206018519</v>
      </c>
      <c r="M276" s="13" t="s">
        <v>22</v>
      </c>
      <c r="N276" s="13" t="s">
        <v>117</v>
      </c>
      <c r="O276" s="10" t="str">
        <f>HYPERLINK("https://pbs.twimg.com/profile_images/676362182020481024/P0kyLli1_normal.jpg","View")</f>
        <v>View</v>
      </c>
      <c r="P276" s="14"/>
    </row>
    <row r="277">
      <c r="A277" s="7">
        <v>42433.47429398148</v>
      </c>
      <c r="B277" s="8" t="str">
        <f>HYPERLINK("https://twitter.com/pastpunditry","@pastpunditry")</f>
        <v>@pastpunditry</v>
      </c>
      <c r="C277" s="9" t="s">
        <v>92</v>
      </c>
      <c r="D277" s="9" t="s">
        <v>407</v>
      </c>
      <c r="E277" s="10" t="str">
        <f>HYPERLINK("https://twitter.com/pastpunditry/status/705805752280227843","705805752280227843")</f>
        <v>705805752280227843</v>
      </c>
      <c r="F277" s="11" t="s">
        <v>77</v>
      </c>
      <c r="G277" s="12">
        <v>890.0</v>
      </c>
      <c r="H277" s="12">
        <v>378.0</v>
      </c>
      <c r="I277" s="12">
        <v>1.0</v>
      </c>
      <c r="J277" s="12">
        <v>0.0</v>
      </c>
      <c r="K277" s="11" t="s">
        <v>21</v>
      </c>
      <c r="L277" s="7">
        <v>40283.384351851855</v>
      </c>
      <c r="M277" s="13" t="s">
        <v>94</v>
      </c>
      <c r="N277" s="13" t="s">
        <v>95</v>
      </c>
      <c r="O277" s="10" t="str">
        <f>HYPERLINK("https://pbs.twimg.com/profile_images/704873222802636800/7aFEMOY5_normal.jpg","View")</f>
        <v>View</v>
      </c>
      <c r="P277" s="14"/>
    </row>
    <row r="278">
      <c r="A278" s="7">
        <v>42433.474699074075</v>
      </c>
      <c r="B278" s="8" t="str">
        <f>HYPERLINK("https://twitter.com/samueljredman","@samueljredman")</f>
        <v>@samueljredman</v>
      </c>
      <c r="C278" s="9" t="s">
        <v>158</v>
      </c>
      <c r="D278" s="9" t="s">
        <v>408</v>
      </c>
      <c r="E278" s="10" t="str">
        <f>HYPERLINK("https://twitter.com/samueljredman/status/705805901702283264","705805901702283264")</f>
        <v>705805901702283264</v>
      </c>
      <c r="F278" s="11" t="s">
        <v>26</v>
      </c>
      <c r="G278" s="12">
        <v>5623.0</v>
      </c>
      <c r="H278" s="12">
        <v>5355.0</v>
      </c>
      <c r="I278" s="12">
        <v>0.0</v>
      </c>
      <c r="J278" s="12">
        <v>2.0</v>
      </c>
      <c r="K278" s="11" t="s">
        <v>21</v>
      </c>
      <c r="L278" s="7">
        <v>40584.98517361111</v>
      </c>
      <c r="M278" s="13" t="s">
        <v>160</v>
      </c>
      <c r="N278" s="13" t="s">
        <v>161</v>
      </c>
      <c r="O278" s="10" t="str">
        <f>HYPERLINK("https://pbs.twimg.com/profile_images/548193870278688768/8Dq7gW3U_normal.png","View")</f>
        <v>View</v>
      </c>
      <c r="P278" s="14"/>
    </row>
    <row r="279">
      <c r="A279" s="7">
        <v>42433.47724537037</v>
      </c>
      <c r="B279" s="8" t="str">
        <f>HYPERLINK("https://twitter.com/pastpunditry","@pastpunditry")</f>
        <v>@pastpunditry</v>
      </c>
      <c r="C279" s="9" t="s">
        <v>92</v>
      </c>
      <c r="D279" s="9" t="s">
        <v>409</v>
      </c>
      <c r="E279" s="10" t="str">
        <f>HYPERLINK("https://twitter.com/pastpunditry/status/705806820879810561","705806820879810561")</f>
        <v>705806820879810561</v>
      </c>
      <c r="F279" s="11" t="s">
        <v>77</v>
      </c>
      <c r="G279" s="12">
        <v>890.0</v>
      </c>
      <c r="H279" s="12">
        <v>378.0</v>
      </c>
      <c r="I279" s="12">
        <v>1.0</v>
      </c>
      <c r="J279" s="12">
        <v>2.0</v>
      </c>
      <c r="K279" s="11" t="s">
        <v>21</v>
      </c>
      <c r="L279" s="7">
        <v>40283.384351851855</v>
      </c>
      <c r="M279" s="13" t="s">
        <v>94</v>
      </c>
      <c r="N279" s="13" t="s">
        <v>95</v>
      </c>
      <c r="O279" s="10" t="str">
        <f>HYPERLINK("https://pbs.twimg.com/profile_images/704873222802636800/7aFEMOY5_normal.jpg","View")</f>
        <v>View</v>
      </c>
      <c r="P279" s="14"/>
    </row>
    <row r="280">
      <c r="A280" s="7">
        <v>42433.47739583333</v>
      </c>
      <c r="B280" s="8" t="str">
        <f t="shared" ref="B280:B283" si="67">HYPERLINK("https://twitter.com/jamiaw","@jamiaw")</f>
        <v>@jamiaw</v>
      </c>
      <c r="C280" s="9" t="s">
        <v>324</v>
      </c>
      <c r="D280" s="9" t="s">
        <v>410</v>
      </c>
      <c r="E280" s="10" t="str">
        <f>HYPERLINK("https://twitter.com/jamiaw/status/705806877221920768","705806877221920768")</f>
        <v>705806877221920768</v>
      </c>
      <c r="F280" s="11" t="s">
        <v>26</v>
      </c>
      <c r="G280" s="12">
        <v>11335.0</v>
      </c>
      <c r="H280" s="12">
        <v>7815.0</v>
      </c>
      <c r="I280" s="12">
        <v>4.0</v>
      </c>
      <c r="J280" s="12">
        <v>3.0</v>
      </c>
      <c r="K280" s="11" t="s">
        <v>21</v>
      </c>
      <c r="L280" s="7">
        <v>39642.39741898148</v>
      </c>
      <c r="M280" s="13" t="s">
        <v>325</v>
      </c>
      <c r="N280" s="13" t="s">
        <v>326</v>
      </c>
      <c r="O280" s="10" t="str">
        <f t="shared" ref="O280:O283" si="68">HYPERLINK("https://pbs.twimg.com/profile_images/701102020061753344/5zH70uem_normal.jpg","View")</f>
        <v>View</v>
      </c>
      <c r="P280" s="14"/>
    </row>
    <row r="281">
      <c r="A281" s="7">
        <v>42433.47746527778</v>
      </c>
      <c r="B281" s="8" t="str">
        <f t="shared" si="67"/>
        <v>@jamiaw</v>
      </c>
      <c r="C281" s="9" t="s">
        <v>324</v>
      </c>
      <c r="D281" s="9" t="s">
        <v>411</v>
      </c>
      <c r="E281" s="10" t="str">
        <f>HYPERLINK("https://twitter.com/jamiaw/status/705806900743557120","705806900743557120")</f>
        <v>705806900743557120</v>
      </c>
      <c r="F281" s="11" t="s">
        <v>26</v>
      </c>
      <c r="G281" s="12">
        <v>11335.0</v>
      </c>
      <c r="H281" s="12">
        <v>7815.0</v>
      </c>
      <c r="I281" s="12">
        <v>2.0</v>
      </c>
      <c r="J281" s="12">
        <v>0.0</v>
      </c>
      <c r="K281" s="11" t="s">
        <v>21</v>
      </c>
      <c r="L281" s="7">
        <v>39642.39741898148</v>
      </c>
      <c r="M281" s="13" t="s">
        <v>325</v>
      </c>
      <c r="N281" s="13" t="s">
        <v>326</v>
      </c>
      <c r="O281" s="10" t="str">
        <f t="shared" si="68"/>
        <v>View</v>
      </c>
      <c r="P281" s="14"/>
    </row>
    <row r="282">
      <c r="A282" s="7">
        <v>42433.47788194445</v>
      </c>
      <c r="B282" s="8" t="str">
        <f t="shared" si="67"/>
        <v>@jamiaw</v>
      </c>
      <c r="C282" s="9" t="s">
        <v>324</v>
      </c>
      <c r="D282" s="9" t="s">
        <v>412</v>
      </c>
      <c r="E282" s="10" t="str">
        <f>HYPERLINK("https://twitter.com/jamiaw/status/705807052657053698","705807052657053698")</f>
        <v>705807052657053698</v>
      </c>
      <c r="F282" s="11" t="s">
        <v>26</v>
      </c>
      <c r="G282" s="12">
        <v>11335.0</v>
      </c>
      <c r="H282" s="12">
        <v>7815.0</v>
      </c>
      <c r="I282" s="12">
        <v>2.0</v>
      </c>
      <c r="J282" s="12">
        <v>0.0</v>
      </c>
      <c r="K282" s="11" t="s">
        <v>21</v>
      </c>
      <c r="L282" s="7">
        <v>39642.39741898148</v>
      </c>
      <c r="M282" s="13" t="s">
        <v>325</v>
      </c>
      <c r="N282" s="13" t="s">
        <v>326</v>
      </c>
      <c r="O282" s="10" t="str">
        <f t="shared" si="68"/>
        <v>View</v>
      </c>
      <c r="P282" s="14"/>
    </row>
    <row r="283">
      <c r="A283" s="7">
        <v>42433.4780787037</v>
      </c>
      <c r="B283" s="8" t="str">
        <f t="shared" si="67"/>
        <v>@jamiaw</v>
      </c>
      <c r="C283" s="9" t="s">
        <v>324</v>
      </c>
      <c r="D283" s="9" t="s">
        <v>413</v>
      </c>
      <c r="E283" s="10" t="str">
        <f>HYPERLINK("https://twitter.com/jamiaw/status/705807125608599556","705807125608599556")</f>
        <v>705807125608599556</v>
      </c>
      <c r="F283" s="11" t="s">
        <v>26</v>
      </c>
      <c r="G283" s="12">
        <v>11335.0</v>
      </c>
      <c r="H283" s="12">
        <v>7815.0</v>
      </c>
      <c r="I283" s="12">
        <v>2.0</v>
      </c>
      <c r="J283" s="12">
        <v>0.0</v>
      </c>
      <c r="K283" s="11" t="s">
        <v>21</v>
      </c>
      <c r="L283" s="7">
        <v>39642.39741898148</v>
      </c>
      <c r="M283" s="13" t="s">
        <v>325</v>
      </c>
      <c r="N283" s="13" t="s">
        <v>326</v>
      </c>
      <c r="O283" s="10" t="str">
        <f t="shared" si="68"/>
        <v>View</v>
      </c>
      <c r="P283" s="14"/>
    </row>
    <row r="284">
      <c r="A284" s="7">
        <v>42433.478101851855</v>
      </c>
      <c r="B284" s="8" t="str">
        <f>HYPERLINK("https://twitter.com/GHAUmass","@GHAUmass")</f>
        <v>@GHAUmass</v>
      </c>
      <c r="C284" s="9" t="s">
        <v>30</v>
      </c>
      <c r="D284" s="9" t="s">
        <v>414</v>
      </c>
      <c r="E284" s="10" t="str">
        <f>HYPERLINK("https://twitter.com/GHAUmass/status/705807131711250432","705807131711250432")</f>
        <v>705807131711250432</v>
      </c>
      <c r="F284" s="11" t="s">
        <v>26</v>
      </c>
      <c r="G284" s="12">
        <v>68.0</v>
      </c>
      <c r="H284" s="12">
        <v>100.0</v>
      </c>
      <c r="I284" s="12">
        <v>1.0</v>
      </c>
      <c r="J284" s="12">
        <v>0.0</v>
      </c>
      <c r="K284" s="11" t="s">
        <v>21</v>
      </c>
      <c r="L284" s="7">
        <v>42152.65289351852</v>
      </c>
      <c r="M284" s="13" t="s">
        <v>22</v>
      </c>
      <c r="N284" s="13" t="s">
        <v>32</v>
      </c>
      <c r="O284" s="10" t="str">
        <f>HYPERLINK("https://pbs.twimg.com/profile_images/604060333590855682/Fk6r1D7d_normal.jpg","View")</f>
        <v>View</v>
      </c>
      <c r="P284" s="14"/>
    </row>
    <row r="285">
      <c r="A285" s="7">
        <v>42433.478217592594</v>
      </c>
      <c r="B285" s="8" t="str">
        <f t="shared" ref="B285:B286" si="69">HYPERLINK("https://twitter.com/jamiaw","@jamiaw")</f>
        <v>@jamiaw</v>
      </c>
      <c r="C285" s="9" t="s">
        <v>324</v>
      </c>
      <c r="D285" s="9" t="s">
        <v>406</v>
      </c>
      <c r="E285" s="10" t="str">
        <f>HYPERLINK("https://twitter.com/jamiaw/status/705807175613030401","705807175613030401")</f>
        <v>705807175613030401</v>
      </c>
      <c r="F285" s="11" t="s">
        <v>26</v>
      </c>
      <c r="G285" s="12">
        <v>11335.0</v>
      </c>
      <c r="H285" s="12">
        <v>7815.0</v>
      </c>
      <c r="I285" s="12">
        <v>5.0</v>
      </c>
      <c r="J285" s="12">
        <v>0.0</v>
      </c>
      <c r="K285" s="11" t="s">
        <v>21</v>
      </c>
      <c r="L285" s="7">
        <v>39642.39741898148</v>
      </c>
      <c r="M285" s="13" t="s">
        <v>325</v>
      </c>
      <c r="N285" s="13" t="s">
        <v>326</v>
      </c>
      <c r="O285" s="10" t="str">
        <f t="shared" ref="O285:O286" si="70">HYPERLINK("https://pbs.twimg.com/profile_images/701102020061753344/5zH70uem_normal.jpg","View")</f>
        <v>View</v>
      </c>
      <c r="P285" s="14"/>
    </row>
    <row r="286">
      <c r="A286" s="7">
        <v>42433.47827546296</v>
      </c>
      <c r="B286" s="8" t="str">
        <f t="shared" si="69"/>
        <v>@jamiaw</v>
      </c>
      <c r="C286" s="9" t="s">
        <v>324</v>
      </c>
      <c r="D286" s="9" t="s">
        <v>399</v>
      </c>
      <c r="E286" s="10" t="str">
        <f>HYPERLINK("https://twitter.com/jamiaw/status/705807196332883969","705807196332883969")</f>
        <v>705807196332883969</v>
      </c>
      <c r="F286" s="11" t="s">
        <v>26</v>
      </c>
      <c r="G286" s="12">
        <v>11335.0</v>
      </c>
      <c r="H286" s="12">
        <v>7815.0</v>
      </c>
      <c r="I286" s="12">
        <v>2.0</v>
      </c>
      <c r="J286" s="12">
        <v>0.0</v>
      </c>
      <c r="K286" s="11" t="s">
        <v>21</v>
      </c>
      <c r="L286" s="7">
        <v>39642.39741898148</v>
      </c>
      <c r="M286" s="13" t="s">
        <v>325</v>
      </c>
      <c r="N286" s="13" t="s">
        <v>326</v>
      </c>
      <c r="O286" s="10" t="str">
        <f t="shared" si="70"/>
        <v>View</v>
      </c>
      <c r="P286" s="14"/>
    </row>
    <row r="287">
      <c r="A287" s="7">
        <v>42433.4783449074</v>
      </c>
      <c r="B287" s="8" t="str">
        <f>HYPERLINK("https://twitter.com/GHAUmass","@GHAUmass")</f>
        <v>@GHAUmass</v>
      </c>
      <c r="C287" s="9" t="s">
        <v>30</v>
      </c>
      <c r="D287" s="9" t="s">
        <v>415</v>
      </c>
      <c r="E287" s="10" t="str">
        <f>HYPERLINK("https://twitter.com/GHAUmass/status/705807221775585281","705807221775585281")</f>
        <v>705807221775585281</v>
      </c>
      <c r="F287" s="11" t="s">
        <v>26</v>
      </c>
      <c r="G287" s="12">
        <v>68.0</v>
      </c>
      <c r="H287" s="12">
        <v>100.0</v>
      </c>
      <c r="I287" s="12">
        <v>1.0</v>
      </c>
      <c r="J287" s="12">
        <v>0.0</v>
      </c>
      <c r="K287" s="11" t="s">
        <v>21</v>
      </c>
      <c r="L287" s="7">
        <v>42152.65289351852</v>
      </c>
      <c r="M287" s="13" t="s">
        <v>22</v>
      </c>
      <c r="N287" s="13" t="s">
        <v>32</v>
      </c>
      <c r="O287" s="10" t="str">
        <f>HYPERLINK("https://pbs.twimg.com/profile_images/604060333590855682/Fk6r1D7d_normal.jpg","View")</f>
        <v>View</v>
      </c>
      <c r="P287" s="14"/>
    </row>
    <row r="288">
      <c r="A288" s="7">
        <v>42433.478356481486</v>
      </c>
      <c r="B288" s="8" t="str">
        <f>HYPERLINK("https://twitter.com/jamiaw","@jamiaw")</f>
        <v>@jamiaw</v>
      </c>
      <c r="C288" s="9" t="s">
        <v>324</v>
      </c>
      <c r="D288" s="9" t="s">
        <v>416</v>
      </c>
      <c r="E288" s="10" t="str">
        <f>HYPERLINK("https://twitter.com/jamiaw/status/705807225265242112","705807225265242112")</f>
        <v>705807225265242112</v>
      </c>
      <c r="F288" s="11" t="s">
        <v>26</v>
      </c>
      <c r="G288" s="12">
        <v>11335.0</v>
      </c>
      <c r="H288" s="12">
        <v>7815.0</v>
      </c>
      <c r="I288" s="12">
        <v>1.0</v>
      </c>
      <c r="J288" s="12">
        <v>0.0</v>
      </c>
      <c r="K288" s="11" t="s">
        <v>21</v>
      </c>
      <c r="L288" s="7">
        <v>39642.39741898148</v>
      </c>
      <c r="M288" s="13" t="s">
        <v>325</v>
      </c>
      <c r="N288" s="13" t="s">
        <v>326</v>
      </c>
      <c r="O288" s="10" t="str">
        <f>HYPERLINK("https://pbs.twimg.com/profile_images/701102020061753344/5zH70uem_normal.jpg","View")</f>
        <v>View</v>
      </c>
      <c r="P288" s="14"/>
    </row>
    <row r="289">
      <c r="A289" s="7">
        <v>42433.4784375</v>
      </c>
      <c r="B289" s="8" t="str">
        <f>HYPERLINK("https://twitter.com/JenHoward","@JenHoward")</f>
        <v>@JenHoward</v>
      </c>
      <c r="C289" s="9" t="s">
        <v>294</v>
      </c>
      <c r="D289" s="9" t="s">
        <v>417</v>
      </c>
      <c r="E289" s="10" t="str">
        <f>HYPERLINK("https://twitter.com/JenHoward/status/705807255699070976","705807255699070976")</f>
        <v>705807255699070976</v>
      </c>
      <c r="F289" s="11" t="s">
        <v>31</v>
      </c>
      <c r="G289" s="12">
        <v>7938.0</v>
      </c>
      <c r="H289" s="12">
        <v>1403.0</v>
      </c>
      <c r="I289" s="12">
        <v>4.0</v>
      </c>
      <c r="J289" s="12">
        <v>3.0</v>
      </c>
      <c r="K289" s="11" t="s">
        <v>21</v>
      </c>
      <c r="L289" s="7">
        <v>39687.58096064815</v>
      </c>
      <c r="M289" s="13" t="s">
        <v>295</v>
      </c>
      <c r="N289" s="13" t="s">
        <v>296</v>
      </c>
      <c r="O289" s="10" t="str">
        <f>HYPERLINK("https://pbs.twimg.com/profile_images/59085983/LelaCatPicture_normal.jpg","View")</f>
        <v>View</v>
      </c>
      <c r="P289" s="14"/>
    </row>
    <row r="290">
      <c r="A290" s="7">
        <v>42433.478483796294</v>
      </c>
      <c r="B290" s="8" t="str">
        <f t="shared" ref="B290:B291" si="71">HYPERLINK("https://twitter.com/samueljredman","@samueljredman")</f>
        <v>@samueljredman</v>
      </c>
      <c r="C290" s="9" t="s">
        <v>158</v>
      </c>
      <c r="D290" s="9" t="s">
        <v>418</v>
      </c>
      <c r="E290" s="10" t="str">
        <f>HYPERLINK("https://twitter.com/samueljredman/status/705807272799293440","705807272799293440")</f>
        <v>705807272799293440</v>
      </c>
      <c r="F290" s="11" t="s">
        <v>26</v>
      </c>
      <c r="G290" s="12">
        <v>5623.0</v>
      </c>
      <c r="H290" s="12">
        <v>5355.0</v>
      </c>
      <c r="I290" s="12">
        <v>4.0</v>
      </c>
      <c r="J290" s="12">
        <v>0.0</v>
      </c>
      <c r="K290" s="11" t="s">
        <v>21</v>
      </c>
      <c r="L290" s="7">
        <v>40584.98517361111</v>
      </c>
      <c r="M290" s="13" t="s">
        <v>160</v>
      </c>
      <c r="N290" s="13" t="s">
        <v>161</v>
      </c>
      <c r="O290" s="10" t="str">
        <f t="shared" ref="O290:O291" si="72">HYPERLINK("https://pbs.twimg.com/profile_images/548193870278688768/8Dq7gW3U_normal.png","View")</f>
        <v>View</v>
      </c>
      <c r="P290" s="14"/>
    </row>
    <row r="291">
      <c r="A291" s="7">
        <v>42433.47856481481</v>
      </c>
      <c r="B291" s="8" t="str">
        <f t="shared" si="71"/>
        <v>@samueljredman</v>
      </c>
      <c r="C291" s="9" t="s">
        <v>158</v>
      </c>
      <c r="D291" s="9" t="s">
        <v>413</v>
      </c>
      <c r="E291" s="10" t="str">
        <f>HYPERLINK("https://twitter.com/samueljredman/status/705807299361771520","705807299361771520")</f>
        <v>705807299361771520</v>
      </c>
      <c r="F291" s="11" t="s">
        <v>26</v>
      </c>
      <c r="G291" s="12">
        <v>5623.0</v>
      </c>
      <c r="H291" s="12">
        <v>5355.0</v>
      </c>
      <c r="I291" s="12">
        <v>2.0</v>
      </c>
      <c r="J291" s="12">
        <v>0.0</v>
      </c>
      <c r="K291" s="11" t="s">
        <v>21</v>
      </c>
      <c r="L291" s="7">
        <v>40584.98517361111</v>
      </c>
      <c r="M291" s="13" t="s">
        <v>160</v>
      </c>
      <c r="N291" s="13" t="s">
        <v>161</v>
      </c>
      <c r="O291" s="10" t="str">
        <f t="shared" si="72"/>
        <v>View</v>
      </c>
      <c r="P291" s="14"/>
    </row>
    <row r="292">
      <c r="A292" s="7">
        <v>42433.47861111111</v>
      </c>
      <c r="B292" s="8" t="str">
        <f>HYPERLINK("https://twitter.com/sarahrusso","@sarahrusso")</f>
        <v>@sarahrusso</v>
      </c>
      <c r="C292" s="9" t="s">
        <v>419</v>
      </c>
      <c r="D292" s="9" t="s">
        <v>420</v>
      </c>
      <c r="E292" s="10" t="str">
        <f>HYPERLINK("https://twitter.com/sarahrusso/status/705807318601048064","705807318601048064")</f>
        <v>705807318601048064</v>
      </c>
      <c r="F292" s="11" t="s">
        <v>77</v>
      </c>
      <c r="G292" s="12">
        <v>2342.0</v>
      </c>
      <c r="H292" s="12">
        <v>2216.0</v>
      </c>
      <c r="I292" s="12">
        <v>4.0</v>
      </c>
      <c r="J292" s="12">
        <v>0.0</v>
      </c>
      <c r="K292" s="11" t="s">
        <v>21</v>
      </c>
      <c r="L292" s="7">
        <v>39701.5459375</v>
      </c>
      <c r="M292" s="13" t="s">
        <v>421</v>
      </c>
      <c r="N292" s="13" t="s">
        <v>422</v>
      </c>
      <c r="O292" s="10" t="str">
        <f>HYPERLINK("https://pbs.twimg.com/profile_images/667027466213531649/GAEMhY43_normal.jpg","View")</f>
        <v>View</v>
      </c>
      <c r="P292" s="14"/>
    </row>
    <row r="293">
      <c r="A293" s="7">
        <v>42433.478749999995</v>
      </c>
      <c r="B293" s="8" t="str">
        <f>HYPERLINK("https://twitter.com/pastpunditry","@pastpunditry")</f>
        <v>@pastpunditry</v>
      </c>
      <c r="C293" s="9" t="s">
        <v>92</v>
      </c>
      <c r="D293" s="9" t="s">
        <v>423</v>
      </c>
      <c r="E293" s="10" t="str">
        <f>HYPERLINK("https://twitter.com/pastpunditry/status/705807367905091584","705807367905091584")</f>
        <v>705807367905091584</v>
      </c>
      <c r="F293" s="11" t="s">
        <v>77</v>
      </c>
      <c r="G293" s="12">
        <v>890.0</v>
      </c>
      <c r="H293" s="12">
        <v>378.0</v>
      </c>
      <c r="I293" s="12">
        <v>2.0</v>
      </c>
      <c r="J293" s="12">
        <v>1.0</v>
      </c>
      <c r="K293" s="11" t="s">
        <v>21</v>
      </c>
      <c r="L293" s="7">
        <v>40283.384351851855</v>
      </c>
      <c r="M293" s="13" t="s">
        <v>94</v>
      </c>
      <c r="N293" s="13" t="s">
        <v>95</v>
      </c>
      <c r="O293" s="10" t="str">
        <f>HYPERLINK("https://pbs.twimg.com/profile_images/704873222802636800/7aFEMOY5_normal.jpg","View")</f>
        <v>View</v>
      </c>
      <c r="P293" s="14"/>
    </row>
    <row r="294">
      <c r="A294" s="7">
        <v>42433.479097222225</v>
      </c>
      <c r="B294" s="8" t="str">
        <f>HYPERLINK("https://twitter.com/jamiaw","@jamiaw")</f>
        <v>@jamiaw</v>
      </c>
      <c r="C294" s="9" t="s">
        <v>324</v>
      </c>
      <c r="D294" s="9" t="s">
        <v>424</v>
      </c>
      <c r="E294" s="10" t="str">
        <f>HYPERLINK("https://twitter.com/jamiaw/status/705807492870234112","705807492870234112")</f>
        <v>705807492870234112</v>
      </c>
      <c r="F294" s="11" t="s">
        <v>26</v>
      </c>
      <c r="G294" s="12">
        <v>11335.0</v>
      </c>
      <c r="H294" s="12">
        <v>7815.0</v>
      </c>
      <c r="I294" s="12">
        <v>1.0</v>
      </c>
      <c r="J294" s="12">
        <v>0.0</v>
      </c>
      <c r="K294" s="11" t="s">
        <v>21</v>
      </c>
      <c r="L294" s="7">
        <v>39642.39741898148</v>
      </c>
      <c r="M294" s="13" t="s">
        <v>325</v>
      </c>
      <c r="N294" s="13" t="s">
        <v>326</v>
      </c>
      <c r="O294" s="10" t="str">
        <f>HYPERLINK("https://pbs.twimg.com/profile_images/701102020061753344/5zH70uem_normal.jpg","View")</f>
        <v>View</v>
      </c>
      <c r="P294" s="14"/>
    </row>
    <row r="295">
      <c r="A295" s="7">
        <v>42433.47916666667</v>
      </c>
      <c r="B295" s="8" t="str">
        <f>HYPERLINK("https://twitter.com/pastpunditry","@pastpunditry")</f>
        <v>@pastpunditry</v>
      </c>
      <c r="C295" s="9" t="s">
        <v>92</v>
      </c>
      <c r="D295" s="9" t="s">
        <v>420</v>
      </c>
      <c r="E295" s="10" t="str">
        <f>HYPERLINK("https://twitter.com/pastpunditry/status/705807518920998912","705807518920998912")</f>
        <v>705807518920998912</v>
      </c>
      <c r="F295" s="11" t="s">
        <v>77</v>
      </c>
      <c r="G295" s="12">
        <v>890.0</v>
      </c>
      <c r="H295" s="12">
        <v>378.0</v>
      </c>
      <c r="I295" s="12">
        <v>4.0</v>
      </c>
      <c r="J295" s="12">
        <v>0.0</v>
      </c>
      <c r="K295" s="11" t="s">
        <v>21</v>
      </c>
      <c r="L295" s="7">
        <v>40283.384351851855</v>
      </c>
      <c r="M295" s="13" t="s">
        <v>94</v>
      </c>
      <c r="N295" s="13" t="s">
        <v>95</v>
      </c>
      <c r="O295" s="10" t="str">
        <f>HYPERLINK("https://pbs.twimg.com/profile_images/704873222802636800/7aFEMOY5_normal.jpg","View")</f>
        <v>View</v>
      </c>
      <c r="P295" s="14"/>
    </row>
    <row r="296">
      <c r="A296" s="7">
        <v>42433.480474537035</v>
      </c>
      <c r="B296" s="8" t="str">
        <f>HYPERLINK("https://twitter.com/umassph","@umassph")</f>
        <v>@umassph</v>
      </c>
      <c r="C296" s="9" t="s">
        <v>121</v>
      </c>
      <c r="D296" s="9" t="s">
        <v>418</v>
      </c>
      <c r="E296" s="10" t="str">
        <f>HYPERLINK("https://twitter.com/umassph/status/705807991795269632","705807991795269632")</f>
        <v>705807991795269632</v>
      </c>
      <c r="F296" s="11" t="s">
        <v>31</v>
      </c>
      <c r="G296" s="12">
        <v>693.0</v>
      </c>
      <c r="H296" s="12">
        <v>242.0</v>
      </c>
      <c r="I296" s="12">
        <v>4.0</v>
      </c>
      <c r="J296" s="12">
        <v>0.0</v>
      </c>
      <c r="K296" s="11" t="s">
        <v>21</v>
      </c>
      <c r="L296" s="7">
        <v>40242.52853009259</v>
      </c>
      <c r="M296" s="13" t="s">
        <v>22</v>
      </c>
      <c r="N296" s="13" t="s">
        <v>123</v>
      </c>
      <c r="O296" s="10" t="str">
        <f>HYPERLINK("https://pbs.twimg.com/profile_images/3583165575/54f0bc87a29b2ae8587193829ce07299_normal.jpeg","View")</f>
        <v>View</v>
      </c>
      <c r="P296" s="14"/>
    </row>
    <row r="297">
      <c r="A297" s="7">
        <v>42433.48150462963</v>
      </c>
      <c r="B297" s="8" t="str">
        <f>HYPERLINK("https://twitter.com/AmandaMoniz1","@AmandaMoniz1")</f>
        <v>@AmandaMoniz1</v>
      </c>
      <c r="C297" s="9" t="s">
        <v>66</v>
      </c>
      <c r="D297" s="9" t="s">
        <v>425</v>
      </c>
      <c r="E297" s="10" t="str">
        <f>HYPERLINK("https://twitter.com/AmandaMoniz1/status/705808367755853825","705808367755853825")</f>
        <v>705808367755853825</v>
      </c>
      <c r="F297" s="11" t="s">
        <v>31</v>
      </c>
      <c r="G297" s="12">
        <v>622.0</v>
      </c>
      <c r="H297" s="12">
        <v>607.0</v>
      </c>
      <c r="I297" s="12">
        <v>2.0</v>
      </c>
      <c r="J297" s="12">
        <v>0.0</v>
      </c>
      <c r="K297" s="11" t="s">
        <v>21</v>
      </c>
      <c r="L297" s="7">
        <v>40766.33971064815</v>
      </c>
      <c r="M297" s="15"/>
      <c r="N297" s="13" t="s">
        <v>68</v>
      </c>
      <c r="O297" s="10" t="str">
        <f>HYPERLINK("https://pbs.twimg.com/profile_images/378800000149111881/7969acf9cec4197748b502a6a6c3d921_normal.jpeg","View")</f>
        <v>View</v>
      </c>
      <c r="P297" s="14"/>
    </row>
    <row r="298">
      <c r="A298" s="7">
        <v>42433.48155092592</v>
      </c>
      <c r="B298" s="8" t="str">
        <f>HYPERLINK("https://twitter.com/elsbet","@elsbet")</f>
        <v>@elsbet</v>
      </c>
      <c r="C298" s="9" t="s">
        <v>426</v>
      </c>
      <c r="D298" s="9" t="s">
        <v>406</v>
      </c>
      <c r="E298" s="10" t="str">
        <f>HYPERLINK("https://twitter.com/elsbet/status/705808382788300800","705808382788300800")</f>
        <v>705808382788300800</v>
      </c>
      <c r="F298" s="11" t="s">
        <v>26</v>
      </c>
      <c r="G298" s="12">
        <v>1248.0</v>
      </c>
      <c r="H298" s="12">
        <v>1007.0</v>
      </c>
      <c r="I298" s="12">
        <v>5.0</v>
      </c>
      <c r="J298" s="12">
        <v>0.0</v>
      </c>
      <c r="K298" s="11" t="s">
        <v>21</v>
      </c>
      <c r="L298" s="7">
        <v>39508.52140046297</v>
      </c>
      <c r="M298" s="13" t="s">
        <v>427</v>
      </c>
      <c r="N298" s="13" t="s">
        <v>428</v>
      </c>
      <c r="O298" s="10" t="str">
        <f>HYPERLINK("https://pbs.twimg.com/profile_images/458712425454243840/TjTTWAM__normal.jpeg","View")</f>
        <v>View</v>
      </c>
      <c r="P298" s="14"/>
    </row>
    <row r="299">
      <c r="A299" s="7">
        <v>42433.48186342593</v>
      </c>
      <c r="B299" s="8" t="str">
        <f>HYPERLINK("https://twitter.com/AmandaMoniz1","@AmandaMoniz1")</f>
        <v>@AmandaMoniz1</v>
      </c>
      <c r="C299" s="9" t="s">
        <v>66</v>
      </c>
      <c r="D299" s="9" t="s">
        <v>429</v>
      </c>
      <c r="E299" s="10" t="str">
        <f>HYPERLINK("https://twitter.com/AmandaMoniz1/status/705808495556345856","705808495556345856")</f>
        <v>705808495556345856</v>
      </c>
      <c r="F299" s="11" t="s">
        <v>31</v>
      </c>
      <c r="G299" s="12">
        <v>622.0</v>
      </c>
      <c r="H299" s="12">
        <v>607.0</v>
      </c>
      <c r="I299" s="12">
        <v>1.0</v>
      </c>
      <c r="J299" s="12">
        <v>0.0</v>
      </c>
      <c r="K299" s="11" t="s">
        <v>21</v>
      </c>
      <c r="L299" s="7">
        <v>40766.33971064815</v>
      </c>
      <c r="M299" s="15"/>
      <c r="N299" s="13" t="s">
        <v>68</v>
      </c>
      <c r="O299" s="10" t="str">
        <f>HYPERLINK("https://pbs.twimg.com/profile_images/378800000149111881/7969acf9cec4197748b502a6a6c3d921_normal.jpeg","View")</f>
        <v>View</v>
      </c>
      <c r="P299" s="14"/>
    </row>
    <row r="300">
      <c r="A300" s="7">
        <v>42433.483715277776</v>
      </c>
      <c r="B300" s="8" t="str">
        <f>HYPERLINK("https://twitter.com/pastpunditry","@pastpunditry")</f>
        <v>@pastpunditry</v>
      </c>
      <c r="C300" s="9" t="s">
        <v>92</v>
      </c>
      <c r="D300" s="9" t="s">
        <v>430</v>
      </c>
      <c r="E300" s="10" t="str">
        <f>HYPERLINK("https://twitter.com/pastpunditry/status/705809167454486530","705809167454486530")</f>
        <v>705809167454486530</v>
      </c>
      <c r="F300" s="11" t="s">
        <v>77</v>
      </c>
      <c r="G300" s="12">
        <v>890.0</v>
      </c>
      <c r="H300" s="12">
        <v>378.0</v>
      </c>
      <c r="I300" s="12">
        <v>0.0</v>
      </c>
      <c r="J300" s="12">
        <v>1.0</v>
      </c>
      <c r="K300" s="11" t="s">
        <v>21</v>
      </c>
      <c r="L300" s="7">
        <v>40283.384351851855</v>
      </c>
      <c r="M300" s="13" t="s">
        <v>94</v>
      </c>
      <c r="N300" s="13" t="s">
        <v>95</v>
      </c>
      <c r="O300" s="10" t="str">
        <f>HYPERLINK("https://pbs.twimg.com/profile_images/704873222802636800/7aFEMOY5_normal.jpg","View")</f>
        <v>View</v>
      </c>
      <c r="P300" s="14"/>
    </row>
    <row r="301">
      <c r="A301" s="7">
        <v>42433.483877314815</v>
      </c>
      <c r="B301" s="8" t="str">
        <f>HYPERLINK("https://twitter.com/JulieThePH","@JulieThePH")</f>
        <v>@JulieThePH</v>
      </c>
      <c r="C301" s="9" t="s">
        <v>211</v>
      </c>
      <c r="D301" s="9" t="s">
        <v>431</v>
      </c>
      <c r="E301" s="10" t="str">
        <f>HYPERLINK("https://twitter.com/JulieThePH/status/705809226506104834","705809226506104834")</f>
        <v>705809226506104834</v>
      </c>
      <c r="F301" s="11" t="s">
        <v>31</v>
      </c>
      <c r="G301" s="12">
        <v>1234.0</v>
      </c>
      <c r="H301" s="12">
        <v>1386.0</v>
      </c>
      <c r="I301" s="12">
        <v>1.0</v>
      </c>
      <c r="J301" s="12">
        <v>2.0</v>
      </c>
      <c r="K301" s="11" t="s">
        <v>21</v>
      </c>
      <c r="L301" s="7">
        <v>40718.66918981481</v>
      </c>
      <c r="M301" s="13" t="s">
        <v>213</v>
      </c>
      <c r="N301" s="13" t="s">
        <v>214</v>
      </c>
      <c r="O301" s="10" t="str">
        <f>HYPERLINK("https://pbs.twimg.com/profile_images/596509974005686273/AqBblwMR_normal.jpg","View")</f>
        <v>View</v>
      </c>
      <c r="P301" s="14"/>
    </row>
    <row r="302">
      <c r="A302" s="7">
        <v>42433.48398148148</v>
      </c>
      <c r="B302" s="8" t="str">
        <f>HYPERLINK("https://twitter.com/pastpunditry","@pastpunditry")</f>
        <v>@pastpunditry</v>
      </c>
      <c r="C302" s="9" t="s">
        <v>92</v>
      </c>
      <c r="D302" s="9" t="s">
        <v>432</v>
      </c>
      <c r="E302" s="10" t="str">
        <f>HYPERLINK("https://twitter.com/pastpunditry/status/705809265588637696","705809265588637696")</f>
        <v>705809265588637696</v>
      </c>
      <c r="F302" s="11" t="s">
        <v>77</v>
      </c>
      <c r="G302" s="12">
        <v>890.0</v>
      </c>
      <c r="H302" s="12">
        <v>378.0</v>
      </c>
      <c r="I302" s="12">
        <v>1.0</v>
      </c>
      <c r="J302" s="12">
        <v>0.0</v>
      </c>
      <c r="K302" s="11" t="s">
        <v>21</v>
      </c>
      <c r="L302" s="7">
        <v>40283.384351851855</v>
      </c>
      <c r="M302" s="13" t="s">
        <v>94</v>
      </c>
      <c r="N302" s="13" t="s">
        <v>95</v>
      </c>
      <c r="O302" s="10" t="str">
        <f>HYPERLINK("https://pbs.twimg.com/profile_images/704873222802636800/7aFEMOY5_normal.jpg","View")</f>
        <v>View</v>
      </c>
      <c r="P302" s="14"/>
    </row>
    <row r="303">
      <c r="A303" s="7">
        <v>42433.4846412037</v>
      </c>
      <c r="B303" s="8" t="str">
        <f>HYPERLINK("https://twitter.com/AmandaMoniz1","@AmandaMoniz1")</f>
        <v>@AmandaMoniz1</v>
      </c>
      <c r="C303" s="9" t="s">
        <v>66</v>
      </c>
      <c r="D303" s="9" t="s">
        <v>433</v>
      </c>
      <c r="E303" s="10" t="str">
        <f>HYPERLINK("https://twitter.com/AmandaMoniz1/status/705809504638771205","705809504638771205")</f>
        <v>705809504638771205</v>
      </c>
      <c r="F303" s="11" t="s">
        <v>31</v>
      </c>
      <c r="G303" s="12">
        <v>622.0</v>
      </c>
      <c r="H303" s="12">
        <v>607.0</v>
      </c>
      <c r="I303" s="12">
        <v>1.0</v>
      </c>
      <c r="J303" s="12">
        <v>3.0</v>
      </c>
      <c r="K303" s="11" t="s">
        <v>21</v>
      </c>
      <c r="L303" s="7">
        <v>40766.33971064815</v>
      </c>
      <c r="M303" s="15"/>
      <c r="N303" s="13" t="s">
        <v>68</v>
      </c>
      <c r="O303" s="10" t="str">
        <f>HYPERLINK("https://pbs.twimg.com/profile_images/378800000149111881/7969acf9cec4197748b502a6a6c3d921_normal.jpeg","View")</f>
        <v>View</v>
      </c>
      <c r="P303" s="14"/>
    </row>
    <row r="304">
      <c r="A304" s="7">
        <v>42433.485243055555</v>
      </c>
      <c r="B304" s="8" t="str">
        <f>HYPERLINK("https://twitter.com/JulieThePH","@JulieThePH")</f>
        <v>@JulieThePH</v>
      </c>
      <c r="C304" s="9" t="s">
        <v>211</v>
      </c>
      <c r="D304" s="9" t="s">
        <v>434</v>
      </c>
      <c r="E304" s="10" t="str">
        <f>HYPERLINK("https://twitter.com/JulieThePH/status/705809722990010368","705809722990010368")</f>
        <v>705809722990010368</v>
      </c>
      <c r="F304" s="11" t="s">
        <v>31</v>
      </c>
      <c r="G304" s="12">
        <v>1234.0</v>
      </c>
      <c r="H304" s="12">
        <v>1386.0</v>
      </c>
      <c r="I304" s="12">
        <v>1.0</v>
      </c>
      <c r="J304" s="12">
        <v>0.0</v>
      </c>
      <c r="K304" s="11" t="s">
        <v>21</v>
      </c>
      <c r="L304" s="7">
        <v>40718.66918981481</v>
      </c>
      <c r="M304" s="13" t="s">
        <v>213</v>
      </c>
      <c r="N304" s="13" t="s">
        <v>214</v>
      </c>
      <c r="O304" s="10" t="str">
        <f>HYPERLINK("https://pbs.twimg.com/profile_images/596509974005686273/AqBblwMR_normal.jpg","View")</f>
        <v>View</v>
      </c>
      <c r="P304" s="14"/>
    </row>
    <row r="305">
      <c r="A305" s="7">
        <v>42433.485567129625</v>
      </c>
      <c r="B305" s="8" t="str">
        <f>HYPERLINK("https://twitter.com/Miller_Center","@Miller_Center")</f>
        <v>@Miller_Center</v>
      </c>
      <c r="C305" s="9" t="s">
        <v>100</v>
      </c>
      <c r="D305" s="9" t="s">
        <v>435</v>
      </c>
      <c r="E305" s="10" t="str">
        <f>HYPERLINK("https://twitter.com/Miller_Center/status/705809839197462530","705809839197462530")</f>
        <v>705809839197462530</v>
      </c>
      <c r="F305" s="11" t="s">
        <v>31</v>
      </c>
      <c r="G305" s="12">
        <v>3820.0</v>
      </c>
      <c r="H305" s="12">
        <v>1198.0</v>
      </c>
      <c r="I305" s="12">
        <v>6.0</v>
      </c>
      <c r="J305" s="12">
        <v>5.0</v>
      </c>
      <c r="K305" s="11" t="s">
        <v>21</v>
      </c>
      <c r="L305" s="7">
        <v>39863.37763888889</v>
      </c>
      <c r="M305" s="13" t="s">
        <v>103</v>
      </c>
      <c r="N305" s="13" t="s">
        <v>104</v>
      </c>
      <c r="O305" s="10" t="str">
        <f>HYPERLINK("https://pbs.twimg.com/profile_images/1368672632/MC_logo_normal.jpg","View")</f>
        <v>View</v>
      </c>
      <c r="P305" s="14"/>
    </row>
    <row r="306">
      <c r="A306" s="7">
        <v>42433.48577546296</v>
      </c>
      <c r="B306" s="8" t="str">
        <f>HYPERLINK("https://twitter.com/POTUStudies","@POTUStudies")</f>
        <v>@POTUStudies</v>
      </c>
      <c r="C306" s="9" t="s">
        <v>436</v>
      </c>
      <c r="D306" s="9" t="s">
        <v>437</v>
      </c>
      <c r="E306" s="10" t="str">
        <f>HYPERLINK("https://twitter.com/POTUStudies/status/705809915290505216","705809915290505216")</f>
        <v>705809915290505216</v>
      </c>
      <c r="F306" s="11" t="s">
        <v>31</v>
      </c>
      <c r="G306" s="12">
        <v>1666.0</v>
      </c>
      <c r="H306" s="12">
        <v>1149.0</v>
      </c>
      <c r="I306" s="12">
        <v>6.0</v>
      </c>
      <c r="J306" s="12">
        <v>0.0</v>
      </c>
      <c r="K306" s="11" t="s">
        <v>21</v>
      </c>
      <c r="L306" s="7">
        <v>42055.585185185184</v>
      </c>
      <c r="M306" s="13" t="s">
        <v>438</v>
      </c>
      <c r="N306" s="13" t="s">
        <v>439</v>
      </c>
      <c r="O306" s="10" t="str">
        <f>HYPERLINK("https://pbs.twimg.com/profile_images/568863855145521152/MvzJVRaz_normal.png","View")</f>
        <v>View</v>
      </c>
      <c r="P306" s="14"/>
    </row>
    <row r="307">
      <c r="A307" s="7">
        <v>42433.486655092594</v>
      </c>
      <c r="B307" s="8" t="str">
        <f>HYPERLINK("https://twitter.com/pastpunditry","@pastpunditry")</f>
        <v>@pastpunditry</v>
      </c>
      <c r="C307" s="9" t="s">
        <v>92</v>
      </c>
      <c r="D307" s="9" t="s">
        <v>437</v>
      </c>
      <c r="E307" s="10" t="str">
        <f>HYPERLINK("https://twitter.com/pastpunditry/status/705810232472109056","705810232472109056")</f>
        <v>705810232472109056</v>
      </c>
      <c r="F307" s="11" t="s">
        <v>77</v>
      </c>
      <c r="G307" s="12">
        <v>890.0</v>
      </c>
      <c r="H307" s="12">
        <v>378.0</v>
      </c>
      <c r="I307" s="12">
        <v>6.0</v>
      </c>
      <c r="J307" s="12">
        <v>0.0</v>
      </c>
      <c r="K307" s="11" t="s">
        <v>21</v>
      </c>
      <c r="L307" s="7">
        <v>40283.384351851855</v>
      </c>
      <c r="M307" s="13" t="s">
        <v>94</v>
      </c>
      <c r="N307" s="13" t="s">
        <v>95</v>
      </c>
      <c r="O307" s="10" t="str">
        <f>HYPERLINK("https://pbs.twimg.com/profile_images/704873222802636800/7aFEMOY5_normal.jpg","View")</f>
        <v>View</v>
      </c>
      <c r="P307" s="14"/>
    </row>
    <row r="308">
      <c r="A308" s="7">
        <v>42433.48670138889</v>
      </c>
      <c r="B308" s="8" t="str">
        <f>HYPERLINK("https://twitter.com/JulieThePH","@JulieThePH")</f>
        <v>@JulieThePH</v>
      </c>
      <c r="C308" s="9" t="s">
        <v>211</v>
      </c>
      <c r="D308" s="9" t="s">
        <v>440</v>
      </c>
      <c r="E308" s="10" t="str">
        <f>HYPERLINK("https://twitter.com/JulieThePH/status/705810250323070976","705810250323070976")</f>
        <v>705810250323070976</v>
      </c>
      <c r="F308" s="11" t="s">
        <v>31</v>
      </c>
      <c r="G308" s="12">
        <v>1234.0</v>
      </c>
      <c r="H308" s="12">
        <v>1386.0</v>
      </c>
      <c r="I308" s="12">
        <v>1.0</v>
      </c>
      <c r="J308" s="12">
        <v>5.0</v>
      </c>
      <c r="K308" s="11" t="s">
        <v>21</v>
      </c>
      <c r="L308" s="7">
        <v>40718.66918981481</v>
      </c>
      <c r="M308" s="13" t="s">
        <v>213</v>
      </c>
      <c r="N308" s="13" t="s">
        <v>214</v>
      </c>
      <c r="O308" s="10" t="str">
        <f>HYPERLINK("https://pbs.twimg.com/profile_images/596509974005686273/AqBblwMR_normal.jpg","View")</f>
        <v>View</v>
      </c>
      <c r="P308" s="14"/>
    </row>
    <row r="309">
      <c r="A309" s="7">
        <v>42433.486817129626</v>
      </c>
      <c r="B309" s="8" t="str">
        <f>HYPERLINK("https://twitter.com/pastpunditry","@pastpunditry")</f>
        <v>@pastpunditry</v>
      </c>
      <c r="C309" s="9" t="s">
        <v>92</v>
      </c>
      <c r="D309" s="9" t="s">
        <v>441</v>
      </c>
      <c r="E309" s="10" t="str">
        <f>HYPERLINK("https://twitter.com/pastpunditry/status/705810291767037956","705810291767037956")</f>
        <v>705810291767037956</v>
      </c>
      <c r="F309" s="11" t="s">
        <v>77</v>
      </c>
      <c r="G309" s="12">
        <v>890.0</v>
      </c>
      <c r="H309" s="12">
        <v>378.0</v>
      </c>
      <c r="I309" s="12">
        <v>1.0</v>
      </c>
      <c r="J309" s="12">
        <v>0.0</v>
      </c>
      <c r="K309" s="11" t="s">
        <v>21</v>
      </c>
      <c r="L309" s="7">
        <v>40283.384351851855</v>
      </c>
      <c r="M309" s="13" t="s">
        <v>94</v>
      </c>
      <c r="N309" s="13" t="s">
        <v>95</v>
      </c>
      <c r="O309" s="10" t="str">
        <f>HYPERLINK("https://pbs.twimg.com/profile_images/704873222802636800/7aFEMOY5_normal.jpg","View")</f>
        <v>View</v>
      </c>
      <c r="P309" s="14"/>
    </row>
    <row r="310">
      <c r="A310" s="7">
        <v>42433.48715277778</v>
      </c>
      <c r="B310" s="8" t="str">
        <f>HYPERLINK("https://twitter.com/samueljredman","@samueljredman")</f>
        <v>@samueljredman</v>
      </c>
      <c r="C310" s="9" t="s">
        <v>158</v>
      </c>
      <c r="D310" s="9" t="s">
        <v>442</v>
      </c>
      <c r="E310" s="10" t="str">
        <f>HYPERLINK("https://twitter.com/samueljredman/status/705810414345580544","705810414345580544")</f>
        <v>705810414345580544</v>
      </c>
      <c r="F310" s="11" t="s">
        <v>26</v>
      </c>
      <c r="G310" s="12">
        <v>5623.0</v>
      </c>
      <c r="H310" s="12">
        <v>5355.0</v>
      </c>
      <c r="I310" s="12">
        <v>1.0</v>
      </c>
      <c r="J310" s="12">
        <v>3.0</v>
      </c>
      <c r="K310" s="11" t="s">
        <v>21</v>
      </c>
      <c r="L310" s="7">
        <v>40584.98517361111</v>
      </c>
      <c r="M310" s="13" t="s">
        <v>160</v>
      </c>
      <c r="N310" s="13" t="s">
        <v>161</v>
      </c>
      <c r="O310" s="10" t="str">
        <f>HYPERLINK("https://pbs.twimg.com/profile_images/548193870278688768/8Dq7gW3U_normal.png","View")</f>
        <v>View</v>
      </c>
      <c r="P310" s="14"/>
    </row>
    <row r="311">
      <c r="A311" s="7">
        <v>42433.48726851852</v>
      </c>
      <c r="B311" s="8" t="str">
        <f>HYPERLINK("https://twitter.com/pastpunditry","@pastpunditry")</f>
        <v>@pastpunditry</v>
      </c>
      <c r="C311" s="9" t="s">
        <v>92</v>
      </c>
      <c r="D311" s="9" t="s">
        <v>443</v>
      </c>
      <c r="E311" s="10" t="str">
        <f>HYPERLINK("https://twitter.com/pastpunditry/status/705810454954827776","705810454954827776")</f>
        <v>705810454954827776</v>
      </c>
      <c r="F311" s="11" t="s">
        <v>77</v>
      </c>
      <c r="G311" s="12">
        <v>890.0</v>
      </c>
      <c r="H311" s="12">
        <v>378.0</v>
      </c>
      <c r="I311" s="12">
        <v>1.0</v>
      </c>
      <c r="J311" s="12">
        <v>0.0</v>
      </c>
      <c r="K311" s="11" t="s">
        <v>21</v>
      </c>
      <c r="L311" s="7">
        <v>40283.384351851855</v>
      </c>
      <c r="M311" s="13" t="s">
        <v>94</v>
      </c>
      <c r="N311" s="13" t="s">
        <v>95</v>
      </c>
      <c r="O311" s="10" t="str">
        <f>HYPERLINK("https://pbs.twimg.com/profile_images/704873222802636800/7aFEMOY5_normal.jpg","View")</f>
        <v>View</v>
      </c>
      <c r="P311" s="14"/>
    </row>
    <row r="312">
      <c r="A312" s="7">
        <v>42433.48809027778</v>
      </c>
      <c r="B312" s="8" t="str">
        <f t="shared" ref="B312:B313" si="73">HYPERLINK("https://twitter.com/samueljredman","@samueljredman")</f>
        <v>@samueljredman</v>
      </c>
      <c r="C312" s="9" t="s">
        <v>158</v>
      </c>
      <c r="D312" s="9" t="s">
        <v>444</v>
      </c>
      <c r="E312" s="10" t="str">
        <f>HYPERLINK("https://twitter.com/samueljredman/status/705810752695898113","705810752695898113")</f>
        <v>705810752695898113</v>
      </c>
      <c r="F312" s="11" t="s">
        <v>26</v>
      </c>
      <c r="G312" s="12">
        <v>5623.0</v>
      </c>
      <c r="H312" s="12">
        <v>5355.0</v>
      </c>
      <c r="I312" s="12">
        <v>0.0</v>
      </c>
      <c r="J312" s="12">
        <v>0.0</v>
      </c>
      <c r="K312" s="11" t="s">
        <v>21</v>
      </c>
      <c r="L312" s="7">
        <v>40584.98517361111</v>
      </c>
      <c r="M312" s="13" t="s">
        <v>160</v>
      </c>
      <c r="N312" s="13" t="s">
        <v>161</v>
      </c>
      <c r="O312" s="10" t="str">
        <f t="shared" ref="O312:O313" si="74">HYPERLINK("https://pbs.twimg.com/profile_images/548193870278688768/8Dq7gW3U_normal.png","View")</f>
        <v>View</v>
      </c>
      <c r="P312" s="14"/>
    </row>
    <row r="313">
      <c r="A313" s="7">
        <v>42433.48894675926</v>
      </c>
      <c r="B313" s="8" t="str">
        <f t="shared" si="73"/>
        <v>@samueljredman</v>
      </c>
      <c r="C313" s="9" t="s">
        <v>158</v>
      </c>
      <c r="D313" s="9" t="s">
        <v>445</v>
      </c>
      <c r="E313" s="10" t="str">
        <f>HYPERLINK("https://twitter.com/samueljredman/status/705811061442781185","705811061442781185")</f>
        <v>705811061442781185</v>
      </c>
      <c r="F313" s="11" t="s">
        <v>26</v>
      </c>
      <c r="G313" s="12">
        <v>5623.0</v>
      </c>
      <c r="H313" s="12">
        <v>5355.0</v>
      </c>
      <c r="I313" s="12">
        <v>0.0</v>
      </c>
      <c r="J313" s="12">
        <v>0.0</v>
      </c>
      <c r="K313" s="11" t="s">
        <v>21</v>
      </c>
      <c r="L313" s="7">
        <v>40584.98517361111</v>
      </c>
      <c r="M313" s="13" t="s">
        <v>160</v>
      </c>
      <c r="N313" s="13" t="s">
        <v>161</v>
      </c>
      <c r="O313" s="10" t="str">
        <f t="shared" si="74"/>
        <v>View</v>
      </c>
      <c r="P313" s="14"/>
    </row>
    <row r="314">
      <c r="A314" s="7">
        <v>42433.49162037037</v>
      </c>
      <c r="B314" s="8" t="str">
        <f>HYPERLINK("https://twitter.com/melissajgismond","@melissajgismond")</f>
        <v>@melissajgismond</v>
      </c>
      <c r="C314" s="9" t="s">
        <v>446</v>
      </c>
      <c r="D314" s="9" t="s">
        <v>437</v>
      </c>
      <c r="E314" s="10" t="str">
        <f>HYPERLINK("https://twitter.com/melissajgismond/status/705812033204305920","705812033204305920")</f>
        <v>705812033204305920</v>
      </c>
      <c r="F314" s="11" t="s">
        <v>31</v>
      </c>
      <c r="G314" s="12">
        <v>70.0</v>
      </c>
      <c r="H314" s="12">
        <v>176.0</v>
      </c>
      <c r="I314" s="12">
        <v>6.0</v>
      </c>
      <c r="J314" s="12">
        <v>0.0</v>
      </c>
      <c r="K314" s="11" t="s">
        <v>21</v>
      </c>
      <c r="L314" s="7">
        <v>42304.258935185186</v>
      </c>
      <c r="M314" s="13" t="s">
        <v>94</v>
      </c>
      <c r="N314" s="13" t="s">
        <v>447</v>
      </c>
      <c r="O314" s="10" t="str">
        <f>HYPERLINK("https://pbs.twimg.com/profile_images/658980135362670592/f3KRvvsW_normal.jpg","View")</f>
        <v>View</v>
      </c>
      <c r="P314" s="14"/>
    </row>
    <row r="315">
      <c r="A315" s="7">
        <v>42433.49388888889</v>
      </c>
      <c r="B315" s="8" t="str">
        <f>HYPERLINK("https://twitter.com/paige_roberts","@paige_roberts")</f>
        <v>@paige_roberts</v>
      </c>
      <c r="C315" s="9" t="s">
        <v>448</v>
      </c>
      <c r="D315" s="9" t="s">
        <v>449</v>
      </c>
      <c r="E315" s="10" t="str">
        <f>HYPERLINK("https://twitter.com/paige_roberts/status/705812855787024385","705812855787024385")</f>
        <v>705812855787024385</v>
      </c>
      <c r="F315" s="11" t="s">
        <v>26</v>
      </c>
      <c r="G315" s="12">
        <v>3590.0</v>
      </c>
      <c r="H315" s="12">
        <v>3356.0</v>
      </c>
      <c r="I315" s="12">
        <v>2.0</v>
      </c>
      <c r="J315" s="12">
        <v>5.0</v>
      </c>
      <c r="K315" s="11" t="s">
        <v>21</v>
      </c>
      <c r="L315" s="7">
        <v>40331.456875</v>
      </c>
      <c r="M315" s="13" t="s">
        <v>450</v>
      </c>
      <c r="N315" s="13" t="s">
        <v>451</v>
      </c>
      <c r="O315" s="10" t="str">
        <f>HYPERLINK("https://pbs.twimg.com/profile_images/625092349425750016/cZ_A7mTc_normal.jpg","View")</f>
        <v>View</v>
      </c>
      <c r="P315" s="14"/>
    </row>
    <row r="316">
      <c r="A316" s="7">
        <v>42433.49585648148</v>
      </c>
      <c r="B316" s="8" t="str">
        <f t="shared" ref="B316:B321" si="75">HYPERLINK("https://twitter.com/MarlaAtUmass","@MarlaAtUmass")</f>
        <v>@MarlaAtUmass</v>
      </c>
      <c r="C316" s="9" t="s">
        <v>45</v>
      </c>
      <c r="D316" s="9" t="s">
        <v>452</v>
      </c>
      <c r="E316" s="10" t="str">
        <f>HYPERLINK("https://twitter.com/MarlaAtUmass/status/705813569078693888","705813569078693888")</f>
        <v>705813569078693888</v>
      </c>
      <c r="F316" s="11" t="s">
        <v>453</v>
      </c>
      <c r="G316" s="12">
        <v>1993.0</v>
      </c>
      <c r="H316" s="12">
        <v>1647.0</v>
      </c>
      <c r="I316" s="12">
        <v>2.0</v>
      </c>
      <c r="J316" s="12">
        <v>1.0</v>
      </c>
      <c r="K316" s="11" t="s">
        <v>21</v>
      </c>
      <c r="L316" s="7">
        <v>40125.78074074074</v>
      </c>
      <c r="M316" s="15"/>
      <c r="N316" s="13" t="s">
        <v>47</v>
      </c>
      <c r="O316" s="10" t="str">
        <f t="shared" ref="O316:O321" si="76">HYPERLINK("https://pbs.twimg.com/profile_images/565429960/Betsy_Twitter_normal.jpg","View")</f>
        <v>View</v>
      </c>
      <c r="P316" s="14"/>
    </row>
    <row r="317">
      <c r="A317" s="7">
        <v>42433.496296296296</v>
      </c>
      <c r="B317" s="8" t="str">
        <f t="shared" si="75"/>
        <v>@MarlaAtUmass</v>
      </c>
      <c r="C317" s="9" t="s">
        <v>45</v>
      </c>
      <c r="D317" s="9" t="s">
        <v>454</v>
      </c>
      <c r="E317" s="10" t="str">
        <f>HYPERLINK("https://twitter.com/MarlaAtUmass/status/705813728000868352","705813728000868352")</f>
        <v>705813728000868352</v>
      </c>
      <c r="F317" s="11" t="s">
        <v>453</v>
      </c>
      <c r="G317" s="12">
        <v>1993.0</v>
      </c>
      <c r="H317" s="12">
        <v>1647.0</v>
      </c>
      <c r="I317" s="12">
        <v>2.0</v>
      </c>
      <c r="J317" s="12">
        <v>3.0</v>
      </c>
      <c r="K317" s="11" t="s">
        <v>21</v>
      </c>
      <c r="L317" s="7">
        <v>40125.78074074074</v>
      </c>
      <c r="M317" s="15"/>
      <c r="N317" s="13" t="s">
        <v>47</v>
      </c>
      <c r="O317" s="10" t="str">
        <f t="shared" si="76"/>
        <v>View</v>
      </c>
      <c r="P317" s="14"/>
    </row>
    <row r="318">
      <c r="A318" s="7">
        <v>42433.49658564814</v>
      </c>
      <c r="B318" s="8" t="str">
        <f t="shared" si="75"/>
        <v>@MarlaAtUmass</v>
      </c>
      <c r="C318" s="9" t="s">
        <v>45</v>
      </c>
      <c r="D318" s="9" t="s">
        <v>455</v>
      </c>
      <c r="E318" s="10" t="str">
        <f>HYPERLINK("https://twitter.com/MarlaAtUmass/status/705813831436673029","705813831436673029")</f>
        <v>705813831436673029</v>
      </c>
      <c r="F318" s="11" t="s">
        <v>453</v>
      </c>
      <c r="G318" s="12">
        <v>1993.0</v>
      </c>
      <c r="H318" s="12">
        <v>1647.0</v>
      </c>
      <c r="I318" s="12">
        <v>1.0</v>
      </c>
      <c r="J318" s="12">
        <v>1.0</v>
      </c>
      <c r="K318" s="11" t="s">
        <v>21</v>
      </c>
      <c r="L318" s="7">
        <v>40125.78074074074</v>
      </c>
      <c r="M318" s="15"/>
      <c r="N318" s="13" t="s">
        <v>47</v>
      </c>
      <c r="O318" s="10" t="str">
        <f t="shared" si="76"/>
        <v>View</v>
      </c>
      <c r="P318" s="14"/>
    </row>
    <row r="319">
      <c r="A319" s="7">
        <v>42433.49704861111</v>
      </c>
      <c r="B319" s="8" t="str">
        <f t="shared" si="75"/>
        <v>@MarlaAtUmass</v>
      </c>
      <c r="C319" s="9" t="s">
        <v>45</v>
      </c>
      <c r="D319" s="9" t="s">
        <v>456</v>
      </c>
      <c r="E319" s="10" t="str">
        <f>HYPERLINK("https://twitter.com/MarlaAtUmass/status/705814000207077377","705814000207077377")</f>
        <v>705814000207077377</v>
      </c>
      <c r="F319" s="11" t="s">
        <v>453</v>
      </c>
      <c r="G319" s="12">
        <v>1993.0</v>
      </c>
      <c r="H319" s="12">
        <v>1647.0</v>
      </c>
      <c r="I319" s="12">
        <v>1.0</v>
      </c>
      <c r="J319" s="12">
        <v>1.0</v>
      </c>
      <c r="K319" s="11" t="s">
        <v>21</v>
      </c>
      <c r="L319" s="7">
        <v>40125.78074074074</v>
      </c>
      <c r="M319" s="15"/>
      <c r="N319" s="13" t="s">
        <v>47</v>
      </c>
      <c r="O319" s="10" t="str">
        <f t="shared" si="76"/>
        <v>View</v>
      </c>
      <c r="P319" s="14"/>
    </row>
    <row r="320">
      <c r="A320" s="7">
        <v>42433.49731481481</v>
      </c>
      <c r="B320" s="8" t="str">
        <f t="shared" si="75"/>
        <v>@MarlaAtUmass</v>
      </c>
      <c r="C320" s="9" t="s">
        <v>45</v>
      </c>
      <c r="D320" s="9" t="s">
        <v>457</v>
      </c>
      <c r="E320" s="10" t="str">
        <f>HYPERLINK("https://twitter.com/MarlaAtUmass/status/705814097523253248","705814097523253248")</f>
        <v>705814097523253248</v>
      </c>
      <c r="F320" s="11" t="s">
        <v>453</v>
      </c>
      <c r="G320" s="12">
        <v>1993.0</v>
      </c>
      <c r="H320" s="12">
        <v>1647.0</v>
      </c>
      <c r="I320" s="12">
        <v>4.0</v>
      </c>
      <c r="J320" s="12">
        <v>2.0</v>
      </c>
      <c r="K320" s="11" t="s">
        <v>21</v>
      </c>
      <c r="L320" s="7">
        <v>40125.78074074074</v>
      </c>
      <c r="M320" s="15"/>
      <c r="N320" s="13" t="s">
        <v>47</v>
      </c>
      <c r="O320" s="10" t="str">
        <f t="shared" si="76"/>
        <v>View</v>
      </c>
      <c r="P320" s="14"/>
    </row>
    <row r="321">
      <c r="A321" s="7">
        <v>42433.497812500005</v>
      </c>
      <c r="B321" s="8" t="str">
        <f t="shared" si="75"/>
        <v>@MarlaAtUmass</v>
      </c>
      <c r="C321" s="9" t="s">
        <v>45</v>
      </c>
      <c r="D321" s="9" t="s">
        <v>458</v>
      </c>
      <c r="E321" s="10" t="str">
        <f>HYPERLINK("https://twitter.com/MarlaAtUmass/status/705814276976599040","705814276976599040")</f>
        <v>705814276976599040</v>
      </c>
      <c r="F321" s="11" t="s">
        <v>453</v>
      </c>
      <c r="G321" s="12">
        <v>1993.0</v>
      </c>
      <c r="H321" s="12">
        <v>1647.0</v>
      </c>
      <c r="I321" s="12">
        <v>4.0</v>
      </c>
      <c r="J321" s="12">
        <v>1.0</v>
      </c>
      <c r="K321" s="11" t="s">
        <v>21</v>
      </c>
      <c r="L321" s="7">
        <v>40125.78074074074</v>
      </c>
      <c r="M321" s="15"/>
      <c r="N321" s="13" t="s">
        <v>47</v>
      </c>
      <c r="O321" s="10" t="str">
        <f t="shared" si="76"/>
        <v>View</v>
      </c>
      <c r="P321" s="14"/>
    </row>
    <row r="322">
      <c r="A322" s="7">
        <v>42433.50061342593</v>
      </c>
      <c r="B322" s="8" t="str">
        <f>HYPERLINK("https://twitter.com/historein","@historein")</f>
        <v>@historein</v>
      </c>
      <c r="C322" s="9" t="s">
        <v>172</v>
      </c>
      <c r="D322" s="9" t="s">
        <v>459</v>
      </c>
      <c r="E322" s="10" t="str">
        <f>HYPERLINK("https://twitter.com/historein/status/705815290760859648","705815290760859648")</f>
        <v>705815290760859648</v>
      </c>
      <c r="F322" s="11" t="s">
        <v>31</v>
      </c>
      <c r="G322" s="12">
        <v>641.0</v>
      </c>
      <c r="H322" s="12">
        <v>753.0</v>
      </c>
      <c r="I322" s="12">
        <v>4.0</v>
      </c>
      <c r="J322" s="12">
        <v>0.0</v>
      </c>
      <c r="K322" s="11" t="s">
        <v>21</v>
      </c>
      <c r="L322" s="7">
        <v>40416.68083333333</v>
      </c>
      <c r="M322" s="13" t="s">
        <v>35</v>
      </c>
      <c r="N322" s="13" t="s">
        <v>174</v>
      </c>
      <c r="O322" s="10" t="str">
        <f>HYPERLINK("https://pbs.twimg.com/profile_images/636901483401904128/cxbavncr_normal.jpg","View")</f>
        <v>View</v>
      </c>
      <c r="P322" s="14"/>
    </row>
    <row r="323">
      <c r="A323" s="7">
        <v>42433.50422453704</v>
      </c>
      <c r="B323" s="8" t="str">
        <f>HYPERLINK("https://twitter.com/jaheppler","@jaheppler")</f>
        <v>@jaheppler</v>
      </c>
      <c r="C323" s="9" t="s">
        <v>460</v>
      </c>
      <c r="D323" s="9" t="s">
        <v>461</v>
      </c>
      <c r="E323" s="10" t="str">
        <f>HYPERLINK("https://twitter.com/jaheppler/status/705816600738291712","705816600738291712")</f>
        <v>705816600738291712</v>
      </c>
      <c r="F323" s="11" t="s">
        <v>462</v>
      </c>
      <c r="G323" s="12">
        <v>1933.0</v>
      </c>
      <c r="H323" s="12">
        <v>480.0</v>
      </c>
      <c r="I323" s="12">
        <v>0.0</v>
      </c>
      <c r="J323" s="12">
        <v>1.0</v>
      </c>
      <c r="K323" s="11" t="s">
        <v>21</v>
      </c>
      <c r="L323" s="7">
        <v>39702.3484375</v>
      </c>
      <c r="M323" s="13" t="s">
        <v>463</v>
      </c>
      <c r="N323" s="13" t="s">
        <v>464</v>
      </c>
      <c r="O323" s="10" t="str">
        <f>HYPERLINK("https://pbs.twimg.com/profile_images/436607137188290560/UM-U3wT1_normal.jpeg","View")</f>
        <v>View</v>
      </c>
      <c r="P323" s="14"/>
    </row>
    <row r="324">
      <c r="A324" s="7">
        <v>42433.50665509259</v>
      </c>
      <c r="B324" s="8" t="str">
        <f>HYPERLINK("https://twitter.com/amanda_lyons","@amanda_lyons")</f>
        <v>@amanda_lyons</v>
      </c>
      <c r="C324" s="9" t="s">
        <v>465</v>
      </c>
      <c r="D324" s="9" t="s">
        <v>466</v>
      </c>
      <c r="E324" s="10" t="str">
        <f>HYPERLINK("https://twitter.com/amanda_lyons/status/705817481877790720","705817481877790720")</f>
        <v>705817481877790720</v>
      </c>
      <c r="F324" s="11" t="s">
        <v>148</v>
      </c>
      <c r="G324" s="12">
        <v>1280.0</v>
      </c>
      <c r="H324" s="12">
        <v>1557.0</v>
      </c>
      <c r="I324" s="12">
        <v>1.0</v>
      </c>
      <c r="J324" s="12">
        <v>2.0</v>
      </c>
      <c r="K324" s="11" t="s">
        <v>21</v>
      </c>
      <c r="L324" s="7">
        <v>40590.512395833335</v>
      </c>
      <c r="M324" s="13" t="s">
        <v>213</v>
      </c>
      <c r="N324" s="13" t="s">
        <v>467</v>
      </c>
      <c r="O324" s="10" t="str">
        <f>HYPERLINK("https://pbs.twimg.com/profile_images/1246380212/manda_normal.jpg","View")</f>
        <v>View</v>
      </c>
      <c r="P324" s="14"/>
    </row>
    <row r="325">
      <c r="A325" s="7">
        <v>42433.506793981476</v>
      </c>
      <c r="B325" s="8" t="str">
        <f>HYPERLINK("https://twitter.com/dadarlyn","@dadarlyn")</f>
        <v>@dadarlyn</v>
      </c>
      <c r="C325" s="9" t="s">
        <v>468</v>
      </c>
      <c r="D325" s="9" t="s">
        <v>418</v>
      </c>
      <c r="E325" s="10" t="str">
        <f>HYPERLINK("https://twitter.com/dadarlyn/status/705817532876259328","705817532876259328")</f>
        <v>705817532876259328</v>
      </c>
      <c r="F325" s="11" t="s">
        <v>26</v>
      </c>
      <c r="G325" s="12">
        <v>76.0</v>
      </c>
      <c r="H325" s="12">
        <v>157.0</v>
      </c>
      <c r="I325" s="12">
        <v>4.0</v>
      </c>
      <c r="J325" s="12">
        <v>0.0</v>
      </c>
      <c r="K325" s="11" t="s">
        <v>21</v>
      </c>
      <c r="L325" s="7">
        <v>40718.631631944445</v>
      </c>
      <c r="M325" s="13" t="s">
        <v>469</v>
      </c>
      <c r="N325" s="15"/>
      <c r="O325" s="10" t="str">
        <f>HYPERLINK("https://pbs.twimg.com/profile_images/2703959299/2264fcaef9acb62e19439e11215f5537_normal.png","View")</f>
        <v>View</v>
      </c>
      <c r="P325" s="14"/>
    </row>
    <row r="326">
      <c r="A326" s="7">
        <v>42433.50708333333</v>
      </c>
      <c r="B326" s="8" t="str">
        <f>HYPERLINK("https://twitter.com/erfagen","@erfagen")</f>
        <v>@erfagen</v>
      </c>
      <c r="C326" s="9" t="s">
        <v>124</v>
      </c>
      <c r="D326" s="9" t="s">
        <v>470</v>
      </c>
      <c r="E326" s="10" t="str">
        <f>HYPERLINK("https://twitter.com/erfagen/status/705817637121613824","705817637121613824")</f>
        <v>705817637121613824</v>
      </c>
      <c r="F326" s="11" t="s">
        <v>26</v>
      </c>
      <c r="G326" s="12">
        <v>1056.0</v>
      </c>
      <c r="H326" s="12">
        <v>2055.0</v>
      </c>
      <c r="I326" s="12">
        <v>0.0</v>
      </c>
      <c r="J326" s="12">
        <v>2.0</v>
      </c>
      <c r="K326" s="11" t="s">
        <v>21</v>
      </c>
      <c r="L326" s="7">
        <v>40524.93576388889</v>
      </c>
      <c r="M326" s="13" t="s">
        <v>125</v>
      </c>
      <c r="N326" s="13" t="s">
        <v>126</v>
      </c>
      <c r="O326" s="10" t="str">
        <f>HYPERLINK("https://pbs.twimg.com/profile_images/638086945722249217/mid_S_BQ_normal.jpg","View")</f>
        <v>View</v>
      </c>
      <c r="P326" s="14"/>
    </row>
    <row r="327">
      <c r="A327" s="7">
        <v>42433.50837962963</v>
      </c>
      <c r="B327" s="8" t="str">
        <f t="shared" ref="B327:B330" si="77">HYPERLINK("https://twitter.com/amanda_lyons","@amanda_lyons")</f>
        <v>@amanda_lyons</v>
      </c>
      <c r="C327" s="9" t="s">
        <v>465</v>
      </c>
      <c r="D327" s="9" t="s">
        <v>471</v>
      </c>
      <c r="E327" s="10" t="str">
        <f>HYPERLINK("https://twitter.com/amanda_lyons/status/705818104304156672","705818104304156672")</f>
        <v>705818104304156672</v>
      </c>
      <c r="F327" s="11" t="s">
        <v>148</v>
      </c>
      <c r="G327" s="12">
        <v>1280.0</v>
      </c>
      <c r="H327" s="12">
        <v>1557.0</v>
      </c>
      <c r="I327" s="12">
        <v>4.0</v>
      </c>
      <c r="J327" s="12">
        <v>5.0</v>
      </c>
      <c r="K327" s="11" t="s">
        <v>21</v>
      </c>
      <c r="L327" s="7">
        <v>40590.512395833335</v>
      </c>
      <c r="M327" s="13" t="s">
        <v>213</v>
      </c>
      <c r="N327" s="13" t="s">
        <v>467</v>
      </c>
      <c r="O327" s="10" t="str">
        <f t="shared" ref="O327:O330" si="78">HYPERLINK("https://pbs.twimg.com/profile_images/1246380212/manda_normal.jpg","View")</f>
        <v>View</v>
      </c>
      <c r="P327" s="14"/>
    </row>
    <row r="328">
      <c r="A328" s="7">
        <v>42433.511620370366</v>
      </c>
      <c r="B328" s="8" t="str">
        <f t="shared" si="77"/>
        <v>@amanda_lyons</v>
      </c>
      <c r="C328" s="9" t="s">
        <v>465</v>
      </c>
      <c r="D328" s="9" t="s">
        <v>472</v>
      </c>
      <c r="E328" s="10" t="str">
        <f>HYPERLINK("https://twitter.com/amanda_lyons/status/705819279845892097","705819279845892097")</f>
        <v>705819279845892097</v>
      </c>
      <c r="F328" s="11" t="s">
        <v>148</v>
      </c>
      <c r="G328" s="12">
        <v>1280.0</v>
      </c>
      <c r="H328" s="12">
        <v>1557.0</v>
      </c>
      <c r="I328" s="12">
        <v>4.0</v>
      </c>
      <c r="J328" s="12">
        <v>0.0</v>
      </c>
      <c r="K328" s="11" t="s">
        <v>21</v>
      </c>
      <c r="L328" s="7">
        <v>40590.512395833335</v>
      </c>
      <c r="M328" s="13" t="s">
        <v>213</v>
      </c>
      <c r="N328" s="13" t="s">
        <v>467</v>
      </c>
      <c r="O328" s="10" t="str">
        <f t="shared" si="78"/>
        <v>View</v>
      </c>
      <c r="P328" s="14"/>
    </row>
    <row r="329">
      <c r="A329" s="7">
        <v>42433.51186342593</v>
      </c>
      <c r="B329" s="8" t="str">
        <f t="shared" si="77"/>
        <v>@amanda_lyons</v>
      </c>
      <c r="C329" s="9" t="s">
        <v>465</v>
      </c>
      <c r="D329" s="9" t="s">
        <v>473</v>
      </c>
      <c r="E329" s="10" t="str">
        <f>HYPERLINK("https://twitter.com/amanda_lyons/status/705819368924569600","705819368924569600")</f>
        <v>705819368924569600</v>
      </c>
      <c r="F329" s="11" t="s">
        <v>148</v>
      </c>
      <c r="G329" s="12">
        <v>1280.0</v>
      </c>
      <c r="H329" s="12">
        <v>1557.0</v>
      </c>
      <c r="I329" s="12">
        <v>2.0</v>
      </c>
      <c r="J329" s="12">
        <v>0.0</v>
      </c>
      <c r="K329" s="11" t="s">
        <v>21</v>
      </c>
      <c r="L329" s="7">
        <v>40590.512395833335</v>
      </c>
      <c r="M329" s="13" t="s">
        <v>213</v>
      </c>
      <c r="N329" s="13" t="s">
        <v>467</v>
      </c>
      <c r="O329" s="10" t="str">
        <f t="shared" si="78"/>
        <v>View</v>
      </c>
      <c r="P329" s="14"/>
    </row>
    <row r="330">
      <c r="A330" s="7">
        <v>42433.51238425926</v>
      </c>
      <c r="B330" s="8" t="str">
        <f t="shared" si="77"/>
        <v>@amanda_lyons</v>
      </c>
      <c r="C330" s="9" t="s">
        <v>465</v>
      </c>
      <c r="D330" s="9" t="s">
        <v>339</v>
      </c>
      <c r="E330" s="10" t="str">
        <f>HYPERLINK("https://twitter.com/amanda_lyons/status/705819557416534017","705819557416534017")</f>
        <v>705819557416534017</v>
      </c>
      <c r="F330" s="11" t="s">
        <v>148</v>
      </c>
      <c r="G330" s="12">
        <v>1280.0</v>
      </c>
      <c r="H330" s="12">
        <v>1557.0</v>
      </c>
      <c r="I330" s="12">
        <v>6.0</v>
      </c>
      <c r="J330" s="12">
        <v>0.0</v>
      </c>
      <c r="K330" s="11" t="s">
        <v>21</v>
      </c>
      <c r="L330" s="7">
        <v>40590.512395833335</v>
      </c>
      <c r="M330" s="13" t="s">
        <v>213</v>
      </c>
      <c r="N330" s="13" t="s">
        <v>467</v>
      </c>
      <c r="O330" s="10" t="str">
        <f t="shared" si="78"/>
        <v>View</v>
      </c>
      <c r="P330" s="14"/>
    </row>
    <row r="331">
      <c r="A331" s="7">
        <v>42433.51959490741</v>
      </c>
      <c r="B331" s="8" t="str">
        <f t="shared" ref="B331:B335" si="79">HYPERLINK("https://twitter.com/ebdrago","@ebdrago")</f>
        <v>@ebdrago</v>
      </c>
      <c r="C331" s="9" t="s">
        <v>474</v>
      </c>
      <c r="D331" s="9" t="s">
        <v>420</v>
      </c>
      <c r="E331" s="10" t="str">
        <f>HYPERLINK("https://twitter.com/ebdrago/status/705822168979001345","705822168979001345")</f>
        <v>705822168979001345</v>
      </c>
      <c r="F331" s="11" t="s">
        <v>31</v>
      </c>
      <c r="G331" s="12">
        <v>297.0</v>
      </c>
      <c r="H331" s="12">
        <v>326.0</v>
      </c>
      <c r="I331" s="12">
        <v>4.0</v>
      </c>
      <c r="J331" s="12">
        <v>0.0</v>
      </c>
      <c r="K331" s="11" t="s">
        <v>21</v>
      </c>
      <c r="L331" s="7">
        <v>41750.5362962963</v>
      </c>
      <c r="M331" s="15"/>
      <c r="N331" s="13" t="s">
        <v>475</v>
      </c>
      <c r="O331" s="10" t="str">
        <f t="shared" ref="O331:O335" si="80">HYPERLINK("https://pbs.twimg.com/profile_images/458318917006401536/2MCcLMSP_normal.jpeg","View")</f>
        <v>View</v>
      </c>
      <c r="P331" s="14"/>
    </row>
    <row r="332">
      <c r="A332" s="7">
        <v>42433.519733796296</v>
      </c>
      <c r="B332" s="8" t="str">
        <f t="shared" si="79"/>
        <v>@ebdrago</v>
      </c>
      <c r="C332" s="9" t="s">
        <v>474</v>
      </c>
      <c r="D332" s="9" t="s">
        <v>406</v>
      </c>
      <c r="E332" s="10" t="str">
        <f>HYPERLINK("https://twitter.com/ebdrago/status/705822220044607488","705822220044607488")</f>
        <v>705822220044607488</v>
      </c>
      <c r="F332" s="11" t="s">
        <v>31</v>
      </c>
      <c r="G332" s="12">
        <v>297.0</v>
      </c>
      <c r="H332" s="12">
        <v>326.0</v>
      </c>
      <c r="I332" s="12">
        <v>5.0</v>
      </c>
      <c r="J332" s="12">
        <v>0.0</v>
      </c>
      <c r="K332" s="11" t="s">
        <v>21</v>
      </c>
      <c r="L332" s="7">
        <v>41750.5362962963</v>
      </c>
      <c r="M332" s="15"/>
      <c r="N332" s="13" t="s">
        <v>475</v>
      </c>
      <c r="O332" s="10" t="str">
        <f t="shared" si="80"/>
        <v>View</v>
      </c>
      <c r="P332" s="14"/>
    </row>
    <row r="333">
      <c r="A333" s="7">
        <v>42433.52024305555</v>
      </c>
      <c r="B333" s="8" t="str">
        <f t="shared" si="79"/>
        <v>@ebdrago</v>
      </c>
      <c r="C333" s="9" t="s">
        <v>474</v>
      </c>
      <c r="D333" s="9" t="s">
        <v>476</v>
      </c>
      <c r="E333" s="10" t="str">
        <f>HYPERLINK("https://twitter.com/ebdrago/status/705822402744348672","705822402744348672")</f>
        <v>705822402744348672</v>
      </c>
      <c r="F333" s="11" t="s">
        <v>31</v>
      </c>
      <c r="G333" s="12">
        <v>297.0</v>
      </c>
      <c r="H333" s="12">
        <v>326.0</v>
      </c>
      <c r="I333" s="12">
        <v>4.0</v>
      </c>
      <c r="J333" s="12">
        <v>0.0</v>
      </c>
      <c r="K333" s="11" t="s">
        <v>21</v>
      </c>
      <c r="L333" s="7">
        <v>41750.5362962963</v>
      </c>
      <c r="M333" s="15"/>
      <c r="N333" s="13" t="s">
        <v>475</v>
      </c>
      <c r="O333" s="10" t="str">
        <f t="shared" si="80"/>
        <v>View</v>
      </c>
      <c r="P333" s="14"/>
    </row>
    <row r="334">
      <c r="A334" s="7">
        <v>42433.520428240736</v>
      </c>
      <c r="B334" s="8" t="str">
        <f t="shared" si="79"/>
        <v>@ebdrago</v>
      </c>
      <c r="C334" s="9" t="s">
        <v>474</v>
      </c>
      <c r="D334" s="9" t="s">
        <v>472</v>
      </c>
      <c r="E334" s="10" t="str">
        <f>HYPERLINK("https://twitter.com/ebdrago/status/705822471035998208","705822471035998208")</f>
        <v>705822471035998208</v>
      </c>
      <c r="F334" s="11" t="s">
        <v>31</v>
      </c>
      <c r="G334" s="12">
        <v>297.0</v>
      </c>
      <c r="H334" s="12">
        <v>326.0</v>
      </c>
      <c r="I334" s="12">
        <v>4.0</v>
      </c>
      <c r="J334" s="12">
        <v>0.0</v>
      </c>
      <c r="K334" s="11" t="s">
        <v>21</v>
      </c>
      <c r="L334" s="7">
        <v>41750.5362962963</v>
      </c>
      <c r="M334" s="15"/>
      <c r="N334" s="13" t="s">
        <v>475</v>
      </c>
      <c r="O334" s="10" t="str">
        <f t="shared" si="80"/>
        <v>View</v>
      </c>
      <c r="P334" s="14"/>
    </row>
    <row r="335">
      <c r="A335" s="7">
        <v>42433.521250000005</v>
      </c>
      <c r="B335" s="8" t="str">
        <f t="shared" si="79"/>
        <v>@ebdrago</v>
      </c>
      <c r="C335" s="9" t="s">
        <v>474</v>
      </c>
      <c r="D335" s="9" t="s">
        <v>477</v>
      </c>
      <c r="E335" s="10" t="str">
        <f>HYPERLINK("https://twitter.com/ebdrago/status/705822768810627072","705822768810627072")</f>
        <v>705822768810627072</v>
      </c>
      <c r="F335" s="11" t="s">
        <v>31</v>
      </c>
      <c r="G335" s="12">
        <v>297.0</v>
      </c>
      <c r="H335" s="12">
        <v>326.0</v>
      </c>
      <c r="I335" s="12">
        <v>0.0</v>
      </c>
      <c r="J335" s="12">
        <v>4.0</v>
      </c>
      <c r="K335" s="11" t="s">
        <v>21</v>
      </c>
      <c r="L335" s="7">
        <v>41750.5362962963</v>
      </c>
      <c r="M335" s="15"/>
      <c r="N335" s="13" t="s">
        <v>475</v>
      </c>
      <c r="O335" s="10" t="str">
        <f t="shared" si="80"/>
        <v>View</v>
      </c>
      <c r="P335" s="14"/>
    </row>
    <row r="336">
      <c r="A336" s="7">
        <v>42433.52447916666</v>
      </c>
      <c r="B336" s="8" t="str">
        <f t="shared" ref="B336:B340" si="81">HYPERLINK("https://twitter.com/GHAUmass","@GHAUmass")</f>
        <v>@GHAUmass</v>
      </c>
      <c r="C336" s="9" t="s">
        <v>30</v>
      </c>
      <c r="D336" s="9" t="s">
        <v>472</v>
      </c>
      <c r="E336" s="10" t="str">
        <f>HYPERLINK("https://twitter.com/GHAUmass/status/705823938404859905","705823938404859905")</f>
        <v>705823938404859905</v>
      </c>
      <c r="F336" s="11" t="s">
        <v>31</v>
      </c>
      <c r="G336" s="12">
        <v>68.0</v>
      </c>
      <c r="H336" s="12">
        <v>100.0</v>
      </c>
      <c r="I336" s="12">
        <v>4.0</v>
      </c>
      <c r="J336" s="12">
        <v>0.0</v>
      </c>
      <c r="K336" s="11" t="s">
        <v>21</v>
      </c>
      <c r="L336" s="7">
        <v>42152.65289351852</v>
      </c>
      <c r="M336" s="13" t="s">
        <v>22</v>
      </c>
      <c r="N336" s="13" t="s">
        <v>32</v>
      </c>
      <c r="O336" s="10" t="str">
        <f t="shared" ref="O336:O340" si="82">HYPERLINK("https://pbs.twimg.com/profile_images/604060333590855682/Fk6r1D7d_normal.jpg","View")</f>
        <v>View</v>
      </c>
      <c r="P336" s="14"/>
    </row>
    <row r="337">
      <c r="A337" s="7">
        <v>42433.52453703704</v>
      </c>
      <c r="B337" s="8" t="str">
        <f t="shared" si="81"/>
        <v>@GHAUmass</v>
      </c>
      <c r="C337" s="9" t="s">
        <v>30</v>
      </c>
      <c r="D337" s="9" t="s">
        <v>459</v>
      </c>
      <c r="E337" s="10" t="str">
        <f>HYPERLINK("https://twitter.com/GHAUmass/status/705823962861867008","705823962861867008")</f>
        <v>705823962861867008</v>
      </c>
      <c r="F337" s="11" t="s">
        <v>31</v>
      </c>
      <c r="G337" s="12">
        <v>68.0</v>
      </c>
      <c r="H337" s="12">
        <v>100.0</v>
      </c>
      <c r="I337" s="12">
        <v>4.0</v>
      </c>
      <c r="J337" s="12">
        <v>0.0</v>
      </c>
      <c r="K337" s="11" t="s">
        <v>21</v>
      </c>
      <c r="L337" s="7">
        <v>42152.65289351852</v>
      </c>
      <c r="M337" s="13" t="s">
        <v>22</v>
      </c>
      <c r="N337" s="13" t="s">
        <v>32</v>
      </c>
      <c r="O337" s="10" t="str">
        <f t="shared" si="82"/>
        <v>View</v>
      </c>
      <c r="P337" s="14"/>
    </row>
    <row r="338">
      <c r="A338" s="7">
        <v>42433.525300925925</v>
      </c>
      <c r="B338" s="8" t="str">
        <f t="shared" si="81"/>
        <v>@GHAUmass</v>
      </c>
      <c r="C338" s="9" t="s">
        <v>30</v>
      </c>
      <c r="D338" s="9" t="s">
        <v>411</v>
      </c>
      <c r="E338" s="10" t="str">
        <f>HYPERLINK("https://twitter.com/GHAUmass/status/705824236091383808","705824236091383808")</f>
        <v>705824236091383808</v>
      </c>
      <c r="F338" s="11" t="s">
        <v>31</v>
      </c>
      <c r="G338" s="12">
        <v>68.0</v>
      </c>
      <c r="H338" s="12">
        <v>100.0</v>
      </c>
      <c r="I338" s="12">
        <v>2.0</v>
      </c>
      <c r="J338" s="12">
        <v>0.0</v>
      </c>
      <c r="K338" s="11" t="s">
        <v>21</v>
      </c>
      <c r="L338" s="7">
        <v>42152.65289351852</v>
      </c>
      <c r="M338" s="13" t="s">
        <v>22</v>
      </c>
      <c r="N338" s="13" t="s">
        <v>32</v>
      </c>
      <c r="O338" s="10" t="str">
        <f t="shared" si="82"/>
        <v>View</v>
      </c>
      <c r="P338" s="14"/>
    </row>
    <row r="339">
      <c r="A339" s="7">
        <v>42433.52538194445</v>
      </c>
      <c r="B339" s="8" t="str">
        <f t="shared" si="81"/>
        <v>@GHAUmass</v>
      </c>
      <c r="C339" s="9" t="s">
        <v>30</v>
      </c>
      <c r="D339" s="9" t="s">
        <v>418</v>
      </c>
      <c r="E339" s="10" t="str">
        <f>HYPERLINK("https://twitter.com/GHAUmass/status/705824266558816256","705824266558816256")</f>
        <v>705824266558816256</v>
      </c>
      <c r="F339" s="11" t="s">
        <v>31</v>
      </c>
      <c r="G339" s="12">
        <v>68.0</v>
      </c>
      <c r="H339" s="12">
        <v>100.0</v>
      </c>
      <c r="I339" s="12">
        <v>4.0</v>
      </c>
      <c r="J339" s="12">
        <v>0.0</v>
      </c>
      <c r="K339" s="11" t="s">
        <v>21</v>
      </c>
      <c r="L339" s="7">
        <v>42152.65289351852</v>
      </c>
      <c r="M339" s="13" t="s">
        <v>22</v>
      </c>
      <c r="N339" s="13" t="s">
        <v>32</v>
      </c>
      <c r="O339" s="10" t="str">
        <f t="shared" si="82"/>
        <v>View</v>
      </c>
      <c r="P339" s="14"/>
    </row>
    <row r="340">
      <c r="A340" s="7">
        <v>42433.52547453703</v>
      </c>
      <c r="B340" s="8" t="str">
        <f t="shared" si="81"/>
        <v>@GHAUmass</v>
      </c>
      <c r="C340" s="9" t="s">
        <v>30</v>
      </c>
      <c r="D340" s="9" t="s">
        <v>412</v>
      </c>
      <c r="E340" s="10" t="str">
        <f>HYPERLINK("https://twitter.com/GHAUmass/status/705824300910120960","705824300910120960")</f>
        <v>705824300910120960</v>
      </c>
      <c r="F340" s="11" t="s">
        <v>31</v>
      </c>
      <c r="G340" s="12">
        <v>68.0</v>
      </c>
      <c r="H340" s="12">
        <v>100.0</v>
      </c>
      <c r="I340" s="12">
        <v>2.0</v>
      </c>
      <c r="J340" s="12">
        <v>0.0</v>
      </c>
      <c r="K340" s="11" t="s">
        <v>21</v>
      </c>
      <c r="L340" s="7">
        <v>42152.65289351852</v>
      </c>
      <c r="M340" s="13" t="s">
        <v>22</v>
      </c>
      <c r="N340" s="13" t="s">
        <v>32</v>
      </c>
      <c r="O340" s="10" t="str">
        <f t="shared" si="82"/>
        <v>View</v>
      </c>
      <c r="P340" s="14"/>
    </row>
    <row r="341">
      <c r="A341" s="7">
        <v>42433.528240740736</v>
      </c>
      <c r="B341" s="8" t="str">
        <f>HYPERLINK("https://twitter.com/historycampaign","@historycampaign")</f>
        <v>@historycampaign</v>
      </c>
      <c r="C341" s="9" t="s">
        <v>133</v>
      </c>
      <c r="D341" s="9" t="s">
        <v>406</v>
      </c>
      <c r="E341" s="10" t="str">
        <f>HYPERLINK("https://twitter.com/historycampaign/status/705825303449493506","705825303449493506")</f>
        <v>705825303449493506</v>
      </c>
      <c r="F341" s="11" t="s">
        <v>26</v>
      </c>
      <c r="G341" s="12">
        <v>110.0</v>
      </c>
      <c r="H341" s="12">
        <v>59.0</v>
      </c>
      <c r="I341" s="12">
        <v>5.0</v>
      </c>
      <c r="J341" s="12">
        <v>0.0</v>
      </c>
      <c r="K341" s="11" t="s">
        <v>21</v>
      </c>
      <c r="L341" s="7">
        <v>42311.25096064815</v>
      </c>
      <c r="M341" s="15"/>
      <c r="N341" s="13" t="s">
        <v>135</v>
      </c>
      <c r="O341" s="10" t="str">
        <f>HYPERLINK("https://pbs.twimg.com/profile_images/673691030139609088/8v7ab61D_normal.jpg","View")</f>
        <v>View</v>
      </c>
      <c r="P341" s="14"/>
    </row>
    <row r="342">
      <c r="A342" s="7">
        <v>42433.52829861111</v>
      </c>
      <c r="B342" s="8" t="str">
        <f>HYPERLINK("https://twitter.com/JL_McPherson_","@JL_McPherson_")</f>
        <v>@JL_McPherson_</v>
      </c>
      <c r="C342" s="9" t="s">
        <v>297</v>
      </c>
      <c r="D342" s="9" t="s">
        <v>425</v>
      </c>
      <c r="E342" s="10" t="str">
        <f>HYPERLINK("https://twitter.com/JL_McPherson_/status/705825325465206785","705825325465206785")</f>
        <v>705825325465206785</v>
      </c>
      <c r="F342" s="11" t="s">
        <v>26</v>
      </c>
      <c r="G342" s="12">
        <v>144.0</v>
      </c>
      <c r="H342" s="12">
        <v>415.0</v>
      </c>
      <c r="I342" s="12">
        <v>2.0</v>
      </c>
      <c r="J342" s="12">
        <v>0.0</v>
      </c>
      <c r="K342" s="11" t="s">
        <v>21</v>
      </c>
      <c r="L342" s="7">
        <v>40607.711226851854</v>
      </c>
      <c r="M342" s="13" t="s">
        <v>298</v>
      </c>
      <c r="N342" s="13" t="s">
        <v>299</v>
      </c>
      <c r="O342" s="10" t="str">
        <f>HYPERLINK("https://pbs.twimg.com/profile_images/562649272173068288/zFENKIgW_normal.png","View")</f>
        <v>View</v>
      </c>
      <c r="P342" s="14"/>
    </row>
    <row r="343">
      <c r="A343" s="7">
        <v>42433.52940972222</v>
      </c>
      <c r="B343" s="8" t="str">
        <f>HYPERLINK("https://twitter.com/historycampaign","@historycampaign")</f>
        <v>@historycampaign</v>
      </c>
      <c r="C343" s="9" t="s">
        <v>133</v>
      </c>
      <c r="D343" s="9" t="s">
        <v>310</v>
      </c>
      <c r="E343" s="10" t="str">
        <f>HYPERLINK("https://twitter.com/historycampaign/status/705825727657197569","705825727657197569")</f>
        <v>705825727657197569</v>
      </c>
      <c r="F343" s="11" t="s">
        <v>26</v>
      </c>
      <c r="G343" s="12">
        <v>110.0</v>
      </c>
      <c r="H343" s="12">
        <v>59.0</v>
      </c>
      <c r="I343" s="12">
        <v>4.0</v>
      </c>
      <c r="J343" s="12">
        <v>0.0</v>
      </c>
      <c r="K343" s="11" t="s">
        <v>21</v>
      </c>
      <c r="L343" s="7">
        <v>42311.25096064815</v>
      </c>
      <c r="M343" s="15"/>
      <c r="N343" s="13" t="s">
        <v>135</v>
      </c>
      <c r="O343" s="10" t="str">
        <f>HYPERLINK("https://pbs.twimg.com/profile_images/673691030139609088/8v7ab61D_normal.jpg","View")</f>
        <v>View</v>
      </c>
      <c r="P343" s="14"/>
    </row>
    <row r="344">
      <c r="A344" s="7">
        <v>42433.529814814814</v>
      </c>
      <c r="B344" s="8" t="str">
        <f>HYPERLINK("https://twitter.com/JasonSteinhauer","@JasonSteinhauer")</f>
        <v>@JasonSteinhauer</v>
      </c>
      <c r="C344" s="9" t="s">
        <v>37</v>
      </c>
      <c r="D344" s="9" t="s">
        <v>478</v>
      </c>
      <c r="E344" s="10" t="str">
        <f>HYPERLINK("https://twitter.com/JasonSteinhauer/status/705825874894057474","705825874894057474")</f>
        <v>705825874894057474</v>
      </c>
      <c r="F344" s="11" t="s">
        <v>148</v>
      </c>
      <c r="G344" s="12">
        <v>1302.0</v>
      </c>
      <c r="H344" s="12">
        <v>1315.0</v>
      </c>
      <c r="I344" s="12">
        <v>13.0</v>
      </c>
      <c r="J344" s="12">
        <v>15.0</v>
      </c>
      <c r="K344" s="11" t="s">
        <v>21</v>
      </c>
      <c r="L344" s="7">
        <v>41169.51726851852</v>
      </c>
      <c r="M344" s="13" t="s">
        <v>39</v>
      </c>
      <c r="N344" s="13" t="s">
        <v>40</v>
      </c>
      <c r="O344" s="10" t="str">
        <f>HYPERLINK("https://pbs.twimg.com/profile_images/531574951107518465/AvUhkliP_normal.jpeg","View")</f>
        <v>View</v>
      </c>
      <c r="P344" s="14"/>
    </row>
    <row r="345">
      <c r="A345" s="7">
        <v>42433.530752314815</v>
      </c>
      <c r="B345" s="8" t="str">
        <f>HYPERLINK("https://twitter.com/CvilleDems","@CvilleDems")</f>
        <v>@CvilleDems</v>
      </c>
      <c r="C345" s="9" t="s">
        <v>479</v>
      </c>
      <c r="D345" s="9" t="s">
        <v>437</v>
      </c>
      <c r="E345" s="10" t="str">
        <f>HYPERLINK("https://twitter.com/CvilleDems/status/705826214494281728","705826214494281728")</f>
        <v>705826214494281728</v>
      </c>
      <c r="F345" s="11" t="s">
        <v>31</v>
      </c>
      <c r="G345" s="12">
        <v>166.0</v>
      </c>
      <c r="H345" s="12">
        <v>86.0</v>
      </c>
      <c r="I345" s="12">
        <v>6.0</v>
      </c>
      <c r="J345" s="12">
        <v>0.0</v>
      </c>
      <c r="K345" s="11" t="s">
        <v>21</v>
      </c>
      <c r="L345" s="7">
        <v>40203.7140625</v>
      </c>
      <c r="M345" s="13" t="s">
        <v>94</v>
      </c>
      <c r="N345" s="13" t="s">
        <v>480</v>
      </c>
      <c r="O345" s="10" t="str">
        <f>HYPERLINK("https://pbs.twimg.com/profile_images/458672614265745408/7NnQ5ZX__normal.jpeg","View")</f>
        <v>View</v>
      </c>
      <c r="P345" s="14"/>
    </row>
    <row r="346">
      <c r="A346" s="7">
        <v>42433.53239583333</v>
      </c>
      <c r="B346" s="8" t="str">
        <f>HYPERLINK("https://twitter.com/zlewis02","@zlewis02")</f>
        <v>@zlewis02</v>
      </c>
      <c r="C346" s="9" t="s">
        <v>481</v>
      </c>
      <c r="D346" s="9" t="s">
        <v>482</v>
      </c>
      <c r="E346" s="10" t="str">
        <f>HYPERLINK("https://twitter.com/zlewis02/status/705826808739061760","705826808739061760")</f>
        <v>705826808739061760</v>
      </c>
      <c r="F346" s="11" t="s">
        <v>26</v>
      </c>
      <c r="G346" s="12">
        <v>102.0</v>
      </c>
      <c r="H346" s="12">
        <v>274.0</v>
      </c>
      <c r="I346" s="12">
        <v>13.0</v>
      </c>
      <c r="J346" s="12">
        <v>0.0</v>
      </c>
      <c r="K346" s="11" t="s">
        <v>21</v>
      </c>
      <c r="L346" s="7">
        <v>41704.61883101852</v>
      </c>
      <c r="M346" s="15"/>
      <c r="N346" s="13" t="s">
        <v>483</v>
      </c>
      <c r="O346" s="10" t="str">
        <f>HYPERLINK("https://pbs.twimg.com/profile_images/664973835544993792/NmIALyK8_normal.jpg","View")</f>
        <v>View</v>
      </c>
      <c r="P346" s="14"/>
    </row>
    <row r="347">
      <c r="A347" s="7">
        <v>42433.53266203703</v>
      </c>
      <c r="B347" s="8" t="str">
        <f>HYPERLINK("https://twitter.com/mille24c","@mille24c")</f>
        <v>@mille24c</v>
      </c>
      <c r="C347" s="9" t="s">
        <v>115</v>
      </c>
      <c r="D347" s="9" t="s">
        <v>484</v>
      </c>
      <c r="E347" s="10" t="str">
        <f>HYPERLINK("https://twitter.com/mille24c/status/705826906210435073","705826906210435073")</f>
        <v>705826906210435073</v>
      </c>
      <c r="F347" s="11" t="s">
        <v>29</v>
      </c>
      <c r="G347" s="12">
        <v>208.0</v>
      </c>
      <c r="H347" s="12">
        <v>297.0</v>
      </c>
      <c r="I347" s="12">
        <v>3.0</v>
      </c>
      <c r="J347" s="12">
        <v>3.0</v>
      </c>
      <c r="K347" s="11" t="s">
        <v>21</v>
      </c>
      <c r="L347" s="7">
        <v>39864.79206018519</v>
      </c>
      <c r="M347" s="13" t="s">
        <v>22</v>
      </c>
      <c r="N347" s="13" t="s">
        <v>117</v>
      </c>
      <c r="O347" s="10" t="str">
        <f>HYPERLINK("https://pbs.twimg.com/profile_images/676362182020481024/P0kyLli1_normal.jpg","View")</f>
        <v>View</v>
      </c>
      <c r="P347" s="10" t="str">
        <f>HYPERLINK("http://ctrlq.org/maps/address/#42.3871255,-72.526555","Map")</f>
        <v>Map</v>
      </c>
    </row>
    <row r="348">
      <c r="A348" s="7">
        <v>42433.53357638889</v>
      </c>
      <c r="B348" s="8" t="str">
        <f>HYPERLINK("https://twitter.com/historycampaign","@historycampaign")</f>
        <v>@historycampaign</v>
      </c>
      <c r="C348" s="9" t="s">
        <v>133</v>
      </c>
      <c r="D348" s="9" t="s">
        <v>485</v>
      </c>
      <c r="E348" s="10" t="str">
        <f>HYPERLINK("https://twitter.com/historycampaign/status/705827237317238784","705827237317238784")</f>
        <v>705827237317238784</v>
      </c>
      <c r="F348" s="11" t="s">
        <v>26</v>
      </c>
      <c r="G348" s="12">
        <v>110.0</v>
      </c>
      <c r="H348" s="12">
        <v>59.0</v>
      </c>
      <c r="I348" s="12">
        <v>2.0</v>
      </c>
      <c r="J348" s="12">
        <v>1.0</v>
      </c>
      <c r="K348" s="11" t="s">
        <v>21</v>
      </c>
      <c r="L348" s="7">
        <v>42311.25096064815</v>
      </c>
      <c r="M348" s="15"/>
      <c r="N348" s="13" t="s">
        <v>135</v>
      </c>
      <c r="O348" s="10" t="str">
        <f>HYPERLINK("https://pbs.twimg.com/profile_images/673691030139609088/8v7ab61D_normal.jpg","View")</f>
        <v>View</v>
      </c>
      <c r="P348" s="14"/>
    </row>
    <row r="349">
      <c r="A349" s="7">
        <v>42433.544432870374</v>
      </c>
      <c r="B349" s="8" t="str">
        <f>HYPERLINK("https://twitter.com/AmandaMoniz1","@AmandaMoniz1")</f>
        <v>@AmandaMoniz1</v>
      </c>
      <c r="C349" s="9" t="s">
        <v>66</v>
      </c>
      <c r="D349" s="9" t="s">
        <v>437</v>
      </c>
      <c r="E349" s="10" t="str">
        <f>HYPERLINK("https://twitter.com/AmandaMoniz1/status/705831172568436742","705831172568436742")</f>
        <v>705831172568436742</v>
      </c>
      <c r="F349" s="11" t="s">
        <v>31</v>
      </c>
      <c r="G349" s="12">
        <v>622.0</v>
      </c>
      <c r="H349" s="12">
        <v>607.0</v>
      </c>
      <c r="I349" s="12">
        <v>6.0</v>
      </c>
      <c r="J349" s="12">
        <v>0.0</v>
      </c>
      <c r="K349" s="11" t="s">
        <v>21</v>
      </c>
      <c r="L349" s="7">
        <v>40766.33971064815</v>
      </c>
      <c r="M349" s="15"/>
      <c r="N349" s="13" t="s">
        <v>68</v>
      </c>
      <c r="O349" s="10" t="str">
        <f>HYPERLINK("https://pbs.twimg.com/profile_images/378800000149111881/7969acf9cec4197748b502a6a6c3d921_normal.jpeg","View")</f>
        <v>View</v>
      </c>
      <c r="P349" s="14"/>
    </row>
    <row r="350">
      <c r="A350" s="7">
        <v>42433.5452662037</v>
      </c>
      <c r="B350" s="8" t="str">
        <f t="shared" ref="B350:B351" si="83">HYPERLINK("https://twitter.com/jamiaw","@jamiaw")</f>
        <v>@jamiaw</v>
      </c>
      <c r="C350" s="9" t="s">
        <v>324</v>
      </c>
      <c r="D350" s="9" t="s">
        <v>476</v>
      </c>
      <c r="E350" s="10" t="str">
        <f>HYPERLINK("https://twitter.com/jamiaw/status/705831473719451648","705831473719451648")</f>
        <v>705831473719451648</v>
      </c>
      <c r="F350" s="11" t="s">
        <v>26</v>
      </c>
      <c r="G350" s="12">
        <v>11335.0</v>
      </c>
      <c r="H350" s="12">
        <v>7815.0</v>
      </c>
      <c r="I350" s="12">
        <v>4.0</v>
      </c>
      <c r="J350" s="12">
        <v>0.0</v>
      </c>
      <c r="K350" s="11" t="s">
        <v>21</v>
      </c>
      <c r="L350" s="7">
        <v>39642.39741898148</v>
      </c>
      <c r="M350" s="13" t="s">
        <v>325</v>
      </c>
      <c r="N350" s="13" t="s">
        <v>326</v>
      </c>
      <c r="O350" s="10" t="str">
        <f t="shared" ref="O350:O351" si="84">HYPERLINK("https://pbs.twimg.com/profile_images/701102020061753344/5zH70uem_normal.jpg","View")</f>
        <v>View</v>
      </c>
      <c r="P350" s="14"/>
    </row>
    <row r="351">
      <c r="A351" s="7">
        <v>42433.545439814814</v>
      </c>
      <c r="B351" s="8" t="str">
        <f t="shared" si="83"/>
        <v>@jamiaw</v>
      </c>
      <c r="C351" s="9" t="s">
        <v>324</v>
      </c>
      <c r="D351" s="9" t="s">
        <v>486</v>
      </c>
      <c r="E351" s="10" t="str">
        <f>HYPERLINK("https://twitter.com/jamiaw/status/705831535056912384","705831535056912384")</f>
        <v>705831535056912384</v>
      </c>
      <c r="F351" s="11" t="s">
        <v>26</v>
      </c>
      <c r="G351" s="12">
        <v>11335.0</v>
      </c>
      <c r="H351" s="12">
        <v>7815.0</v>
      </c>
      <c r="I351" s="12">
        <v>2.0</v>
      </c>
      <c r="J351" s="12">
        <v>0.0</v>
      </c>
      <c r="K351" s="11" t="s">
        <v>21</v>
      </c>
      <c r="L351" s="7">
        <v>39642.39741898148</v>
      </c>
      <c r="M351" s="13" t="s">
        <v>325</v>
      </c>
      <c r="N351" s="13" t="s">
        <v>326</v>
      </c>
      <c r="O351" s="10" t="str">
        <f t="shared" si="84"/>
        <v>View</v>
      </c>
      <c r="P351" s="14"/>
    </row>
    <row r="352">
      <c r="A352" s="7">
        <v>42433.552141203705</v>
      </c>
      <c r="B352" s="8" t="str">
        <f t="shared" ref="B352:B353" si="85">HYPERLINK("https://twitter.com/JulieThePH","@JulieThePH")</f>
        <v>@JulieThePH</v>
      </c>
      <c r="C352" s="9" t="s">
        <v>211</v>
      </c>
      <c r="D352" s="9" t="s">
        <v>487</v>
      </c>
      <c r="E352" s="10" t="str">
        <f>HYPERLINK("https://twitter.com/JulieThePH/status/705833963508596741","705833963508596741")</f>
        <v>705833963508596741</v>
      </c>
      <c r="F352" s="11" t="s">
        <v>31</v>
      </c>
      <c r="G352" s="12">
        <v>1234.0</v>
      </c>
      <c r="H352" s="12">
        <v>1386.0</v>
      </c>
      <c r="I352" s="12">
        <v>3.0</v>
      </c>
      <c r="J352" s="12">
        <v>0.0</v>
      </c>
      <c r="K352" s="11" t="s">
        <v>21</v>
      </c>
      <c r="L352" s="7">
        <v>40718.66918981481</v>
      </c>
      <c r="M352" s="13" t="s">
        <v>213</v>
      </c>
      <c r="N352" s="13" t="s">
        <v>214</v>
      </c>
      <c r="O352" s="10" t="str">
        <f t="shared" ref="O352:O353" si="86">HYPERLINK("https://pbs.twimg.com/profile_images/596509974005686273/AqBblwMR_normal.jpg","View")</f>
        <v>View</v>
      </c>
      <c r="P352" s="14"/>
    </row>
    <row r="353">
      <c r="A353" s="7">
        <v>42433.55221064815</v>
      </c>
      <c r="B353" s="8" t="str">
        <f t="shared" si="85"/>
        <v>@JulieThePH</v>
      </c>
      <c r="C353" s="9" t="s">
        <v>211</v>
      </c>
      <c r="D353" s="9" t="s">
        <v>482</v>
      </c>
      <c r="E353" s="10" t="str">
        <f>HYPERLINK("https://twitter.com/JulieThePH/status/705833990679347201","705833990679347201")</f>
        <v>705833990679347201</v>
      </c>
      <c r="F353" s="11" t="s">
        <v>31</v>
      </c>
      <c r="G353" s="12">
        <v>1234.0</v>
      </c>
      <c r="H353" s="12">
        <v>1386.0</v>
      </c>
      <c r="I353" s="12">
        <v>13.0</v>
      </c>
      <c r="J353" s="12">
        <v>0.0</v>
      </c>
      <c r="K353" s="11" t="s">
        <v>21</v>
      </c>
      <c r="L353" s="7">
        <v>40718.66918981481</v>
      </c>
      <c r="M353" s="13" t="s">
        <v>213</v>
      </c>
      <c r="N353" s="13" t="s">
        <v>214</v>
      </c>
      <c r="O353" s="10" t="str">
        <f t="shared" si="86"/>
        <v>View</v>
      </c>
      <c r="P353" s="14"/>
    </row>
    <row r="354">
      <c r="A354" s="7">
        <v>42433.55237268518</v>
      </c>
      <c r="B354" s="8" t="str">
        <f t="shared" ref="B354:B361" si="87">HYPERLINK("https://twitter.com/pastpunditry","@pastpunditry")</f>
        <v>@pastpunditry</v>
      </c>
      <c r="C354" s="9" t="s">
        <v>92</v>
      </c>
      <c r="D354" s="9" t="s">
        <v>473</v>
      </c>
      <c r="E354" s="10" t="str">
        <f>HYPERLINK("https://twitter.com/pastpunditry/status/705834047046598657","705834047046598657")</f>
        <v>705834047046598657</v>
      </c>
      <c r="F354" s="11" t="s">
        <v>77</v>
      </c>
      <c r="G354" s="12">
        <v>890.0</v>
      </c>
      <c r="H354" s="12">
        <v>378.0</v>
      </c>
      <c r="I354" s="12">
        <v>2.0</v>
      </c>
      <c r="J354" s="12">
        <v>0.0</v>
      </c>
      <c r="K354" s="11" t="s">
        <v>21</v>
      </c>
      <c r="L354" s="7">
        <v>40283.384351851855</v>
      </c>
      <c r="M354" s="13" t="s">
        <v>94</v>
      </c>
      <c r="N354" s="13" t="s">
        <v>95</v>
      </c>
      <c r="O354" s="10" t="str">
        <f t="shared" ref="O354:O361" si="88">HYPERLINK("https://pbs.twimg.com/profile_images/704873222802636800/7aFEMOY5_normal.jpg","View")</f>
        <v>View</v>
      </c>
      <c r="P354" s="14"/>
    </row>
    <row r="355">
      <c r="A355" s="7">
        <v>42433.552395833336</v>
      </c>
      <c r="B355" s="8" t="str">
        <f t="shared" si="87"/>
        <v>@pastpunditry</v>
      </c>
      <c r="C355" s="9" t="s">
        <v>92</v>
      </c>
      <c r="D355" s="9" t="s">
        <v>486</v>
      </c>
      <c r="E355" s="10" t="str">
        <f>HYPERLINK("https://twitter.com/pastpunditry/status/705834058295746560","705834058295746560")</f>
        <v>705834058295746560</v>
      </c>
      <c r="F355" s="11" t="s">
        <v>77</v>
      </c>
      <c r="G355" s="12">
        <v>890.0</v>
      </c>
      <c r="H355" s="12">
        <v>378.0</v>
      </c>
      <c r="I355" s="12">
        <v>2.0</v>
      </c>
      <c r="J355" s="12">
        <v>0.0</v>
      </c>
      <c r="K355" s="11" t="s">
        <v>21</v>
      </c>
      <c r="L355" s="7">
        <v>40283.384351851855</v>
      </c>
      <c r="M355" s="13" t="s">
        <v>94</v>
      </c>
      <c r="N355" s="13" t="s">
        <v>95</v>
      </c>
      <c r="O355" s="10" t="str">
        <f t="shared" si="88"/>
        <v>View</v>
      </c>
      <c r="P355" s="14"/>
    </row>
    <row r="356">
      <c r="A356" s="7">
        <v>42433.552453703705</v>
      </c>
      <c r="B356" s="8" t="str">
        <f t="shared" si="87"/>
        <v>@pastpunditry</v>
      </c>
      <c r="C356" s="9" t="s">
        <v>92</v>
      </c>
      <c r="D356" s="9" t="s">
        <v>488</v>
      </c>
      <c r="E356" s="10" t="str">
        <f>HYPERLINK("https://twitter.com/pastpunditry/status/705834075823669248","705834075823669248")</f>
        <v>705834075823669248</v>
      </c>
      <c r="F356" s="11" t="s">
        <v>77</v>
      </c>
      <c r="G356" s="12">
        <v>890.0</v>
      </c>
      <c r="H356" s="12">
        <v>378.0</v>
      </c>
      <c r="I356" s="12">
        <v>1.0</v>
      </c>
      <c r="J356" s="12">
        <v>0.0</v>
      </c>
      <c r="K356" s="11" t="s">
        <v>21</v>
      </c>
      <c r="L356" s="7">
        <v>40283.384351851855</v>
      </c>
      <c r="M356" s="13" t="s">
        <v>94</v>
      </c>
      <c r="N356" s="13" t="s">
        <v>95</v>
      </c>
      <c r="O356" s="10" t="str">
        <f t="shared" si="88"/>
        <v>View</v>
      </c>
      <c r="P356" s="14"/>
    </row>
    <row r="357">
      <c r="A357" s="7">
        <v>42433.55248842592</v>
      </c>
      <c r="B357" s="8" t="str">
        <f t="shared" si="87"/>
        <v>@pastpunditry</v>
      </c>
      <c r="C357" s="9" t="s">
        <v>92</v>
      </c>
      <c r="D357" s="9" t="s">
        <v>489</v>
      </c>
      <c r="E357" s="10" t="str">
        <f>HYPERLINK("https://twitter.com/pastpunditry/status/705834090977693696","705834090977693696")</f>
        <v>705834090977693696</v>
      </c>
      <c r="F357" s="11" t="s">
        <v>77</v>
      </c>
      <c r="G357" s="12">
        <v>890.0</v>
      </c>
      <c r="H357" s="12">
        <v>378.0</v>
      </c>
      <c r="I357" s="12">
        <v>1.0</v>
      </c>
      <c r="J357" s="12">
        <v>0.0</v>
      </c>
      <c r="K357" s="11" t="s">
        <v>21</v>
      </c>
      <c r="L357" s="7">
        <v>40283.384351851855</v>
      </c>
      <c r="M357" s="13" t="s">
        <v>94</v>
      </c>
      <c r="N357" s="13" t="s">
        <v>95</v>
      </c>
      <c r="O357" s="10" t="str">
        <f t="shared" si="88"/>
        <v>View</v>
      </c>
      <c r="P357" s="14"/>
    </row>
    <row r="358">
      <c r="A358" s="7">
        <v>42433.55253472222</v>
      </c>
      <c r="B358" s="8" t="str">
        <f t="shared" si="87"/>
        <v>@pastpunditry</v>
      </c>
      <c r="C358" s="9" t="s">
        <v>92</v>
      </c>
      <c r="D358" s="9" t="s">
        <v>459</v>
      </c>
      <c r="E358" s="10" t="str">
        <f>HYPERLINK("https://twitter.com/pastpunditry/status/705834105087401985","705834105087401985")</f>
        <v>705834105087401985</v>
      </c>
      <c r="F358" s="11" t="s">
        <v>77</v>
      </c>
      <c r="G358" s="12">
        <v>890.0</v>
      </c>
      <c r="H358" s="12">
        <v>378.0</v>
      </c>
      <c r="I358" s="12">
        <v>4.0</v>
      </c>
      <c r="J358" s="12">
        <v>0.0</v>
      </c>
      <c r="K358" s="11" t="s">
        <v>21</v>
      </c>
      <c r="L358" s="7">
        <v>40283.384351851855</v>
      </c>
      <c r="M358" s="13" t="s">
        <v>94</v>
      </c>
      <c r="N358" s="13" t="s">
        <v>95</v>
      </c>
      <c r="O358" s="10" t="str">
        <f t="shared" si="88"/>
        <v>View</v>
      </c>
      <c r="P358" s="14"/>
    </row>
    <row r="359">
      <c r="A359" s="7">
        <v>42433.552569444444</v>
      </c>
      <c r="B359" s="8" t="str">
        <f t="shared" si="87"/>
        <v>@pastpunditry</v>
      </c>
      <c r="C359" s="9" t="s">
        <v>92</v>
      </c>
      <c r="D359" s="9" t="s">
        <v>472</v>
      </c>
      <c r="E359" s="10" t="str">
        <f>HYPERLINK("https://twitter.com/pastpunditry/status/705834119708745729","705834119708745729")</f>
        <v>705834119708745729</v>
      </c>
      <c r="F359" s="11" t="s">
        <v>77</v>
      </c>
      <c r="G359" s="12">
        <v>890.0</v>
      </c>
      <c r="H359" s="12">
        <v>378.0</v>
      </c>
      <c r="I359" s="12">
        <v>4.0</v>
      </c>
      <c r="J359" s="12">
        <v>0.0</v>
      </c>
      <c r="K359" s="11" t="s">
        <v>21</v>
      </c>
      <c r="L359" s="7">
        <v>40283.384351851855</v>
      </c>
      <c r="M359" s="13" t="s">
        <v>94</v>
      </c>
      <c r="N359" s="13" t="s">
        <v>95</v>
      </c>
      <c r="O359" s="10" t="str">
        <f t="shared" si="88"/>
        <v>View</v>
      </c>
      <c r="P359" s="14"/>
    </row>
    <row r="360">
      <c r="A360" s="7">
        <v>42433.55262731481</v>
      </c>
      <c r="B360" s="8" t="str">
        <f t="shared" si="87"/>
        <v>@pastpunditry</v>
      </c>
      <c r="C360" s="9" t="s">
        <v>92</v>
      </c>
      <c r="D360" s="9" t="s">
        <v>490</v>
      </c>
      <c r="E360" s="10" t="str">
        <f>HYPERLINK("https://twitter.com/pastpunditry/status/705834139707113472","705834139707113472")</f>
        <v>705834139707113472</v>
      </c>
      <c r="F360" s="11" t="s">
        <v>77</v>
      </c>
      <c r="G360" s="12">
        <v>890.0</v>
      </c>
      <c r="H360" s="12">
        <v>378.0</v>
      </c>
      <c r="I360" s="12">
        <v>1.0</v>
      </c>
      <c r="J360" s="12">
        <v>0.0</v>
      </c>
      <c r="K360" s="11" t="s">
        <v>21</v>
      </c>
      <c r="L360" s="7">
        <v>40283.384351851855</v>
      </c>
      <c r="M360" s="13" t="s">
        <v>94</v>
      </c>
      <c r="N360" s="13" t="s">
        <v>95</v>
      </c>
      <c r="O360" s="10" t="str">
        <f t="shared" si="88"/>
        <v>View</v>
      </c>
      <c r="P360" s="14"/>
    </row>
    <row r="361">
      <c r="A361" s="7">
        <v>42433.55268518519</v>
      </c>
      <c r="B361" s="8" t="str">
        <f t="shared" si="87"/>
        <v>@pastpunditry</v>
      </c>
      <c r="C361" s="9" t="s">
        <v>92</v>
      </c>
      <c r="D361" s="9" t="s">
        <v>476</v>
      </c>
      <c r="E361" s="10" t="str">
        <f>HYPERLINK("https://twitter.com/pastpunditry/status/705834162788368388","705834162788368388")</f>
        <v>705834162788368388</v>
      </c>
      <c r="F361" s="11" t="s">
        <v>77</v>
      </c>
      <c r="G361" s="12">
        <v>890.0</v>
      </c>
      <c r="H361" s="12">
        <v>378.0</v>
      </c>
      <c r="I361" s="12">
        <v>4.0</v>
      </c>
      <c r="J361" s="12">
        <v>0.0</v>
      </c>
      <c r="K361" s="11" t="s">
        <v>21</v>
      </c>
      <c r="L361" s="7">
        <v>40283.384351851855</v>
      </c>
      <c r="M361" s="13" t="s">
        <v>94</v>
      </c>
      <c r="N361" s="13" t="s">
        <v>95</v>
      </c>
      <c r="O361" s="10" t="str">
        <f t="shared" si="88"/>
        <v>View</v>
      </c>
      <c r="P361" s="14"/>
    </row>
    <row r="362">
      <c r="A362" s="7">
        <v>42433.552719907406</v>
      </c>
      <c r="B362" s="8" t="str">
        <f t="shared" ref="B362:B363" si="89">HYPERLINK("https://twitter.com/JulieThePH","@JulieThePH")</f>
        <v>@JulieThePH</v>
      </c>
      <c r="C362" s="9" t="s">
        <v>211</v>
      </c>
      <c r="D362" s="9" t="s">
        <v>476</v>
      </c>
      <c r="E362" s="10" t="str">
        <f>HYPERLINK("https://twitter.com/JulieThePH/status/705834174691856384","705834174691856384")</f>
        <v>705834174691856384</v>
      </c>
      <c r="F362" s="11" t="s">
        <v>31</v>
      </c>
      <c r="G362" s="12">
        <v>1234.0</v>
      </c>
      <c r="H362" s="12">
        <v>1386.0</v>
      </c>
      <c r="I362" s="12">
        <v>4.0</v>
      </c>
      <c r="J362" s="12">
        <v>0.0</v>
      </c>
      <c r="K362" s="11" t="s">
        <v>21</v>
      </c>
      <c r="L362" s="7">
        <v>40718.66918981481</v>
      </c>
      <c r="M362" s="13" t="s">
        <v>213</v>
      </c>
      <c r="N362" s="13" t="s">
        <v>214</v>
      </c>
      <c r="O362" s="10" t="str">
        <f t="shared" ref="O362:O363" si="90">HYPERLINK("https://pbs.twimg.com/profile_images/596509974005686273/AqBblwMR_normal.jpg","View")</f>
        <v>View</v>
      </c>
      <c r="P362" s="14"/>
    </row>
    <row r="363">
      <c r="A363" s="7">
        <v>42433.55436342592</v>
      </c>
      <c r="B363" s="8" t="str">
        <f t="shared" si="89"/>
        <v>@JulieThePH</v>
      </c>
      <c r="C363" s="9" t="s">
        <v>211</v>
      </c>
      <c r="D363" s="9" t="s">
        <v>491</v>
      </c>
      <c r="E363" s="10" t="str">
        <f>HYPERLINK("https://twitter.com/JulieThePH/status/705834769431597056","705834769431597056")</f>
        <v>705834769431597056</v>
      </c>
      <c r="F363" s="11" t="s">
        <v>31</v>
      </c>
      <c r="G363" s="12">
        <v>1234.0</v>
      </c>
      <c r="H363" s="12">
        <v>1386.0</v>
      </c>
      <c r="I363" s="12">
        <v>5.0</v>
      </c>
      <c r="J363" s="12">
        <v>9.0</v>
      </c>
      <c r="K363" s="11" t="s">
        <v>21</v>
      </c>
      <c r="L363" s="7">
        <v>40718.66918981481</v>
      </c>
      <c r="M363" s="13" t="s">
        <v>213</v>
      </c>
      <c r="N363" s="13" t="s">
        <v>214</v>
      </c>
      <c r="O363" s="10" t="str">
        <f t="shared" si="90"/>
        <v>View</v>
      </c>
      <c r="P363" s="14"/>
    </row>
    <row r="364">
      <c r="A364" s="7">
        <v>42433.554872685185</v>
      </c>
      <c r="B364" s="8" t="str">
        <f t="shared" ref="B364:B365" si="91">HYPERLINK("https://twitter.com/pastpunditry","@pastpunditry")</f>
        <v>@pastpunditry</v>
      </c>
      <c r="C364" s="9" t="s">
        <v>92</v>
      </c>
      <c r="D364" s="9" t="s">
        <v>492</v>
      </c>
      <c r="E364" s="10" t="str">
        <f>HYPERLINK("https://twitter.com/pastpunditry/status/705834952932380673","705834952932380673")</f>
        <v>705834952932380673</v>
      </c>
      <c r="F364" s="11" t="s">
        <v>77</v>
      </c>
      <c r="G364" s="12">
        <v>890.0</v>
      </c>
      <c r="H364" s="12">
        <v>378.0</v>
      </c>
      <c r="I364" s="12">
        <v>1.0</v>
      </c>
      <c r="J364" s="12">
        <v>3.0</v>
      </c>
      <c r="K364" s="11" t="s">
        <v>21</v>
      </c>
      <c r="L364" s="7">
        <v>40283.384351851855</v>
      </c>
      <c r="M364" s="13" t="s">
        <v>94</v>
      </c>
      <c r="N364" s="13" t="s">
        <v>95</v>
      </c>
      <c r="O364" s="10" t="str">
        <f t="shared" ref="O364:O365" si="92">HYPERLINK("https://pbs.twimg.com/profile_images/704873222802636800/7aFEMOY5_normal.jpg","View")</f>
        <v>View</v>
      </c>
      <c r="P364" s="14"/>
    </row>
    <row r="365">
      <c r="A365" s="7">
        <v>42433.55491898148</v>
      </c>
      <c r="B365" s="8" t="str">
        <f t="shared" si="91"/>
        <v>@pastpunditry</v>
      </c>
      <c r="C365" s="9" t="s">
        <v>92</v>
      </c>
      <c r="D365" s="9" t="s">
        <v>493</v>
      </c>
      <c r="E365" s="10" t="str">
        <f>HYPERLINK("https://twitter.com/pastpunditry/status/705834971240538118","705834971240538118")</f>
        <v>705834971240538118</v>
      </c>
      <c r="F365" s="11" t="s">
        <v>77</v>
      </c>
      <c r="G365" s="12">
        <v>890.0</v>
      </c>
      <c r="H365" s="12">
        <v>378.0</v>
      </c>
      <c r="I365" s="12">
        <v>5.0</v>
      </c>
      <c r="J365" s="12">
        <v>0.0</v>
      </c>
      <c r="K365" s="11" t="s">
        <v>21</v>
      </c>
      <c r="L365" s="7">
        <v>40283.384351851855</v>
      </c>
      <c r="M365" s="13" t="s">
        <v>94</v>
      </c>
      <c r="N365" s="13" t="s">
        <v>95</v>
      </c>
      <c r="O365" s="10" t="str">
        <f t="shared" si="92"/>
        <v>View</v>
      </c>
      <c r="P365" s="14"/>
    </row>
    <row r="366">
      <c r="A366" s="7">
        <v>42433.555439814816</v>
      </c>
      <c r="B366" s="8" t="str">
        <f>HYPERLINK("https://twitter.com/historein","@historein")</f>
        <v>@historein</v>
      </c>
      <c r="C366" s="9" t="s">
        <v>172</v>
      </c>
      <c r="D366" s="9" t="s">
        <v>493</v>
      </c>
      <c r="E366" s="10" t="str">
        <f>HYPERLINK("https://twitter.com/historein/status/705835158373535745","705835158373535745")</f>
        <v>705835158373535745</v>
      </c>
      <c r="F366" s="11" t="s">
        <v>31</v>
      </c>
      <c r="G366" s="12">
        <v>641.0</v>
      </c>
      <c r="H366" s="12">
        <v>753.0</v>
      </c>
      <c r="I366" s="12">
        <v>5.0</v>
      </c>
      <c r="J366" s="12">
        <v>0.0</v>
      </c>
      <c r="K366" s="11" t="s">
        <v>21</v>
      </c>
      <c r="L366" s="7">
        <v>40416.68083333333</v>
      </c>
      <c r="M366" s="13" t="s">
        <v>35</v>
      </c>
      <c r="N366" s="13" t="s">
        <v>174</v>
      </c>
      <c r="O366" s="10" t="str">
        <f>HYPERLINK("https://pbs.twimg.com/profile_images/636901483401904128/cxbavncr_normal.jpg","View")</f>
        <v>View</v>
      </c>
      <c r="P366" s="14"/>
    </row>
    <row r="367">
      <c r="A367" s="7">
        <v>42433.55600694445</v>
      </c>
      <c r="B367" s="8" t="str">
        <f t="shared" ref="B367:B370" si="93">HYPERLINK("https://twitter.com/samueljredman","@samueljredman")</f>
        <v>@samueljredman</v>
      </c>
      <c r="C367" s="9" t="s">
        <v>158</v>
      </c>
      <c r="D367" s="9" t="s">
        <v>494</v>
      </c>
      <c r="E367" s="10" t="str">
        <f>HYPERLINK("https://twitter.com/samueljredman/status/705835363286306816","705835363286306816")</f>
        <v>705835363286306816</v>
      </c>
      <c r="F367" s="11" t="s">
        <v>26</v>
      </c>
      <c r="G367" s="12">
        <v>5623.0</v>
      </c>
      <c r="H367" s="12">
        <v>5355.0</v>
      </c>
      <c r="I367" s="12">
        <v>1.0</v>
      </c>
      <c r="J367" s="12">
        <v>0.0</v>
      </c>
      <c r="K367" s="11" t="s">
        <v>21</v>
      </c>
      <c r="L367" s="7">
        <v>40584.98517361111</v>
      </c>
      <c r="M367" s="13" t="s">
        <v>160</v>
      </c>
      <c r="N367" s="13" t="s">
        <v>161</v>
      </c>
      <c r="O367" s="10" t="str">
        <f t="shared" ref="O367:O370" si="94">HYPERLINK("https://pbs.twimg.com/profile_images/548193870278688768/8Dq7gW3U_normal.png","View")</f>
        <v>View</v>
      </c>
      <c r="P367" s="14"/>
    </row>
    <row r="368">
      <c r="A368" s="7">
        <v>42433.55609953703</v>
      </c>
      <c r="B368" s="8" t="str">
        <f t="shared" si="93"/>
        <v>@samueljredman</v>
      </c>
      <c r="C368" s="9" t="s">
        <v>158</v>
      </c>
      <c r="D368" s="9" t="s">
        <v>495</v>
      </c>
      <c r="E368" s="10" t="str">
        <f>HYPERLINK("https://twitter.com/samueljredman/status/705835399894200320","705835399894200320")</f>
        <v>705835399894200320</v>
      </c>
      <c r="F368" s="11" t="s">
        <v>26</v>
      </c>
      <c r="G368" s="12">
        <v>5623.0</v>
      </c>
      <c r="H368" s="12">
        <v>5355.0</v>
      </c>
      <c r="I368" s="12">
        <v>2.0</v>
      </c>
      <c r="J368" s="12">
        <v>0.0</v>
      </c>
      <c r="K368" s="11" t="s">
        <v>21</v>
      </c>
      <c r="L368" s="7">
        <v>40584.98517361111</v>
      </c>
      <c r="M368" s="13" t="s">
        <v>160</v>
      </c>
      <c r="N368" s="13" t="s">
        <v>161</v>
      </c>
      <c r="O368" s="10" t="str">
        <f t="shared" si="94"/>
        <v>View</v>
      </c>
      <c r="P368" s="14"/>
    </row>
    <row r="369">
      <c r="A369" s="7">
        <v>42433.55614583333</v>
      </c>
      <c r="B369" s="8" t="str">
        <f t="shared" si="93"/>
        <v>@samueljredman</v>
      </c>
      <c r="C369" s="9" t="s">
        <v>158</v>
      </c>
      <c r="D369" s="9" t="s">
        <v>487</v>
      </c>
      <c r="E369" s="10" t="str">
        <f>HYPERLINK("https://twitter.com/samueljredman/status/705835413743792128","705835413743792128")</f>
        <v>705835413743792128</v>
      </c>
      <c r="F369" s="11" t="s">
        <v>26</v>
      </c>
      <c r="G369" s="12">
        <v>5623.0</v>
      </c>
      <c r="H369" s="12">
        <v>5355.0</v>
      </c>
      <c r="I369" s="12">
        <v>3.0</v>
      </c>
      <c r="J369" s="12">
        <v>0.0</v>
      </c>
      <c r="K369" s="11" t="s">
        <v>21</v>
      </c>
      <c r="L369" s="7">
        <v>40584.98517361111</v>
      </c>
      <c r="M369" s="13" t="s">
        <v>160</v>
      </c>
      <c r="N369" s="13" t="s">
        <v>161</v>
      </c>
      <c r="O369" s="10" t="str">
        <f t="shared" si="94"/>
        <v>View</v>
      </c>
      <c r="P369" s="14"/>
    </row>
    <row r="370">
      <c r="A370" s="7">
        <v>42433.55616898148</v>
      </c>
      <c r="B370" s="8" t="str">
        <f t="shared" si="93"/>
        <v>@samueljredman</v>
      </c>
      <c r="C370" s="9" t="s">
        <v>158</v>
      </c>
      <c r="D370" s="9" t="s">
        <v>482</v>
      </c>
      <c r="E370" s="10" t="str">
        <f>HYPERLINK("https://twitter.com/samueljredman/status/705835425802412032","705835425802412032")</f>
        <v>705835425802412032</v>
      </c>
      <c r="F370" s="11" t="s">
        <v>26</v>
      </c>
      <c r="G370" s="12">
        <v>5623.0</v>
      </c>
      <c r="H370" s="12">
        <v>5355.0</v>
      </c>
      <c r="I370" s="12">
        <v>13.0</v>
      </c>
      <c r="J370" s="12">
        <v>0.0</v>
      </c>
      <c r="K370" s="11" t="s">
        <v>21</v>
      </c>
      <c r="L370" s="7">
        <v>40584.98517361111</v>
      </c>
      <c r="M370" s="13" t="s">
        <v>160</v>
      </c>
      <c r="N370" s="13" t="s">
        <v>161</v>
      </c>
      <c r="O370" s="10" t="str">
        <f t="shared" si="94"/>
        <v>View</v>
      </c>
      <c r="P370" s="14"/>
    </row>
    <row r="371">
      <c r="A371" s="7">
        <v>42433.55640046296</v>
      </c>
      <c r="B371" s="8" t="str">
        <f>HYPERLINK("https://twitter.com/jbjhistory","@jbjhistory")</f>
        <v>@jbjhistory</v>
      </c>
      <c r="C371" s="9" t="s">
        <v>70</v>
      </c>
      <c r="D371" s="9" t="s">
        <v>482</v>
      </c>
      <c r="E371" s="10" t="str">
        <f>HYPERLINK("https://twitter.com/jbjhistory/status/705835505921957892","705835505921957892")</f>
        <v>705835505921957892</v>
      </c>
      <c r="F371" s="11" t="s">
        <v>31</v>
      </c>
      <c r="G371" s="12">
        <v>496.0</v>
      </c>
      <c r="H371" s="12">
        <v>914.0</v>
      </c>
      <c r="I371" s="12">
        <v>13.0</v>
      </c>
      <c r="J371" s="12">
        <v>0.0</v>
      </c>
      <c r="K371" s="11" t="s">
        <v>21</v>
      </c>
      <c r="L371" s="7">
        <v>41022.75231481482</v>
      </c>
      <c r="M371" s="13" t="s">
        <v>73</v>
      </c>
      <c r="N371" s="13" t="s">
        <v>74</v>
      </c>
      <c r="O371" s="10" t="str">
        <f>HYPERLINK("https://pbs.twimg.com/profile_images/572584579542691840/6QE8hkeK_normal.jpeg","View")</f>
        <v>View</v>
      </c>
      <c r="P371" s="14"/>
    </row>
    <row r="372">
      <c r="A372" s="7">
        <v>42433.55640046296</v>
      </c>
      <c r="B372" s="8" t="str">
        <f>HYPERLINK("https://twitter.com/pastpunditry","@pastpunditry")</f>
        <v>@pastpunditry</v>
      </c>
      <c r="C372" s="9" t="s">
        <v>92</v>
      </c>
      <c r="D372" s="9" t="s">
        <v>496</v>
      </c>
      <c r="E372" s="10" t="str">
        <f>HYPERLINK("https://twitter.com/pastpunditry/status/705835506207232000","705835506207232000")</f>
        <v>705835506207232000</v>
      </c>
      <c r="F372" s="11" t="s">
        <v>77</v>
      </c>
      <c r="G372" s="12">
        <v>890.0</v>
      </c>
      <c r="H372" s="12">
        <v>378.0</v>
      </c>
      <c r="I372" s="12">
        <v>0.0</v>
      </c>
      <c r="J372" s="12">
        <v>4.0</v>
      </c>
      <c r="K372" s="11" t="s">
        <v>21</v>
      </c>
      <c r="L372" s="7">
        <v>40283.384351851855</v>
      </c>
      <c r="M372" s="13" t="s">
        <v>94</v>
      </c>
      <c r="N372" s="13" t="s">
        <v>95</v>
      </c>
      <c r="O372" s="10" t="str">
        <f>HYPERLINK("https://pbs.twimg.com/profile_images/704873222802636800/7aFEMOY5_normal.jpg","View")</f>
        <v>View</v>
      </c>
      <c r="P372" s="14"/>
    </row>
    <row r="373">
      <c r="A373" s="7">
        <v>42433.55810185186</v>
      </c>
      <c r="B373" s="8" t="str">
        <f>HYPERLINK("https://twitter.com/historycampaign","@historycampaign")</f>
        <v>@historycampaign</v>
      </c>
      <c r="C373" s="9" t="s">
        <v>133</v>
      </c>
      <c r="D373" s="9" t="s">
        <v>493</v>
      </c>
      <c r="E373" s="10" t="str">
        <f>HYPERLINK("https://twitter.com/historycampaign/status/705836123906564100","705836123906564100")</f>
        <v>705836123906564100</v>
      </c>
      <c r="F373" s="11" t="s">
        <v>26</v>
      </c>
      <c r="G373" s="12">
        <v>110.0</v>
      </c>
      <c r="H373" s="12">
        <v>59.0</v>
      </c>
      <c r="I373" s="12">
        <v>5.0</v>
      </c>
      <c r="J373" s="12">
        <v>0.0</v>
      </c>
      <c r="K373" s="11" t="s">
        <v>21</v>
      </c>
      <c r="L373" s="7">
        <v>42311.25096064815</v>
      </c>
      <c r="M373" s="15"/>
      <c r="N373" s="13" t="s">
        <v>135</v>
      </c>
      <c r="O373" s="10" t="str">
        <f>HYPERLINK("https://pbs.twimg.com/profile_images/673691030139609088/8v7ab61D_normal.jpg","View")</f>
        <v>View</v>
      </c>
      <c r="P373" s="14"/>
    </row>
    <row r="374">
      <c r="A374" s="7">
        <v>42433.55841435185</v>
      </c>
      <c r="B374" s="8" t="str">
        <f>HYPERLINK("https://twitter.com/samueljredman","@samueljredman")</f>
        <v>@samueljredman</v>
      </c>
      <c r="C374" s="9" t="s">
        <v>158</v>
      </c>
      <c r="D374" s="9" t="s">
        <v>497</v>
      </c>
      <c r="E374" s="10" t="str">
        <f>HYPERLINK("https://twitter.com/samueljredman/status/705836235655401472","705836235655401472")</f>
        <v>705836235655401472</v>
      </c>
      <c r="F374" s="11" t="s">
        <v>26</v>
      </c>
      <c r="G374" s="12">
        <v>5623.0</v>
      </c>
      <c r="H374" s="12">
        <v>5355.0</v>
      </c>
      <c r="I374" s="12">
        <v>0.0</v>
      </c>
      <c r="J374" s="12">
        <v>9.0</v>
      </c>
      <c r="K374" s="11" t="s">
        <v>21</v>
      </c>
      <c r="L374" s="7">
        <v>40584.98517361111</v>
      </c>
      <c r="M374" s="13" t="s">
        <v>160</v>
      </c>
      <c r="N374" s="13" t="s">
        <v>161</v>
      </c>
      <c r="O374" s="10" t="str">
        <f>HYPERLINK("https://pbs.twimg.com/profile_images/548193870278688768/8Dq7gW3U_normal.png","View")</f>
        <v>View</v>
      </c>
      <c r="P374" s="14"/>
    </row>
    <row r="375">
      <c r="A375" s="7">
        <v>42433.56049768519</v>
      </c>
      <c r="B375" s="8" t="str">
        <f>HYPERLINK("https://twitter.com/JulieThePH","@JulieThePH")</f>
        <v>@JulieThePH</v>
      </c>
      <c r="C375" s="9" t="s">
        <v>211</v>
      </c>
      <c r="D375" s="9" t="s">
        <v>498</v>
      </c>
      <c r="E375" s="10" t="str">
        <f>HYPERLINK("https://twitter.com/JulieThePH/status/705836992119054336","705836992119054336")</f>
        <v>705836992119054336</v>
      </c>
      <c r="F375" s="11" t="s">
        <v>31</v>
      </c>
      <c r="G375" s="12">
        <v>1234.0</v>
      </c>
      <c r="H375" s="12">
        <v>1386.0</v>
      </c>
      <c r="I375" s="12">
        <v>1.0</v>
      </c>
      <c r="J375" s="12">
        <v>3.0</v>
      </c>
      <c r="K375" s="11" t="s">
        <v>21</v>
      </c>
      <c r="L375" s="7">
        <v>40718.66918981481</v>
      </c>
      <c r="M375" s="13" t="s">
        <v>213</v>
      </c>
      <c r="N375" s="13" t="s">
        <v>214</v>
      </c>
      <c r="O375" s="10" t="str">
        <f>HYPERLINK("https://pbs.twimg.com/profile_images/596509974005686273/AqBblwMR_normal.jpg","View")</f>
        <v>View</v>
      </c>
      <c r="P375" s="14"/>
    </row>
    <row r="376">
      <c r="A376" s="7">
        <v>42433.56081018518</v>
      </c>
      <c r="B376" s="8" t="str">
        <f t="shared" ref="B376:B377" si="95">HYPERLINK("https://twitter.com/pastpunditry","@pastpunditry")</f>
        <v>@pastpunditry</v>
      </c>
      <c r="C376" s="9" t="s">
        <v>92</v>
      </c>
      <c r="D376" s="9" t="s">
        <v>499</v>
      </c>
      <c r="E376" s="10" t="str">
        <f>HYPERLINK("https://twitter.com/pastpunditry/status/705837106275471361","705837106275471361")</f>
        <v>705837106275471361</v>
      </c>
      <c r="F376" s="11" t="s">
        <v>77</v>
      </c>
      <c r="G376" s="12">
        <v>890.0</v>
      </c>
      <c r="H376" s="12">
        <v>378.0</v>
      </c>
      <c r="I376" s="12">
        <v>0.0</v>
      </c>
      <c r="J376" s="12">
        <v>2.0</v>
      </c>
      <c r="K376" s="11" t="s">
        <v>21</v>
      </c>
      <c r="L376" s="7">
        <v>40283.384351851855</v>
      </c>
      <c r="M376" s="13" t="s">
        <v>94</v>
      </c>
      <c r="N376" s="13" t="s">
        <v>95</v>
      </c>
      <c r="O376" s="10" t="str">
        <f t="shared" ref="O376:O377" si="96">HYPERLINK("https://pbs.twimg.com/profile_images/704873222802636800/7aFEMOY5_normal.jpg","View")</f>
        <v>View</v>
      </c>
      <c r="P376" s="14"/>
    </row>
    <row r="377">
      <c r="A377" s="7">
        <v>42433.560960648145</v>
      </c>
      <c r="B377" s="8" t="str">
        <f t="shared" si="95"/>
        <v>@pastpunditry</v>
      </c>
      <c r="C377" s="9" t="s">
        <v>92</v>
      </c>
      <c r="D377" s="9" t="s">
        <v>500</v>
      </c>
      <c r="E377" s="10" t="str">
        <f>HYPERLINK("https://twitter.com/pastpunditry/status/705837160381992960","705837160381992960")</f>
        <v>705837160381992960</v>
      </c>
      <c r="F377" s="11" t="s">
        <v>77</v>
      </c>
      <c r="G377" s="12">
        <v>890.0</v>
      </c>
      <c r="H377" s="12">
        <v>378.0</v>
      </c>
      <c r="I377" s="12">
        <v>1.0</v>
      </c>
      <c r="J377" s="12">
        <v>0.0</v>
      </c>
      <c r="K377" s="11" t="s">
        <v>21</v>
      </c>
      <c r="L377" s="7">
        <v>40283.384351851855</v>
      </c>
      <c r="M377" s="13" t="s">
        <v>94</v>
      </c>
      <c r="N377" s="13" t="s">
        <v>95</v>
      </c>
      <c r="O377" s="10" t="str">
        <f t="shared" si="96"/>
        <v>View</v>
      </c>
      <c r="P377" s="14"/>
    </row>
    <row r="378">
      <c r="A378" s="7">
        <v>42433.561585648145</v>
      </c>
      <c r="B378" s="8" t="str">
        <f>HYPERLINK("https://twitter.com/MarlaAtUmass","@MarlaAtUmass")</f>
        <v>@MarlaAtUmass</v>
      </c>
      <c r="C378" s="9" t="s">
        <v>45</v>
      </c>
      <c r="D378" s="9" t="s">
        <v>501</v>
      </c>
      <c r="E378" s="10" t="str">
        <f>HYPERLINK("https://twitter.com/MarlaAtUmass/status/705837385305755648","705837385305755648")</f>
        <v>705837385305755648</v>
      </c>
      <c r="F378" s="11" t="s">
        <v>31</v>
      </c>
      <c r="G378" s="12">
        <v>1993.0</v>
      </c>
      <c r="H378" s="12">
        <v>1647.0</v>
      </c>
      <c r="I378" s="12">
        <v>1.0</v>
      </c>
      <c r="J378" s="12">
        <v>1.0</v>
      </c>
      <c r="K378" s="11" t="s">
        <v>21</v>
      </c>
      <c r="L378" s="7">
        <v>40125.78074074074</v>
      </c>
      <c r="M378" s="15"/>
      <c r="N378" s="13" t="s">
        <v>47</v>
      </c>
      <c r="O378" s="10" t="str">
        <f>HYPERLINK("https://pbs.twimg.com/profile_images/565429960/Betsy_Twitter_normal.jpg","View")</f>
        <v>View</v>
      </c>
      <c r="P378" s="14"/>
    </row>
    <row r="379">
      <c r="A379" s="7">
        <v>42433.561631944445</v>
      </c>
      <c r="B379" s="8" t="str">
        <f>HYPERLINK("https://twitter.com/jamiaw","@jamiaw")</f>
        <v>@jamiaw</v>
      </c>
      <c r="C379" s="9" t="s">
        <v>324</v>
      </c>
      <c r="D379" s="9" t="s">
        <v>459</v>
      </c>
      <c r="E379" s="10" t="str">
        <f>HYPERLINK("https://twitter.com/jamiaw/status/705837403869679616","705837403869679616")</f>
        <v>705837403869679616</v>
      </c>
      <c r="F379" s="11" t="s">
        <v>31</v>
      </c>
      <c r="G379" s="12">
        <v>11335.0</v>
      </c>
      <c r="H379" s="12">
        <v>7815.0</v>
      </c>
      <c r="I379" s="12">
        <v>4.0</v>
      </c>
      <c r="J379" s="12">
        <v>0.0</v>
      </c>
      <c r="K379" s="11" t="s">
        <v>21</v>
      </c>
      <c r="L379" s="7">
        <v>39642.39741898148</v>
      </c>
      <c r="M379" s="13" t="s">
        <v>325</v>
      </c>
      <c r="N379" s="13" t="s">
        <v>326</v>
      </c>
      <c r="O379" s="10" t="str">
        <f>HYPERLINK("https://pbs.twimg.com/profile_images/701102020061753344/5zH70uem_normal.jpg","View")</f>
        <v>View</v>
      </c>
      <c r="P379" s="14"/>
    </row>
    <row r="380">
      <c r="A380" s="7">
        <v>42433.562060185184</v>
      </c>
      <c r="B380" s="8" t="str">
        <f t="shared" ref="B380:B381" si="97">HYPERLINK("https://twitter.com/pastpunditry","@pastpunditry")</f>
        <v>@pastpunditry</v>
      </c>
      <c r="C380" s="9" t="s">
        <v>92</v>
      </c>
      <c r="D380" s="9" t="s">
        <v>502</v>
      </c>
      <c r="E380" s="10" t="str">
        <f>HYPERLINK("https://twitter.com/pastpunditry/status/705837557477740544","705837557477740544")</f>
        <v>705837557477740544</v>
      </c>
      <c r="F380" s="11" t="s">
        <v>77</v>
      </c>
      <c r="G380" s="12">
        <v>890.0</v>
      </c>
      <c r="H380" s="12">
        <v>378.0</v>
      </c>
      <c r="I380" s="12">
        <v>7.0</v>
      </c>
      <c r="J380" s="12">
        <v>4.0</v>
      </c>
      <c r="K380" s="11" t="s">
        <v>21</v>
      </c>
      <c r="L380" s="7">
        <v>40283.384351851855</v>
      </c>
      <c r="M380" s="13" t="s">
        <v>94</v>
      </c>
      <c r="N380" s="13" t="s">
        <v>95</v>
      </c>
      <c r="O380" s="10" t="str">
        <f t="shared" ref="O380:O381" si="98">HYPERLINK("https://pbs.twimg.com/profile_images/704873222802636800/7aFEMOY5_normal.jpg","View")</f>
        <v>View</v>
      </c>
      <c r="P380" s="14"/>
    </row>
    <row r="381">
      <c r="A381" s="7">
        <v>42433.56211805556</v>
      </c>
      <c r="B381" s="8" t="str">
        <f t="shared" si="97"/>
        <v>@pastpunditry</v>
      </c>
      <c r="C381" s="9" t="s">
        <v>92</v>
      </c>
      <c r="D381" s="9" t="s">
        <v>503</v>
      </c>
      <c r="E381" s="10" t="str">
        <f>HYPERLINK("https://twitter.com/pastpunditry/status/705837579556560896","705837579556560896")</f>
        <v>705837579556560896</v>
      </c>
      <c r="F381" s="11" t="s">
        <v>77</v>
      </c>
      <c r="G381" s="12">
        <v>890.0</v>
      </c>
      <c r="H381" s="12">
        <v>378.0</v>
      </c>
      <c r="I381" s="12">
        <v>1.0</v>
      </c>
      <c r="J381" s="12">
        <v>0.0</v>
      </c>
      <c r="K381" s="11" t="s">
        <v>21</v>
      </c>
      <c r="L381" s="7">
        <v>40283.384351851855</v>
      </c>
      <c r="M381" s="13" t="s">
        <v>94</v>
      </c>
      <c r="N381" s="13" t="s">
        <v>95</v>
      </c>
      <c r="O381" s="10" t="str">
        <f t="shared" si="98"/>
        <v>View</v>
      </c>
      <c r="P381" s="14"/>
    </row>
    <row r="382">
      <c r="A382" s="7">
        <v>42433.562256944446</v>
      </c>
      <c r="B382" s="8" t="str">
        <f t="shared" ref="B382:B383" si="99">HYPERLINK("https://twitter.com/JulieThePH","@JulieThePH")</f>
        <v>@JulieThePH</v>
      </c>
      <c r="C382" s="9" t="s">
        <v>211</v>
      </c>
      <c r="D382" s="9" t="s">
        <v>504</v>
      </c>
      <c r="E382" s="10" t="str">
        <f>HYPERLINK("https://twitter.com/JulieThePH/status/705837630739636224","705837630739636224")</f>
        <v>705837630739636224</v>
      </c>
      <c r="F382" s="11" t="s">
        <v>31</v>
      </c>
      <c r="G382" s="12">
        <v>1234.0</v>
      </c>
      <c r="H382" s="12">
        <v>1386.0</v>
      </c>
      <c r="I382" s="12">
        <v>0.0</v>
      </c>
      <c r="J382" s="12">
        <v>2.0</v>
      </c>
      <c r="K382" s="11" t="s">
        <v>21</v>
      </c>
      <c r="L382" s="7">
        <v>40718.66918981481</v>
      </c>
      <c r="M382" s="13" t="s">
        <v>213</v>
      </c>
      <c r="N382" s="13" t="s">
        <v>214</v>
      </c>
      <c r="O382" s="10" t="str">
        <f t="shared" ref="O382:O383" si="100">HYPERLINK("https://pbs.twimg.com/profile_images/596509974005686273/AqBblwMR_normal.jpg","View")</f>
        <v>View</v>
      </c>
      <c r="P382" s="14"/>
    </row>
    <row r="383">
      <c r="A383" s="7">
        <v>42433.56260416667</v>
      </c>
      <c r="B383" s="8" t="str">
        <f t="shared" si="99"/>
        <v>@JulieThePH</v>
      </c>
      <c r="C383" s="9" t="s">
        <v>211</v>
      </c>
      <c r="D383" s="9" t="s">
        <v>505</v>
      </c>
      <c r="E383" s="10" t="str">
        <f>HYPERLINK("https://twitter.com/JulieThePH/status/705837754857291776","705837754857291776")</f>
        <v>705837754857291776</v>
      </c>
      <c r="F383" s="11" t="s">
        <v>31</v>
      </c>
      <c r="G383" s="12">
        <v>1234.0</v>
      </c>
      <c r="H383" s="12">
        <v>1386.0</v>
      </c>
      <c r="I383" s="12">
        <v>7.0</v>
      </c>
      <c r="J383" s="12">
        <v>0.0</v>
      </c>
      <c r="K383" s="11" t="s">
        <v>21</v>
      </c>
      <c r="L383" s="7">
        <v>40718.66918981481</v>
      </c>
      <c r="M383" s="13" t="s">
        <v>213</v>
      </c>
      <c r="N383" s="13" t="s">
        <v>214</v>
      </c>
      <c r="O383" s="10" t="str">
        <f t="shared" si="100"/>
        <v>View</v>
      </c>
      <c r="P383" s="14"/>
    </row>
    <row r="384">
      <c r="A384" s="7">
        <v>42433.56407407408</v>
      </c>
      <c r="B384" s="8" t="str">
        <f>HYPERLINK("https://twitter.com/mille24c","@mille24c")</f>
        <v>@mille24c</v>
      </c>
      <c r="C384" s="9" t="s">
        <v>115</v>
      </c>
      <c r="D384" s="9" t="s">
        <v>505</v>
      </c>
      <c r="E384" s="10" t="str">
        <f>HYPERLINK("https://twitter.com/mille24c/status/705838290507833345","705838290507833345")</f>
        <v>705838290507833345</v>
      </c>
      <c r="F384" s="11" t="s">
        <v>31</v>
      </c>
      <c r="G384" s="12">
        <v>208.0</v>
      </c>
      <c r="H384" s="12">
        <v>297.0</v>
      </c>
      <c r="I384" s="12">
        <v>7.0</v>
      </c>
      <c r="J384" s="12">
        <v>0.0</v>
      </c>
      <c r="K384" s="11" t="s">
        <v>21</v>
      </c>
      <c r="L384" s="7">
        <v>39864.79206018519</v>
      </c>
      <c r="M384" s="13" t="s">
        <v>22</v>
      </c>
      <c r="N384" s="13" t="s">
        <v>117</v>
      </c>
      <c r="O384" s="10" t="str">
        <f>HYPERLINK("https://pbs.twimg.com/profile_images/676362182020481024/P0kyLli1_normal.jpg","View")</f>
        <v>View</v>
      </c>
      <c r="P384" s="14"/>
    </row>
    <row r="385">
      <c r="A385" s="7">
        <v>42433.56444444445</v>
      </c>
      <c r="B385" s="8" t="str">
        <f>HYPERLINK("https://twitter.com/jamiaw","@jamiaw")</f>
        <v>@jamiaw</v>
      </c>
      <c r="C385" s="9" t="s">
        <v>324</v>
      </c>
      <c r="D385" s="9" t="s">
        <v>506</v>
      </c>
      <c r="E385" s="10" t="str">
        <f>HYPERLINK("https://twitter.com/jamiaw/status/705838420782915585","705838420782915585")</f>
        <v>705838420782915585</v>
      </c>
      <c r="F385" s="11" t="s">
        <v>31</v>
      </c>
      <c r="G385" s="12">
        <v>11335.0</v>
      </c>
      <c r="H385" s="12">
        <v>7815.0</v>
      </c>
      <c r="I385" s="12">
        <v>1.0</v>
      </c>
      <c r="J385" s="12">
        <v>2.0</v>
      </c>
      <c r="K385" s="11" t="s">
        <v>21</v>
      </c>
      <c r="L385" s="7">
        <v>39642.39741898148</v>
      </c>
      <c r="M385" s="13" t="s">
        <v>325</v>
      </c>
      <c r="N385" s="13" t="s">
        <v>326</v>
      </c>
      <c r="O385" s="10" t="str">
        <f>HYPERLINK("https://pbs.twimg.com/profile_images/701102020061753344/5zH70uem_normal.jpg","View")</f>
        <v>View</v>
      </c>
      <c r="P385" s="14"/>
    </row>
    <row r="386">
      <c r="A386" s="7">
        <v>42433.56449074074</v>
      </c>
      <c r="B386" s="8" t="str">
        <f>HYPERLINK("https://twitter.com/jbjhistory","@jbjhistory")</f>
        <v>@jbjhistory</v>
      </c>
      <c r="C386" s="9" t="s">
        <v>70</v>
      </c>
      <c r="D386" s="9" t="s">
        <v>507</v>
      </c>
      <c r="E386" s="10" t="str">
        <f>HYPERLINK("https://twitter.com/jbjhistory/status/705838440986894337","705838440986894337")</f>
        <v>705838440986894337</v>
      </c>
      <c r="F386" s="11" t="s">
        <v>31</v>
      </c>
      <c r="G386" s="12">
        <v>496.0</v>
      </c>
      <c r="H386" s="12">
        <v>914.0</v>
      </c>
      <c r="I386" s="12">
        <v>0.0</v>
      </c>
      <c r="J386" s="12">
        <v>4.0</v>
      </c>
      <c r="K386" s="11" t="s">
        <v>21</v>
      </c>
      <c r="L386" s="7">
        <v>41022.75231481482</v>
      </c>
      <c r="M386" s="13" t="s">
        <v>73</v>
      </c>
      <c r="N386" s="13" t="s">
        <v>74</v>
      </c>
      <c r="O386" s="10" t="str">
        <f>HYPERLINK("https://pbs.twimg.com/profile_images/572584579542691840/6QE8hkeK_normal.jpeg","View")</f>
        <v>View</v>
      </c>
      <c r="P386" s="14"/>
    </row>
    <row r="387">
      <c r="A387" s="7">
        <v>42433.56518518519</v>
      </c>
      <c r="B387" s="8" t="str">
        <f>HYPERLINK("https://twitter.com/MarlaAtUmass","@MarlaAtUmass")</f>
        <v>@MarlaAtUmass</v>
      </c>
      <c r="C387" s="9" t="s">
        <v>45</v>
      </c>
      <c r="D387" s="9" t="s">
        <v>505</v>
      </c>
      <c r="E387" s="10" t="str">
        <f>HYPERLINK("https://twitter.com/MarlaAtUmass/status/705838689784623104","705838689784623104")</f>
        <v>705838689784623104</v>
      </c>
      <c r="F387" s="11" t="s">
        <v>31</v>
      </c>
      <c r="G387" s="12">
        <v>1993.0</v>
      </c>
      <c r="H387" s="12">
        <v>1647.0</v>
      </c>
      <c r="I387" s="12">
        <v>7.0</v>
      </c>
      <c r="J387" s="12">
        <v>0.0</v>
      </c>
      <c r="K387" s="11" t="s">
        <v>21</v>
      </c>
      <c r="L387" s="7">
        <v>40125.78074074074</v>
      </c>
      <c r="M387" s="15"/>
      <c r="N387" s="13" t="s">
        <v>47</v>
      </c>
      <c r="O387" s="10" t="str">
        <f>HYPERLINK("https://pbs.twimg.com/profile_images/565429960/Betsy_Twitter_normal.jpg","View")</f>
        <v>View</v>
      </c>
      <c r="P387" s="14"/>
    </row>
    <row r="388">
      <c r="A388" s="7">
        <v>42433.56542824074</v>
      </c>
      <c r="B388" s="8" t="str">
        <f>HYPERLINK("https://twitter.com/AmandaMoniz1","@AmandaMoniz1")</f>
        <v>@AmandaMoniz1</v>
      </c>
      <c r="C388" s="9" t="s">
        <v>66</v>
      </c>
      <c r="D388" s="9" t="s">
        <v>508</v>
      </c>
      <c r="E388" s="10" t="str">
        <f>HYPERLINK("https://twitter.com/AmandaMoniz1/status/705838779307786240","705838779307786240")</f>
        <v>705838779307786240</v>
      </c>
      <c r="F388" s="11" t="s">
        <v>31</v>
      </c>
      <c r="G388" s="12">
        <v>622.0</v>
      </c>
      <c r="H388" s="12">
        <v>607.0</v>
      </c>
      <c r="I388" s="12">
        <v>1.0</v>
      </c>
      <c r="J388" s="12">
        <v>0.0</v>
      </c>
      <c r="K388" s="11" t="s">
        <v>21</v>
      </c>
      <c r="L388" s="7">
        <v>40766.33971064815</v>
      </c>
      <c r="M388" s="15"/>
      <c r="N388" s="13" t="s">
        <v>68</v>
      </c>
      <c r="O388" s="10" t="str">
        <f>HYPERLINK("https://pbs.twimg.com/profile_images/378800000149111881/7969acf9cec4197748b502a6a6c3d921_normal.jpeg","View")</f>
        <v>View</v>
      </c>
      <c r="P388" s="14"/>
    </row>
    <row r="389">
      <c r="A389" s="7">
        <v>42433.565787037034</v>
      </c>
      <c r="B389" s="8" t="str">
        <f>HYPERLINK("https://twitter.com/thecliodotcom","@thecliodotcom")</f>
        <v>@thecliodotcom</v>
      </c>
      <c r="C389" s="9" t="s">
        <v>509</v>
      </c>
      <c r="D389" s="9" t="s">
        <v>495</v>
      </c>
      <c r="E389" s="10" t="str">
        <f>HYPERLINK("https://twitter.com/thecliodotcom/status/705838910400811013","705838910400811013")</f>
        <v>705838910400811013</v>
      </c>
      <c r="F389" s="11" t="s">
        <v>31</v>
      </c>
      <c r="G389" s="12">
        <v>2431.0</v>
      </c>
      <c r="H389" s="12">
        <v>677.0</v>
      </c>
      <c r="I389" s="12">
        <v>2.0</v>
      </c>
      <c r="J389" s="12">
        <v>0.0</v>
      </c>
      <c r="K389" s="11" t="s">
        <v>21</v>
      </c>
      <c r="L389" s="7">
        <v>41823.88011574074</v>
      </c>
      <c r="M389" s="13" t="s">
        <v>510</v>
      </c>
      <c r="N389" s="13" t="s">
        <v>511</v>
      </c>
      <c r="O389" s="10" t="str">
        <f>HYPERLINK("https://pbs.twimg.com/profile_images/636594907730214912/W77i_f0Q_normal.png","View")</f>
        <v>View</v>
      </c>
      <c r="P389" s="14"/>
    </row>
    <row r="390">
      <c r="A390" s="7">
        <v>42433.56594907407</v>
      </c>
      <c r="B390" s="8" t="str">
        <f>HYPERLINK("https://twitter.com/BenjaminGammon","@BenjaminGammon")</f>
        <v>@BenjaminGammon</v>
      </c>
      <c r="C390" s="9" t="s">
        <v>512</v>
      </c>
      <c r="D390" s="9" t="s">
        <v>482</v>
      </c>
      <c r="E390" s="10" t="str">
        <f>HYPERLINK("https://twitter.com/BenjaminGammon/status/705838968173162496","705838968173162496")</f>
        <v>705838968173162496</v>
      </c>
      <c r="F390" s="11" t="s">
        <v>26</v>
      </c>
      <c r="G390" s="12">
        <v>733.0</v>
      </c>
      <c r="H390" s="12">
        <v>959.0</v>
      </c>
      <c r="I390" s="12">
        <v>13.0</v>
      </c>
      <c r="J390" s="12">
        <v>0.0</v>
      </c>
      <c r="K390" s="11" t="s">
        <v>21</v>
      </c>
      <c r="L390" s="7">
        <v>40644.53791666667</v>
      </c>
      <c r="M390" s="15"/>
      <c r="N390" s="13" t="s">
        <v>513</v>
      </c>
      <c r="O390" s="10" t="str">
        <f>HYPERLINK("https://pbs.twimg.com/profile_images/2041315590/ad_picture_cp_normal.jpg","View")</f>
        <v>View</v>
      </c>
      <c r="P390" s="14"/>
    </row>
    <row r="391">
      <c r="A391" s="7">
        <v>42433.56699074074</v>
      </c>
      <c r="B391" s="8" t="str">
        <f>HYPERLINK("https://twitter.com/pastpunditry","@pastpunditry")</f>
        <v>@pastpunditry</v>
      </c>
      <c r="C391" s="9" t="s">
        <v>92</v>
      </c>
      <c r="D391" s="9" t="s">
        <v>514</v>
      </c>
      <c r="E391" s="10" t="str">
        <f>HYPERLINK("https://twitter.com/pastpunditry/status/705839345043972096","705839345043972096")</f>
        <v>705839345043972096</v>
      </c>
      <c r="F391" s="11" t="s">
        <v>77</v>
      </c>
      <c r="G391" s="12">
        <v>890.0</v>
      </c>
      <c r="H391" s="12">
        <v>378.0</v>
      </c>
      <c r="I391" s="12">
        <v>1.0</v>
      </c>
      <c r="J391" s="12">
        <v>1.0</v>
      </c>
      <c r="K391" s="11" t="s">
        <v>21</v>
      </c>
      <c r="L391" s="7">
        <v>40283.384351851855</v>
      </c>
      <c r="M391" s="13" t="s">
        <v>94</v>
      </c>
      <c r="N391" s="13" t="s">
        <v>95</v>
      </c>
      <c r="O391" s="10" t="str">
        <f>HYPERLINK("https://pbs.twimg.com/profile_images/704873222802636800/7aFEMOY5_normal.jpg","View")</f>
        <v>View</v>
      </c>
      <c r="P391" s="14"/>
    </row>
    <row r="392">
      <c r="A392" s="7">
        <v>42433.567199074074</v>
      </c>
      <c r="B392" s="8" t="str">
        <f>HYPERLINK("https://twitter.com/samueljredman","@samueljredman")</f>
        <v>@samueljredman</v>
      </c>
      <c r="C392" s="9" t="s">
        <v>158</v>
      </c>
      <c r="D392" s="9" t="s">
        <v>515</v>
      </c>
      <c r="E392" s="10" t="str">
        <f>HYPERLINK("https://twitter.com/samueljredman/status/705839421531234305","705839421531234305")</f>
        <v>705839421531234305</v>
      </c>
      <c r="F392" s="11" t="s">
        <v>26</v>
      </c>
      <c r="G392" s="12">
        <v>5623.0</v>
      </c>
      <c r="H392" s="12">
        <v>5355.0</v>
      </c>
      <c r="I392" s="12">
        <v>2.0</v>
      </c>
      <c r="J392" s="12">
        <v>8.0</v>
      </c>
      <c r="K392" s="11" t="s">
        <v>21</v>
      </c>
      <c r="L392" s="7">
        <v>40584.98517361111</v>
      </c>
      <c r="M392" s="13" t="s">
        <v>160</v>
      </c>
      <c r="N392" s="13" t="s">
        <v>161</v>
      </c>
      <c r="O392" s="10" t="str">
        <f>HYPERLINK("https://pbs.twimg.com/profile_images/548193870278688768/8Dq7gW3U_normal.png","View")</f>
        <v>View</v>
      </c>
      <c r="P392" s="14"/>
    </row>
    <row r="393">
      <c r="A393" s="7">
        <v>42433.56746527778</v>
      </c>
      <c r="B393" s="8" t="str">
        <f>HYPERLINK("https://twitter.com/pastpunditry","@pastpunditry")</f>
        <v>@pastpunditry</v>
      </c>
      <c r="C393" s="9" t="s">
        <v>92</v>
      </c>
      <c r="D393" s="9" t="s">
        <v>516</v>
      </c>
      <c r="E393" s="10" t="str">
        <f>HYPERLINK("https://twitter.com/pastpunditry/status/705839517157163009","705839517157163009")</f>
        <v>705839517157163009</v>
      </c>
      <c r="F393" s="11" t="s">
        <v>77</v>
      </c>
      <c r="G393" s="12">
        <v>890.0</v>
      </c>
      <c r="H393" s="12">
        <v>378.0</v>
      </c>
      <c r="I393" s="12">
        <v>2.0</v>
      </c>
      <c r="J393" s="12">
        <v>0.0</v>
      </c>
      <c r="K393" s="11" t="s">
        <v>21</v>
      </c>
      <c r="L393" s="7">
        <v>40283.384351851855</v>
      </c>
      <c r="M393" s="13" t="s">
        <v>94</v>
      </c>
      <c r="N393" s="13" t="s">
        <v>95</v>
      </c>
      <c r="O393" s="10" t="str">
        <f>HYPERLINK("https://pbs.twimg.com/profile_images/704873222802636800/7aFEMOY5_normal.jpg","View")</f>
        <v>View</v>
      </c>
      <c r="P393" s="14"/>
    </row>
    <row r="394">
      <c r="A394" s="7">
        <v>42433.56769675926</v>
      </c>
      <c r="B394" s="8" t="str">
        <f>HYPERLINK("https://twitter.com/tpstigers","@tpstigers")</f>
        <v>@tpstigers</v>
      </c>
      <c r="C394" s="9" t="s">
        <v>517</v>
      </c>
      <c r="D394" s="9" t="s">
        <v>505</v>
      </c>
      <c r="E394" s="10" t="str">
        <f>HYPERLINK("https://twitter.com/tpstigers/status/705839602804920320","705839602804920320")</f>
        <v>705839602804920320</v>
      </c>
      <c r="F394" s="11" t="s">
        <v>148</v>
      </c>
      <c r="G394" s="12">
        <v>562.0</v>
      </c>
      <c r="H394" s="12">
        <v>608.0</v>
      </c>
      <c r="I394" s="12">
        <v>7.0</v>
      </c>
      <c r="J394" s="12">
        <v>0.0</v>
      </c>
      <c r="K394" s="11" t="s">
        <v>21</v>
      </c>
      <c r="L394" s="7">
        <v>39805.42422453704</v>
      </c>
      <c r="M394" s="13" t="s">
        <v>518</v>
      </c>
      <c r="N394" s="13" t="s">
        <v>519</v>
      </c>
      <c r="O394" s="10" t="str">
        <f>HYPERLINK("https://pbs.twimg.com/profile_images/614942025306230784/OLnwlWIy_normal.png","View")</f>
        <v>View</v>
      </c>
      <c r="P394" s="14"/>
    </row>
    <row r="395">
      <c r="A395" s="7">
        <v>42433.568148148144</v>
      </c>
      <c r="B395" s="8" t="str">
        <f>HYPERLINK("https://twitter.com/MarlaAtUmass","@MarlaAtUmass")</f>
        <v>@MarlaAtUmass</v>
      </c>
      <c r="C395" s="9" t="s">
        <v>45</v>
      </c>
      <c r="D395" s="9" t="s">
        <v>493</v>
      </c>
      <c r="E395" s="10" t="str">
        <f>HYPERLINK("https://twitter.com/MarlaAtUmass/status/705839763861970944","705839763861970944")</f>
        <v>705839763861970944</v>
      </c>
      <c r="F395" s="11" t="s">
        <v>31</v>
      </c>
      <c r="G395" s="12">
        <v>1993.0</v>
      </c>
      <c r="H395" s="12">
        <v>1647.0</v>
      </c>
      <c r="I395" s="12">
        <v>5.0</v>
      </c>
      <c r="J395" s="12">
        <v>0.0</v>
      </c>
      <c r="K395" s="11" t="s">
        <v>21</v>
      </c>
      <c r="L395" s="7">
        <v>40125.78074074074</v>
      </c>
      <c r="M395" s="15"/>
      <c r="N395" s="13" t="s">
        <v>47</v>
      </c>
      <c r="O395" s="10" t="str">
        <f>HYPERLINK("https://pbs.twimg.com/profile_images/565429960/Betsy_Twitter_normal.jpg","View")</f>
        <v>View</v>
      </c>
      <c r="P395" s="14"/>
    </row>
    <row r="396">
      <c r="A396" s="7">
        <v>42433.568148148144</v>
      </c>
      <c r="B396" s="8" t="str">
        <f>HYPERLINK("https://twitter.com/AmandaMoniz1","@AmandaMoniz1")</f>
        <v>@AmandaMoniz1</v>
      </c>
      <c r="C396" s="9" t="s">
        <v>66</v>
      </c>
      <c r="D396" s="9" t="s">
        <v>520</v>
      </c>
      <c r="E396" s="10" t="str">
        <f>HYPERLINK("https://twitter.com/AmandaMoniz1/status/705839765925584896","705839765925584896")</f>
        <v>705839765925584896</v>
      </c>
      <c r="F396" s="11" t="s">
        <v>31</v>
      </c>
      <c r="G396" s="12">
        <v>622.0</v>
      </c>
      <c r="H396" s="12">
        <v>607.0</v>
      </c>
      <c r="I396" s="12">
        <v>1.0</v>
      </c>
      <c r="J396" s="12">
        <v>0.0</v>
      </c>
      <c r="K396" s="11" t="s">
        <v>21</v>
      </c>
      <c r="L396" s="7">
        <v>40766.33971064815</v>
      </c>
      <c r="M396" s="15"/>
      <c r="N396" s="13" t="s">
        <v>68</v>
      </c>
      <c r="O396" s="10" t="str">
        <f>HYPERLINK("https://pbs.twimg.com/profile_images/378800000149111881/7969acf9cec4197748b502a6a6c3d921_normal.jpeg","View")</f>
        <v>View</v>
      </c>
      <c r="P396" s="14"/>
    </row>
    <row r="397">
      <c r="A397" s="7">
        <v>42433.568518518514</v>
      </c>
      <c r="B397" s="8" t="str">
        <f>HYPERLINK("https://twitter.com/MarlaAtUmass","@MarlaAtUmass")</f>
        <v>@MarlaAtUmass</v>
      </c>
      <c r="C397" s="9" t="s">
        <v>45</v>
      </c>
      <c r="D397" s="9" t="s">
        <v>363</v>
      </c>
      <c r="E397" s="10" t="str">
        <f>HYPERLINK("https://twitter.com/MarlaAtUmass/status/705839897886777344","705839897886777344")</f>
        <v>705839897886777344</v>
      </c>
      <c r="F397" s="11" t="s">
        <v>31</v>
      </c>
      <c r="G397" s="12">
        <v>1993.0</v>
      </c>
      <c r="H397" s="12">
        <v>1647.0</v>
      </c>
      <c r="I397" s="12">
        <v>5.0</v>
      </c>
      <c r="J397" s="12">
        <v>0.0</v>
      </c>
      <c r="K397" s="11" t="s">
        <v>21</v>
      </c>
      <c r="L397" s="7">
        <v>40125.78074074074</v>
      </c>
      <c r="M397" s="15"/>
      <c r="N397" s="13" t="s">
        <v>47</v>
      </c>
      <c r="O397" s="10" t="str">
        <f>HYPERLINK("https://pbs.twimg.com/profile_images/565429960/Betsy_Twitter_normal.jpg","View")</f>
        <v>View</v>
      </c>
      <c r="P397" s="14"/>
    </row>
    <row r="398">
      <c r="A398" s="7">
        <v>42433.568819444445</v>
      </c>
      <c r="B398" s="8" t="str">
        <f t="shared" ref="B398:B399" si="101">HYPERLINK("https://twitter.com/pastpunditry","@pastpunditry")</f>
        <v>@pastpunditry</v>
      </c>
      <c r="C398" s="9" t="s">
        <v>92</v>
      </c>
      <c r="D398" s="9" t="s">
        <v>521</v>
      </c>
      <c r="E398" s="10" t="str">
        <f>HYPERLINK("https://twitter.com/pastpunditry/status/705840009635602432","705840009635602432")</f>
        <v>705840009635602432</v>
      </c>
      <c r="F398" s="11" t="s">
        <v>77</v>
      </c>
      <c r="G398" s="12">
        <v>890.0</v>
      </c>
      <c r="H398" s="12">
        <v>378.0</v>
      </c>
      <c r="I398" s="12">
        <v>2.0</v>
      </c>
      <c r="J398" s="12">
        <v>4.0</v>
      </c>
      <c r="K398" s="11" t="s">
        <v>21</v>
      </c>
      <c r="L398" s="7">
        <v>40283.384351851855</v>
      </c>
      <c r="M398" s="13" t="s">
        <v>94</v>
      </c>
      <c r="N398" s="13" t="s">
        <v>95</v>
      </c>
      <c r="O398" s="10" t="str">
        <f t="shared" ref="O398:O399" si="102">HYPERLINK("https://pbs.twimg.com/profile_images/704873222802636800/7aFEMOY5_normal.jpg","View")</f>
        <v>View</v>
      </c>
      <c r="P398" s="14"/>
    </row>
    <row r="399">
      <c r="A399" s="7">
        <v>42433.56910879629</v>
      </c>
      <c r="B399" s="8" t="str">
        <f t="shared" si="101"/>
        <v>@pastpunditry</v>
      </c>
      <c r="C399" s="9" t="s">
        <v>92</v>
      </c>
      <c r="D399" s="9" t="s">
        <v>522</v>
      </c>
      <c r="E399" s="10" t="str">
        <f>HYPERLINK("https://twitter.com/pastpunditry/status/705840111209062401","705840111209062401")</f>
        <v>705840111209062401</v>
      </c>
      <c r="F399" s="11" t="s">
        <v>77</v>
      </c>
      <c r="G399" s="12">
        <v>890.0</v>
      </c>
      <c r="H399" s="12">
        <v>378.0</v>
      </c>
      <c r="I399" s="12">
        <v>0.0</v>
      </c>
      <c r="J399" s="12">
        <v>1.0</v>
      </c>
      <c r="K399" s="11" t="s">
        <v>21</v>
      </c>
      <c r="L399" s="7">
        <v>40283.384351851855</v>
      </c>
      <c r="M399" s="13" t="s">
        <v>94</v>
      </c>
      <c r="N399" s="13" t="s">
        <v>95</v>
      </c>
      <c r="O399" s="10" t="str">
        <f t="shared" si="102"/>
        <v>View</v>
      </c>
      <c r="P399" s="14"/>
    </row>
    <row r="400">
      <c r="A400" s="7">
        <v>42433.56991898148</v>
      </c>
      <c r="B400" s="8" t="str">
        <f>HYPERLINK("https://twitter.com/wstoutamire","@wstoutamire")</f>
        <v>@wstoutamire</v>
      </c>
      <c r="C400" s="9" t="s">
        <v>523</v>
      </c>
      <c r="D400" s="9" t="s">
        <v>493</v>
      </c>
      <c r="E400" s="10" t="str">
        <f>HYPERLINK("https://twitter.com/wstoutamire/status/705840407108685824","705840407108685824")</f>
        <v>705840407108685824</v>
      </c>
      <c r="F400" s="11" t="s">
        <v>26</v>
      </c>
      <c r="G400" s="12">
        <v>203.0</v>
      </c>
      <c r="H400" s="12">
        <v>357.0</v>
      </c>
      <c r="I400" s="12">
        <v>5.0</v>
      </c>
      <c r="J400" s="12">
        <v>0.0</v>
      </c>
      <c r="K400" s="11" t="s">
        <v>21</v>
      </c>
      <c r="L400" s="7">
        <v>41525.76443287037</v>
      </c>
      <c r="M400" s="13" t="s">
        <v>524</v>
      </c>
      <c r="N400" s="13" t="s">
        <v>525</v>
      </c>
      <c r="O400" s="10" t="str">
        <f>HYPERLINK("https://pbs.twimg.com/profile_images/515605126887636995/Mjh69QxQ_normal.jpeg","View")</f>
        <v>View</v>
      </c>
      <c r="P400" s="14"/>
    </row>
    <row r="401">
      <c r="A401" s="7">
        <v>42433.57130787037</v>
      </c>
      <c r="B401" s="8" t="str">
        <f>HYPERLINK("https://twitter.com/MarlaAtUmass","@MarlaAtUmass")</f>
        <v>@MarlaAtUmass</v>
      </c>
      <c r="C401" s="9" t="s">
        <v>45</v>
      </c>
      <c r="D401" s="9" t="s">
        <v>526</v>
      </c>
      <c r="E401" s="10" t="str">
        <f>HYPERLINK("https://twitter.com/MarlaAtUmass/status/705840908860833792","705840908860833792")</f>
        <v>705840908860833792</v>
      </c>
      <c r="F401" s="11" t="s">
        <v>31</v>
      </c>
      <c r="G401" s="12">
        <v>1993.0</v>
      </c>
      <c r="H401" s="12">
        <v>1647.0</v>
      </c>
      <c r="I401" s="12">
        <v>4.0</v>
      </c>
      <c r="J401" s="12">
        <v>8.0</v>
      </c>
      <c r="K401" s="11" t="s">
        <v>21</v>
      </c>
      <c r="L401" s="7">
        <v>40125.78074074074</v>
      </c>
      <c r="M401" s="15"/>
      <c r="N401" s="13" t="s">
        <v>47</v>
      </c>
      <c r="O401" s="10" t="str">
        <f>HYPERLINK("https://pbs.twimg.com/profile_images/565429960/Betsy_Twitter_normal.jpg","View")</f>
        <v>View</v>
      </c>
      <c r="P401" s="14"/>
    </row>
    <row r="402">
      <c r="A402" s="7">
        <v>42433.57140046296</v>
      </c>
      <c r="B402" s="8" t="str">
        <f t="shared" ref="B402:B403" si="103">HYPERLINK("https://twitter.com/pastpunditry","@pastpunditry")</f>
        <v>@pastpunditry</v>
      </c>
      <c r="C402" s="9" t="s">
        <v>92</v>
      </c>
      <c r="D402" s="9" t="s">
        <v>527</v>
      </c>
      <c r="E402" s="10" t="str">
        <f>HYPERLINK("https://twitter.com/pastpunditry/status/705840942171955200","705840942171955200")</f>
        <v>705840942171955200</v>
      </c>
      <c r="F402" s="11" t="s">
        <v>77</v>
      </c>
      <c r="G402" s="12">
        <v>890.0</v>
      </c>
      <c r="H402" s="12">
        <v>378.0</v>
      </c>
      <c r="I402" s="12">
        <v>4.0</v>
      </c>
      <c r="J402" s="12">
        <v>0.0</v>
      </c>
      <c r="K402" s="11" t="s">
        <v>21</v>
      </c>
      <c r="L402" s="7">
        <v>40283.384351851855</v>
      </c>
      <c r="M402" s="13" t="s">
        <v>94</v>
      </c>
      <c r="N402" s="13" t="s">
        <v>95</v>
      </c>
      <c r="O402" s="10" t="str">
        <f t="shared" ref="O402:O403" si="104">HYPERLINK("https://pbs.twimg.com/profile_images/704873222802636800/7aFEMOY5_normal.jpg","View")</f>
        <v>View</v>
      </c>
      <c r="P402" s="14"/>
    </row>
    <row r="403">
      <c r="A403" s="7">
        <v>42433.57201388889</v>
      </c>
      <c r="B403" s="8" t="str">
        <f t="shared" si="103"/>
        <v>@pastpunditry</v>
      </c>
      <c r="C403" s="9" t="s">
        <v>92</v>
      </c>
      <c r="D403" s="9" t="s">
        <v>528</v>
      </c>
      <c r="E403" s="10" t="str">
        <f>HYPERLINK("https://twitter.com/pastpunditry/status/705841165095014400","705841165095014400")</f>
        <v>705841165095014400</v>
      </c>
      <c r="F403" s="11" t="s">
        <v>77</v>
      </c>
      <c r="G403" s="12">
        <v>890.0</v>
      </c>
      <c r="H403" s="12">
        <v>378.0</v>
      </c>
      <c r="I403" s="12">
        <v>0.0</v>
      </c>
      <c r="J403" s="12">
        <v>1.0</v>
      </c>
      <c r="K403" s="11" t="s">
        <v>21</v>
      </c>
      <c r="L403" s="7">
        <v>40283.384351851855</v>
      </c>
      <c r="M403" s="13" t="s">
        <v>94</v>
      </c>
      <c r="N403" s="13" t="s">
        <v>95</v>
      </c>
      <c r="O403" s="10" t="str">
        <f t="shared" si="104"/>
        <v>View</v>
      </c>
      <c r="P403" s="14"/>
    </row>
    <row r="404">
      <c r="A404" s="7">
        <v>42433.57207175926</v>
      </c>
      <c r="B404" s="8" t="str">
        <f t="shared" ref="B404:B405" si="105">HYPERLINK("https://twitter.com/JulieThePH","@JulieThePH")</f>
        <v>@JulieThePH</v>
      </c>
      <c r="C404" s="9" t="s">
        <v>211</v>
      </c>
      <c r="D404" s="9" t="s">
        <v>527</v>
      </c>
      <c r="E404" s="10" t="str">
        <f>HYPERLINK("https://twitter.com/JulieThePH/status/705841185580064768","705841185580064768")</f>
        <v>705841185580064768</v>
      </c>
      <c r="F404" s="11" t="s">
        <v>31</v>
      </c>
      <c r="G404" s="12">
        <v>1234.0</v>
      </c>
      <c r="H404" s="12">
        <v>1386.0</v>
      </c>
      <c r="I404" s="12">
        <v>4.0</v>
      </c>
      <c r="J404" s="12">
        <v>0.0</v>
      </c>
      <c r="K404" s="11" t="s">
        <v>21</v>
      </c>
      <c r="L404" s="7">
        <v>40718.66918981481</v>
      </c>
      <c r="M404" s="13" t="s">
        <v>213</v>
      </c>
      <c r="N404" s="13" t="s">
        <v>214</v>
      </c>
      <c r="O404" s="10" t="str">
        <f t="shared" ref="O404:O405" si="106">HYPERLINK("https://pbs.twimg.com/profile_images/596509974005686273/AqBblwMR_normal.jpg","View")</f>
        <v>View</v>
      </c>
      <c r="P404" s="14"/>
    </row>
    <row r="405">
      <c r="A405" s="7">
        <v>42433.57219907407</v>
      </c>
      <c r="B405" s="8" t="str">
        <f t="shared" si="105"/>
        <v>@JulieThePH</v>
      </c>
      <c r="C405" s="9" t="s">
        <v>211</v>
      </c>
      <c r="D405" s="9" t="s">
        <v>529</v>
      </c>
      <c r="E405" s="10" t="str">
        <f>HYPERLINK("https://twitter.com/JulieThePH/status/705841232644337667","705841232644337667")</f>
        <v>705841232644337667</v>
      </c>
      <c r="F405" s="11" t="s">
        <v>31</v>
      </c>
      <c r="G405" s="12">
        <v>1234.0</v>
      </c>
      <c r="H405" s="12">
        <v>1386.0</v>
      </c>
      <c r="I405" s="12">
        <v>2.0</v>
      </c>
      <c r="J405" s="12">
        <v>0.0</v>
      </c>
      <c r="K405" s="11" t="s">
        <v>21</v>
      </c>
      <c r="L405" s="7">
        <v>40718.66918981481</v>
      </c>
      <c r="M405" s="13" t="s">
        <v>213</v>
      </c>
      <c r="N405" s="13" t="s">
        <v>214</v>
      </c>
      <c r="O405" s="10" t="str">
        <f t="shared" si="106"/>
        <v>View</v>
      </c>
      <c r="P405" s="14"/>
    </row>
    <row r="406">
      <c r="A406" s="7">
        <v>42433.57373842593</v>
      </c>
      <c r="B406" s="8" t="str">
        <f>HYPERLINK("https://twitter.com/pastpunditry","@pastpunditry")</f>
        <v>@pastpunditry</v>
      </c>
      <c r="C406" s="9" t="s">
        <v>92</v>
      </c>
      <c r="D406" s="9" t="s">
        <v>530</v>
      </c>
      <c r="E406" s="10" t="str">
        <f>HYPERLINK("https://twitter.com/pastpunditry/status/705841789777879042","705841789777879042")</f>
        <v>705841789777879042</v>
      </c>
      <c r="F406" s="11" t="s">
        <v>77</v>
      </c>
      <c r="G406" s="12">
        <v>890.0</v>
      </c>
      <c r="H406" s="12">
        <v>378.0</v>
      </c>
      <c r="I406" s="12">
        <v>4.0</v>
      </c>
      <c r="J406" s="12">
        <v>2.0</v>
      </c>
      <c r="K406" s="11" t="s">
        <v>21</v>
      </c>
      <c r="L406" s="7">
        <v>40283.384351851855</v>
      </c>
      <c r="M406" s="13" t="s">
        <v>94</v>
      </c>
      <c r="N406" s="13" t="s">
        <v>95</v>
      </c>
      <c r="O406" s="10" t="str">
        <f>HYPERLINK("https://pbs.twimg.com/profile_images/704873222802636800/7aFEMOY5_normal.jpg","View")</f>
        <v>View</v>
      </c>
      <c r="P406" s="14"/>
    </row>
    <row r="407">
      <c r="A407" s="7">
        <v>42433.57373842593</v>
      </c>
      <c r="B407" s="8" t="str">
        <f>HYPERLINK("https://twitter.com/JimGrossmanAHA","@JimGrossmanAHA")</f>
        <v>@JimGrossmanAHA</v>
      </c>
      <c r="C407" s="9" t="s">
        <v>278</v>
      </c>
      <c r="D407" s="9" t="s">
        <v>531</v>
      </c>
      <c r="E407" s="10" t="str">
        <f>HYPERLINK("https://twitter.com/JimGrossmanAHA/status/705841792642588675","705841792642588675")</f>
        <v>705841792642588675</v>
      </c>
      <c r="F407" s="11" t="s">
        <v>31</v>
      </c>
      <c r="G407" s="12">
        <v>2241.0</v>
      </c>
      <c r="H407" s="12">
        <v>368.0</v>
      </c>
      <c r="I407" s="12">
        <v>3.0</v>
      </c>
      <c r="J407" s="12">
        <v>2.0</v>
      </c>
      <c r="K407" s="11" t="s">
        <v>21</v>
      </c>
      <c r="L407" s="7">
        <v>41576.36603009259</v>
      </c>
      <c r="M407" s="13" t="s">
        <v>279</v>
      </c>
      <c r="N407" s="13" t="s">
        <v>280</v>
      </c>
      <c r="O407" s="10" t="str">
        <f>HYPERLINK("https://pbs.twimg.com/profile_images/378800000667891782/44d7b181c077bf16ab07b242f7ad81b9_normal.png","View")</f>
        <v>View</v>
      </c>
      <c r="P407" s="14"/>
    </row>
    <row r="408">
      <c r="A408" s="7">
        <v>42433.57408564815</v>
      </c>
      <c r="B408" s="8" t="str">
        <f>HYPERLINK("https://twitter.com/AmandaMoniz1","@AmandaMoniz1")</f>
        <v>@AmandaMoniz1</v>
      </c>
      <c r="C408" s="9" t="s">
        <v>66</v>
      </c>
      <c r="D408" s="9" t="s">
        <v>532</v>
      </c>
      <c r="E408" s="10" t="str">
        <f>HYPERLINK("https://twitter.com/AmandaMoniz1/status/705841917528051712","705841917528051712")</f>
        <v>705841917528051712</v>
      </c>
      <c r="F408" s="11" t="s">
        <v>31</v>
      </c>
      <c r="G408" s="12">
        <v>622.0</v>
      </c>
      <c r="H408" s="12">
        <v>607.0</v>
      </c>
      <c r="I408" s="12">
        <v>3.0</v>
      </c>
      <c r="J408" s="12">
        <v>0.0</v>
      </c>
      <c r="K408" s="11" t="s">
        <v>21</v>
      </c>
      <c r="L408" s="7">
        <v>40766.33971064815</v>
      </c>
      <c r="M408" s="15"/>
      <c r="N408" s="13" t="s">
        <v>68</v>
      </c>
      <c r="O408" s="10" t="str">
        <f>HYPERLINK("https://pbs.twimg.com/profile_images/378800000149111881/7969acf9cec4197748b502a6a6c3d921_normal.jpeg","View")</f>
        <v>View</v>
      </c>
      <c r="P408" s="14"/>
    </row>
    <row r="409">
      <c r="A409" s="7">
        <v>42433.575115740736</v>
      </c>
      <c r="B409" s="8" t="str">
        <f t="shared" ref="B409:B410" si="107">HYPERLINK("https://twitter.com/samueljredman","@samueljredman")</f>
        <v>@samueljredman</v>
      </c>
      <c r="C409" s="9" t="s">
        <v>158</v>
      </c>
      <c r="D409" s="9" t="s">
        <v>527</v>
      </c>
      <c r="E409" s="10" t="str">
        <f>HYPERLINK("https://twitter.com/samueljredman/status/705842290670043136","705842290670043136")</f>
        <v>705842290670043136</v>
      </c>
      <c r="F409" s="11" t="s">
        <v>26</v>
      </c>
      <c r="G409" s="12">
        <v>5623.0</v>
      </c>
      <c r="H409" s="12">
        <v>5355.0</v>
      </c>
      <c r="I409" s="12">
        <v>4.0</v>
      </c>
      <c r="J409" s="12">
        <v>0.0</v>
      </c>
      <c r="K409" s="11" t="s">
        <v>21</v>
      </c>
      <c r="L409" s="7">
        <v>40584.98517361111</v>
      </c>
      <c r="M409" s="13" t="s">
        <v>160</v>
      </c>
      <c r="N409" s="13" t="s">
        <v>161</v>
      </c>
      <c r="O409" s="10" t="str">
        <f t="shared" ref="O409:O410" si="108">HYPERLINK("https://pbs.twimg.com/profile_images/548193870278688768/8Dq7gW3U_normal.png","View")</f>
        <v>View</v>
      </c>
      <c r="P409" s="14"/>
    </row>
    <row r="410">
      <c r="A410" s="7">
        <v>42433.575266203705</v>
      </c>
      <c r="B410" s="8" t="str">
        <f t="shared" si="107"/>
        <v>@samueljredman</v>
      </c>
      <c r="C410" s="9" t="s">
        <v>158</v>
      </c>
      <c r="D410" s="9" t="s">
        <v>533</v>
      </c>
      <c r="E410" s="10" t="str">
        <f>HYPERLINK("https://twitter.com/samueljredman/status/705842345594494976","705842345594494976")</f>
        <v>705842345594494976</v>
      </c>
      <c r="F410" s="11" t="s">
        <v>26</v>
      </c>
      <c r="G410" s="12">
        <v>5623.0</v>
      </c>
      <c r="H410" s="12">
        <v>5355.0</v>
      </c>
      <c r="I410" s="12">
        <v>4.0</v>
      </c>
      <c r="J410" s="12">
        <v>0.0</v>
      </c>
      <c r="K410" s="11" t="s">
        <v>21</v>
      </c>
      <c r="L410" s="7">
        <v>40584.98517361111</v>
      </c>
      <c r="M410" s="13" t="s">
        <v>160</v>
      </c>
      <c r="N410" s="13" t="s">
        <v>161</v>
      </c>
      <c r="O410" s="10" t="str">
        <f t="shared" si="108"/>
        <v>View</v>
      </c>
      <c r="P410" s="14"/>
    </row>
    <row r="411">
      <c r="A411" s="7">
        <v>42433.57542824074</v>
      </c>
      <c r="B411" s="8" t="str">
        <f>HYPERLINK("https://twitter.com/JulieThePH","@JulieThePH")</f>
        <v>@JulieThePH</v>
      </c>
      <c r="C411" s="9" t="s">
        <v>211</v>
      </c>
      <c r="D411" s="9" t="s">
        <v>533</v>
      </c>
      <c r="E411" s="10" t="str">
        <f>HYPERLINK("https://twitter.com/JulieThePH/status/705842403060670464","705842403060670464")</f>
        <v>705842403060670464</v>
      </c>
      <c r="F411" s="11" t="s">
        <v>31</v>
      </c>
      <c r="G411" s="12">
        <v>1234.0</v>
      </c>
      <c r="H411" s="12">
        <v>1386.0</v>
      </c>
      <c r="I411" s="12">
        <v>4.0</v>
      </c>
      <c r="J411" s="12">
        <v>0.0</v>
      </c>
      <c r="K411" s="11" t="s">
        <v>21</v>
      </c>
      <c r="L411" s="7">
        <v>40718.66918981481</v>
      </c>
      <c r="M411" s="13" t="s">
        <v>213</v>
      </c>
      <c r="N411" s="13" t="s">
        <v>214</v>
      </c>
      <c r="O411" s="10" t="str">
        <f>HYPERLINK("https://pbs.twimg.com/profile_images/596509974005686273/AqBblwMR_normal.jpg","View")</f>
        <v>View</v>
      </c>
      <c r="P411" s="14"/>
    </row>
    <row r="412">
      <c r="A412" s="7">
        <v>42433.575682870374</v>
      </c>
      <c r="B412" s="8" t="str">
        <f>HYPERLINK("https://twitter.com/BoneRoomsBook","@BoneRoomsBook")</f>
        <v>@BoneRoomsBook</v>
      </c>
      <c r="C412" s="9" t="s">
        <v>534</v>
      </c>
      <c r="D412" s="9" t="s">
        <v>533</v>
      </c>
      <c r="E412" s="10" t="str">
        <f>HYPERLINK("https://twitter.com/BoneRoomsBook/status/705842494609747968","705842494609747968")</f>
        <v>705842494609747968</v>
      </c>
      <c r="F412" s="11" t="s">
        <v>26</v>
      </c>
      <c r="G412" s="12">
        <v>227.0</v>
      </c>
      <c r="H412" s="12">
        <v>226.0</v>
      </c>
      <c r="I412" s="12">
        <v>4.0</v>
      </c>
      <c r="J412" s="12">
        <v>0.0</v>
      </c>
      <c r="K412" s="11" t="s">
        <v>21</v>
      </c>
      <c r="L412" s="7">
        <v>42298.64371527778</v>
      </c>
      <c r="M412" s="15"/>
      <c r="N412" s="13" t="s">
        <v>535</v>
      </c>
      <c r="O412" s="10" t="str">
        <f>HYPERLINK("https://pbs.twimg.com/profile_images/658759109425037313/2ujnaUuG_normal.jpg","View")</f>
        <v>View</v>
      </c>
      <c r="P412" s="14"/>
    </row>
    <row r="413">
      <c r="A413" s="7">
        <v>42433.57585648148</v>
      </c>
      <c r="B413" s="8" t="str">
        <f>HYPERLINK("https://twitter.com/MarlaAtUmass","@MarlaAtUmass")</f>
        <v>@MarlaAtUmass</v>
      </c>
      <c r="C413" s="9" t="s">
        <v>45</v>
      </c>
      <c r="D413" s="9" t="s">
        <v>536</v>
      </c>
      <c r="E413" s="10" t="str">
        <f>HYPERLINK("https://twitter.com/MarlaAtUmass/status/705842557419397121","705842557419397121")</f>
        <v>705842557419397121</v>
      </c>
      <c r="F413" s="11" t="s">
        <v>31</v>
      </c>
      <c r="G413" s="12">
        <v>1993.0</v>
      </c>
      <c r="H413" s="12">
        <v>1647.0</v>
      </c>
      <c r="I413" s="12">
        <v>2.0</v>
      </c>
      <c r="J413" s="12">
        <v>1.0</v>
      </c>
      <c r="K413" s="11" t="s">
        <v>21</v>
      </c>
      <c r="L413" s="7">
        <v>40125.78074074074</v>
      </c>
      <c r="M413" s="15"/>
      <c r="N413" s="13" t="s">
        <v>47</v>
      </c>
      <c r="O413" s="10" t="str">
        <f>HYPERLINK("https://pbs.twimg.com/profile_images/565429960/Betsy_Twitter_normal.jpg","View")</f>
        <v>View</v>
      </c>
      <c r="P413" s="14"/>
    </row>
    <row r="414">
      <c r="A414" s="7">
        <v>42433.576331018514</v>
      </c>
      <c r="B414" s="8" t="str">
        <f>HYPERLINK("https://twitter.com/pastpunditry","@pastpunditry")</f>
        <v>@pastpunditry</v>
      </c>
      <c r="C414" s="9" t="s">
        <v>92</v>
      </c>
      <c r="D414" s="9" t="s">
        <v>537</v>
      </c>
      <c r="E414" s="10" t="str">
        <f>HYPERLINK("https://twitter.com/pastpunditry/status/705842728874209280","705842728874209280")</f>
        <v>705842728874209280</v>
      </c>
      <c r="F414" s="11" t="s">
        <v>77</v>
      </c>
      <c r="G414" s="12">
        <v>890.0</v>
      </c>
      <c r="H414" s="12">
        <v>378.0</v>
      </c>
      <c r="I414" s="12">
        <v>2.0</v>
      </c>
      <c r="J414" s="12">
        <v>0.0</v>
      </c>
      <c r="K414" s="11" t="s">
        <v>21</v>
      </c>
      <c r="L414" s="7">
        <v>40283.384351851855</v>
      </c>
      <c r="M414" s="13" t="s">
        <v>94</v>
      </c>
      <c r="N414" s="13" t="s">
        <v>95</v>
      </c>
      <c r="O414" s="10" t="str">
        <f>HYPERLINK("https://pbs.twimg.com/profile_images/704873222802636800/7aFEMOY5_normal.jpg","View")</f>
        <v>View</v>
      </c>
      <c r="P414" s="14"/>
    </row>
    <row r="415">
      <c r="A415" s="7">
        <v>42433.57635416667</v>
      </c>
      <c r="B415" s="8" t="str">
        <f>HYPERLINK("https://twitter.com/TradeCardCarl","@TradeCardCarl")</f>
        <v>@TradeCardCarl</v>
      </c>
      <c r="C415" s="9" t="s">
        <v>538</v>
      </c>
      <c r="D415" s="9" t="s">
        <v>527</v>
      </c>
      <c r="E415" s="10" t="str">
        <f>HYPERLINK("https://twitter.com/TradeCardCarl/status/705842737556357121","705842737556357121")</f>
        <v>705842737556357121</v>
      </c>
      <c r="F415" s="11" t="s">
        <v>31</v>
      </c>
      <c r="G415" s="12">
        <v>375.0</v>
      </c>
      <c r="H415" s="12">
        <v>270.0</v>
      </c>
      <c r="I415" s="12">
        <v>4.0</v>
      </c>
      <c r="J415" s="12">
        <v>0.0</v>
      </c>
      <c r="K415" s="11" t="s">
        <v>21</v>
      </c>
      <c r="L415" s="7">
        <v>42157.74815972222</v>
      </c>
      <c r="M415" s="13" t="s">
        <v>539</v>
      </c>
      <c r="N415" s="13" t="s">
        <v>540</v>
      </c>
      <c r="O415" s="10" t="str">
        <f>HYPERLINK("https://pbs.twimg.com/profile_images/605887014114754560/z-GNNui4_normal.jpg","View")</f>
        <v>View</v>
      </c>
      <c r="P415" s="14"/>
    </row>
    <row r="416">
      <c r="A416" s="7">
        <v>42433.57640046296</v>
      </c>
      <c r="B416" s="8" t="str">
        <f>HYPERLINK("https://twitter.com/pastpunditry","@pastpunditry")</f>
        <v>@pastpunditry</v>
      </c>
      <c r="C416" s="9" t="s">
        <v>92</v>
      </c>
      <c r="D416" s="9" t="s">
        <v>532</v>
      </c>
      <c r="E416" s="10" t="str">
        <f>HYPERLINK("https://twitter.com/pastpunditry/status/705842754522374145","705842754522374145")</f>
        <v>705842754522374145</v>
      </c>
      <c r="F416" s="11" t="s">
        <v>77</v>
      </c>
      <c r="G416" s="12">
        <v>890.0</v>
      </c>
      <c r="H416" s="12">
        <v>378.0</v>
      </c>
      <c r="I416" s="12">
        <v>3.0</v>
      </c>
      <c r="J416" s="12">
        <v>0.0</v>
      </c>
      <c r="K416" s="11" t="s">
        <v>21</v>
      </c>
      <c r="L416" s="7">
        <v>40283.384351851855</v>
      </c>
      <c r="M416" s="13" t="s">
        <v>94</v>
      </c>
      <c r="N416" s="13" t="s">
        <v>95</v>
      </c>
      <c r="O416" s="10" t="str">
        <f>HYPERLINK("https://pbs.twimg.com/profile_images/704873222802636800/7aFEMOY5_normal.jpg","View")</f>
        <v>View</v>
      </c>
      <c r="P416" s="14"/>
    </row>
    <row r="417">
      <c r="A417" s="7">
        <v>42433.577048611114</v>
      </c>
      <c r="B417" s="8" t="str">
        <f>HYPERLINK("https://twitter.com/AmandaMoniz1","@AmandaMoniz1")</f>
        <v>@AmandaMoniz1</v>
      </c>
      <c r="C417" s="9" t="s">
        <v>66</v>
      </c>
      <c r="D417" s="9" t="s">
        <v>537</v>
      </c>
      <c r="E417" s="10" t="str">
        <f>HYPERLINK("https://twitter.com/AmandaMoniz1/status/705842990590328833","705842990590328833")</f>
        <v>705842990590328833</v>
      </c>
      <c r="F417" s="11" t="s">
        <v>31</v>
      </c>
      <c r="G417" s="12">
        <v>622.0</v>
      </c>
      <c r="H417" s="12">
        <v>607.0</v>
      </c>
      <c r="I417" s="12">
        <v>2.0</v>
      </c>
      <c r="J417" s="12">
        <v>0.0</v>
      </c>
      <c r="K417" s="11" t="s">
        <v>21</v>
      </c>
      <c r="L417" s="7">
        <v>40766.33971064815</v>
      </c>
      <c r="M417" s="15"/>
      <c r="N417" s="13" t="s">
        <v>68</v>
      </c>
      <c r="O417" s="10" t="str">
        <f>HYPERLINK("https://pbs.twimg.com/profile_images/378800000149111881/7969acf9cec4197748b502a6a6c3d921_normal.jpeg","View")</f>
        <v>View</v>
      </c>
      <c r="P417" s="14"/>
    </row>
    <row r="418">
      <c r="A418" s="7">
        <v>42433.57761574074</v>
      </c>
      <c r="B418" s="8" t="str">
        <f>HYPERLINK("https://twitter.com/JulieThePH","@JulieThePH")</f>
        <v>@JulieThePH</v>
      </c>
      <c r="C418" s="9" t="s">
        <v>211</v>
      </c>
      <c r="D418" s="9" t="s">
        <v>541</v>
      </c>
      <c r="E418" s="10" t="str">
        <f>HYPERLINK("https://twitter.com/JulieThePH/status/705843194769055744","705843194769055744")</f>
        <v>705843194769055744</v>
      </c>
      <c r="F418" s="11" t="s">
        <v>31</v>
      </c>
      <c r="G418" s="12">
        <v>1234.0</v>
      </c>
      <c r="H418" s="12">
        <v>1386.0</v>
      </c>
      <c r="I418" s="12">
        <v>1.0</v>
      </c>
      <c r="J418" s="12">
        <v>2.0</v>
      </c>
      <c r="K418" s="11" t="s">
        <v>21</v>
      </c>
      <c r="L418" s="7">
        <v>40718.66918981481</v>
      </c>
      <c r="M418" s="13" t="s">
        <v>213</v>
      </c>
      <c r="N418" s="13" t="s">
        <v>214</v>
      </c>
      <c r="O418" s="10" t="str">
        <f>HYPERLINK("https://pbs.twimg.com/profile_images/596509974005686273/AqBblwMR_normal.jpg","View")</f>
        <v>View</v>
      </c>
      <c r="P418" s="14"/>
    </row>
    <row r="419">
      <c r="A419" s="7">
        <v>42433.57818287037</v>
      </c>
      <c r="B419" s="8" t="str">
        <f>HYPERLINK("https://twitter.com/pastpunditry","@pastpunditry")</f>
        <v>@pastpunditry</v>
      </c>
      <c r="C419" s="9" t="s">
        <v>92</v>
      </c>
      <c r="D419" s="9" t="s">
        <v>542</v>
      </c>
      <c r="E419" s="10" t="str">
        <f>HYPERLINK("https://twitter.com/pastpunditry/status/705843399916724224","705843399916724224")</f>
        <v>705843399916724224</v>
      </c>
      <c r="F419" s="11" t="s">
        <v>77</v>
      </c>
      <c r="G419" s="12">
        <v>890.0</v>
      </c>
      <c r="H419" s="12">
        <v>378.0</v>
      </c>
      <c r="I419" s="12">
        <v>0.0</v>
      </c>
      <c r="J419" s="12">
        <v>1.0</v>
      </c>
      <c r="K419" s="11" t="s">
        <v>21</v>
      </c>
      <c r="L419" s="7">
        <v>40283.384351851855</v>
      </c>
      <c r="M419" s="13" t="s">
        <v>94</v>
      </c>
      <c r="N419" s="13" t="s">
        <v>95</v>
      </c>
      <c r="O419" s="10" t="str">
        <f>HYPERLINK("https://pbs.twimg.com/profile_images/704873222802636800/7aFEMOY5_normal.jpg","View")</f>
        <v>View</v>
      </c>
      <c r="P419" s="14"/>
    </row>
    <row r="420">
      <c r="A420" s="7">
        <v>42433.579247685186</v>
      </c>
      <c r="B420" s="8" t="str">
        <f>HYPERLINK("https://twitter.com/historein","@historein")</f>
        <v>@historein</v>
      </c>
      <c r="C420" s="9" t="s">
        <v>172</v>
      </c>
      <c r="D420" s="9" t="s">
        <v>543</v>
      </c>
      <c r="E420" s="10" t="str">
        <f>HYPERLINK("https://twitter.com/historein/status/705843787017408512","705843787017408512")</f>
        <v>705843787017408512</v>
      </c>
      <c r="F420" s="11" t="s">
        <v>31</v>
      </c>
      <c r="G420" s="12">
        <v>641.0</v>
      </c>
      <c r="H420" s="12">
        <v>753.0</v>
      </c>
      <c r="I420" s="12">
        <v>4.0</v>
      </c>
      <c r="J420" s="12">
        <v>2.0</v>
      </c>
      <c r="K420" s="11" t="s">
        <v>21</v>
      </c>
      <c r="L420" s="7">
        <v>40416.68083333333</v>
      </c>
      <c r="M420" s="13" t="s">
        <v>35</v>
      </c>
      <c r="N420" s="13" t="s">
        <v>174</v>
      </c>
      <c r="O420" s="10" t="str">
        <f>HYPERLINK("https://pbs.twimg.com/profile_images/636901483401904128/cxbavncr_normal.jpg","View")</f>
        <v>View</v>
      </c>
      <c r="P420" s="14"/>
    </row>
    <row r="421">
      <c r="A421" s="7">
        <v>42433.57935185185</v>
      </c>
      <c r="B421" s="8" t="str">
        <f>HYPERLINK("https://twitter.com/pastpunditry","@pastpunditry")</f>
        <v>@pastpunditry</v>
      </c>
      <c r="C421" s="9" t="s">
        <v>92</v>
      </c>
      <c r="D421" s="9" t="s">
        <v>544</v>
      </c>
      <c r="E421" s="10" t="str">
        <f>HYPERLINK("https://twitter.com/pastpunditry/status/705843824397049856","705843824397049856")</f>
        <v>705843824397049856</v>
      </c>
      <c r="F421" s="11" t="s">
        <v>77</v>
      </c>
      <c r="G421" s="12">
        <v>890.0</v>
      </c>
      <c r="H421" s="12">
        <v>378.0</v>
      </c>
      <c r="I421" s="12">
        <v>4.0</v>
      </c>
      <c r="J421" s="12">
        <v>0.0</v>
      </c>
      <c r="K421" s="11" t="s">
        <v>21</v>
      </c>
      <c r="L421" s="7">
        <v>40283.384351851855</v>
      </c>
      <c r="M421" s="13" t="s">
        <v>94</v>
      </c>
      <c r="N421" s="13" t="s">
        <v>95</v>
      </c>
      <c r="O421" s="10" t="str">
        <f>HYPERLINK("https://pbs.twimg.com/profile_images/704873222802636800/7aFEMOY5_normal.jpg","View")</f>
        <v>View</v>
      </c>
      <c r="P421" s="14"/>
    </row>
    <row r="422">
      <c r="A422" s="7">
        <v>42433.57944444445</v>
      </c>
      <c r="B422" s="8" t="str">
        <f>HYPERLINK("https://twitter.com/MarlaAtUmass","@MarlaAtUmass")</f>
        <v>@MarlaAtUmass</v>
      </c>
      <c r="C422" s="9" t="s">
        <v>45</v>
      </c>
      <c r="D422" s="9" t="s">
        <v>545</v>
      </c>
      <c r="E422" s="10" t="str">
        <f>HYPERLINK("https://twitter.com/MarlaAtUmass/status/705843860333793282","705843860333793282")</f>
        <v>705843860333793282</v>
      </c>
      <c r="F422" s="11" t="s">
        <v>31</v>
      </c>
      <c r="G422" s="12">
        <v>1993.0</v>
      </c>
      <c r="H422" s="12">
        <v>1647.0</v>
      </c>
      <c r="I422" s="12">
        <v>2.0</v>
      </c>
      <c r="J422" s="12">
        <v>3.0</v>
      </c>
      <c r="K422" s="11" t="s">
        <v>21</v>
      </c>
      <c r="L422" s="7">
        <v>40125.78074074074</v>
      </c>
      <c r="M422" s="15"/>
      <c r="N422" s="13" t="s">
        <v>47</v>
      </c>
      <c r="O422" s="10" t="str">
        <f>HYPERLINK("https://pbs.twimg.com/profile_images/565429960/Betsy_Twitter_normal.jpg","View")</f>
        <v>View</v>
      </c>
      <c r="P422" s="14"/>
    </row>
    <row r="423">
      <c r="A423" s="7">
        <v>42433.57960648148</v>
      </c>
      <c r="B423" s="8" t="str">
        <f>HYPERLINK("https://twitter.com/CorsairQueen","@CorsairQueen")</f>
        <v>@CorsairQueen</v>
      </c>
      <c r="C423" s="9" t="s">
        <v>546</v>
      </c>
      <c r="D423" s="9" t="s">
        <v>547</v>
      </c>
      <c r="E423" s="10" t="str">
        <f>HYPERLINK("https://twitter.com/CorsairQueen/status/705843917657411584","705843917657411584")</f>
        <v>705843917657411584</v>
      </c>
      <c r="F423" s="11" t="s">
        <v>26</v>
      </c>
      <c r="G423" s="12">
        <v>1122.0</v>
      </c>
      <c r="H423" s="12">
        <v>613.0</v>
      </c>
      <c r="I423" s="12">
        <v>1.0</v>
      </c>
      <c r="J423" s="12">
        <v>0.0</v>
      </c>
      <c r="K423" s="11" t="s">
        <v>21</v>
      </c>
      <c r="L423" s="7">
        <v>40842.27292824074</v>
      </c>
      <c r="M423" s="13" t="s">
        <v>510</v>
      </c>
      <c r="N423" s="13" t="s">
        <v>548</v>
      </c>
      <c r="O423" s="10" t="str">
        <f>HYPERLINK("https://pbs.twimg.com/profile_images/466273187697655809/ZC13qM3X_normal.jpeg","View")</f>
        <v>View</v>
      </c>
      <c r="P423" s="14"/>
    </row>
    <row r="424">
      <c r="A424" s="7">
        <v>42433.57969907408</v>
      </c>
      <c r="B424" s="8" t="str">
        <f>HYPERLINK("https://twitter.com/historycampaign","@historycampaign")</f>
        <v>@historycampaign</v>
      </c>
      <c r="C424" s="9" t="s">
        <v>133</v>
      </c>
      <c r="D424" s="9" t="s">
        <v>532</v>
      </c>
      <c r="E424" s="10" t="str">
        <f>HYPERLINK("https://twitter.com/historycampaign/status/705843952604336128","705843952604336128")</f>
        <v>705843952604336128</v>
      </c>
      <c r="F424" s="11" t="s">
        <v>26</v>
      </c>
      <c r="G424" s="12">
        <v>110.0</v>
      </c>
      <c r="H424" s="12">
        <v>59.0</v>
      </c>
      <c r="I424" s="12">
        <v>3.0</v>
      </c>
      <c r="J424" s="12">
        <v>0.0</v>
      </c>
      <c r="K424" s="11" t="s">
        <v>21</v>
      </c>
      <c r="L424" s="7">
        <v>42311.25096064815</v>
      </c>
      <c r="M424" s="15"/>
      <c r="N424" s="13" t="s">
        <v>135</v>
      </c>
      <c r="O424" s="10" t="str">
        <f>HYPERLINK("https://pbs.twimg.com/profile_images/673691030139609088/8v7ab61D_normal.jpg","View")</f>
        <v>View</v>
      </c>
      <c r="P424" s="14"/>
    </row>
    <row r="425">
      <c r="A425" s="7">
        <v>42433.58023148148</v>
      </c>
      <c r="B425" s="8" t="str">
        <f>HYPERLINK("https://twitter.com/pastpunditry","@pastpunditry")</f>
        <v>@pastpunditry</v>
      </c>
      <c r="C425" s="9" t="s">
        <v>92</v>
      </c>
      <c r="D425" s="9" t="s">
        <v>549</v>
      </c>
      <c r="E425" s="10" t="str">
        <f>HYPERLINK("https://twitter.com/pastpunditry/status/705844141910040577","705844141910040577")</f>
        <v>705844141910040577</v>
      </c>
      <c r="F425" s="11" t="s">
        <v>77</v>
      </c>
      <c r="G425" s="12">
        <v>890.0</v>
      </c>
      <c r="H425" s="12">
        <v>378.0</v>
      </c>
      <c r="I425" s="12">
        <v>2.0</v>
      </c>
      <c r="J425" s="12">
        <v>0.0</v>
      </c>
      <c r="K425" s="11" t="s">
        <v>21</v>
      </c>
      <c r="L425" s="7">
        <v>40283.384351851855</v>
      </c>
      <c r="M425" s="13" t="s">
        <v>94</v>
      </c>
      <c r="N425" s="13" t="s">
        <v>95</v>
      </c>
      <c r="O425" s="10" t="str">
        <f>HYPERLINK("https://pbs.twimg.com/profile_images/704873222802636800/7aFEMOY5_normal.jpg","View")</f>
        <v>View</v>
      </c>
      <c r="P425" s="14"/>
    </row>
    <row r="426">
      <c r="A426" s="7">
        <v>42433.58050925926</v>
      </c>
      <c r="B426" s="8" t="str">
        <f>HYPERLINK("https://twitter.com/JulieThePH","@JulieThePH")</f>
        <v>@JulieThePH</v>
      </c>
      <c r="C426" s="9" t="s">
        <v>211</v>
      </c>
      <c r="D426" s="9" t="s">
        <v>544</v>
      </c>
      <c r="E426" s="10" t="str">
        <f>HYPERLINK("https://twitter.com/JulieThePH/status/705844242959212544","705844242959212544")</f>
        <v>705844242959212544</v>
      </c>
      <c r="F426" s="11" t="s">
        <v>31</v>
      </c>
      <c r="G426" s="12">
        <v>1234.0</v>
      </c>
      <c r="H426" s="12">
        <v>1386.0</v>
      </c>
      <c r="I426" s="12">
        <v>4.0</v>
      </c>
      <c r="J426" s="12">
        <v>0.0</v>
      </c>
      <c r="K426" s="11" t="s">
        <v>21</v>
      </c>
      <c r="L426" s="7">
        <v>40718.66918981481</v>
      </c>
      <c r="M426" s="13" t="s">
        <v>213</v>
      </c>
      <c r="N426" s="13" t="s">
        <v>214</v>
      </c>
      <c r="O426" s="10" t="str">
        <f>HYPERLINK("https://pbs.twimg.com/profile_images/596509974005686273/AqBblwMR_normal.jpg","View")</f>
        <v>View</v>
      </c>
      <c r="P426" s="14"/>
    </row>
    <row r="427">
      <c r="A427" s="7">
        <v>42433.58087962963</v>
      </c>
      <c r="B427" s="8" t="str">
        <f>HYPERLINK("https://twitter.com/AmandaMoniz1","@AmandaMoniz1")</f>
        <v>@AmandaMoniz1</v>
      </c>
      <c r="C427" s="9" t="s">
        <v>66</v>
      </c>
      <c r="D427" s="9" t="s">
        <v>549</v>
      </c>
      <c r="E427" s="10" t="str">
        <f>HYPERLINK("https://twitter.com/AmandaMoniz1/status/705844377747378177","705844377747378177")</f>
        <v>705844377747378177</v>
      </c>
      <c r="F427" s="11" t="s">
        <v>31</v>
      </c>
      <c r="G427" s="12">
        <v>622.0</v>
      </c>
      <c r="H427" s="12">
        <v>607.0</v>
      </c>
      <c r="I427" s="12">
        <v>2.0</v>
      </c>
      <c r="J427" s="12">
        <v>0.0</v>
      </c>
      <c r="K427" s="11" t="s">
        <v>21</v>
      </c>
      <c r="L427" s="7">
        <v>40766.33971064815</v>
      </c>
      <c r="M427" s="15"/>
      <c r="N427" s="13" t="s">
        <v>68</v>
      </c>
      <c r="O427" s="10" t="str">
        <f>HYPERLINK("https://pbs.twimg.com/profile_images/378800000149111881/7969acf9cec4197748b502a6a6c3d921_normal.jpeg","View")</f>
        <v>View</v>
      </c>
      <c r="P427" s="14"/>
    </row>
    <row r="428">
      <c r="A428" s="7">
        <v>42433.58125</v>
      </c>
      <c r="B428" s="8" t="str">
        <f>HYPERLINK("https://twitter.com/pastpunditry","@pastpunditry")</f>
        <v>@pastpunditry</v>
      </c>
      <c r="C428" s="9" t="s">
        <v>92</v>
      </c>
      <c r="D428" s="9" t="s">
        <v>550</v>
      </c>
      <c r="E428" s="10" t="str">
        <f>HYPERLINK("https://twitter.com/pastpunditry/status/705844510866149376","705844510866149376")</f>
        <v>705844510866149376</v>
      </c>
      <c r="F428" s="11" t="s">
        <v>77</v>
      </c>
      <c r="G428" s="12">
        <v>890.0</v>
      </c>
      <c r="H428" s="12">
        <v>378.0</v>
      </c>
      <c r="I428" s="12">
        <v>1.0</v>
      </c>
      <c r="J428" s="12">
        <v>1.0</v>
      </c>
      <c r="K428" s="11" t="s">
        <v>21</v>
      </c>
      <c r="L428" s="7">
        <v>40283.384351851855</v>
      </c>
      <c r="M428" s="13" t="s">
        <v>94</v>
      </c>
      <c r="N428" s="13" t="s">
        <v>95</v>
      </c>
      <c r="O428" s="10" t="str">
        <f>HYPERLINK("https://pbs.twimg.com/profile_images/704873222802636800/7aFEMOY5_normal.jpg","View")</f>
        <v>View</v>
      </c>
      <c r="P428" s="14"/>
    </row>
    <row r="429">
      <c r="A429" s="7">
        <v>42433.58238425926</v>
      </c>
      <c r="B429" s="8" t="str">
        <f>HYPERLINK("https://twitter.com/mathhistory","@mathhistory")</f>
        <v>@mathhistory</v>
      </c>
      <c r="C429" s="9" t="s">
        <v>341</v>
      </c>
      <c r="D429" s="9" t="s">
        <v>551</v>
      </c>
      <c r="E429" s="10" t="str">
        <f>HYPERLINK("https://twitter.com/mathhistory/status/705844924181291012","705844924181291012")</f>
        <v>705844924181291012</v>
      </c>
      <c r="F429" s="11" t="s">
        <v>26</v>
      </c>
      <c r="G429" s="12">
        <v>788.0</v>
      </c>
      <c r="H429" s="12">
        <v>1100.0</v>
      </c>
      <c r="I429" s="12">
        <v>1.0</v>
      </c>
      <c r="J429" s="12">
        <v>8.0</v>
      </c>
      <c r="K429" s="11" t="s">
        <v>21</v>
      </c>
      <c r="L429" s="7">
        <v>41089.96089120371</v>
      </c>
      <c r="M429" s="13" t="s">
        <v>343</v>
      </c>
      <c r="N429" s="13" t="s">
        <v>344</v>
      </c>
      <c r="O429" s="10" t="str">
        <f>HYPERLINK("https://pbs.twimg.com/profile_images/3034769023/09adfcbebccfeef2a42e39aaac64ede5_normal.jpeg","View")</f>
        <v>View</v>
      </c>
      <c r="P429" s="14"/>
    </row>
    <row r="430">
      <c r="A430" s="7">
        <v>42433.58252314814</v>
      </c>
      <c r="B430" s="8" t="str">
        <f>HYPERLINK("https://twitter.com/pastpunditry","@pastpunditry")</f>
        <v>@pastpunditry</v>
      </c>
      <c r="C430" s="9" t="s">
        <v>92</v>
      </c>
      <c r="D430" s="9" t="s">
        <v>552</v>
      </c>
      <c r="E430" s="10" t="str">
        <f>HYPERLINK("https://twitter.com/pastpunditry/status/705844974387118081","705844974387118081")</f>
        <v>705844974387118081</v>
      </c>
      <c r="F430" s="11" t="s">
        <v>77</v>
      </c>
      <c r="G430" s="12">
        <v>890.0</v>
      </c>
      <c r="H430" s="12">
        <v>378.0</v>
      </c>
      <c r="I430" s="12">
        <v>1.0</v>
      </c>
      <c r="J430" s="12">
        <v>0.0</v>
      </c>
      <c r="K430" s="11" t="s">
        <v>21</v>
      </c>
      <c r="L430" s="7">
        <v>40283.384351851855</v>
      </c>
      <c r="M430" s="13" t="s">
        <v>94</v>
      </c>
      <c r="N430" s="13" t="s">
        <v>95</v>
      </c>
      <c r="O430" s="10" t="str">
        <f>HYPERLINK("https://pbs.twimg.com/profile_images/704873222802636800/7aFEMOY5_normal.jpg","View")</f>
        <v>View</v>
      </c>
      <c r="P430" s="14"/>
    </row>
    <row r="431">
      <c r="A431" s="7">
        <v>42433.583020833335</v>
      </c>
      <c r="B431" s="8" t="str">
        <f>HYPERLINK("https://twitter.com/paige_roberts","@paige_roberts")</f>
        <v>@paige_roberts</v>
      </c>
      <c r="C431" s="9" t="s">
        <v>448</v>
      </c>
      <c r="D431" s="9" t="s">
        <v>516</v>
      </c>
      <c r="E431" s="10" t="str">
        <f>HYPERLINK("https://twitter.com/paige_roberts/status/705845156705136640","705845156705136640")</f>
        <v>705845156705136640</v>
      </c>
      <c r="F431" s="11" t="s">
        <v>26</v>
      </c>
      <c r="G431" s="12">
        <v>3590.0</v>
      </c>
      <c r="H431" s="12">
        <v>3356.0</v>
      </c>
      <c r="I431" s="12">
        <v>2.0</v>
      </c>
      <c r="J431" s="12">
        <v>0.0</v>
      </c>
      <c r="K431" s="11" t="s">
        <v>21</v>
      </c>
      <c r="L431" s="7">
        <v>40331.456875</v>
      </c>
      <c r="M431" s="13" t="s">
        <v>450</v>
      </c>
      <c r="N431" s="13" t="s">
        <v>451</v>
      </c>
      <c r="O431" s="10" t="str">
        <f>HYPERLINK("https://pbs.twimg.com/profile_images/625092349425750016/cZ_A7mTc_normal.jpg","View")</f>
        <v>View</v>
      </c>
      <c r="P431" s="14"/>
    </row>
    <row r="432">
      <c r="A432" s="7">
        <v>42433.583495370374</v>
      </c>
      <c r="B432" s="8" t="str">
        <f>HYPERLINK("https://twitter.com/MarlaAtUmass","@MarlaAtUmass")</f>
        <v>@MarlaAtUmass</v>
      </c>
      <c r="C432" s="9" t="s">
        <v>45</v>
      </c>
      <c r="D432" s="9" t="s">
        <v>553</v>
      </c>
      <c r="E432" s="10" t="str">
        <f>HYPERLINK("https://twitter.com/MarlaAtUmass/status/705845324712124416","705845324712124416")</f>
        <v>705845324712124416</v>
      </c>
      <c r="F432" s="11" t="s">
        <v>31</v>
      </c>
      <c r="G432" s="12">
        <v>1993.0</v>
      </c>
      <c r="H432" s="12">
        <v>1647.0</v>
      </c>
      <c r="I432" s="12">
        <v>1.0</v>
      </c>
      <c r="J432" s="12">
        <v>3.0</v>
      </c>
      <c r="K432" s="11" t="s">
        <v>21</v>
      </c>
      <c r="L432" s="7">
        <v>40125.78074074074</v>
      </c>
      <c r="M432" s="15"/>
      <c r="N432" s="13" t="s">
        <v>47</v>
      </c>
      <c r="O432" s="10" t="str">
        <f>HYPERLINK("https://pbs.twimg.com/profile_images/565429960/Betsy_Twitter_normal.jpg","View")</f>
        <v>View</v>
      </c>
      <c r="P432" s="14"/>
    </row>
    <row r="433">
      <c r="A433" s="7">
        <v>42433.583495370374</v>
      </c>
      <c r="B433" s="8" t="str">
        <f>HYPERLINK("https://twitter.com/JulieThePH","@JulieThePH")</f>
        <v>@JulieThePH</v>
      </c>
      <c r="C433" s="9" t="s">
        <v>211</v>
      </c>
      <c r="D433" s="9" t="s">
        <v>554</v>
      </c>
      <c r="E433" s="10" t="str">
        <f>HYPERLINK("https://twitter.com/JulieThePH/status/705845326335352833","705845326335352833")</f>
        <v>705845326335352833</v>
      </c>
      <c r="F433" s="11" t="s">
        <v>31</v>
      </c>
      <c r="G433" s="12">
        <v>1234.0</v>
      </c>
      <c r="H433" s="12">
        <v>1386.0</v>
      </c>
      <c r="I433" s="12">
        <v>1.0</v>
      </c>
      <c r="J433" s="12">
        <v>0.0</v>
      </c>
      <c r="K433" s="11" t="s">
        <v>21</v>
      </c>
      <c r="L433" s="7">
        <v>40718.66918981481</v>
      </c>
      <c r="M433" s="13" t="s">
        <v>213</v>
      </c>
      <c r="N433" s="13" t="s">
        <v>214</v>
      </c>
      <c r="O433" s="10" t="str">
        <f>HYPERLINK("https://pbs.twimg.com/profile_images/596509974005686273/AqBblwMR_normal.jpg","View")</f>
        <v>View</v>
      </c>
      <c r="P433" s="14"/>
    </row>
    <row r="434">
      <c r="A434" s="7">
        <v>42433.58405092593</v>
      </c>
      <c r="B434" s="8" t="str">
        <f t="shared" ref="B434:B435" si="109">HYPERLINK("https://twitter.com/pastpunditry","@pastpunditry")</f>
        <v>@pastpunditry</v>
      </c>
      <c r="C434" s="9" t="s">
        <v>92</v>
      </c>
      <c r="D434" s="9" t="s">
        <v>555</v>
      </c>
      <c r="E434" s="10" t="str">
        <f>HYPERLINK("https://twitter.com/pastpunditry/status/705845529188687873","705845529188687873")</f>
        <v>705845529188687873</v>
      </c>
      <c r="F434" s="11" t="s">
        <v>77</v>
      </c>
      <c r="G434" s="12">
        <v>890.0</v>
      </c>
      <c r="H434" s="12">
        <v>378.0</v>
      </c>
      <c r="I434" s="12">
        <v>1.0</v>
      </c>
      <c r="J434" s="12">
        <v>2.0</v>
      </c>
      <c r="K434" s="11" t="s">
        <v>21</v>
      </c>
      <c r="L434" s="7">
        <v>40283.384351851855</v>
      </c>
      <c r="M434" s="13" t="s">
        <v>94</v>
      </c>
      <c r="N434" s="13" t="s">
        <v>95</v>
      </c>
      <c r="O434" s="10" t="str">
        <f t="shared" ref="O434:O435" si="110">HYPERLINK("https://pbs.twimg.com/profile_images/704873222802636800/7aFEMOY5_normal.jpg","View")</f>
        <v>View</v>
      </c>
      <c r="P434" s="14"/>
    </row>
    <row r="435">
      <c r="A435" s="7">
        <v>42433.58409722222</v>
      </c>
      <c r="B435" s="8" t="str">
        <f t="shared" si="109"/>
        <v>@pastpunditry</v>
      </c>
      <c r="C435" s="9" t="s">
        <v>92</v>
      </c>
      <c r="D435" s="9" t="s">
        <v>556</v>
      </c>
      <c r="E435" s="10" t="str">
        <f>HYPERLINK("https://twitter.com/pastpunditry/status/705845545739411457","705845545739411457")</f>
        <v>705845545739411457</v>
      </c>
      <c r="F435" s="11" t="s">
        <v>77</v>
      </c>
      <c r="G435" s="12">
        <v>890.0</v>
      </c>
      <c r="H435" s="12">
        <v>378.0</v>
      </c>
      <c r="I435" s="12">
        <v>1.0</v>
      </c>
      <c r="J435" s="12">
        <v>0.0</v>
      </c>
      <c r="K435" s="11" t="s">
        <v>21</v>
      </c>
      <c r="L435" s="7">
        <v>40283.384351851855</v>
      </c>
      <c r="M435" s="13" t="s">
        <v>94</v>
      </c>
      <c r="N435" s="13" t="s">
        <v>95</v>
      </c>
      <c r="O435" s="10" t="str">
        <f t="shared" si="110"/>
        <v>View</v>
      </c>
      <c r="P435" s="14"/>
    </row>
    <row r="436">
      <c r="A436" s="7">
        <v>42433.58443287037</v>
      </c>
      <c r="B436" s="8" t="str">
        <f>HYPERLINK("https://twitter.com/JimGrossmanAHA","@JimGrossmanAHA")</f>
        <v>@JimGrossmanAHA</v>
      </c>
      <c r="C436" s="9" t="s">
        <v>278</v>
      </c>
      <c r="D436" s="9" t="s">
        <v>557</v>
      </c>
      <c r="E436" s="10" t="str">
        <f>HYPERLINK("https://twitter.com/JimGrossmanAHA/status/705845667848167429","705845667848167429")</f>
        <v>705845667848167429</v>
      </c>
      <c r="F436" s="11" t="s">
        <v>31</v>
      </c>
      <c r="G436" s="12">
        <v>2241.0</v>
      </c>
      <c r="H436" s="12">
        <v>368.0</v>
      </c>
      <c r="I436" s="12">
        <v>4.0</v>
      </c>
      <c r="J436" s="12">
        <v>6.0</v>
      </c>
      <c r="K436" s="11" t="s">
        <v>21</v>
      </c>
      <c r="L436" s="7">
        <v>41576.36603009259</v>
      </c>
      <c r="M436" s="13" t="s">
        <v>279</v>
      </c>
      <c r="N436" s="13" t="s">
        <v>280</v>
      </c>
      <c r="O436" s="10" t="str">
        <f>HYPERLINK("https://pbs.twimg.com/profile_images/378800000667891782/44d7b181c077bf16ab07b242f7ad81b9_normal.png","View")</f>
        <v>View</v>
      </c>
      <c r="P436" s="14"/>
    </row>
    <row r="437">
      <c r="A437" s="7">
        <v>42433.58535879629</v>
      </c>
      <c r="B437" s="8" t="str">
        <f>HYPERLINK("https://twitter.com/pastpunditry","@pastpunditry")</f>
        <v>@pastpunditry</v>
      </c>
      <c r="C437" s="9" t="s">
        <v>92</v>
      </c>
      <c r="D437" s="9" t="s">
        <v>558</v>
      </c>
      <c r="E437" s="10" t="str">
        <f>HYPERLINK("https://twitter.com/pastpunditry/status/705846000947236864","705846000947236864")</f>
        <v>705846000947236864</v>
      </c>
      <c r="F437" s="11" t="s">
        <v>77</v>
      </c>
      <c r="G437" s="12">
        <v>890.0</v>
      </c>
      <c r="H437" s="12">
        <v>378.0</v>
      </c>
      <c r="I437" s="12">
        <v>0.0</v>
      </c>
      <c r="J437" s="12">
        <v>1.0</v>
      </c>
      <c r="K437" s="11" t="s">
        <v>21</v>
      </c>
      <c r="L437" s="7">
        <v>40283.384351851855</v>
      </c>
      <c r="M437" s="13" t="s">
        <v>94</v>
      </c>
      <c r="N437" s="13" t="s">
        <v>95</v>
      </c>
      <c r="O437" s="10" t="str">
        <f>HYPERLINK("https://pbs.twimg.com/profile_images/704873222802636800/7aFEMOY5_normal.jpg","View")</f>
        <v>View</v>
      </c>
      <c r="P437" s="14"/>
    </row>
    <row r="438">
      <c r="A438" s="7">
        <v>42433.58559027778</v>
      </c>
      <c r="B438" s="8" t="str">
        <f>HYPERLINK("https://twitter.com/JulieThePH","@JulieThePH")</f>
        <v>@JulieThePH</v>
      </c>
      <c r="C438" s="9" t="s">
        <v>211</v>
      </c>
      <c r="D438" s="9" t="s">
        <v>559</v>
      </c>
      <c r="E438" s="10" t="str">
        <f>HYPERLINK("https://twitter.com/JulieThePH/status/705846087475716097","705846087475716097")</f>
        <v>705846087475716097</v>
      </c>
      <c r="F438" s="11" t="s">
        <v>31</v>
      </c>
      <c r="G438" s="12">
        <v>1234.0</v>
      </c>
      <c r="H438" s="12">
        <v>1386.0</v>
      </c>
      <c r="I438" s="12">
        <v>4.0</v>
      </c>
      <c r="J438" s="12">
        <v>0.0</v>
      </c>
      <c r="K438" s="11" t="s">
        <v>21</v>
      </c>
      <c r="L438" s="7">
        <v>40718.66918981481</v>
      </c>
      <c r="M438" s="13" t="s">
        <v>213</v>
      </c>
      <c r="N438" s="13" t="s">
        <v>214</v>
      </c>
      <c r="O438" s="10" t="str">
        <f>HYPERLINK("https://pbs.twimg.com/profile_images/596509974005686273/AqBblwMR_normal.jpg","View")</f>
        <v>View</v>
      </c>
      <c r="P438" s="14"/>
    </row>
    <row r="439">
      <c r="A439" s="7">
        <v>42433.58570601852</v>
      </c>
      <c r="B439" s="8" t="str">
        <f>HYPERLINK("https://twitter.com/leilasedai","@leilasedai")</f>
        <v>@leilasedai</v>
      </c>
      <c r="C439" s="9" t="s">
        <v>560</v>
      </c>
      <c r="D439" s="9" t="s">
        <v>533</v>
      </c>
      <c r="E439" s="10" t="str">
        <f>HYPERLINK("https://twitter.com/leilasedai/status/705846128734920704","705846128734920704")</f>
        <v>705846128734920704</v>
      </c>
      <c r="F439" s="11" t="s">
        <v>148</v>
      </c>
      <c r="G439" s="12">
        <v>833.0</v>
      </c>
      <c r="H439" s="12">
        <v>541.0</v>
      </c>
      <c r="I439" s="12">
        <v>4.0</v>
      </c>
      <c r="J439" s="12">
        <v>0.0</v>
      </c>
      <c r="K439" s="11" t="s">
        <v>21</v>
      </c>
      <c r="L439" s="7">
        <v>40414.7081712963</v>
      </c>
      <c r="M439" s="15"/>
      <c r="N439" s="13" t="s">
        <v>561</v>
      </c>
      <c r="O439" s="10" t="str">
        <f>HYPERLINK("https://pbs.twimg.com/profile_images/704308066691383296/rW3e7Ehb_normal.jpg","View")</f>
        <v>View</v>
      </c>
      <c r="P439" s="14"/>
    </row>
    <row r="440">
      <c r="A440" s="7">
        <v>42433.5859375</v>
      </c>
      <c r="B440" s="8" t="str">
        <f>HYPERLINK("https://twitter.com/pastpunditry","@pastpunditry")</f>
        <v>@pastpunditry</v>
      </c>
      <c r="C440" s="9" t="s">
        <v>92</v>
      </c>
      <c r="D440" s="9" t="s">
        <v>562</v>
      </c>
      <c r="E440" s="10" t="str">
        <f>HYPERLINK("https://twitter.com/pastpunditry/status/705846213246132225","705846213246132225")</f>
        <v>705846213246132225</v>
      </c>
      <c r="F440" s="11" t="s">
        <v>77</v>
      </c>
      <c r="G440" s="12">
        <v>890.0</v>
      </c>
      <c r="H440" s="12">
        <v>378.0</v>
      </c>
      <c r="I440" s="12">
        <v>1.0</v>
      </c>
      <c r="J440" s="12">
        <v>1.0</v>
      </c>
      <c r="K440" s="11" t="s">
        <v>21</v>
      </c>
      <c r="L440" s="7">
        <v>40283.384351851855</v>
      </c>
      <c r="M440" s="13" t="s">
        <v>94</v>
      </c>
      <c r="N440" s="13" t="s">
        <v>95</v>
      </c>
      <c r="O440" s="10" t="str">
        <f>HYPERLINK("https://pbs.twimg.com/profile_images/704873222802636800/7aFEMOY5_normal.jpg","View")</f>
        <v>View</v>
      </c>
      <c r="P440" s="14"/>
    </row>
    <row r="441">
      <c r="A441" s="7">
        <v>42433.58616898148</v>
      </c>
      <c r="B441" s="8" t="str">
        <f t="shared" ref="B441:B442" si="111">HYPERLINK("https://twitter.com/samueljredman","@samueljredman")</f>
        <v>@samueljredman</v>
      </c>
      <c r="C441" s="9" t="s">
        <v>158</v>
      </c>
      <c r="D441" s="9" t="s">
        <v>529</v>
      </c>
      <c r="E441" s="10" t="str">
        <f>HYPERLINK("https://twitter.com/samueljredman/status/705846294397460480","705846294397460480")</f>
        <v>705846294397460480</v>
      </c>
      <c r="F441" s="11" t="s">
        <v>26</v>
      </c>
      <c r="G441" s="12">
        <v>5623.0</v>
      </c>
      <c r="H441" s="12">
        <v>5355.0</v>
      </c>
      <c r="I441" s="12">
        <v>2.0</v>
      </c>
      <c r="J441" s="12">
        <v>0.0</v>
      </c>
      <c r="K441" s="11" t="s">
        <v>21</v>
      </c>
      <c r="L441" s="7">
        <v>40584.98517361111</v>
      </c>
      <c r="M441" s="13" t="s">
        <v>160</v>
      </c>
      <c r="N441" s="13" t="s">
        <v>161</v>
      </c>
      <c r="O441" s="10" t="str">
        <f t="shared" ref="O441:O442" si="112">HYPERLINK("https://pbs.twimg.com/profile_images/548193870278688768/8Dq7gW3U_normal.png","View")</f>
        <v>View</v>
      </c>
      <c r="P441" s="14"/>
    </row>
    <row r="442">
      <c r="A442" s="7">
        <v>42433.58625</v>
      </c>
      <c r="B442" s="8" t="str">
        <f t="shared" si="111"/>
        <v>@samueljredman</v>
      </c>
      <c r="C442" s="9" t="s">
        <v>158</v>
      </c>
      <c r="D442" s="9" t="s">
        <v>505</v>
      </c>
      <c r="E442" s="10" t="str">
        <f>HYPERLINK("https://twitter.com/samueljredman/status/705846325816991745","705846325816991745")</f>
        <v>705846325816991745</v>
      </c>
      <c r="F442" s="11" t="s">
        <v>26</v>
      </c>
      <c r="G442" s="12">
        <v>5623.0</v>
      </c>
      <c r="H442" s="12">
        <v>5355.0</v>
      </c>
      <c r="I442" s="12">
        <v>7.0</v>
      </c>
      <c r="J442" s="12">
        <v>0.0</v>
      </c>
      <c r="K442" s="11" t="s">
        <v>21</v>
      </c>
      <c r="L442" s="7">
        <v>40584.98517361111</v>
      </c>
      <c r="M442" s="13" t="s">
        <v>160</v>
      </c>
      <c r="N442" s="13" t="s">
        <v>161</v>
      </c>
      <c r="O442" s="10" t="str">
        <f t="shared" si="112"/>
        <v>View</v>
      </c>
      <c r="P442" s="14"/>
    </row>
    <row r="443">
      <c r="A443" s="7">
        <v>42433.58972222223</v>
      </c>
      <c r="B443" s="8" t="str">
        <f>HYPERLINK("https://twitter.com/musepolsci","@musepolsci")</f>
        <v>@musepolsci</v>
      </c>
      <c r="C443" s="9" t="s">
        <v>563</v>
      </c>
      <c r="D443" s="9" t="s">
        <v>564</v>
      </c>
      <c r="E443" s="10" t="str">
        <f>HYPERLINK("https://twitter.com/musepolsci/status/705847583298576385","705847583298576385")</f>
        <v>705847583298576385</v>
      </c>
      <c r="F443" s="11" t="s">
        <v>26</v>
      </c>
      <c r="G443" s="12">
        <v>278.0</v>
      </c>
      <c r="H443" s="12">
        <v>883.0</v>
      </c>
      <c r="I443" s="12">
        <v>1.0</v>
      </c>
      <c r="J443" s="12">
        <v>0.0</v>
      </c>
      <c r="K443" s="11" t="s">
        <v>21</v>
      </c>
      <c r="L443" s="7">
        <v>42100.29221064815</v>
      </c>
      <c r="M443" s="13" t="s">
        <v>565</v>
      </c>
      <c r="N443" s="13" t="s">
        <v>566</v>
      </c>
      <c r="O443" s="10" t="str">
        <f>HYPERLINK("https://pbs.twimg.com/profile_images/675360673388367872/TCCGiJc1_normal.jpg","View")</f>
        <v>View</v>
      </c>
      <c r="P443" s="14"/>
    </row>
    <row r="444">
      <c r="A444" s="7">
        <v>42433.58993055555</v>
      </c>
      <c r="B444" s="8" t="str">
        <f t="shared" ref="B444:B445" si="113">HYPERLINK("https://twitter.com/jamiaw","@jamiaw")</f>
        <v>@jamiaw</v>
      </c>
      <c r="C444" s="9" t="s">
        <v>324</v>
      </c>
      <c r="D444" s="9" t="s">
        <v>567</v>
      </c>
      <c r="E444" s="10" t="str">
        <f>HYPERLINK("https://twitter.com/jamiaw/status/705847659131740160","705847659131740160")</f>
        <v>705847659131740160</v>
      </c>
      <c r="F444" s="11" t="s">
        <v>77</v>
      </c>
      <c r="G444" s="12">
        <v>11335.0</v>
      </c>
      <c r="H444" s="12">
        <v>7815.0</v>
      </c>
      <c r="I444" s="12">
        <v>1.0</v>
      </c>
      <c r="J444" s="12">
        <v>0.0</v>
      </c>
      <c r="K444" s="11" t="s">
        <v>21</v>
      </c>
      <c r="L444" s="7">
        <v>39642.39741898148</v>
      </c>
      <c r="M444" s="13" t="s">
        <v>325</v>
      </c>
      <c r="N444" s="13" t="s">
        <v>326</v>
      </c>
      <c r="O444" s="10" t="str">
        <f t="shared" ref="O444:O445" si="114">HYPERLINK("https://pbs.twimg.com/profile_images/701102020061753344/5zH70uem_normal.jpg","View")</f>
        <v>View</v>
      </c>
      <c r="P444" s="14"/>
    </row>
    <row r="445">
      <c r="A445" s="7">
        <v>42433.59054398148</v>
      </c>
      <c r="B445" s="8" t="str">
        <f t="shared" si="113"/>
        <v>@jamiaw</v>
      </c>
      <c r="C445" s="9" t="s">
        <v>324</v>
      </c>
      <c r="D445" s="9" t="s">
        <v>559</v>
      </c>
      <c r="E445" s="10" t="str">
        <f>HYPERLINK("https://twitter.com/jamiaw/status/705847881492787200","705847881492787200")</f>
        <v>705847881492787200</v>
      </c>
      <c r="F445" s="11" t="s">
        <v>77</v>
      </c>
      <c r="G445" s="12">
        <v>11335.0</v>
      </c>
      <c r="H445" s="12">
        <v>7815.0</v>
      </c>
      <c r="I445" s="12">
        <v>4.0</v>
      </c>
      <c r="J445" s="12">
        <v>0.0</v>
      </c>
      <c r="K445" s="11" t="s">
        <v>21</v>
      </c>
      <c r="L445" s="7">
        <v>39642.39741898148</v>
      </c>
      <c r="M445" s="13" t="s">
        <v>325</v>
      </c>
      <c r="N445" s="13" t="s">
        <v>326</v>
      </c>
      <c r="O445" s="10" t="str">
        <f t="shared" si="114"/>
        <v>View</v>
      </c>
      <c r="P445" s="14"/>
    </row>
    <row r="446">
      <c r="A446" s="7">
        <v>42433.59054398148</v>
      </c>
      <c r="B446" s="8" t="str">
        <f>HYPERLINK("https://twitter.com/womenactmedia","@womenactmedia")</f>
        <v>@womenactmedia</v>
      </c>
      <c r="C446" s="9" t="s">
        <v>327</v>
      </c>
      <c r="D446" s="9" t="s">
        <v>559</v>
      </c>
      <c r="E446" s="10" t="str">
        <f>HYPERLINK("https://twitter.com/womenactmedia/status/705847881522159616","705847881522159616")</f>
        <v>705847881522159616</v>
      </c>
      <c r="F446" s="11" t="s">
        <v>77</v>
      </c>
      <c r="G446" s="12">
        <v>12621.0</v>
      </c>
      <c r="H446" s="12">
        <v>856.0</v>
      </c>
      <c r="I446" s="12">
        <v>4.0</v>
      </c>
      <c r="J446" s="12">
        <v>0.0</v>
      </c>
      <c r="K446" s="11" t="s">
        <v>21</v>
      </c>
      <c r="L446" s="7">
        <v>39891.48053240741</v>
      </c>
      <c r="M446" s="15"/>
      <c r="N446" s="13" t="s">
        <v>328</v>
      </c>
      <c r="O446" s="10" t="str">
        <f>HYPERLINK("https://pbs.twimg.com/profile_images/646533311/wam_logo_square_normal.jpg","View")</f>
        <v>View</v>
      </c>
      <c r="P446" s="14"/>
    </row>
    <row r="447">
      <c r="A447" s="7">
        <v>42433.590833333335</v>
      </c>
      <c r="B447" s="8" t="str">
        <f>HYPERLINK("https://twitter.com/MBZepedaCortes","@MBZepedaCortes")</f>
        <v>@MBZepedaCortes</v>
      </c>
      <c r="C447" s="9" t="s">
        <v>568</v>
      </c>
      <c r="D447" s="9" t="s">
        <v>97</v>
      </c>
      <c r="E447" s="10" t="str">
        <f>HYPERLINK("https://twitter.com/MBZepedaCortes/status/705847986497175552","705847986497175552")</f>
        <v>705847986497175552</v>
      </c>
      <c r="F447" s="11" t="s">
        <v>26</v>
      </c>
      <c r="G447" s="12">
        <v>699.0</v>
      </c>
      <c r="H447" s="12">
        <v>1702.0</v>
      </c>
      <c r="I447" s="12">
        <v>8.0</v>
      </c>
      <c r="J447" s="12">
        <v>0.0</v>
      </c>
      <c r="K447" s="11" t="s">
        <v>21</v>
      </c>
      <c r="L447" s="7">
        <v>40457.60498842593</v>
      </c>
      <c r="M447" s="13" t="s">
        <v>569</v>
      </c>
      <c r="N447" s="13" t="s">
        <v>570</v>
      </c>
      <c r="O447" s="10" t="str">
        <f>HYPERLINK("https://pbs.twimg.com/profile_images/649599562542379008/gJLeVDR__normal.jpg","View")</f>
        <v>View</v>
      </c>
      <c r="P447" s="14"/>
    </row>
    <row r="448">
      <c r="A448" s="7">
        <v>42433.5928587963</v>
      </c>
      <c r="B448" s="8" t="str">
        <f>HYPERLINK("https://twitter.com/MarlaAtUmass","@MarlaAtUmass")</f>
        <v>@MarlaAtUmass</v>
      </c>
      <c r="C448" s="9" t="s">
        <v>45</v>
      </c>
      <c r="D448" s="9" t="s">
        <v>571</v>
      </c>
      <c r="E448" s="10" t="str">
        <f>HYPERLINK("https://twitter.com/MarlaAtUmass/status/705848720726888449","705848720726888449")</f>
        <v>705848720726888449</v>
      </c>
      <c r="F448" s="11" t="s">
        <v>31</v>
      </c>
      <c r="G448" s="12">
        <v>1993.0</v>
      </c>
      <c r="H448" s="12">
        <v>1647.0</v>
      </c>
      <c r="I448" s="12">
        <v>3.0</v>
      </c>
      <c r="J448" s="12">
        <v>4.0</v>
      </c>
      <c r="K448" s="11" t="s">
        <v>21</v>
      </c>
      <c r="L448" s="7">
        <v>40125.78074074074</v>
      </c>
      <c r="M448" s="15"/>
      <c r="N448" s="13" t="s">
        <v>47</v>
      </c>
      <c r="O448" s="10" t="str">
        <f>HYPERLINK("https://pbs.twimg.com/profile_images/565429960/Betsy_Twitter_normal.jpg","View")</f>
        <v>View</v>
      </c>
      <c r="P448" s="14"/>
    </row>
    <row r="449">
      <c r="A449" s="7">
        <v>42433.59296296297</v>
      </c>
      <c r="B449" s="8" t="str">
        <f>HYPERLINK("https://twitter.com/pastpunditry","@pastpunditry")</f>
        <v>@pastpunditry</v>
      </c>
      <c r="C449" s="9" t="s">
        <v>92</v>
      </c>
      <c r="D449" s="9" t="s">
        <v>572</v>
      </c>
      <c r="E449" s="10" t="str">
        <f>HYPERLINK("https://twitter.com/pastpunditry/status/705848756546183170","705848756546183170")</f>
        <v>705848756546183170</v>
      </c>
      <c r="F449" s="11" t="s">
        <v>77</v>
      </c>
      <c r="G449" s="12">
        <v>890.0</v>
      </c>
      <c r="H449" s="12">
        <v>378.0</v>
      </c>
      <c r="I449" s="12">
        <v>3.0</v>
      </c>
      <c r="J449" s="12">
        <v>0.0</v>
      </c>
      <c r="K449" s="11" t="s">
        <v>21</v>
      </c>
      <c r="L449" s="7">
        <v>40283.384351851855</v>
      </c>
      <c r="M449" s="13" t="s">
        <v>94</v>
      </c>
      <c r="N449" s="13" t="s">
        <v>95</v>
      </c>
      <c r="O449" s="10" t="str">
        <f>HYPERLINK("https://pbs.twimg.com/profile_images/704873222802636800/7aFEMOY5_normal.jpg","View")</f>
        <v>View</v>
      </c>
      <c r="P449" s="14"/>
    </row>
    <row r="450">
      <c r="A450" s="7">
        <v>42433.5933912037</v>
      </c>
      <c r="B450" s="8" t="str">
        <f>HYPERLINK("https://twitter.com/JulieThePH","@JulieThePH")</f>
        <v>@JulieThePH</v>
      </c>
      <c r="C450" s="9" t="s">
        <v>211</v>
      </c>
      <c r="D450" s="9" t="s">
        <v>572</v>
      </c>
      <c r="E450" s="10" t="str">
        <f>HYPERLINK("https://twitter.com/JulieThePH/status/705848912427536386","705848912427536386")</f>
        <v>705848912427536386</v>
      </c>
      <c r="F450" s="11" t="s">
        <v>31</v>
      </c>
      <c r="G450" s="12">
        <v>1234.0</v>
      </c>
      <c r="H450" s="12">
        <v>1386.0</v>
      </c>
      <c r="I450" s="12">
        <v>3.0</v>
      </c>
      <c r="J450" s="12">
        <v>0.0</v>
      </c>
      <c r="K450" s="11" t="s">
        <v>21</v>
      </c>
      <c r="L450" s="7">
        <v>40718.66918981481</v>
      </c>
      <c r="M450" s="13" t="s">
        <v>213</v>
      </c>
      <c r="N450" s="13" t="s">
        <v>214</v>
      </c>
      <c r="O450" s="10" t="str">
        <f>HYPERLINK("https://pbs.twimg.com/profile_images/596509974005686273/AqBblwMR_normal.jpg","View")</f>
        <v>View</v>
      </c>
      <c r="P450" s="14"/>
    </row>
    <row r="451">
      <c r="A451" s="7">
        <v>42433.59371527778</v>
      </c>
      <c r="B451" s="8" t="str">
        <f t="shared" ref="B451:B452" si="115">HYPERLINK("https://twitter.com/pastpunditry","@pastpunditry")</f>
        <v>@pastpunditry</v>
      </c>
      <c r="C451" s="9" t="s">
        <v>92</v>
      </c>
      <c r="D451" s="9" t="s">
        <v>573</v>
      </c>
      <c r="E451" s="10" t="str">
        <f>HYPERLINK("https://twitter.com/pastpunditry/status/705849030547546113","705849030547546113")</f>
        <v>705849030547546113</v>
      </c>
      <c r="F451" s="11" t="s">
        <v>77</v>
      </c>
      <c r="G451" s="12">
        <v>890.0</v>
      </c>
      <c r="H451" s="12">
        <v>378.0</v>
      </c>
      <c r="I451" s="12">
        <v>0.0</v>
      </c>
      <c r="J451" s="12">
        <v>2.0</v>
      </c>
      <c r="K451" s="11" t="s">
        <v>21</v>
      </c>
      <c r="L451" s="7">
        <v>40283.384351851855</v>
      </c>
      <c r="M451" s="13" t="s">
        <v>94</v>
      </c>
      <c r="N451" s="13" t="s">
        <v>95</v>
      </c>
      <c r="O451" s="10" t="str">
        <f t="shared" ref="O451:O452" si="116">HYPERLINK("https://pbs.twimg.com/profile_images/704873222802636800/7aFEMOY5_normal.jpg","View")</f>
        <v>View</v>
      </c>
      <c r="P451" s="14"/>
    </row>
    <row r="452">
      <c r="A452" s="7">
        <v>42433.595</v>
      </c>
      <c r="B452" s="8" t="str">
        <f t="shared" si="115"/>
        <v>@pastpunditry</v>
      </c>
      <c r="C452" s="9" t="s">
        <v>92</v>
      </c>
      <c r="D452" s="9" t="s">
        <v>574</v>
      </c>
      <c r="E452" s="10" t="str">
        <f>HYPERLINK("https://twitter.com/pastpunditry/status/705849495674867712","705849495674867712")</f>
        <v>705849495674867712</v>
      </c>
      <c r="F452" s="11" t="s">
        <v>77</v>
      </c>
      <c r="G452" s="12">
        <v>890.0</v>
      </c>
      <c r="H452" s="12">
        <v>378.0</v>
      </c>
      <c r="I452" s="12">
        <v>0.0</v>
      </c>
      <c r="J452" s="12">
        <v>3.0</v>
      </c>
      <c r="K452" s="11" t="s">
        <v>21</v>
      </c>
      <c r="L452" s="7">
        <v>40283.384351851855</v>
      </c>
      <c r="M452" s="13" t="s">
        <v>94</v>
      </c>
      <c r="N452" s="13" t="s">
        <v>95</v>
      </c>
      <c r="O452" s="10" t="str">
        <f t="shared" si="116"/>
        <v>View</v>
      </c>
      <c r="P452" s="14"/>
    </row>
    <row r="453">
      <c r="A453" s="7">
        <v>42433.595659722225</v>
      </c>
      <c r="B453" s="8" t="str">
        <f>HYPERLINK("https://twitter.com/ColdWarScience","@ColdWarScience")</f>
        <v>@ColdWarScience</v>
      </c>
      <c r="C453" s="9" t="s">
        <v>575</v>
      </c>
      <c r="D453" s="9" t="s">
        <v>572</v>
      </c>
      <c r="E453" s="10" t="str">
        <f>HYPERLINK("https://twitter.com/ColdWarScience/status/705849734393683970","705849734393683970")</f>
        <v>705849734393683970</v>
      </c>
      <c r="F453" s="11" t="s">
        <v>31</v>
      </c>
      <c r="G453" s="12">
        <v>2900.0</v>
      </c>
      <c r="H453" s="12">
        <v>866.0</v>
      </c>
      <c r="I453" s="12">
        <v>3.0</v>
      </c>
      <c r="J453" s="12">
        <v>0.0</v>
      </c>
      <c r="K453" s="11" t="s">
        <v>21</v>
      </c>
      <c r="L453" s="7">
        <v>41223.507881944446</v>
      </c>
      <c r="M453" s="13" t="s">
        <v>35</v>
      </c>
      <c r="N453" s="13" t="s">
        <v>576</v>
      </c>
      <c r="O453" s="10" t="str">
        <f>HYPERLINK("https://pbs.twimg.com/profile_images/472064708774608896/AH_grhCw_normal.jpeg","View")</f>
        <v>View</v>
      </c>
      <c r="P453" s="14"/>
    </row>
    <row r="454">
      <c r="A454" s="7">
        <v>42433.59572916667</v>
      </c>
      <c r="B454" s="8" t="str">
        <f>HYPERLINK("https://twitter.com/pastpunditry","@pastpunditry")</f>
        <v>@pastpunditry</v>
      </c>
      <c r="C454" s="9" t="s">
        <v>92</v>
      </c>
      <c r="D454" s="9" t="s">
        <v>577</v>
      </c>
      <c r="E454" s="10" t="str">
        <f>HYPERLINK("https://twitter.com/pastpunditry/status/705849758104035331","705849758104035331")</f>
        <v>705849758104035331</v>
      </c>
      <c r="F454" s="11" t="s">
        <v>77</v>
      </c>
      <c r="G454" s="12">
        <v>890.0</v>
      </c>
      <c r="H454" s="12">
        <v>378.0</v>
      </c>
      <c r="I454" s="12">
        <v>0.0</v>
      </c>
      <c r="J454" s="12">
        <v>1.0</v>
      </c>
      <c r="K454" s="11" t="s">
        <v>21</v>
      </c>
      <c r="L454" s="7">
        <v>40283.384351851855</v>
      </c>
      <c r="M454" s="13" t="s">
        <v>94</v>
      </c>
      <c r="N454" s="13" t="s">
        <v>95</v>
      </c>
      <c r="O454" s="10" t="str">
        <f>HYPERLINK("https://pbs.twimg.com/profile_images/704873222802636800/7aFEMOY5_normal.jpg","View")</f>
        <v>View</v>
      </c>
      <c r="P454" s="14"/>
    </row>
    <row r="455">
      <c r="A455" s="7">
        <v>42433.5958912037</v>
      </c>
      <c r="B455" s="8" t="str">
        <f t="shared" ref="B455:B456" si="117">HYPERLINK("https://twitter.com/MarlaAtUmass","@MarlaAtUmass")</f>
        <v>@MarlaAtUmass</v>
      </c>
      <c r="C455" s="9" t="s">
        <v>45</v>
      </c>
      <c r="D455" s="9" t="s">
        <v>578</v>
      </c>
      <c r="E455" s="10" t="str">
        <f>HYPERLINK("https://twitter.com/MarlaAtUmass/status/705849820133593088","705849820133593088")</f>
        <v>705849820133593088</v>
      </c>
      <c r="F455" s="11" t="s">
        <v>31</v>
      </c>
      <c r="G455" s="12">
        <v>1993.0</v>
      </c>
      <c r="H455" s="12">
        <v>1647.0</v>
      </c>
      <c r="I455" s="12">
        <v>2.0</v>
      </c>
      <c r="J455" s="12">
        <v>6.0</v>
      </c>
      <c r="K455" s="11" t="s">
        <v>21</v>
      </c>
      <c r="L455" s="7">
        <v>40125.78074074074</v>
      </c>
      <c r="M455" s="15"/>
      <c r="N455" s="13" t="s">
        <v>47</v>
      </c>
      <c r="O455" s="10" t="str">
        <f t="shared" ref="O455:O456" si="118">HYPERLINK("https://pbs.twimg.com/profile_images/565429960/Betsy_Twitter_normal.jpg","View")</f>
        <v>View</v>
      </c>
      <c r="P455" s="14"/>
    </row>
    <row r="456">
      <c r="A456" s="7">
        <v>42433.59688657407</v>
      </c>
      <c r="B456" s="8" t="str">
        <f t="shared" si="117"/>
        <v>@MarlaAtUmass</v>
      </c>
      <c r="C456" s="9" t="s">
        <v>45</v>
      </c>
      <c r="D456" s="9" t="s">
        <v>579</v>
      </c>
      <c r="E456" s="10" t="str">
        <f>HYPERLINK("https://twitter.com/MarlaAtUmass/status/705850179174449152","705850179174449152")</f>
        <v>705850179174449152</v>
      </c>
      <c r="F456" s="11" t="s">
        <v>31</v>
      </c>
      <c r="G456" s="12">
        <v>1993.0</v>
      </c>
      <c r="H456" s="12">
        <v>1647.0</v>
      </c>
      <c r="I456" s="12">
        <v>1.0</v>
      </c>
      <c r="J456" s="12">
        <v>1.0</v>
      </c>
      <c r="K456" s="11" t="s">
        <v>21</v>
      </c>
      <c r="L456" s="7">
        <v>40125.78074074074</v>
      </c>
      <c r="M456" s="15"/>
      <c r="N456" s="13" t="s">
        <v>47</v>
      </c>
      <c r="O456" s="10" t="str">
        <f t="shared" si="118"/>
        <v>View</v>
      </c>
      <c r="P456" s="14"/>
    </row>
    <row r="457">
      <c r="A457" s="7">
        <v>42433.59704861111</v>
      </c>
      <c r="B457" s="8" t="str">
        <f t="shared" ref="B457:B460" si="119">HYPERLINK("https://twitter.com/pastpunditry","@pastpunditry")</f>
        <v>@pastpunditry</v>
      </c>
      <c r="C457" s="9" t="s">
        <v>92</v>
      </c>
      <c r="D457" s="9" t="s">
        <v>580</v>
      </c>
      <c r="E457" s="10" t="str">
        <f>HYPERLINK("https://twitter.com/pastpunditry/status/705850238687436800","705850238687436800")</f>
        <v>705850238687436800</v>
      </c>
      <c r="F457" s="11" t="s">
        <v>77</v>
      </c>
      <c r="G457" s="12">
        <v>890.0</v>
      </c>
      <c r="H457" s="12">
        <v>378.0</v>
      </c>
      <c r="I457" s="12">
        <v>0.0</v>
      </c>
      <c r="J457" s="12">
        <v>1.0</v>
      </c>
      <c r="K457" s="11" t="s">
        <v>21</v>
      </c>
      <c r="L457" s="7">
        <v>40283.384351851855</v>
      </c>
      <c r="M457" s="13" t="s">
        <v>94</v>
      </c>
      <c r="N457" s="13" t="s">
        <v>95</v>
      </c>
      <c r="O457" s="10" t="str">
        <f t="shared" ref="O457:O460" si="120">HYPERLINK("https://pbs.twimg.com/profile_images/704873222802636800/7aFEMOY5_normal.jpg","View")</f>
        <v>View</v>
      </c>
      <c r="P457" s="14"/>
    </row>
    <row r="458">
      <c r="A458" s="7">
        <v>42433.597083333334</v>
      </c>
      <c r="B458" s="8" t="str">
        <f t="shared" si="119"/>
        <v>@pastpunditry</v>
      </c>
      <c r="C458" s="9" t="s">
        <v>92</v>
      </c>
      <c r="D458" s="9" t="s">
        <v>581</v>
      </c>
      <c r="E458" s="10" t="str">
        <f>HYPERLINK("https://twitter.com/pastpunditry/status/705850251706499072","705850251706499072")</f>
        <v>705850251706499072</v>
      </c>
      <c r="F458" s="11" t="s">
        <v>77</v>
      </c>
      <c r="G458" s="12">
        <v>890.0</v>
      </c>
      <c r="H458" s="12">
        <v>378.0</v>
      </c>
      <c r="I458" s="12">
        <v>2.0</v>
      </c>
      <c r="J458" s="12">
        <v>0.0</v>
      </c>
      <c r="K458" s="11" t="s">
        <v>21</v>
      </c>
      <c r="L458" s="7">
        <v>40283.384351851855</v>
      </c>
      <c r="M458" s="13" t="s">
        <v>94</v>
      </c>
      <c r="N458" s="13" t="s">
        <v>95</v>
      </c>
      <c r="O458" s="10" t="str">
        <f t="shared" si="120"/>
        <v>View</v>
      </c>
      <c r="P458" s="14"/>
    </row>
    <row r="459">
      <c r="A459" s="7">
        <v>42433.59711805556</v>
      </c>
      <c r="B459" s="8" t="str">
        <f t="shared" si="119"/>
        <v>@pastpunditry</v>
      </c>
      <c r="C459" s="9" t="s">
        <v>92</v>
      </c>
      <c r="D459" s="9" t="s">
        <v>582</v>
      </c>
      <c r="E459" s="10" t="str">
        <f>HYPERLINK("https://twitter.com/pastpunditry/status/705850264738254850","705850264738254850")</f>
        <v>705850264738254850</v>
      </c>
      <c r="F459" s="11" t="s">
        <v>77</v>
      </c>
      <c r="G459" s="12">
        <v>890.0</v>
      </c>
      <c r="H459" s="12">
        <v>378.0</v>
      </c>
      <c r="I459" s="12">
        <v>1.0</v>
      </c>
      <c r="J459" s="12">
        <v>0.0</v>
      </c>
      <c r="K459" s="11" t="s">
        <v>21</v>
      </c>
      <c r="L459" s="7">
        <v>40283.384351851855</v>
      </c>
      <c r="M459" s="13" t="s">
        <v>94</v>
      </c>
      <c r="N459" s="13" t="s">
        <v>95</v>
      </c>
      <c r="O459" s="10" t="str">
        <f t="shared" si="120"/>
        <v>View</v>
      </c>
      <c r="P459" s="14"/>
    </row>
    <row r="460">
      <c r="A460" s="7">
        <v>42433.597905092596</v>
      </c>
      <c r="B460" s="8" t="str">
        <f t="shared" si="119"/>
        <v>@pastpunditry</v>
      </c>
      <c r="C460" s="9" t="s">
        <v>92</v>
      </c>
      <c r="D460" s="9" t="s">
        <v>583</v>
      </c>
      <c r="E460" s="10" t="str">
        <f>HYPERLINK("https://twitter.com/pastpunditry/status/705850550290612226","705850550290612226")</f>
        <v>705850550290612226</v>
      </c>
      <c r="F460" s="11" t="s">
        <v>77</v>
      </c>
      <c r="G460" s="12">
        <v>890.0</v>
      </c>
      <c r="H460" s="12">
        <v>378.0</v>
      </c>
      <c r="I460" s="12">
        <v>2.0</v>
      </c>
      <c r="J460" s="12">
        <v>1.0</v>
      </c>
      <c r="K460" s="11" t="s">
        <v>21</v>
      </c>
      <c r="L460" s="7">
        <v>40283.384351851855</v>
      </c>
      <c r="M460" s="13" t="s">
        <v>94</v>
      </c>
      <c r="N460" s="13" t="s">
        <v>95</v>
      </c>
      <c r="O460" s="10" t="str">
        <f t="shared" si="120"/>
        <v>View</v>
      </c>
      <c r="P460" s="14"/>
    </row>
    <row r="461">
      <c r="A461" s="7">
        <v>42433.598761574074</v>
      </c>
      <c r="B461" s="8" t="str">
        <f t="shared" ref="B461:B462" si="121">HYPERLINK("https://twitter.com/samueljredman","@samueljredman")</f>
        <v>@samueljredman</v>
      </c>
      <c r="C461" s="9" t="s">
        <v>158</v>
      </c>
      <c r="D461" s="9" t="s">
        <v>581</v>
      </c>
      <c r="E461" s="10" t="str">
        <f>HYPERLINK("https://twitter.com/samueljredman/status/705850860107120640","705850860107120640")</f>
        <v>705850860107120640</v>
      </c>
      <c r="F461" s="11" t="s">
        <v>26</v>
      </c>
      <c r="G461" s="12">
        <v>5623.0</v>
      </c>
      <c r="H461" s="12">
        <v>5355.0</v>
      </c>
      <c r="I461" s="12">
        <v>2.0</v>
      </c>
      <c r="J461" s="12">
        <v>0.0</v>
      </c>
      <c r="K461" s="11" t="s">
        <v>21</v>
      </c>
      <c r="L461" s="7">
        <v>40584.98517361111</v>
      </c>
      <c r="M461" s="13" t="s">
        <v>160</v>
      </c>
      <c r="N461" s="13" t="s">
        <v>161</v>
      </c>
      <c r="O461" s="10" t="str">
        <f t="shared" ref="O461:O462" si="122">HYPERLINK("https://pbs.twimg.com/profile_images/548193870278688768/8Dq7gW3U_normal.png","View")</f>
        <v>View</v>
      </c>
      <c r="P461" s="14"/>
    </row>
    <row r="462">
      <c r="A462" s="7">
        <v>42433.599270833336</v>
      </c>
      <c r="B462" s="8" t="str">
        <f t="shared" si="121"/>
        <v>@samueljredman</v>
      </c>
      <c r="C462" s="9" t="s">
        <v>158</v>
      </c>
      <c r="D462" s="9" t="s">
        <v>584</v>
      </c>
      <c r="E462" s="10" t="str">
        <f>HYPERLINK("https://twitter.com/samueljredman/status/705851044555853828","705851044555853828")</f>
        <v>705851044555853828</v>
      </c>
      <c r="F462" s="11" t="s">
        <v>26</v>
      </c>
      <c r="G462" s="12">
        <v>5623.0</v>
      </c>
      <c r="H462" s="12">
        <v>5355.0</v>
      </c>
      <c r="I462" s="12">
        <v>2.0</v>
      </c>
      <c r="J462" s="12">
        <v>0.0</v>
      </c>
      <c r="K462" s="11" t="s">
        <v>21</v>
      </c>
      <c r="L462" s="7">
        <v>40584.98517361111</v>
      </c>
      <c r="M462" s="13" t="s">
        <v>160</v>
      </c>
      <c r="N462" s="13" t="s">
        <v>161</v>
      </c>
      <c r="O462" s="10" t="str">
        <f t="shared" si="122"/>
        <v>View</v>
      </c>
      <c r="P462" s="14"/>
    </row>
    <row r="463">
      <c r="A463" s="7">
        <v>42433.60071759259</v>
      </c>
      <c r="B463" s="8" t="str">
        <f>HYPERLINK("https://twitter.com/pastpunditry","@pastpunditry")</f>
        <v>@pastpunditry</v>
      </c>
      <c r="C463" s="9" t="s">
        <v>92</v>
      </c>
      <c r="D463" s="9" t="s">
        <v>585</v>
      </c>
      <c r="E463" s="10" t="str">
        <f>HYPERLINK("https://twitter.com/pastpunditry/status/705851568718028800","705851568718028800")</f>
        <v>705851568718028800</v>
      </c>
      <c r="F463" s="11" t="s">
        <v>77</v>
      </c>
      <c r="G463" s="12">
        <v>890.0</v>
      </c>
      <c r="H463" s="12">
        <v>378.0</v>
      </c>
      <c r="I463" s="12">
        <v>0.0</v>
      </c>
      <c r="J463" s="12">
        <v>1.0</v>
      </c>
      <c r="K463" s="11" t="s">
        <v>21</v>
      </c>
      <c r="L463" s="7">
        <v>40283.384351851855</v>
      </c>
      <c r="M463" s="13" t="s">
        <v>94</v>
      </c>
      <c r="N463" s="13" t="s">
        <v>95</v>
      </c>
      <c r="O463" s="10" t="str">
        <f>HYPERLINK("https://pbs.twimg.com/profile_images/704873222802636800/7aFEMOY5_normal.jpg","View")</f>
        <v>View</v>
      </c>
      <c r="P463" s="14"/>
    </row>
    <row r="464">
      <c r="A464" s="7">
        <v>42433.60152777778</v>
      </c>
      <c r="B464" s="8" t="str">
        <f>HYPERLINK("https://twitter.com/samueljredman","@samueljredman")</f>
        <v>@samueljredman</v>
      </c>
      <c r="C464" s="9" t="s">
        <v>158</v>
      </c>
      <c r="D464" s="9" t="s">
        <v>586</v>
      </c>
      <c r="E464" s="10" t="str">
        <f>HYPERLINK("https://twitter.com/samueljredman/status/705851859655909378","705851859655909378")</f>
        <v>705851859655909378</v>
      </c>
      <c r="F464" s="11" t="s">
        <v>26</v>
      </c>
      <c r="G464" s="12">
        <v>5623.0</v>
      </c>
      <c r="H464" s="12">
        <v>5355.0</v>
      </c>
      <c r="I464" s="12">
        <v>3.0</v>
      </c>
      <c r="J464" s="12">
        <v>9.0</v>
      </c>
      <c r="K464" s="11" t="s">
        <v>21</v>
      </c>
      <c r="L464" s="7">
        <v>40584.98517361111</v>
      </c>
      <c r="M464" s="13" t="s">
        <v>160</v>
      </c>
      <c r="N464" s="13" t="s">
        <v>161</v>
      </c>
      <c r="O464" s="10" t="str">
        <f>HYPERLINK("https://pbs.twimg.com/profile_images/548193870278688768/8Dq7gW3U_normal.png","View")</f>
        <v>View</v>
      </c>
      <c r="P464" s="14"/>
    </row>
    <row r="465">
      <c r="A465" s="7">
        <v>42433.60178240741</v>
      </c>
      <c r="B465" s="8" t="str">
        <f t="shared" ref="B465:B469" si="123">HYPERLINK("https://twitter.com/pastpunditry","@pastpunditry")</f>
        <v>@pastpunditry</v>
      </c>
      <c r="C465" s="9" t="s">
        <v>92</v>
      </c>
      <c r="D465" s="9" t="s">
        <v>587</v>
      </c>
      <c r="E465" s="10" t="str">
        <f>HYPERLINK("https://twitter.com/pastpunditry/status/705851951842500610","705851951842500610")</f>
        <v>705851951842500610</v>
      </c>
      <c r="F465" s="11" t="s">
        <v>77</v>
      </c>
      <c r="G465" s="12">
        <v>890.0</v>
      </c>
      <c r="H465" s="12">
        <v>378.0</v>
      </c>
      <c r="I465" s="12">
        <v>3.0</v>
      </c>
      <c r="J465" s="12">
        <v>0.0</v>
      </c>
      <c r="K465" s="11" t="s">
        <v>21</v>
      </c>
      <c r="L465" s="7">
        <v>40283.384351851855</v>
      </c>
      <c r="M465" s="13" t="s">
        <v>94</v>
      </c>
      <c r="N465" s="13" t="s">
        <v>95</v>
      </c>
      <c r="O465" s="10" t="str">
        <f t="shared" ref="O465:O469" si="124">HYPERLINK("https://pbs.twimg.com/profile_images/704873222802636800/7aFEMOY5_normal.jpg","View")</f>
        <v>View</v>
      </c>
      <c r="P465" s="14"/>
    </row>
    <row r="466">
      <c r="A466" s="7">
        <v>42433.60364583333</v>
      </c>
      <c r="B466" s="8" t="str">
        <f t="shared" si="123"/>
        <v>@pastpunditry</v>
      </c>
      <c r="C466" s="9" t="s">
        <v>92</v>
      </c>
      <c r="D466" s="9" t="s">
        <v>588</v>
      </c>
      <c r="E466" s="10" t="str">
        <f>HYPERLINK("https://twitter.com/pastpunditry/status/705852627339382793","705852627339382793")</f>
        <v>705852627339382793</v>
      </c>
      <c r="F466" s="11" t="s">
        <v>77</v>
      </c>
      <c r="G466" s="12">
        <v>890.0</v>
      </c>
      <c r="H466" s="12">
        <v>378.0</v>
      </c>
      <c r="I466" s="12">
        <v>0.0</v>
      </c>
      <c r="J466" s="12">
        <v>1.0</v>
      </c>
      <c r="K466" s="11" t="s">
        <v>21</v>
      </c>
      <c r="L466" s="7">
        <v>40283.384351851855</v>
      </c>
      <c r="M466" s="13" t="s">
        <v>94</v>
      </c>
      <c r="N466" s="13" t="s">
        <v>95</v>
      </c>
      <c r="O466" s="10" t="str">
        <f t="shared" si="124"/>
        <v>View</v>
      </c>
      <c r="P466" s="14"/>
    </row>
    <row r="467">
      <c r="A467" s="7">
        <v>42433.606828703705</v>
      </c>
      <c r="B467" s="8" t="str">
        <f t="shared" si="123"/>
        <v>@pastpunditry</v>
      </c>
      <c r="C467" s="9" t="s">
        <v>92</v>
      </c>
      <c r="D467" s="9" t="s">
        <v>589</v>
      </c>
      <c r="E467" s="10" t="str">
        <f>HYPERLINK("https://twitter.com/pastpunditry/status/705853781792202756","705853781792202756")</f>
        <v>705853781792202756</v>
      </c>
      <c r="F467" s="11" t="s">
        <v>77</v>
      </c>
      <c r="G467" s="12">
        <v>890.0</v>
      </c>
      <c r="H467" s="12">
        <v>378.0</v>
      </c>
      <c r="I467" s="12">
        <v>0.0</v>
      </c>
      <c r="J467" s="12">
        <v>1.0</v>
      </c>
      <c r="K467" s="11" t="s">
        <v>21</v>
      </c>
      <c r="L467" s="7">
        <v>40283.384351851855</v>
      </c>
      <c r="M467" s="13" t="s">
        <v>94</v>
      </c>
      <c r="N467" s="13" t="s">
        <v>95</v>
      </c>
      <c r="O467" s="10" t="str">
        <f t="shared" si="124"/>
        <v>View</v>
      </c>
      <c r="P467" s="14"/>
    </row>
    <row r="468">
      <c r="A468" s="7">
        <v>42433.60726851852</v>
      </c>
      <c r="B468" s="8" t="str">
        <f t="shared" si="123"/>
        <v>@pastpunditry</v>
      </c>
      <c r="C468" s="9" t="s">
        <v>92</v>
      </c>
      <c r="D468" s="9" t="s">
        <v>590</v>
      </c>
      <c r="E468" s="10" t="str">
        <f>HYPERLINK("https://twitter.com/pastpunditry/status/705853942274596864","705853942274596864")</f>
        <v>705853942274596864</v>
      </c>
      <c r="F468" s="11" t="s">
        <v>77</v>
      </c>
      <c r="G468" s="12">
        <v>890.0</v>
      </c>
      <c r="H468" s="12">
        <v>378.0</v>
      </c>
      <c r="I468" s="12">
        <v>0.0</v>
      </c>
      <c r="J468" s="12">
        <v>1.0</v>
      </c>
      <c r="K468" s="11" t="s">
        <v>21</v>
      </c>
      <c r="L468" s="7">
        <v>40283.384351851855</v>
      </c>
      <c r="M468" s="13" t="s">
        <v>94</v>
      </c>
      <c r="N468" s="13" t="s">
        <v>95</v>
      </c>
      <c r="O468" s="10" t="str">
        <f t="shared" si="124"/>
        <v>View</v>
      </c>
      <c r="P468" s="14"/>
    </row>
    <row r="469">
      <c r="A469" s="7">
        <v>42433.60841435185</v>
      </c>
      <c r="B469" s="8" t="str">
        <f t="shared" si="123"/>
        <v>@pastpunditry</v>
      </c>
      <c r="C469" s="9" t="s">
        <v>92</v>
      </c>
      <c r="D469" s="9" t="s">
        <v>591</v>
      </c>
      <c r="E469" s="10" t="str">
        <f>HYPERLINK("https://twitter.com/pastpunditry/status/705854356646699008","705854356646699008")</f>
        <v>705854356646699008</v>
      </c>
      <c r="F469" s="11" t="s">
        <v>77</v>
      </c>
      <c r="G469" s="12">
        <v>890.0</v>
      </c>
      <c r="H469" s="12">
        <v>378.0</v>
      </c>
      <c r="I469" s="12">
        <v>0.0</v>
      </c>
      <c r="J469" s="12">
        <v>1.0</v>
      </c>
      <c r="K469" s="11" t="s">
        <v>21</v>
      </c>
      <c r="L469" s="7">
        <v>40283.384351851855</v>
      </c>
      <c r="M469" s="13" t="s">
        <v>94</v>
      </c>
      <c r="N469" s="13" t="s">
        <v>95</v>
      </c>
      <c r="O469" s="10" t="str">
        <f t="shared" si="124"/>
        <v>View</v>
      </c>
      <c r="P469" s="14"/>
    </row>
    <row r="470">
      <c r="A470" s="7">
        <v>42433.609814814816</v>
      </c>
      <c r="B470" s="8" t="str">
        <f>HYPERLINK("https://twitter.com/umassph","@umassph")</f>
        <v>@umassph</v>
      </c>
      <c r="C470" s="9" t="s">
        <v>121</v>
      </c>
      <c r="D470" s="9" t="s">
        <v>559</v>
      </c>
      <c r="E470" s="10" t="str">
        <f>HYPERLINK("https://twitter.com/umassph/status/705854863557656577","705854863557656577")</f>
        <v>705854863557656577</v>
      </c>
      <c r="F470" s="11" t="s">
        <v>31</v>
      </c>
      <c r="G470" s="12">
        <v>693.0</v>
      </c>
      <c r="H470" s="12">
        <v>242.0</v>
      </c>
      <c r="I470" s="12">
        <v>4.0</v>
      </c>
      <c r="J470" s="12">
        <v>0.0</v>
      </c>
      <c r="K470" s="11" t="s">
        <v>21</v>
      </c>
      <c r="L470" s="7">
        <v>40242.52853009259</v>
      </c>
      <c r="M470" s="13" t="s">
        <v>22</v>
      </c>
      <c r="N470" s="13" t="s">
        <v>123</v>
      </c>
      <c r="O470" s="10" t="str">
        <f>HYPERLINK("https://pbs.twimg.com/profile_images/3583165575/54f0bc87a29b2ae8587193829ce07299_normal.jpeg","View")</f>
        <v>View</v>
      </c>
      <c r="P470" s="14"/>
    </row>
    <row r="471">
      <c r="A471" s="7">
        <v>42433.61013888889</v>
      </c>
      <c r="B471" s="8" t="str">
        <f>HYPERLINK("https://twitter.com/pastpunditry","@pastpunditry")</f>
        <v>@pastpunditry</v>
      </c>
      <c r="C471" s="9" t="s">
        <v>92</v>
      </c>
      <c r="D471" s="9" t="s">
        <v>592</v>
      </c>
      <c r="E471" s="10" t="str">
        <f>HYPERLINK("https://twitter.com/pastpunditry/status/705854983640633345","705854983640633345")</f>
        <v>705854983640633345</v>
      </c>
      <c r="F471" s="11" t="s">
        <v>77</v>
      </c>
      <c r="G471" s="12">
        <v>890.0</v>
      </c>
      <c r="H471" s="12">
        <v>378.0</v>
      </c>
      <c r="I471" s="12">
        <v>0.0</v>
      </c>
      <c r="J471" s="12">
        <v>2.0</v>
      </c>
      <c r="K471" s="11" t="s">
        <v>21</v>
      </c>
      <c r="L471" s="7">
        <v>40283.384351851855</v>
      </c>
      <c r="M471" s="13" t="s">
        <v>94</v>
      </c>
      <c r="N471" s="13" t="s">
        <v>95</v>
      </c>
      <c r="O471" s="10" t="str">
        <f>HYPERLINK("https://pbs.twimg.com/profile_images/704873222802636800/7aFEMOY5_normal.jpg","View")</f>
        <v>View</v>
      </c>
      <c r="P471" s="14"/>
    </row>
    <row r="472">
      <c r="A472" s="7">
        <v>42433.61070601852</v>
      </c>
      <c r="B472" s="8" t="str">
        <f>HYPERLINK("https://twitter.com/JimGrossmanAHA","@JimGrossmanAHA")</f>
        <v>@JimGrossmanAHA</v>
      </c>
      <c r="C472" s="9" t="s">
        <v>278</v>
      </c>
      <c r="D472" s="9" t="s">
        <v>593</v>
      </c>
      <c r="E472" s="10" t="str">
        <f>HYPERLINK("https://twitter.com/JimGrossmanAHA/status/705855186103836672","705855186103836672")</f>
        <v>705855186103836672</v>
      </c>
      <c r="F472" s="11" t="s">
        <v>31</v>
      </c>
      <c r="G472" s="12">
        <v>2241.0</v>
      </c>
      <c r="H472" s="12">
        <v>368.0</v>
      </c>
      <c r="I472" s="12">
        <v>5.0</v>
      </c>
      <c r="J472" s="12">
        <v>5.0</v>
      </c>
      <c r="K472" s="11" t="s">
        <v>21</v>
      </c>
      <c r="L472" s="7">
        <v>41576.36603009259</v>
      </c>
      <c r="M472" s="13" t="s">
        <v>279</v>
      </c>
      <c r="N472" s="13" t="s">
        <v>280</v>
      </c>
      <c r="O472" s="10" t="str">
        <f>HYPERLINK("https://pbs.twimg.com/profile_images/378800000667891782/44d7b181c077bf16ab07b242f7ad81b9_normal.png","View")</f>
        <v>View</v>
      </c>
      <c r="P472" s="14"/>
    </row>
    <row r="473">
      <c r="A473" s="7">
        <v>42433.61077546296</v>
      </c>
      <c r="B473" s="8" t="str">
        <f t="shared" ref="B473:B474" si="125">HYPERLINK("https://twitter.com/pastpunditry","@pastpunditry")</f>
        <v>@pastpunditry</v>
      </c>
      <c r="C473" s="9" t="s">
        <v>92</v>
      </c>
      <c r="D473" s="9" t="s">
        <v>594</v>
      </c>
      <c r="E473" s="10" t="str">
        <f>HYPERLINK("https://twitter.com/pastpunditry/status/705855214532874240","705855214532874240")</f>
        <v>705855214532874240</v>
      </c>
      <c r="F473" s="11" t="s">
        <v>77</v>
      </c>
      <c r="G473" s="12">
        <v>890.0</v>
      </c>
      <c r="H473" s="12">
        <v>378.0</v>
      </c>
      <c r="I473" s="12">
        <v>5.0</v>
      </c>
      <c r="J473" s="12">
        <v>0.0</v>
      </c>
      <c r="K473" s="11" t="s">
        <v>21</v>
      </c>
      <c r="L473" s="7">
        <v>40283.384351851855</v>
      </c>
      <c r="M473" s="13" t="s">
        <v>94</v>
      </c>
      <c r="N473" s="13" t="s">
        <v>95</v>
      </c>
      <c r="O473" s="10" t="str">
        <f t="shared" ref="O473:O474" si="126">HYPERLINK("https://pbs.twimg.com/profile_images/704873222802636800/7aFEMOY5_normal.jpg","View")</f>
        <v>View</v>
      </c>
      <c r="P473" s="14"/>
    </row>
    <row r="474">
      <c r="A474" s="7">
        <v>42433.6125</v>
      </c>
      <c r="B474" s="8" t="str">
        <f t="shared" si="125"/>
        <v>@pastpunditry</v>
      </c>
      <c r="C474" s="9" t="s">
        <v>92</v>
      </c>
      <c r="D474" s="9" t="s">
        <v>595</v>
      </c>
      <c r="E474" s="10" t="str">
        <f>HYPERLINK("https://twitter.com/pastpunditry/status/705855838120976384","705855838120976384")</f>
        <v>705855838120976384</v>
      </c>
      <c r="F474" s="11" t="s">
        <v>77</v>
      </c>
      <c r="G474" s="12">
        <v>890.0</v>
      </c>
      <c r="H474" s="12">
        <v>378.0</v>
      </c>
      <c r="I474" s="12">
        <v>0.0</v>
      </c>
      <c r="J474" s="12">
        <v>3.0</v>
      </c>
      <c r="K474" s="11" t="s">
        <v>21</v>
      </c>
      <c r="L474" s="7">
        <v>40283.384351851855</v>
      </c>
      <c r="M474" s="13" t="s">
        <v>94</v>
      </c>
      <c r="N474" s="13" t="s">
        <v>95</v>
      </c>
      <c r="O474" s="10" t="str">
        <f t="shared" si="126"/>
        <v>View</v>
      </c>
      <c r="P474" s="14"/>
    </row>
    <row r="475">
      <c r="A475" s="7">
        <v>42433.61708333333</v>
      </c>
      <c r="B475" s="8" t="str">
        <f>HYPERLINK("https://twitter.com/MarlaAtUmass","@MarlaAtUmass")</f>
        <v>@MarlaAtUmass</v>
      </c>
      <c r="C475" s="9" t="s">
        <v>45</v>
      </c>
      <c r="D475" s="9" t="s">
        <v>596</v>
      </c>
      <c r="E475" s="10" t="str">
        <f>HYPERLINK("https://twitter.com/MarlaAtUmass/status/705857496657891329","705857496657891329")</f>
        <v>705857496657891329</v>
      </c>
      <c r="F475" s="11" t="s">
        <v>453</v>
      </c>
      <c r="G475" s="12">
        <v>1993.0</v>
      </c>
      <c r="H475" s="12">
        <v>1647.0</v>
      </c>
      <c r="I475" s="12">
        <v>2.0</v>
      </c>
      <c r="J475" s="12">
        <v>3.0</v>
      </c>
      <c r="K475" s="11" t="s">
        <v>21</v>
      </c>
      <c r="L475" s="7">
        <v>40125.78074074074</v>
      </c>
      <c r="M475" s="15"/>
      <c r="N475" s="13" t="s">
        <v>47</v>
      </c>
      <c r="O475" s="10" t="str">
        <f>HYPERLINK("https://pbs.twimg.com/profile_images/565429960/Betsy_Twitter_normal.jpg","View")</f>
        <v>View</v>
      </c>
      <c r="P475" s="14"/>
    </row>
    <row r="476">
      <c r="A476" s="7">
        <v>42433.61722222222</v>
      </c>
      <c r="B476" s="8" t="str">
        <f>HYPERLINK("https://twitter.com/pastpunditry","@pastpunditry")</f>
        <v>@pastpunditry</v>
      </c>
      <c r="C476" s="9" t="s">
        <v>92</v>
      </c>
      <c r="D476" s="9" t="s">
        <v>597</v>
      </c>
      <c r="E476" s="10" t="str">
        <f>HYPERLINK("https://twitter.com/pastpunditry/status/705857546788204544","705857546788204544")</f>
        <v>705857546788204544</v>
      </c>
      <c r="F476" s="11" t="s">
        <v>77</v>
      </c>
      <c r="G476" s="12">
        <v>890.0</v>
      </c>
      <c r="H476" s="12">
        <v>378.0</v>
      </c>
      <c r="I476" s="12">
        <v>2.0</v>
      </c>
      <c r="J476" s="12">
        <v>0.0</v>
      </c>
      <c r="K476" s="11" t="s">
        <v>21</v>
      </c>
      <c r="L476" s="7">
        <v>40283.384351851855</v>
      </c>
      <c r="M476" s="13" t="s">
        <v>94</v>
      </c>
      <c r="N476" s="13" t="s">
        <v>95</v>
      </c>
      <c r="O476" s="10" t="str">
        <f>HYPERLINK("https://pbs.twimg.com/profile_images/704873222802636800/7aFEMOY5_normal.jpg","View")</f>
        <v>View</v>
      </c>
      <c r="P476" s="14"/>
    </row>
    <row r="477">
      <c r="A477" s="7">
        <v>42433.61741898148</v>
      </c>
      <c r="B477" s="8" t="str">
        <f>HYPERLINK("https://twitter.com/AASLH","@AASLH")</f>
        <v>@AASLH</v>
      </c>
      <c r="C477" s="9" t="s">
        <v>598</v>
      </c>
      <c r="D477" s="9" t="s">
        <v>482</v>
      </c>
      <c r="E477" s="10" t="str">
        <f>HYPERLINK("https://twitter.com/AASLH/status/705857621711056896","705857621711056896")</f>
        <v>705857621711056896</v>
      </c>
      <c r="F477" s="11" t="s">
        <v>31</v>
      </c>
      <c r="G477" s="12">
        <v>6527.0</v>
      </c>
      <c r="H477" s="12">
        <v>525.0</v>
      </c>
      <c r="I477" s="12">
        <v>13.0</v>
      </c>
      <c r="J477" s="12">
        <v>0.0</v>
      </c>
      <c r="K477" s="11" t="s">
        <v>21</v>
      </c>
      <c r="L477" s="7">
        <v>40002.65280092593</v>
      </c>
      <c r="M477" s="13" t="s">
        <v>599</v>
      </c>
      <c r="N477" s="13" t="s">
        <v>600</v>
      </c>
      <c r="O477" s="10" t="str">
        <f>HYPERLINK("https://pbs.twimg.com/profile_images/659102903383126016/uoCjinY4_normal.jpg","View")</f>
        <v>View</v>
      </c>
      <c r="P477" s="14"/>
    </row>
    <row r="478">
      <c r="A478" s="7">
        <v>42433.61777777778</v>
      </c>
      <c r="B478" s="8" t="str">
        <f>HYPERLINK("https://twitter.com/umassph","@umassph")</f>
        <v>@umassph</v>
      </c>
      <c r="C478" s="9" t="s">
        <v>121</v>
      </c>
      <c r="D478" s="9" t="s">
        <v>594</v>
      </c>
      <c r="E478" s="10" t="str">
        <f>HYPERLINK("https://twitter.com/umassph/status/705857749847056386","705857749847056386")</f>
        <v>705857749847056386</v>
      </c>
      <c r="F478" s="11" t="s">
        <v>31</v>
      </c>
      <c r="G478" s="12">
        <v>693.0</v>
      </c>
      <c r="H478" s="12">
        <v>242.0</v>
      </c>
      <c r="I478" s="12">
        <v>5.0</v>
      </c>
      <c r="J478" s="12">
        <v>0.0</v>
      </c>
      <c r="K478" s="11" t="s">
        <v>21</v>
      </c>
      <c r="L478" s="7">
        <v>40242.52853009259</v>
      </c>
      <c r="M478" s="13" t="s">
        <v>22</v>
      </c>
      <c r="N478" s="13" t="s">
        <v>123</v>
      </c>
      <c r="O478" s="10" t="str">
        <f>HYPERLINK("https://pbs.twimg.com/profile_images/3583165575/54f0bc87a29b2ae8587193829ce07299_normal.jpeg","View")</f>
        <v>View</v>
      </c>
      <c r="P478" s="14"/>
    </row>
    <row r="479">
      <c r="A479" s="7">
        <v>42433.61888888889</v>
      </c>
      <c r="B479" s="8" t="str">
        <f>HYPERLINK("https://twitter.com/pastpunditry","@pastpunditry")</f>
        <v>@pastpunditry</v>
      </c>
      <c r="C479" s="9" t="s">
        <v>92</v>
      </c>
      <c r="D479" s="9" t="s">
        <v>601</v>
      </c>
      <c r="E479" s="10" t="str">
        <f>HYPERLINK("https://twitter.com/pastpunditry/status/705858151858511879","705858151858511879")</f>
        <v>705858151858511879</v>
      </c>
      <c r="F479" s="11" t="s">
        <v>77</v>
      </c>
      <c r="G479" s="12">
        <v>890.0</v>
      </c>
      <c r="H479" s="12">
        <v>378.0</v>
      </c>
      <c r="I479" s="12">
        <v>1.0</v>
      </c>
      <c r="J479" s="12">
        <v>3.0</v>
      </c>
      <c r="K479" s="11" t="s">
        <v>21</v>
      </c>
      <c r="L479" s="7">
        <v>40283.384351851855</v>
      </c>
      <c r="M479" s="13" t="s">
        <v>94</v>
      </c>
      <c r="N479" s="13" t="s">
        <v>95</v>
      </c>
      <c r="O479" s="10" t="str">
        <f>HYPERLINK("https://pbs.twimg.com/profile_images/704873222802636800/7aFEMOY5_normal.jpg","View")</f>
        <v>View</v>
      </c>
      <c r="P479" s="14"/>
    </row>
    <row r="480">
      <c r="A480" s="7">
        <v>42433.61960648149</v>
      </c>
      <c r="B480" s="8" t="str">
        <f>HYPERLINK("https://twitter.com/MarlaAtUmass","@MarlaAtUmass")</f>
        <v>@MarlaAtUmass</v>
      </c>
      <c r="C480" s="9" t="s">
        <v>45</v>
      </c>
      <c r="D480" s="9" t="s">
        <v>602</v>
      </c>
      <c r="E480" s="10" t="str">
        <f>HYPERLINK("https://twitter.com/MarlaAtUmass/status/705858414166065154","705858414166065154")</f>
        <v>705858414166065154</v>
      </c>
      <c r="F480" s="11" t="s">
        <v>453</v>
      </c>
      <c r="G480" s="12">
        <v>1993.0</v>
      </c>
      <c r="H480" s="12">
        <v>1647.0</v>
      </c>
      <c r="I480" s="12">
        <v>4.0</v>
      </c>
      <c r="J480" s="12">
        <v>4.0</v>
      </c>
      <c r="K480" s="11" t="s">
        <v>21</v>
      </c>
      <c r="L480" s="7">
        <v>40125.78074074074</v>
      </c>
      <c r="M480" s="15"/>
      <c r="N480" s="13" t="s">
        <v>47</v>
      </c>
      <c r="O480" s="10" t="str">
        <f>HYPERLINK("https://pbs.twimg.com/profile_images/565429960/Betsy_Twitter_normal.jpg","View")</f>
        <v>View</v>
      </c>
      <c r="P480" s="14"/>
    </row>
    <row r="481">
      <c r="A481" s="7">
        <v>42433.619675925926</v>
      </c>
      <c r="B481" s="8" t="str">
        <f>HYPERLINK("https://twitter.com/pastpunditry","@pastpunditry")</f>
        <v>@pastpunditry</v>
      </c>
      <c r="C481" s="9" t="s">
        <v>92</v>
      </c>
      <c r="D481" s="9" t="s">
        <v>603</v>
      </c>
      <c r="E481" s="10" t="str">
        <f>HYPERLINK("https://twitter.com/pastpunditry/status/705858438149095424","705858438149095424")</f>
        <v>705858438149095424</v>
      </c>
      <c r="F481" s="11" t="s">
        <v>77</v>
      </c>
      <c r="G481" s="12">
        <v>890.0</v>
      </c>
      <c r="H481" s="12">
        <v>378.0</v>
      </c>
      <c r="I481" s="12">
        <v>4.0</v>
      </c>
      <c r="J481" s="12">
        <v>0.0</v>
      </c>
      <c r="K481" s="11" t="s">
        <v>21</v>
      </c>
      <c r="L481" s="7">
        <v>40283.384351851855</v>
      </c>
      <c r="M481" s="13" t="s">
        <v>94</v>
      </c>
      <c r="N481" s="13" t="s">
        <v>95</v>
      </c>
      <c r="O481" s="10" t="str">
        <f>HYPERLINK("https://pbs.twimg.com/profile_images/704873222802636800/7aFEMOY5_normal.jpg","View")</f>
        <v>View</v>
      </c>
      <c r="P481" s="14"/>
    </row>
    <row r="482">
      <c r="A482" s="7">
        <v>42433.62130787037</v>
      </c>
      <c r="B482" s="8" t="str">
        <f>HYPERLINK("https://twitter.com/mille24c","@mille24c")</f>
        <v>@mille24c</v>
      </c>
      <c r="C482" s="9" t="s">
        <v>115</v>
      </c>
      <c r="D482" s="9" t="s">
        <v>587</v>
      </c>
      <c r="E482" s="10" t="str">
        <f>HYPERLINK("https://twitter.com/mille24c/status/705859028606394370","705859028606394370")</f>
        <v>705859028606394370</v>
      </c>
      <c r="F482" s="11" t="s">
        <v>31</v>
      </c>
      <c r="G482" s="12">
        <v>208.0</v>
      </c>
      <c r="H482" s="12">
        <v>297.0</v>
      </c>
      <c r="I482" s="12">
        <v>3.0</v>
      </c>
      <c r="J482" s="12">
        <v>0.0</v>
      </c>
      <c r="K482" s="11" t="s">
        <v>21</v>
      </c>
      <c r="L482" s="7">
        <v>39864.79206018519</v>
      </c>
      <c r="M482" s="13" t="s">
        <v>22</v>
      </c>
      <c r="N482" s="13" t="s">
        <v>117</v>
      </c>
      <c r="O482" s="10" t="str">
        <f>HYPERLINK("https://pbs.twimg.com/profile_images/676362182020481024/P0kyLli1_normal.jpg","View")</f>
        <v>View</v>
      </c>
      <c r="P482" s="14"/>
    </row>
    <row r="483">
      <c r="A483" s="7">
        <v>42433.62293981481</v>
      </c>
      <c r="B483" s="8" t="str">
        <f t="shared" ref="B483:B484" si="127">HYPERLINK("https://twitter.com/JulieThePH","@JulieThePH")</f>
        <v>@JulieThePH</v>
      </c>
      <c r="C483" s="9" t="s">
        <v>211</v>
      </c>
      <c r="D483" s="9" t="s">
        <v>597</v>
      </c>
      <c r="E483" s="10" t="str">
        <f>HYPERLINK("https://twitter.com/JulieThePH/status/705859622352113665","705859622352113665")</f>
        <v>705859622352113665</v>
      </c>
      <c r="F483" s="11" t="s">
        <v>31</v>
      </c>
      <c r="G483" s="12">
        <v>1234.0</v>
      </c>
      <c r="H483" s="12">
        <v>1386.0</v>
      </c>
      <c r="I483" s="12">
        <v>2.0</v>
      </c>
      <c r="J483" s="12">
        <v>0.0</v>
      </c>
      <c r="K483" s="11" t="s">
        <v>21</v>
      </c>
      <c r="L483" s="7">
        <v>40718.66918981481</v>
      </c>
      <c r="M483" s="13" t="s">
        <v>213</v>
      </c>
      <c r="N483" s="13" t="s">
        <v>214</v>
      </c>
      <c r="O483" s="10" t="str">
        <f t="shared" ref="O483:O484" si="128">HYPERLINK("https://pbs.twimg.com/profile_images/596509974005686273/AqBblwMR_normal.jpg","View")</f>
        <v>View</v>
      </c>
      <c r="P483" s="14"/>
    </row>
    <row r="484">
      <c r="A484" s="7">
        <v>42433.623090277775</v>
      </c>
      <c r="B484" s="8" t="str">
        <f t="shared" si="127"/>
        <v>@JulieThePH</v>
      </c>
      <c r="C484" s="9" t="s">
        <v>211</v>
      </c>
      <c r="D484" s="9" t="s">
        <v>604</v>
      </c>
      <c r="E484" s="10" t="str">
        <f>HYPERLINK("https://twitter.com/JulieThePH/status/705859677062602752","705859677062602752")</f>
        <v>705859677062602752</v>
      </c>
      <c r="F484" s="11" t="s">
        <v>31</v>
      </c>
      <c r="G484" s="12">
        <v>1234.0</v>
      </c>
      <c r="H484" s="12">
        <v>1386.0</v>
      </c>
      <c r="I484" s="12">
        <v>1.0</v>
      </c>
      <c r="J484" s="12">
        <v>0.0</v>
      </c>
      <c r="K484" s="11" t="s">
        <v>21</v>
      </c>
      <c r="L484" s="7">
        <v>40718.66918981481</v>
      </c>
      <c r="M484" s="13" t="s">
        <v>213</v>
      </c>
      <c r="N484" s="13" t="s">
        <v>214</v>
      </c>
      <c r="O484" s="10" t="str">
        <f t="shared" si="128"/>
        <v>View</v>
      </c>
      <c r="P484" s="14"/>
    </row>
    <row r="485">
      <c r="A485" s="7">
        <v>42433.62342592592</v>
      </c>
      <c r="B485" s="8" t="str">
        <f>HYPERLINK("https://twitter.com/TaylorCBye","@TaylorCBye")</f>
        <v>@TaylorCBye</v>
      </c>
      <c r="C485" s="9" t="s">
        <v>605</v>
      </c>
      <c r="D485" s="9" t="s">
        <v>482</v>
      </c>
      <c r="E485" s="10" t="str">
        <f>HYPERLINK("https://twitter.com/TaylorCBye/status/705859797657198598","705859797657198598")</f>
        <v>705859797657198598</v>
      </c>
      <c r="F485" s="11" t="s">
        <v>26</v>
      </c>
      <c r="G485" s="12">
        <v>15.0</v>
      </c>
      <c r="H485" s="12">
        <v>84.0</v>
      </c>
      <c r="I485" s="12">
        <v>13.0</v>
      </c>
      <c r="J485" s="12">
        <v>0.0</v>
      </c>
      <c r="K485" s="11" t="s">
        <v>21</v>
      </c>
      <c r="L485" s="7">
        <v>40985.56704861111</v>
      </c>
      <c r="M485" s="15"/>
      <c r="N485" s="15"/>
      <c r="O485" s="10" t="str">
        <f>HYPERLINK("https://pbs.twimg.com/profile_images/573663409763414016/W0JncYqV_normal.jpeg","View")</f>
        <v>View</v>
      </c>
      <c r="P485" s="14"/>
    </row>
    <row r="486">
      <c r="A486" s="7">
        <v>42433.62365740741</v>
      </c>
      <c r="B486" s="8" t="str">
        <f>HYPERLINK("https://twitter.com/pastpunditry","@pastpunditry")</f>
        <v>@pastpunditry</v>
      </c>
      <c r="C486" s="9" t="s">
        <v>92</v>
      </c>
      <c r="D486" s="9" t="s">
        <v>606</v>
      </c>
      <c r="E486" s="10" t="str">
        <f>HYPERLINK("https://twitter.com/pastpunditry/status/705859880243093504","705859880243093504")</f>
        <v>705859880243093504</v>
      </c>
      <c r="F486" s="11" t="s">
        <v>77</v>
      </c>
      <c r="G486" s="12">
        <v>890.0</v>
      </c>
      <c r="H486" s="12">
        <v>378.0</v>
      </c>
      <c r="I486" s="12">
        <v>0.0</v>
      </c>
      <c r="J486" s="12">
        <v>1.0</v>
      </c>
      <c r="K486" s="11" t="s">
        <v>21</v>
      </c>
      <c r="L486" s="7">
        <v>40283.384351851855</v>
      </c>
      <c r="M486" s="13" t="s">
        <v>94</v>
      </c>
      <c r="N486" s="13" t="s">
        <v>95</v>
      </c>
      <c r="O486" s="10" t="str">
        <f>HYPERLINK("https://pbs.twimg.com/profile_images/704873222802636800/7aFEMOY5_normal.jpg","View")</f>
        <v>View</v>
      </c>
      <c r="P486" s="14"/>
    </row>
    <row r="487">
      <c r="A487" s="7">
        <v>42433.62414351852</v>
      </c>
      <c r="B487" s="8" t="str">
        <f>HYPERLINK("https://twitter.com/juliegpeterson","@juliegpeterson")</f>
        <v>@juliegpeterson</v>
      </c>
      <c r="C487" s="9" t="s">
        <v>24</v>
      </c>
      <c r="D487" s="9" t="s">
        <v>339</v>
      </c>
      <c r="E487" s="10" t="str">
        <f>HYPERLINK("https://twitter.com/juliegpeterson/status/705860058559725568","705860058559725568")</f>
        <v>705860058559725568</v>
      </c>
      <c r="F487" s="11" t="s">
        <v>26</v>
      </c>
      <c r="G487" s="12">
        <v>239.0</v>
      </c>
      <c r="H487" s="12">
        <v>775.0</v>
      </c>
      <c r="I487" s="12">
        <v>6.0</v>
      </c>
      <c r="J487" s="12">
        <v>0.0</v>
      </c>
      <c r="K487" s="11" t="s">
        <v>21</v>
      </c>
      <c r="L487" s="7">
        <v>41208.65523148148</v>
      </c>
      <c r="M487" s="13" t="s">
        <v>22</v>
      </c>
      <c r="N487" s="13" t="s">
        <v>27</v>
      </c>
      <c r="O487" s="10" t="str">
        <f>HYPERLINK("https://pbs.twimg.com/profile_images/609765839051452416/GNW0wSt0_normal.jpg","View")</f>
        <v>View</v>
      </c>
      <c r="P487" s="14"/>
    </row>
    <row r="488">
      <c r="A488" s="7">
        <v>42433.624178240745</v>
      </c>
      <c r="B488" s="8" t="str">
        <f>HYPERLINK("https://twitter.com/pastpunditry","@pastpunditry")</f>
        <v>@pastpunditry</v>
      </c>
      <c r="C488" s="9" t="s">
        <v>92</v>
      </c>
      <c r="D488" s="9" t="s">
        <v>607</v>
      </c>
      <c r="E488" s="10" t="str">
        <f>HYPERLINK("https://twitter.com/pastpunditry/status/705860069024518144","705860069024518144")</f>
        <v>705860069024518144</v>
      </c>
      <c r="F488" s="11" t="s">
        <v>77</v>
      </c>
      <c r="G488" s="12">
        <v>890.0</v>
      </c>
      <c r="H488" s="12">
        <v>378.0</v>
      </c>
      <c r="I488" s="12">
        <v>0.0</v>
      </c>
      <c r="J488" s="12">
        <v>1.0</v>
      </c>
      <c r="K488" s="11" t="s">
        <v>21</v>
      </c>
      <c r="L488" s="7">
        <v>40283.384351851855</v>
      </c>
      <c r="M488" s="13" t="s">
        <v>94</v>
      </c>
      <c r="N488" s="13" t="s">
        <v>95</v>
      </c>
      <c r="O488" s="10" t="str">
        <f>HYPERLINK("https://pbs.twimg.com/profile_images/704873222802636800/7aFEMOY5_normal.jpg","View")</f>
        <v>View</v>
      </c>
      <c r="P488" s="14"/>
    </row>
    <row r="489">
      <c r="A489" s="7">
        <v>42433.62425925926</v>
      </c>
      <c r="B489" s="8" t="str">
        <f>HYPERLINK("https://twitter.com/juliegpeterson","@juliegpeterson")</f>
        <v>@juliegpeterson</v>
      </c>
      <c r="C489" s="9" t="s">
        <v>24</v>
      </c>
      <c r="D489" s="9" t="s">
        <v>487</v>
      </c>
      <c r="E489" s="10" t="str">
        <f>HYPERLINK("https://twitter.com/juliegpeterson/status/705860100762816512","705860100762816512")</f>
        <v>705860100762816512</v>
      </c>
      <c r="F489" s="11" t="s">
        <v>26</v>
      </c>
      <c r="G489" s="12">
        <v>239.0</v>
      </c>
      <c r="H489" s="12">
        <v>775.0</v>
      </c>
      <c r="I489" s="12">
        <v>3.0</v>
      </c>
      <c r="J489" s="12">
        <v>0.0</v>
      </c>
      <c r="K489" s="11" t="s">
        <v>21</v>
      </c>
      <c r="L489" s="7">
        <v>41208.65523148148</v>
      </c>
      <c r="M489" s="13" t="s">
        <v>22</v>
      </c>
      <c r="N489" s="13" t="s">
        <v>27</v>
      </c>
      <c r="O489" s="10" t="str">
        <f>HYPERLINK("https://pbs.twimg.com/profile_images/609765839051452416/GNW0wSt0_normal.jpg","View")</f>
        <v>View</v>
      </c>
      <c r="P489" s="14"/>
    </row>
    <row r="490">
      <c r="A490" s="7">
        <v>42433.62488425926</v>
      </c>
      <c r="B490" s="8" t="str">
        <f>HYPERLINK("https://twitter.com/MarlaAtUmass","@MarlaAtUmass")</f>
        <v>@MarlaAtUmass</v>
      </c>
      <c r="C490" s="9" t="s">
        <v>45</v>
      </c>
      <c r="D490" s="9" t="s">
        <v>608</v>
      </c>
      <c r="E490" s="10" t="str">
        <f>HYPERLINK("https://twitter.com/MarlaAtUmass/status/705860327049732096","705860327049732096")</f>
        <v>705860327049732096</v>
      </c>
      <c r="F490" s="11" t="s">
        <v>31</v>
      </c>
      <c r="G490" s="12">
        <v>1993.0</v>
      </c>
      <c r="H490" s="12">
        <v>1647.0</v>
      </c>
      <c r="I490" s="12">
        <v>1.0</v>
      </c>
      <c r="J490" s="12">
        <v>1.0</v>
      </c>
      <c r="K490" s="11" t="s">
        <v>21</v>
      </c>
      <c r="L490" s="7">
        <v>40125.78074074074</v>
      </c>
      <c r="M490" s="15"/>
      <c r="N490" s="13" t="s">
        <v>47</v>
      </c>
      <c r="O490" s="10" t="str">
        <f>HYPERLINK("https://pbs.twimg.com/profile_images/565429960/Betsy_Twitter_normal.jpg","View")</f>
        <v>View</v>
      </c>
      <c r="P490" s="14"/>
    </row>
    <row r="491">
      <c r="A491" s="7">
        <v>42433.626018518524</v>
      </c>
      <c r="B491" s="8" t="str">
        <f t="shared" ref="B491:B492" si="129">HYPERLINK("https://twitter.com/pastpunditry","@pastpunditry")</f>
        <v>@pastpunditry</v>
      </c>
      <c r="C491" s="9" t="s">
        <v>92</v>
      </c>
      <c r="D491" s="9" t="s">
        <v>609</v>
      </c>
      <c r="E491" s="10" t="str">
        <f>HYPERLINK("https://twitter.com/pastpunditry/status/705860738129248256","705860738129248256")</f>
        <v>705860738129248256</v>
      </c>
      <c r="F491" s="11" t="s">
        <v>77</v>
      </c>
      <c r="G491" s="12">
        <v>890.0</v>
      </c>
      <c r="H491" s="12">
        <v>378.0</v>
      </c>
      <c r="I491" s="12">
        <v>3.0</v>
      </c>
      <c r="J491" s="12">
        <v>4.0</v>
      </c>
      <c r="K491" s="11" t="s">
        <v>21</v>
      </c>
      <c r="L491" s="7">
        <v>40283.384351851855</v>
      </c>
      <c r="M491" s="13" t="s">
        <v>94</v>
      </c>
      <c r="N491" s="13" t="s">
        <v>95</v>
      </c>
      <c r="O491" s="10" t="str">
        <f t="shared" ref="O491:O492" si="130">HYPERLINK("https://pbs.twimg.com/profile_images/704873222802636800/7aFEMOY5_normal.jpg","View")</f>
        <v>View</v>
      </c>
      <c r="P491" s="14"/>
    </row>
    <row r="492">
      <c r="A492" s="7">
        <v>42433.626076388886</v>
      </c>
      <c r="B492" s="8" t="str">
        <f t="shared" si="129"/>
        <v>@pastpunditry</v>
      </c>
      <c r="C492" s="9" t="s">
        <v>92</v>
      </c>
      <c r="D492" s="9" t="s">
        <v>610</v>
      </c>
      <c r="E492" s="10" t="str">
        <f>HYPERLINK("https://twitter.com/pastpunditry/status/705860759423750144","705860759423750144")</f>
        <v>705860759423750144</v>
      </c>
      <c r="F492" s="11" t="s">
        <v>77</v>
      </c>
      <c r="G492" s="12">
        <v>890.0</v>
      </c>
      <c r="H492" s="12">
        <v>378.0</v>
      </c>
      <c r="I492" s="12">
        <v>1.0</v>
      </c>
      <c r="J492" s="12">
        <v>0.0</v>
      </c>
      <c r="K492" s="11" t="s">
        <v>21</v>
      </c>
      <c r="L492" s="7">
        <v>40283.384351851855</v>
      </c>
      <c r="M492" s="13" t="s">
        <v>94</v>
      </c>
      <c r="N492" s="13" t="s">
        <v>95</v>
      </c>
      <c r="O492" s="10" t="str">
        <f t="shared" si="130"/>
        <v>View</v>
      </c>
      <c r="P492" s="14"/>
    </row>
    <row r="493">
      <c r="A493" s="7">
        <v>42433.627118055556</v>
      </c>
      <c r="B493" s="8" t="str">
        <f>HYPERLINK("https://twitter.com/AmandaMoniz1","@AmandaMoniz1")</f>
        <v>@AmandaMoniz1</v>
      </c>
      <c r="C493" s="9" t="s">
        <v>66</v>
      </c>
      <c r="D493" s="9" t="s">
        <v>611</v>
      </c>
      <c r="E493" s="10" t="str">
        <f>HYPERLINK("https://twitter.com/AmandaMoniz1/status/705861136265187329","705861136265187329")</f>
        <v>705861136265187329</v>
      </c>
      <c r="F493" s="11" t="s">
        <v>31</v>
      </c>
      <c r="G493" s="12">
        <v>622.0</v>
      </c>
      <c r="H493" s="12">
        <v>607.0</v>
      </c>
      <c r="I493" s="12">
        <v>3.0</v>
      </c>
      <c r="J493" s="12">
        <v>0.0</v>
      </c>
      <c r="K493" s="11" t="s">
        <v>21</v>
      </c>
      <c r="L493" s="7">
        <v>40766.33971064815</v>
      </c>
      <c r="M493" s="15"/>
      <c r="N493" s="13" t="s">
        <v>68</v>
      </c>
      <c r="O493" s="10" t="str">
        <f>HYPERLINK("https://pbs.twimg.com/profile_images/378800000149111881/7969acf9cec4197748b502a6a6c3d921_normal.jpeg","View")</f>
        <v>View</v>
      </c>
      <c r="P493" s="14"/>
    </row>
    <row r="494">
      <c r="A494" s="7">
        <v>42433.62719907408</v>
      </c>
      <c r="B494" s="8" t="str">
        <f>HYPERLINK("https://twitter.com/pastpunditry","@pastpunditry")</f>
        <v>@pastpunditry</v>
      </c>
      <c r="C494" s="9" t="s">
        <v>92</v>
      </c>
      <c r="D494" s="9" t="s">
        <v>612</v>
      </c>
      <c r="E494" s="10" t="str">
        <f>HYPERLINK("https://twitter.com/pastpunditry/status/705861162580254720","705861162580254720")</f>
        <v>705861162580254720</v>
      </c>
      <c r="F494" s="11" t="s">
        <v>77</v>
      </c>
      <c r="G494" s="12">
        <v>890.0</v>
      </c>
      <c r="H494" s="12">
        <v>378.0</v>
      </c>
      <c r="I494" s="12">
        <v>0.0</v>
      </c>
      <c r="J494" s="12">
        <v>1.0</v>
      </c>
      <c r="K494" s="11" t="s">
        <v>21</v>
      </c>
      <c r="L494" s="7">
        <v>40283.384351851855</v>
      </c>
      <c r="M494" s="13" t="s">
        <v>94</v>
      </c>
      <c r="N494" s="13" t="s">
        <v>95</v>
      </c>
      <c r="O494" s="10" t="str">
        <f>HYPERLINK("https://pbs.twimg.com/profile_images/704873222802636800/7aFEMOY5_normal.jpg","View")</f>
        <v>View</v>
      </c>
      <c r="P494" s="14"/>
    </row>
    <row r="495">
      <c r="A495" s="7">
        <v>42433.62773148148</v>
      </c>
      <c r="B495" s="8" t="str">
        <f>HYPERLINK("https://twitter.com/umassph","@umassph")</f>
        <v>@umassph</v>
      </c>
      <c r="C495" s="9" t="s">
        <v>121</v>
      </c>
      <c r="D495" s="9" t="s">
        <v>603</v>
      </c>
      <c r="E495" s="10" t="str">
        <f>HYPERLINK("https://twitter.com/umassph/status/705861355438481408","705861355438481408")</f>
        <v>705861355438481408</v>
      </c>
      <c r="F495" s="11" t="s">
        <v>31</v>
      </c>
      <c r="G495" s="12">
        <v>693.0</v>
      </c>
      <c r="H495" s="12">
        <v>242.0</v>
      </c>
      <c r="I495" s="12">
        <v>4.0</v>
      </c>
      <c r="J495" s="12">
        <v>0.0</v>
      </c>
      <c r="K495" s="11" t="s">
        <v>21</v>
      </c>
      <c r="L495" s="7">
        <v>40242.52853009259</v>
      </c>
      <c r="M495" s="13" t="s">
        <v>22</v>
      </c>
      <c r="N495" s="13" t="s">
        <v>123</v>
      </c>
      <c r="O495" s="10" t="str">
        <f>HYPERLINK("https://pbs.twimg.com/profile_images/3583165575/54f0bc87a29b2ae8587193829ce07299_normal.jpeg","View")</f>
        <v>View</v>
      </c>
      <c r="P495" s="14"/>
    </row>
    <row r="496">
      <c r="A496" s="7">
        <v>42433.62783564815</v>
      </c>
      <c r="B496" s="8" t="str">
        <f>HYPERLINK("https://twitter.com/MarlaAtUmass","@MarlaAtUmass")</f>
        <v>@MarlaAtUmass</v>
      </c>
      <c r="C496" s="9" t="s">
        <v>45</v>
      </c>
      <c r="D496" s="9" t="s">
        <v>613</v>
      </c>
      <c r="E496" s="10" t="str">
        <f>HYPERLINK("https://twitter.com/MarlaAtUmass/status/705861392964919298","705861392964919298")</f>
        <v>705861392964919298</v>
      </c>
      <c r="F496" s="11" t="s">
        <v>31</v>
      </c>
      <c r="G496" s="12">
        <v>1993.0</v>
      </c>
      <c r="H496" s="12">
        <v>1647.0</v>
      </c>
      <c r="I496" s="12">
        <v>1.0</v>
      </c>
      <c r="J496" s="12">
        <v>2.0</v>
      </c>
      <c r="K496" s="11" t="s">
        <v>21</v>
      </c>
      <c r="L496" s="7">
        <v>40125.78074074074</v>
      </c>
      <c r="M496" s="15"/>
      <c r="N496" s="13" t="s">
        <v>47</v>
      </c>
      <c r="O496" s="10" t="str">
        <f>HYPERLINK("https://pbs.twimg.com/profile_images/565429960/Betsy_Twitter_normal.jpg","View")</f>
        <v>View</v>
      </c>
      <c r="P496" s="14"/>
    </row>
    <row r="497">
      <c r="A497" s="7">
        <v>42433.628125</v>
      </c>
      <c r="B497" s="8" t="str">
        <f t="shared" ref="B497:B498" si="131">HYPERLINK("https://twitter.com/pastpunditry","@pastpunditry")</f>
        <v>@pastpunditry</v>
      </c>
      <c r="C497" s="9" t="s">
        <v>92</v>
      </c>
      <c r="D497" s="9" t="s">
        <v>614</v>
      </c>
      <c r="E497" s="10" t="str">
        <f>HYPERLINK("https://twitter.com/pastpunditry/status/705861497919037440","705861497919037440")</f>
        <v>705861497919037440</v>
      </c>
      <c r="F497" s="11" t="s">
        <v>77</v>
      </c>
      <c r="G497" s="12">
        <v>890.0</v>
      </c>
      <c r="H497" s="12">
        <v>378.0</v>
      </c>
      <c r="I497" s="12">
        <v>1.0</v>
      </c>
      <c r="J497" s="12">
        <v>1.0</v>
      </c>
      <c r="K497" s="11" t="s">
        <v>21</v>
      </c>
      <c r="L497" s="7">
        <v>40283.384351851855</v>
      </c>
      <c r="M497" s="13" t="s">
        <v>94</v>
      </c>
      <c r="N497" s="13" t="s">
        <v>95</v>
      </c>
      <c r="O497" s="10" t="str">
        <f t="shared" ref="O497:O498" si="132">HYPERLINK("https://pbs.twimg.com/profile_images/704873222802636800/7aFEMOY5_normal.jpg","View")</f>
        <v>View</v>
      </c>
      <c r="P497" s="14"/>
    </row>
    <row r="498">
      <c r="A498" s="7">
        <v>42433.628159722226</v>
      </c>
      <c r="B498" s="8" t="str">
        <f t="shared" si="131"/>
        <v>@pastpunditry</v>
      </c>
      <c r="C498" s="9" t="s">
        <v>92</v>
      </c>
      <c r="D498" s="9" t="s">
        <v>615</v>
      </c>
      <c r="E498" s="10" t="str">
        <f>HYPERLINK("https://twitter.com/pastpunditry/status/705861513702203392","705861513702203392")</f>
        <v>705861513702203392</v>
      </c>
      <c r="F498" s="11" t="s">
        <v>77</v>
      </c>
      <c r="G498" s="12">
        <v>890.0</v>
      </c>
      <c r="H498" s="12">
        <v>378.0</v>
      </c>
      <c r="I498" s="12">
        <v>1.0</v>
      </c>
      <c r="J498" s="12">
        <v>0.0</v>
      </c>
      <c r="K498" s="11" t="s">
        <v>21</v>
      </c>
      <c r="L498" s="7">
        <v>40283.384351851855</v>
      </c>
      <c r="M498" s="13" t="s">
        <v>94</v>
      </c>
      <c r="N498" s="13" t="s">
        <v>95</v>
      </c>
      <c r="O498" s="10" t="str">
        <f t="shared" si="132"/>
        <v>View</v>
      </c>
      <c r="P498" s="14"/>
    </row>
    <row r="499">
      <c r="A499" s="7">
        <v>42433.62993055556</v>
      </c>
      <c r="B499" s="8" t="str">
        <f>HYPERLINK("https://twitter.com/MarlaAtUmass","@MarlaAtUmass")</f>
        <v>@MarlaAtUmass</v>
      </c>
      <c r="C499" s="9" t="s">
        <v>45</v>
      </c>
      <c r="D499" s="9" t="s">
        <v>616</v>
      </c>
      <c r="E499" s="10" t="str">
        <f>HYPERLINK("https://twitter.com/MarlaAtUmass/status/705862152930906112","705862152930906112")</f>
        <v>705862152930906112</v>
      </c>
      <c r="F499" s="11" t="s">
        <v>31</v>
      </c>
      <c r="G499" s="12">
        <v>1993.0</v>
      </c>
      <c r="H499" s="12">
        <v>1647.0</v>
      </c>
      <c r="I499" s="12">
        <v>1.0</v>
      </c>
      <c r="J499" s="12">
        <v>1.0</v>
      </c>
      <c r="K499" s="11" t="s">
        <v>21</v>
      </c>
      <c r="L499" s="7">
        <v>40125.78074074074</v>
      </c>
      <c r="M499" s="15"/>
      <c r="N499" s="13" t="s">
        <v>47</v>
      </c>
      <c r="O499" s="10" t="str">
        <f>HYPERLINK("https://pbs.twimg.com/profile_images/565429960/Betsy_Twitter_normal.jpg","View")</f>
        <v>View</v>
      </c>
      <c r="P499" s="14"/>
    </row>
    <row r="500">
      <c r="A500" s="7">
        <v>42433.63012731481</v>
      </c>
      <c r="B500" s="8" t="str">
        <f t="shared" ref="B500:B501" si="133">HYPERLINK("https://twitter.com/pastpunditry","@pastpunditry")</f>
        <v>@pastpunditry</v>
      </c>
      <c r="C500" s="9" t="s">
        <v>92</v>
      </c>
      <c r="D500" s="9" t="s">
        <v>617</v>
      </c>
      <c r="E500" s="10" t="str">
        <f>HYPERLINK("https://twitter.com/pastpunditry/status/705862227329486849","705862227329486849")</f>
        <v>705862227329486849</v>
      </c>
      <c r="F500" s="11" t="s">
        <v>77</v>
      </c>
      <c r="G500" s="12">
        <v>890.0</v>
      </c>
      <c r="H500" s="12">
        <v>378.0</v>
      </c>
      <c r="I500" s="12">
        <v>0.0</v>
      </c>
      <c r="J500" s="12">
        <v>1.0</v>
      </c>
      <c r="K500" s="11" t="s">
        <v>21</v>
      </c>
      <c r="L500" s="7">
        <v>40283.384351851855</v>
      </c>
      <c r="M500" s="13" t="s">
        <v>94</v>
      </c>
      <c r="N500" s="13" t="s">
        <v>95</v>
      </c>
      <c r="O500" s="10" t="str">
        <f t="shared" ref="O500:O501" si="134">HYPERLINK("https://pbs.twimg.com/profile_images/704873222802636800/7aFEMOY5_normal.jpg","View")</f>
        <v>View</v>
      </c>
      <c r="P500" s="14"/>
    </row>
    <row r="501">
      <c r="A501" s="7">
        <v>42433.6306712963</v>
      </c>
      <c r="B501" s="8" t="str">
        <f t="shared" si="133"/>
        <v>@pastpunditry</v>
      </c>
      <c r="C501" s="9" t="s">
        <v>92</v>
      </c>
      <c r="D501" s="9" t="s">
        <v>618</v>
      </c>
      <c r="E501" s="10" t="str">
        <f>HYPERLINK("https://twitter.com/pastpunditry/status/705862421605457921","705862421605457921")</f>
        <v>705862421605457921</v>
      </c>
      <c r="F501" s="11" t="s">
        <v>77</v>
      </c>
      <c r="G501" s="12">
        <v>890.0</v>
      </c>
      <c r="H501" s="12">
        <v>378.0</v>
      </c>
      <c r="I501" s="12">
        <v>0.0</v>
      </c>
      <c r="J501" s="12">
        <v>2.0</v>
      </c>
      <c r="K501" s="11" t="s">
        <v>21</v>
      </c>
      <c r="L501" s="7">
        <v>40283.384351851855</v>
      </c>
      <c r="M501" s="13" t="s">
        <v>94</v>
      </c>
      <c r="N501" s="13" t="s">
        <v>95</v>
      </c>
      <c r="O501" s="10" t="str">
        <f t="shared" si="134"/>
        <v>View</v>
      </c>
      <c r="P501" s="14"/>
    </row>
    <row r="502">
      <c r="A502" s="7">
        <v>42433.635983796295</v>
      </c>
      <c r="B502" s="8" t="str">
        <f>HYPERLINK("https://twitter.com/SmabAudio","@SmabAudio")</f>
        <v>@SmabAudio</v>
      </c>
      <c r="C502" s="9" t="s">
        <v>619</v>
      </c>
      <c r="D502" s="9" t="s">
        <v>620</v>
      </c>
      <c r="E502" s="10" t="str">
        <f>HYPERLINK("https://twitter.com/SmabAudio/status/705864348535648257","705864348535648257")</f>
        <v>705864348535648257</v>
      </c>
      <c r="F502" s="11" t="s">
        <v>621</v>
      </c>
      <c r="G502" s="12">
        <v>3111.0</v>
      </c>
      <c r="H502" s="12">
        <v>3271.0</v>
      </c>
      <c r="I502" s="12">
        <v>1.0</v>
      </c>
      <c r="J502" s="12">
        <v>0.0</v>
      </c>
      <c r="K502" s="11" t="s">
        <v>21</v>
      </c>
      <c r="L502" s="7">
        <v>41016.61496527778</v>
      </c>
      <c r="M502" s="13" t="s">
        <v>622</v>
      </c>
      <c r="N502" s="13" t="s">
        <v>623</v>
      </c>
      <c r="O502" s="10" t="str">
        <f>HYPERLINK("https://pbs.twimg.com/profile_images/670034143808499712/5uUpStFP_normal.png","View")</f>
        <v>View</v>
      </c>
      <c r="P502" s="14"/>
    </row>
    <row r="503">
      <c r="A503" s="7">
        <v>42433.63650462963</v>
      </c>
      <c r="B503" s="8" t="str">
        <f>HYPERLINK("https://twitter.com/JL_McPherson_","@JL_McPherson_")</f>
        <v>@JL_McPherson_</v>
      </c>
      <c r="C503" s="9" t="s">
        <v>297</v>
      </c>
      <c r="D503" s="9" t="s">
        <v>594</v>
      </c>
      <c r="E503" s="10" t="str">
        <f>HYPERLINK("https://twitter.com/JL_McPherson_/status/705864535664517120","705864535664517120")</f>
        <v>705864535664517120</v>
      </c>
      <c r="F503" s="11" t="s">
        <v>26</v>
      </c>
      <c r="G503" s="12">
        <v>144.0</v>
      </c>
      <c r="H503" s="12">
        <v>415.0</v>
      </c>
      <c r="I503" s="12">
        <v>5.0</v>
      </c>
      <c r="J503" s="12">
        <v>0.0</v>
      </c>
      <c r="K503" s="11" t="s">
        <v>21</v>
      </c>
      <c r="L503" s="7">
        <v>40607.711226851854</v>
      </c>
      <c r="M503" s="13" t="s">
        <v>298</v>
      </c>
      <c r="N503" s="13" t="s">
        <v>299</v>
      </c>
      <c r="O503" s="10" t="str">
        <f>HYPERLINK("https://pbs.twimg.com/profile_images/562649272173068288/zFENKIgW_normal.png","View")</f>
        <v>View</v>
      </c>
      <c r="P503" s="14"/>
    </row>
    <row r="504">
      <c r="A504" s="7">
        <v>42433.64680555556</v>
      </c>
      <c r="B504" s="8" t="str">
        <f>HYPERLINK("https://twitter.com/historycampaign","@historycampaign")</f>
        <v>@historycampaign</v>
      </c>
      <c r="C504" s="9" t="s">
        <v>133</v>
      </c>
      <c r="D504" s="9" t="s">
        <v>594</v>
      </c>
      <c r="E504" s="10" t="str">
        <f>HYPERLINK("https://twitter.com/historycampaign/status/705868271174742018","705868271174742018")</f>
        <v>705868271174742018</v>
      </c>
      <c r="F504" s="11" t="s">
        <v>26</v>
      </c>
      <c r="G504" s="12">
        <v>110.0</v>
      </c>
      <c r="H504" s="12">
        <v>59.0</v>
      </c>
      <c r="I504" s="12">
        <v>5.0</v>
      </c>
      <c r="J504" s="12">
        <v>0.0</v>
      </c>
      <c r="K504" s="11" t="s">
        <v>21</v>
      </c>
      <c r="L504" s="7">
        <v>42311.25096064815</v>
      </c>
      <c r="M504" s="15"/>
      <c r="N504" s="13" t="s">
        <v>135</v>
      </c>
      <c r="O504" s="10" t="str">
        <f>HYPERLINK("https://pbs.twimg.com/profile_images/673691030139609088/8v7ab61D_normal.jpg","View")</f>
        <v>View</v>
      </c>
      <c r="P504" s="14"/>
    </row>
    <row r="505">
      <c r="A505" s="7">
        <v>42433.64928240741</v>
      </c>
      <c r="B505" s="8" t="str">
        <f>HYPERLINK("https://twitter.com/gordonbelt","@gordonbelt")</f>
        <v>@gordonbelt</v>
      </c>
      <c r="C505" s="9" t="s">
        <v>624</v>
      </c>
      <c r="D505" s="9" t="s">
        <v>437</v>
      </c>
      <c r="E505" s="10" t="str">
        <f>HYPERLINK("https://twitter.com/gordonbelt/status/705869165945606145","705869165945606145")</f>
        <v>705869165945606145</v>
      </c>
      <c r="F505" s="11" t="s">
        <v>31</v>
      </c>
      <c r="G505" s="12">
        <v>1640.0</v>
      </c>
      <c r="H505" s="12">
        <v>321.0</v>
      </c>
      <c r="I505" s="12">
        <v>6.0</v>
      </c>
      <c r="J505" s="12">
        <v>0.0</v>
      </c>
      <c r="K505" s="11" t="s">
        <v>21</v>
      </c>
      <c r="L505" s="7">
        <v>39917.48914351852</v>
      </c>
      <c r="M505" s="13" t="s">
        <v>625</v>
      </c>
      <c r="N505" s="13" t="s">
        <v>626</v>
      </c>
      <c r="O505" s="10" t="str">
        <f>HYPERLINK("https://pbs.twimg.com/profile_images/378800000469463126/6dec739d56d67e4b13de3f9a0030de80_normal.jpeg","View")</f>
        <v>View</v>
      </c>
      <c r="P505" s="14"/>
    </row>
    <row r="506">
      <c r="A506" s="7">
        <v>42433.650185185186</v>
      </c>
      <c r="B506" s="8" t="str">
        <f>HYPERLINK("https://twitter.com/NixoNARA","@NixoNARA")</f>
        <v>@NixoNARA</v>
      </c>
      <c r="C506" s="9" t="s">
        <v>42</v>
      </c>
      <c r="D506" s="9" t="s">
        <v>627</v>
      </c>
      <c r="E506" s="10" t="str">
        <f>HYPERLINK("https://twitter.com/NixoNARA/status/705869495433351168","705869495433351168")</f>
        <v>705869495433351168</v>
      </c>
      <c r="F506" s="11" t="s">
        <v>31</v>
      </c>
      <c r="G506" s="12">
        <v>541.0</v>
      </c>
      <c r="H506" s="12">
        <v>402.0</v>
      </c>
      <c r="I506" s="12">
        <v>2.0</v>
      </c>
      <c r="J506" s="12">
        <v>0.0</v>
      </c>
      <c r="K506" s="11" t="s">
        <v>21</v>
      </c>
      <c r="L506" s="7">
        <v>40520.75891203704</v>
      </c>
      <c r="M506" s="15"/>
      <c r="N506" s="13" t="s">
        <v>44</v>
      </c>
      <c r="O506" s="10" t="str">
        <f>HYPERLINK("https://pbs.twimg.com/profile_images/1185970366/Twitter_NixoNARA_normal.jpg","View")</f>
        <v>View</v>
      </c>
      <c r="P506" s="14"/>
    </row>
    <row r="507">
      <c r="A507" s="7">
        <v>42433.65298611111</v>
      </c>
      <c r="B507" s="8" t="str">
        <f t="shared" ref="B507:B508" si="135">HYPERLINK("https://twitter.com/sholalynch","@sholalynch")</f>
        <v>@sholalynch</v>
      </c>
      <c r="C507" s="9" t="s">
        <v>628</v>
      </c>
      <c r="D507" s="9" t="s">
        <v>611</v>
      </c>
      <c r="E507" s="10" t="str">
        <f>HYPERLINK("https://twitter.com/sholalynch/status/705870508051599361","705870508051599361")</f>
        <v>705870508051599361</v>
      </c>
      <c r="F507" s="11" t="s">
        <v>31</v>
      </c>
      <c r="G507" s="12">
        <v>2392.0</v>
      </c>
      <c r="H507" s="12">
        <v>341.0</v>
      </c>
      <c r="I507" s="12">
        <v>3.0</v>
      </c>
      <c r="J507" s="12">
        <v>0.0</v>
      </c>
      <c r="K507" s="11" t="s">
        <v>21</v>
      </c>
      <c r="L507" s="7">
        <v>40793.5580787037</v>
      </c>
      <c r="M507" s="13" t="s">
        <v>629</v>
      </c>
      <c r="N507" s="13" t="s">
        <v>630</v>
      </c>
      <c r="O507" s="10" t="str">
        <f t="shared" ref="O507:O508" si="136">HYPERLINK("https://pbs.twimg.com/profile_images/688533447195758593/LTuyp1_c_normal.jpg","View")</f>
        <v>View</v>
      </c>
      <c r="P507" s="14"/>
    </row>
    <row r="508">
      <c r="A508" s="7">
        <v>42433.654814814814</v>
      </c>
      <c r="B508" s="8" t="str">
        <f t="shared" si="135"/>
        <v>@sholalynch</v>
      </c>
      <c r="C508" s="9" t="s">
        <v>628</v>
      </c>
      <c r="D508" s="9" t="s">
        <v>631</v>
      </c>
      <c r="E508" s="10" t="str">
        <f>HYPERLINK("https://twitter.com/sholalynch/status/705871171745681409","705871171745681409")</f>
        <v>705871171745681409</v>
      </c>
      <c r="F508" s="11" t="s">
        <v>31</v>
      </c>
      <c r="G508" s="12">
        <v>2392.0</v>
      </c>
      <c r="H508" s="12">
        <v>341.0</v>
      </c>
      <c r="I508" s="12">
        <v>3.0</v>
      </c>
      <c r="J508" s="12">
        <v>3.0</v>
      </c>
      <c r="K508" s="11" t="s">
        <v>21</v>
      </c>
      <c r="L508" s="7">
        <v>40793.5580787037</v>
      </c>
      <c r="M508" s="13" t="s">
        <v>629</v>
      </c>
      <c r="N508" s="13" t="s">
        <v>630</v>
      </c>
      <c r="O508" s="10" t="str">
        <f t="shared" si="136"/>
        <v>View</v>
      </c>
      <c r="P508" s="14"/>
    </row>
    <row r="509">
      <c r="A509" s="7">
        <v>42433.65537037037</v>
      </c>
      <c r="B509" s="8" t="str">
        <f>HYPERLINK("https://twitter.com/pastpunditry","@pastpunditry")</f>
        <v>@pastpunditry</v>
      </c>
      <c r="C509" s="9" t="s">
        <v>92</v>
      </c>
      <c r="D509" s="9" t="s">
        <v>632</v>
      </c>
      <c r="E509" s="10" t="str">
        <f>HYPERLINK("https://twitter.com/pastpunditry/status/705871372812206080","705871372812206080")</f>
        <v>705871372812206080</v>
      </c>
      <c r="F509" s="11" t="s">
        <v>77</v>
      </c>
      <c r="G509" s="12">
        <v>890.0</v>
      </c>
      <c r="H509" s="12">
        <v>378.0</v>
      </c>
      <c r="I509" s="12">
        <v>3.0</v>
      </c>
      <c r="J509" s="12">
        <v>0.0</v>
      </c>
      <c r="K509" s="11" t="s">
        <v>21</v>
      </c>
      <c r="L509" s="7">
        <v>40283.384351851855</v>
      </c>
      <c r="M509" s="13" t="s">
        <v>94</v>
      </c>
      <c r="N509" s="13" t="s">
        <v>95</v>
      </c>
      <c r="O509" s="10" t="str">
        <f>HYPERLINK("https://pbs.twimg.com/profile_images/704873222802636800/7aFEMOY5_normal.jpg","View")</f>
        <v>View</v>
      </c>
      <c r="P509" s="14"/>
    </row>
    <row r="510">
      <c r="A510" s="7">
        <v>42433.65615740741</v>
      </c>
      <c r="B510" s="8" t="str">
        <f>HYPERLINK("https://twitter.com/sholalynch","@sholalynch")</f>
        <v>@sholalynch</v>
      </c>
      <c r="C510" s="9" t="s">
        <v>628</v>
      </c>
      <c r="D510" s="9" t="s">
        <v>633</v>
      </c>
      <c r="E510" s="10" t="str">
        <f>HYPERLINK("https://twitter.com/sholalynch/status/705871657634799620","705871657634799620")</f>
        <v>705871657634799620</v>
      </c>
      <c r="F510" s="11" t="s">
        <v>31</v>
      </c>
      <c r="G510" s="12">
        <v>2392.0</v>
      </c>
      <c r="H510" s="12">
        <v>341.0</v>
      </c>
      <c r="I510" s="12">
        <v>1.0</v>
      </c>
      <c r="J510" s="12">
        <v>5.0</v>
      </c>
      <c r="K510" s="11" t="s">
        <v>21</v>
      </c>
      <c r="L510" s="7">
        <v>40793.5580787037</v>
      </c>
      <c r="M510" s="13" t="s">
        <v>629</v>
      </c>
      <c r="N510" s="13" t="s">
        <v>630</v>
      </c>
      <c r="O510" s="10" t="str">
        <f>HYPERLINK("https://pbs.twimg.com/profile_images/688533447195758593/LTuyp1_c_normal.jpg","View")</f>
        <v>View</v>
      </c>
      <c r="P510" s="14"/>
    </row>
    <row r="511">
      <c r="A511" s="7">
        <v>42433.65626157407</v>
      </c>
      <c r="B511" s="8" t="str">
        <f>HYPERLINK("https://twitter.com/mattdelmont","@mattdelmont")</f>
        <v>@mattdelmont</v>
      </c>
      <c r="C511" s="9" t="s">
        <v>306</v>
      </c>
      <c r="D511" s="9" t="s">
        <v>634</v>
      </c>
      <c r="E511" s="10" t="str">
        <f>HYPERLINK("https://twitter.com/mattdelmont/status/705871696398430212","705871696398430212")</f>
        <v>705871696398430212</v>
      </c>
      <c r="F511" s="11" t="s">
        <v>77</v>
      </c>
      <c r="G511" s="12">
        <v>1661.0</v>
      </c>
      <c r="H511" s="12">
        <v>1442.0</v>
      </c>
      <c r="I511" s="12">
        <v>2.0</v>
      </c>
      <c r="J511" s="12">
        <v>4.0</v>
      </c>
      <c r="K511" s="11" t="s">
        <v>21</v>
      </c>
      <c r="L511" s="7">
        <v>40697.92171296296</v>
      </c>
      <c r="M511" s="13" t="s">
        <v>138</v>
      </c>
      <c r="N511" s="13" t="s">
        <v>307</v>
      </c>
      <c r="O511" s="10" t="str">
        <f>HYPERLINK("https://pbs.twimg.com/profile_images/1762571664/POY_photo_-_web_normal.jpg","View")</f>
        <v>View</v>
      </c>
      <c r="P511" s="14"/>
    </row>
    <row r="512">
      <c r="A512" s="7">
        <v>42433.65688657407</v>
      </c>
      <c r="B512" s="8" t="str">
        <f>HYPERLINK("https://twitter.com/sholalynch","@sholalynch")</f>
        <v>@sholalynch</v>
      </c>
      <c r="C512" s="9" t="s">
        <v>628</v>
      </c>
      <c r="D512" s="9" t="s">
        <v>635</v>
      </c>
      <c r="E512" s="10" t="str">
        <f>HYPERLINK("https://twitter.com/sholalynch/status/705871922899369984","705871922899369984")</f>
        <v>705871922899369984</v>
      </c>
      <c r="F512" s="11" t="s">
        <v>31</v>
      </c>
      <c r="G512" s="12">
        <v>2392.0</v>
      </c>
      <c r="H512" s="12">
        <v>341.0</v>
      </c>
      <c r="I512" s="12">
        <v>0.0</v>
      </c>
      <c r="J512" s="12">
        <v>2.0</v>
      </c>
      <c r="K512" s="11" t="s">
        <v>21</v>
      </c>
      <c r="L512" s="7">
        <v>40793.5580787037</v>
      </c>
      <c r="M512" s="13" t="s">
        <v>629</v>
      </c>
      <c r="N512" s="13" t="s">
        <v>630</v>
      </c>
      <c r="O512" s="10" t="str">
        <f>HYPERLINK("https://pbs.twimg.com/profile_images/688533447195758593/LTuyp1_c_normal.jpg","View")</f>
        <v>View</v>
      </c>
      <c r="P512" s="14"/>
    </row>
    <row r="513">
      <c r="A513" s="7">
        <v>42433.659270833334</v>
      </c>
      <c r="B513" s="8" t="str">
        <f t="shared" ref="B513:B516" si="137">HYPERLINK("https://twitter.com/GHAUmass","@GHAUmass")</f>
        <v>@GHAUmass</v>
      </c>
      <c r="C513" s="9" t="s">
        <v>30</v>
      </c>
      <c r="D513" s="9" t="s">
        <v>603</v>
      </c>
      <c r="E513" s="10" t="str">
        <f>HYPERLINK("https://twitter.com/GHAUmass/status/705872784837189633","705872784837189633")</f>
        <v>705872784837189633</v>
      </c>
      <c r="F513" s="11" t="s">
        <v>31</v>
      </c>
      <c r="G513" s="12">
        <v>68.0</v>
      </c>
      <c r="H513" s="12">
        <v>100.0</v>
      </c>
      <c r="I513" s="12">
        <v>4.0</v>
      </c>
      <c r="J513" s="12">
        <v>0.0</v>
      </c>
      <c r="K513" s="11" t="s">
        <v>21</v>
      </c>
      <c r="L513" s="7">
        <v>42152.65289351852</v>
      </c>
      <c r="M513" s="13" t="s">
        <v>22</v>
      </c>
      <c r="N513" s="13" t="s">
        <v>32</v>
      </c>
      <c r="O513" s="10" t="str">
        <f t="shared" ref="O513:O516" si="138">HYPERLINK("https://pbs.twimg.com/profile_images/604060333590855682/Fk6r1D7d_normal.jpg","View")</f>
        <v>View</v>
      </c>
      <c r="P513" s="14"/>
    </row>
    <row r="514">
      <c r="A514" s="7">
        <v>42433.65951388889</v>
      </c>
      <c r="B514" s="8" t="str">
        <f t="shared" si="137"/>
        <v>@GHAUmass</v>
      </c>
      <c r="C514" s="9" t="s">
        <v>30</v>
      </c>
      <c r="D514" s="9" t="s">
        <v>594</v>
      </c>
      <c r="E514" s="10" t="str">
        <f>HYPERLINK("https://twitter.com/GHAUmass/status/705872874163331072","705872874163331072")</f>
        <v>705872874163331072</v>
      </c>
      <c r="F514" s="11" t="s">
        <v>31</v>
      </c>
      <c r="G514" s="12">
        <v>68.0</v>
      </c>
      <c r="H514" s="12">
        <v>100.0</v>
      </c>
      <c r="I514" s="12">
        <v>5.0</v>
      </c>
      <c r="J514" s="12">
        <v>0.0</v>
      </c>
      <c r="K514" s="11" t="s">
        <v>21</v>
      </c>
      <c r="L514" s="7">
        <v>42152.65289351852</v>
      </c>
      <c r="M514" s="13" t="s">
        <v>22</v>
      </c>
      <c r="N514" s="13" t="s">
        <v>32</v>
      </c>
      <c r="O514" s="10" t="str">
        <f t="shared" si="138"/>
        <v>View</v>
      </c>
      <c r="P514" s="14"/>
    </row>
    <row r="515">
      <c r="A515" s="7">
        <v>42433.66008101852</v>
      </c>
      <c r="B515" s="8" t="str">
        <f t="shared" si="137"/>
        <v>@GHAUmass</v>
      </c>
      <c r="C515" s="9" t="s">
        <v>30</v>
      </c>
      <c r="D515" s="9" t="s">
        <v>587</v>
      </c>
      <c r="E515" s="10" t="str">
        <f>HYPERLINK("https://twitter.com/GHAUmass/status/705873081747841025","705873081747841025")</f>
        <v>705873081747841025</v>
      </c>
      <c r="F515" s="11" t="s">
        <v>31</v>
      </c>
      <c r="G515" s="12">
        <v>68.0</v>
      </c>
      <c r="H515" s="12">
        <v>100.0</v>
      </c>
      <c r="I515" s="12">
        <v>3.0</v>
      </c>
      <c r="J515" s="12">
        <v>0.0</v>
      </c>
      <c r="K515" s="11" t="s">
        <v>21</v>
      </c>
      <c r="L515" s="7">
        <v>42152.65289351852</v>
      </c>
      <c r="M515" s="13" t="s">
        <v>22</v>
      </c>
      <c r="N515" s="13" t="s">
        <v>32</v>
      </c>
      <c r="O515" s="10" t="str">
        <f t="shared" si="138"/>
        <v>View</v>
      </c>
      <c r="P515" s="14"/>
    </row>
    <row r="516">
      <c r="A516" s="7">
        <v>42433.66028935185</v>
      </c>
      <c r="B516" s="8" t="str">
        <f t="shared" si="137"/>
        <v>@GHAUmass</v>
      </c>
      <c r="C516" s="9" t="s">
        <v>30</v>
      </c>
      <c r="D516" s="9" t="s">
        <v>584</v>
      </c>
      <c r="E516" s="10" t="str">
        <f>HYPERLINK("https://twitter.com/GHAUmass/status/705873156695846917","705873156695846917")</f>
        <v>705873156695846917</v>
      </c>
      <c r="F516" s="11" t="s">
        <v>31</v>
      </c>
      <c r="G516" s="12">
        <v>68.0</v>
      </c>
      <c r="H516" s="12">
        <v>100.0</v>
      </c>
      <c r="I516" s="12">
        <v>2.0</v>
      </c>
      <c r="J516" s="12">
        <v>0.0</v>
      </c>
      <c r="K516" s="11" t="s">
        <v>21</v>
      </c>
      <c r="L516" s="7">
        <v>42152.65289351852</v>
      </c>
      <c r="M516" s="13" t="s">
        <v>22</v>
      </c>
      <c r="N516" s="13" t="s">
        <v>32</v>
      </c>
      <c r="O516" s="10" t="str">
        <f t="shared" si="138"/>
        <v>View</v>
      </c>
      <c r="P516" s="14"/>
    </row>
    <row r="517">
      <c r="A517" s="7">
        <v>42433.66146990741</v>
      </c>
      <c r="B517" s="8" t="str">
        <f>HYPERLINK("https://twitter.com/magmidd","@magmidd")</f>
        <v>@magmidd</v>
      </c>
      <c r="C517" s="9" t="s">
        <v>636</v>
      </c>
      <c r="D517" s="9" t="s">
        <v>637</v>
      </c>
      <c r="E517" s="10" t="str">
        <f>HYPERLINK("https://twitter.com/magmidd/status/705873582405115905","705873582405115905")</f>
        <v>705873582405115905</v>
      </c>
      <c r="F517" s="11" t="s">
        <v>148</v>
      </c>
      <c r="G517" s="12">
        <v>1385.0</v>
      </c>
      <c r="H517" s="12">
        <v>1353.0</v>
      </c>
      <c r="I517" s="12">
        <v>0.0</v>
      </c>
      <c r="J517" s="12">
        <v>1.0</v>
      </c>
      <c r="K517" s="11" t="s">
        <v>21</v>
      </c>
      <c r="L517" s="7">
        <v>41511.60082175926</v>
      </c>
      <c r="M517" s="13" t="s">
        <v>197</v>
      </c>
      <c r="N517" s="13" t="s">
        <v>638</v>
      </c>
      <c r="O517" s="10" t="str">
        <f>HYPERLINK("https://pbs.twimg.com/profile_images/378800000450415007/82bcc7d0cab85e8d5920dbf5ded6715e_normal.jpeg","View")</f>
        <v>View</v>
      </c>
      <c r="P517" s="14"/>
    </row>
    <row r="518">
      <c r="A518" s="7">
        <v>42433.671678240746</v>
      </c>
      <c r="B518" s="8" t="str">
        <f>HYPERLINK("https://twitter.com/MedievalRobots","@MedievalRobots")</f>
        <v>@MedievalRobots</v>
      </c>
      <c r="C518" s="9" t="s">
        <v>639</v>
      </c>
      <c r="D518" s="9" t="s">
        <v>544</v>
      </c>
      <c r="E518" s="10" t="str">
        <f>HYPERLINK("https://twitter.com/MedievalRobots/status/705877280963305472","705877280963305472")</f>
        <v>705877280963305472</v>
      </c>
      <c r="F518" s="11" t="s">
        <v>31</v>
      </c>
      <c r="G518" s="12">
        <v>675.0</v>
      </c>
      <c r="H518" s="12">
        <v>287.0</v>
      </c>
      <c r="I518" s="12">
        <v>4.0</v>
      </c>
      <c r="J518" s="12">
        <v>0.0</v>
      </c>
      <c r="K518" s="11" t="s">
        <v>21</v>
      </c>
      <c r="L518" s="7">
        <v>41210.88068287037</v>
      </c>
      <c r="M518" s="15"/>
      <c r="N518" s="13" t="s">
        <v>640</v>
      </c>
      <c r="O518" s="10" t="str">
        <f>HYPERLINK("https://pbs.twimg.com/profile_images/701429056412086274/x4y2gAe7_normal.jpg","View")</f>
        <v>View</v>
      </c>
      <c r="P518" s="14"/>
    </row>
    <row r="519">
      <c r="A519" s="7">
        <v>42433.67586805555</v>
      </c>
      <c r="B519" s="8" t="str">
        <f>HYPERLINK("https://twitter.com/umassph","@umassph")</f>
        <v>@umassph</v>
      </c>
      <c r="C519" s="9" t="s">
        <v>121</v>
      </c>
      <c r="D519" s="9" t="s">
        <v>641</v>
      </c>
      <c r="E519" s="10" t="str">
        <f>HYPERLINK("https://twitter.com/umassph/status/705878800270237696","705878800270237696")</f>
        <v>705878800270237696</v>
      </c>
      <c r="F519" s="11" t="s">
        <v>31</v>
      </c>
      <c r="G519" s="12">
        <v>693.0</v>
      </c>
      <c r="H519" s="12">
        <v>242.0</v>
      </c>
      <c r="I519" s="12">
        <v>4.0</v>
      </c>
      <c r="J519" s="12">
        <v>4.0</v>
      </c>
      <c r="K519" s="11" t="s">
        <v>21</v>
      </c>
      <c r="L519" s="7">
        <v>40242.52853009259</v>
      </c>
      <c r="M519" s="13" t="s">
        <v>22</v>
      </c>
      <c r="N519" s="13" t="s">
        <v>123</v>
      </c>
      <c r="O519" s="10" t="str">
        <f>HYPERLINK("https://pbs.twimg.com/profile_images/3583165575/54f0bc87a29b2ae8587193829ce07299_normal.jpeg","View")</f>
        <v>View</v>
      </c>
      <c r="P519" s="14"/>
    </row>
    <row r="520">
      <c r="A520" s="7">
        <v>42433.678761574076</v>
      </c>
      <c r="B520" s="8" t="str">
        <f>HYPERLINK("https://twitter.com/JasonSteinhauer","@JasonSteinhauer")</f>
        <v>@JasonSteinhauer</v>
      </c>
      <c r="C520" s="9" t="s">
        <v>37</v>
      </c>
      <c r="D520" s="9" t="s">
        <v>642</v>
      </c>
      <c r="E520" s="10" t="str">
        <f>HYPERLINK("https://twitter.com/JasonSteinhauer/status/705879849454477316","705879849454477316")</f>
        <v>705879849454477316</v>
      </c>
      <c r="F520" s="11" t="s">
        <v>31</v>
      </c>
      <c r="G520" s="12">
        <v>1302.0</v>
      </c>
      <c r="H520" s="12">
        <v>1315.0</v>
      </c>
      <c r="I520" s="12">
        <v>2.0</v>
      </c>
      <c r="J520" s="12">
        <v>6.0</v>
      </c>
      <c r="K520" s="11" t="s">
        <v>21</v>
      </c>
      <c r="L520" s="7">
        <v>41169.51726851852</v>
      </c>
      <c r="M520" s="13" t="s">
        <v>39</v>
      </c>
      <c r="N520" s="13" t="s">
        <v>40</v>
      </c>
      <c r="O520" s="10" t="str">
        <f>HYPERLINK("https://pbs.twimg.com/profile_images/531574951107518465/AvUhkliP_normal.jpeg","View")</f>
        <v>View</v>
      </c>
      <c r="P520" s="14"/>
    </row>
    <row r="521">
      <c r="A521" s="7">
        <v>42433.68053240741</v>
      </c>
      <c r="B521" s="8" t="str">
        <f t="shared" ref="B521:B524" si="139">HYPERLINK("https://twitter.com/JulieThePH","@JulieThePH")</f>
        <v>@JulieThePH</v>
      </c>
      <c r="C521" s="9" t="s">
        <v>211</v>
      </c>
      <c r="D521" s="9" t="s">
        <v>643</v>
      </c>
      <c r="E521" s="10" t="str">
        <f>HYPERLINK("https://twitter.com/JulieThePH/status/705880492411916289","705880492411916289")</f>
        <v>705880492411916289</v>
      </c>
      <c r="F521" s="11" t="s">
        <v>31</v>
      </c>
      <c r="G521" s="12">
        <v>1234.0</v>
      </c>
      <c r="H521" s="12">
        <v>1386.0</v>
      </c>
      <c r="I521" s="12">
        <v>4.0</v>
      </c>
      <c r="J521" s="12">
        <v>0.0</v>
      </c>
      <c r="K521" s="11" t="s">
        <v>21</v>
      </c>
      <c r="L521" s="7">
        <v>40718.66918981481</v>
      </c>
      <c r="M521" s="13" t="s">
        <v>213</v>
      </c>
      <c r="N521" s="13" t="s">
        <v>214</v>
      </c>
      <c r="O521" s="10" t="str">
        <f t="shared" ref="O521:O524" si="140">HYPERLINK("https://pbs.twimg.com/profile_images/596509974005686273/AqBblwMR_normal.jpg","View")</f>
        <v>View</v>
      </c>
      <c r="P521" s="14"/>
    </row>
    <row r="522">
      <c r="A522" s="7">
        <v>42433.680868055555</v>
      </c>
      <c r="B522" s="8" t="str">
        <f t="shared" si="139"/>
        <v>@JulieThePH</v>
      </c>
      <c r="C522" s="9" t="s">
        <v>211</v>
      </c>
      <c r="D522" s="9" t="s">
        <v>644</v>
      </c>
      <c r="E522" s="10" t="str">
        <f>HYPERLINK("https://twitter.com/JulieThePH/status/705880612813590529","705880612813590529")</f>
        <v>705880612813590529</v>
      </c>
      <c r="F522" s="11" t="s">
        <v>31</v>
      </c>
      <c r="G522" s="12">
        <v>1234.0</v>
      </c>
      <c r="H522" s="12">
        <v>1386.0</v>
      </c>
      <c r="I522" s="12">
        <v>2.0</v>
      </c>
      <c r="J522" s="12">
        <v>0.0</v>
      </c>
      <c r="K522" s="11" t="s">
        <v>21</v>
      </c>
      <c r="L522" s="7">
        <v>40718.66918981481</v>
      </c>
      <c r="M522" s="13" t="s">
        <v>213</v>
      </c>
      <c r="N522" s="13" t="s">
        <v>214</v>
      </c>
      <c r="O522" s="10" t="str">
        <f t="shared" si="140"/>
        <v>View</v>
      </c>
      <c r="P522" s="14"/>
    </row>
    <row r="523">
      <c r="A523" s="7">
        <v>42433.68099537037</v>
      </c>
      <c r="B523" s="8" t="str">
        <f t="shared" si="139"/>
        <v>@JulieThePH</v>
      </c>
      <c r="C523" s="9" t="s">
        <v>211</v>
      </c>
      <c r="D523" s="9" t="s">
        <v>632</v>
      </c>
      <c r="E523" s="10" t="str">
        <f>HYPERLINK("https://twitter.com/JulieThePH/status/705880659382951936","705880659382951936")</f>
        <v>705880659382951936</v>
      </c>
      <c r="F523" s="11" t="s">
        <v>31</v>
      </c>
      <c r="G523" s="12">
        <v>1234.0</v>
      </c>
      <c r="H523" s="12">
        <v>1386.0</v>
      </c>
      <c r="I523" s="12">
        <v>3.0</v>
      </c>
      <c r="J523" s="12">
        <v>0.0</v>
      </c>
      <c r="K523" s="11" t="s">
        <v>21</v>
      </c>
      <c r="L523" s="7">
        <v>40718.66918981481</v>
      </c>
      <c r="M523" s="13" t="s">
        <v>213</v>
      </c>
      <c r="N523" s="13" t="s">
        <v>214</v>
      </c>
      <c r="O523" s="10" t="str">
        <f t="shared" si="140"/>
        <v>View</v>
      </c>
      <c r="P523" s="14"/>
    </row>
    <row r="524">
      <c r="A524" s="7">
        <v>42433.681238425925</v>
      </c>
      <c r="B524" s="8" t="str">
        <f t="shared" si="139"/>
        <v>@JulieThePH</v>
      </c>
      <c r="C524" s="9" t="s">
        <v>211</v>
      </c>
      <c r="D524" s="9" t="s">
        <v>645</v>
      </c>
      <c r="E524" s="10" t="str">
        <f>HYPERLINK("https://twitter.com/JulieThePH/status/705880749581459461","705880749581459461")</f>
        <v>705880749581459461</v>
      </c>
      <c r="F524" s="11" t="s">
        <v>31</v>
      </c>
      <c r="G524" s="12">
        <v>1234.0</v>
      </c>
      <c r="H524" s="12">
        <v>1386.0</v>
      </c>
      <c r="I524" s="12">
        <v>1.0</v>
      </c>
      <c r="J524" s="12">
        <v>0.0</v>
      </c>
      <c r="K524" s="11" t="s">
        <v>21</v>
      </c>
      <c r="L524" s="7">
        <v>40718.66918981481</v>
      </c>
      <c r="M524" s="13" t="s">
        <v>213</v>
      </c>
      <c r="N524" s="13" t="s">
        <v>214</v>
      </c>
      <c r="O524" s="10" t="str">
        <f t="shared" si="140"/>
        <v>View</v>
      </c>
      <c r="P524" s="14"/>
    </row>
    <row r="525">
      <c r="A525" s="7">
        <v>42433.692974537036</v>
      </c>
      <c r="B525" s="8" t="str">
        <f>HYPERLINK("https://twitter.com/Welcome2History","@Welcome2History")</f>
        <v>@Welcome2History</v>
      </c>
      <c r="C525" s="9" t="s">
        <v>646</v>
      </c>
      <c r="D525" s="9" t="s">
        <v>643</v>
      </c>
      <c r="E525" s="10" t="str">
        <f>HYPERLINK("https://twitter.com/Welcome2History/status/705885000806354944","705885000806354944")</f>
        <v>705885000806354944</v>
      </c>
      <c r="F525" s="11" t="s">
        <v>43</v>
      </c>
      <c r="G525" s="12">
        <v>225.0</v>
      </c>
      <c r="H525" s="12">
        <v>107.0</v>
      </c>
      <c r="I525" s="12">
        <v>4.0</v>
      </c>
      <c r="J525" s="12">
        <v>0.0</v>
      </c>
      <c r="K525" s="11" t="s">
        <v>21</v>
      </c>
      <c r="L525" s="7">
        <v>42191.44520833333</v>
      </c>
      <c r="M525" s="13" t="s">
        <v>213</v>
      </c>
      <c r="N525" s="13" t="s">
        <v>647</v>
      </c>
      <c r="O525" s="10" t="str">
        <f>HYPERLINK("https://pbs.twimg.com/profile_images/622972421163724800/aDxe6tur_normal.jpg","View")</f>
        <v>View</v>
      </c>
      <c r="P525" s="14"/>
    </row>
    <row r="526">
      <c r="A526" s="7">
        <v>42433.694386574076</v>
      </c>
      <c r="B526" s="8" t="str">
        <f>HYPERLINK("https://twitter.com/mrpotter","@mrpotter")</f>
        <v>@mrpotter</v>
      </c>
      <c r="C526" s="9" t="s">
        <v>648</v>
      </c>
      <c r="D526" s="9" t="s">
        <v>627</v>
      </c>
      <c r="E526" s="10" t="str">
        <f>HYPERLINK("https://twitter.com/mrpotter/status/705885510422568960","705885510422568960")</f>
        <v>705885510422568960</v>
      </c>
      <c r="F526" s="11" t="s">
        <v>148</v>
      </c>
      <c r="G526" s="12">
        <v>2205.0</v>
      </c>
      <c r="H526" s="12">
        <v>605.0</v>
      </c>
      <c r="I526" s="12">
        <v>2.0</v>
      </c>
      <c r="J526" s="12">
        <v>0.0</v>
      </c>
      <c r="K526" s="11" t="s">
        <v>21</v>
      </c>
      <c r="L526" s="7">
        <v>39443.80068287037</v>
      </c>
      <c r="M526" s="13" t="s">
        <v>649</v>
      </c>
      <c r="N526" s="13" t="s">
        <v>650</v>
      </c>
      <c r="O526" s="10" t="str">
        <f>HYPERLINK("https://pbs.twimg.com/profile_images/701922140300439553/rnMSVFlR_normal.jpg","View")</f>
        <v>View</v>
      </c>
      <c r="P526" s="14"/>
    </row>
    <row r="527">
      <c r="A527" s="7">
        <v>42433.69625</v>
      </c>
      <c r="B527" s="8" t="str">
        <f>HYPERLINK("https://twitter.com/Welcome2History","@Welcome2History")</f>
        <v>@Welcome2History</v>
      </c>
      <c r="C527" s="9" t="s">
        <v>646</v>
      </c>
      <c r="D527" s="9" t="s">
        <v>651</v>
      </c>
      <c r="E527" s="10" t="str">
        <f>HYPERLINK("https://twitter.com/Welcome2History/status/705886189346299908","705886189346299908")</f>
        <v>705886189346299908</v>
      </c>
      <c r="F527" s="11" t="s">
        <v>43</v>
      </c>
      <c r="G527" s="12">
        <v>225.0</v>
      </c>
      <c r="H527" s="12">
        <v>107.0</v>
      </c>
      <c r="I527" s="12">
        <v>0.0</v>
      </c>
      <c r="J527" s="12">
        <v>1.0</v>
      </c>
      <c r="K527" s="11" t="s">
        <v>21</v>
      </c>
      <c r="L527" s="7">
        <v>42191.44520833333</v>
      </c>
      <c r="M527" s="13" t="s">
        <v>213</v>
      </c>
      <c r="N527" s="13" t="s">
        <v>647</v>
      </c>
      <c r="O527" s="10" t="str">
        <f>HYPERLINK("https://pbs.twimg.com/profile_images/622972421163724800/aDxe6tur_normal.jpg","View")</f>
        <v>View</v>
      </c>
      <c r="P527" s="14"/>
    </row>
    <row r="528">
      <c r="A528" s="7">
        <v>42433.69631944444</v>
      </c>
      <c r="B528" s="8" t="str">
        <f>HYPERLINK("https://twitter.com/PeterCPihos","@PeterCPihos")</f>
        <v>@PeterCPihos</v>
      </c>
      <c r="C528" s="9" t="s">
        <v>652</v>
      </c>
      <c r="D528" s="9" t="s">
        <v>644</v>
      </c>
      <c r="E528" s="10" t="str">
        <f>HYPERLINK("https://twitter.com/PeterCPihos/status/705886213262041088","705886213262041088")</f>
        <v>705886213262041088</v>
      </c>
      <c r="F528" s="11" t="s">
        <v>26</v>
      </c>
      <c r="G528" s="12">
        <v>252.0</v>
      </c>
      <c r="H528" s="12">
        <v>327.0</v>
      </c>
      <c r="I528" s="12">
        <v>2.0</v>
      </c>
      <c r="J528" s="12">
        <v>0.0</v>
      </c>
      <c r="K528" s="11" t="s">
        <v>21</v>
      </c>
      <c r="L528" s="7">
        <v>40859.383518518516</v>
      </c>
      <c r="M528" s="15"/>
      <c r="N528" s="13" t="s">
        <v>653</v>
      </c>
      <c r="O528" s="10" t="str">
        <f>HYPERLINK("https://pbs.twimg.com/profile_images/616063173943148545/FOorqHN5_normal.jpg","View")</f>
        <v>View</v>
      </c>
      <c r="P528" s="14"/>
    </row>
    <row r="529">
      <c r="A529" s="7">
        <v>42433.705243055556</v>
      </c>
      <c r="B529" s="8" t="str">
        <f>HYPERLINK("https://twitter.com/FatCatOnHat","@FatCatOnHat")</f>
        <v>@FatCatOnHat</v>
      </c>
      <c r="C529" s="9" t="s">
        <v>654</v>
      </c>
      <c r="D529" s="9" t="s">
        <v>505</v>
      </c>
      <c r="E529" s="10" t="str">
        <f>HYPERLINK("https://twitter.com/FatCatOnHat/status/705889447909462017","705889447909462017")</f>
        <v>705889447909462017</v>
      </c>
      <c r="F529" s="11" t="s">
        <v>26</v>
      </c>
      <c r="G529" s="12">
        <v>45.0</v>
      </c>
      <c r="H529" s="12">
        <v>74.0</v>
      </c>
      <c r="I529" s="12">
        <v>7.0</v>
      </c>
      <c r="J529" s="12">
        <v>0.0</v>
      </c>
      <c r="K529" s="11" t="s">
        <v>21</v>
      </c>
      <c r="L529" s="7">
        <v>42398.373078703706</v>
      </c>
      <c r="M529" s="15"/>
      <c r="N529" s="13" t="s">
        <v>655</v>
      </c>
      <c r="O529" s="10" t="str">
        <f>HYPERLINK("https://pbs.twimg.com/profile_images/693089232223514628/09uK1HQk_normal.jpg","View")</f>
        <v>View</v>
      </c>
      <c r="P529" s="14"/>
    </row>
    <row r="530">
      <c r="A530" s="7">
        <v>42433.70793981482</v>
      </c>
      <c r="B530" s="8" t="str">
        <f>HYPERLINK("https://twitter.com/JohnFea1","@JohnFea1")</f>
        <v>@JohnFea1</v>
      </c>
      <c r="C530" s="9" t="s">
        <v>118</v>
      </c>
      <c r="D530" s="9" t="s">
        <v>656</v>
      </c>
      <c r="E530" s="10" t="str">
        <f>HYPERLINK("https://twitter.com/JohnFea1/status/705890425752547328","705890425752547328")</f>
        <v>705890425752547328</v>
      </c>
      <c r="F530" s="11" t="s">
        <v>31</v>
      </c>
      <c r="G530" s="12">
        <v>2903.0</v>
      </c>
      <c r="H530" s="12">
        <v>1628.0</v>
      </c>
      <c r="I530" s="12">
        <v>3.0</v>
      </c>
      <c r="J530" s="12">
        <v>8.0</v>
      </c>
      <c r="K530" s="11" t="s">
        <v>21</v>
      </c>
      <c r="L530" s="7">
        <v>41009.84005787037</v>
      </c>
      <c r="M530" s="15"/>
      <c r="N530" s="13" t="s">
        <v>120</v>
      </c>
      <c r="O530" s="10" t="str">
        <f>HYPERLINK("https://pbs.twimg.com/profile_images/2090305941/Fea_speaking_normal.jpg","View")</f>
        <v>View</v>
      </c>
      <c r="P530" s="14"/>
    </row>
    <row r="531">
      <c r="A531" s="7">
        <v>42433.72388888889</v>
      </c>
      <c r="B531" s="8" t="str">
        <f>HYPERLINK("https://twitter.com/amanda_lyons","@amanda_lyons")</f>
        <v>@amanda_lyons</v>
      </c>
      <c r="C531" s="9" t="s">
        <v>465</v>
      </c>
      <c r="D531" s="9" t="s">
        <v>611</v>
      </c>
      <c r="E531" s="10" t="str">
        <f>HYPERLINK("https://twitter.com/amanda_lyons/status/705896201669971968","705896201669971968")</f>
        <v>705896201669971968</v>
      </c>
      <c r="F531" s="11" t="s">
        <v>148</v>
      </c>
      <c r="G531" s="12">
        <v>1280.0</v>
      </c>
      <c r="H531" s="12">
        <v>1557.0</v>
      </c>
      <c r="I531" s="12">
        <v>3.0</v>
      </c>
      <c r="J531" s="12">
        <v>0.0</v>
      </c>
      <c r="K531" s="11" t="s">
        <v>21</v>
      </c>
      <c r="L531" s="7">
        <v>40590.512395833335</v>
      </c>
      <c r="M531" s="13" t="s">
        <v>213</v>
      </c>
      <c r="N531" s="13" t="s">
        <v>467</v>
      </c>
      <c r="O531" s="10" t="str">
        <f>HYPERLINK("https://pbs.twimg.com/profile_images/1246380212/manda_normal.jpg","View")</f>
        <v>View</v>
      </c>
      <c r="P531" s="14"/>
    </row>
    <row r="532">
      <c r="A532" s="7">
        <v>42433.73123842593</v>
      </c>
      <c r="B532" s="8" t="str">
        <f>HYPERLINK("https://twitter.com/WhitakerAlmanac","@WhitakerAlmanac")</f>
        <v>@WhitakerAlmanac</v>
      </c>
      <c r="C532" s="9" t="s">
        <v>657</v>
      </c>
      <c r="D532" s="9" t="s">
        <v>420</v>
      </c>
      <c r="E532" s="10" t="str">
        <f>HYPERLINK("https://twitter.com/WhitakerAlmanac/status/705898867762401280","705898867762401280")</f>
        <v>705898867762401280</v>
      </c>
      <c r="F532" s="11" t="s">
        <v>26</v>
      </c>
      <c r="G532" s="12">
        <v>377.0</v>
      </c>
      <c r="H532" s="12">
        <v>579.0</v>
      </c>
      <c r="I532" s="12">
        <v>4.0</v>
      </c>
      <c r="J532" s="12">
        <v>0.0</v>
      </c>
      <c r="K532" s="11" t="s">
        <v>21</v>
      </c>
      <c r="L532" s="7">
        <v>40658.53886574074</v>
      </c>
      <c r="M532" s="15"/>
      <c r="N532" s="13" t="s">
        <v>658</v>
      </c>
      <c r="O532" s="10" t="str">
        <f>HYPERLINK("https://pbs.twimg.com/profile_images/1325260598/image_normal.jpg","View")</f>
        <v>View</v>
      </c>
      <c r="P532" s="14"/>
    </row>
    <row r="533">
      <c r="A533" s="7">
        <v>42433.750821759255</v>
      </c>
      <c r="B533" s="8" t="str">
        <f t="shared" ref="B533:B534" si="141">HYPERLINK("https://twitter.com/jaheppler","@jaheppler")</f>
        <v>@jaheppler</v>
      </c>
      <c r="C533" s="9" t="s">
        <v>460</v>
      </c>
      <c r="D533" s="9" t="s">
        <v>659</v>
      </c>
      <c r="E533" s="10" t="str">
        <f>HYPERLINK("https://twitter.com/jaheppler/status/705905963979579392","705905963979579392")</f>
        <v>705905963979579392</v>
      </c>
      <c r="F533" s="11" t="s">
        <v>462</v>
      </c>
      <c r="G533" s="12">
        <v>1933.0</v>
      </c>
      <c r="H533" s="12">
        <v>480.0</v>
      </c>
      <c r="I533" s="12">
        <v>0.0</v>
      </c>
      <c r="J533" s="12">
        <v>1.0</v>
      </c>
      <c r="K533" s="11" t="s">
        <v>21</v>
      </c>
      <c r="L533" s="7">
        <v>39702.3484375</v>
      </c>
      <c r="M533" s="13" t="s">
        <v>463</v>
      </c>
      <c r="N533" s="13" t="s">
        <v>464</v>
      </c>
      <c r="O533" s="10" t="str">
        <f t="shared" ref="O533:O534" si="142">HYPERLINK("https://pbs.twimg.com/profile_images/436607137188290560/UM-U3wT1_normal.jpeg","View")</f>
        <v>View</v>
      </c>
      <c r="P533" s="14"/>
    </row>
    <row r="534">
      <c r="A534" s="7">
        <v>42433.75170138889</v>
      </c>
      <c r="B534" s="8" t="str">
        <f t="shared" si="141"/>
        <v>@jaheppler</v>
      </c>
      <c r="C534" s="9" t="s">
        <v>460</v>
      </c>
      <c r="D534" s="9" t="s">
        <v>660</v>
      </c>
      <c r="E534" s="10" t="str">
        <f>HYPERLINK("https://twitter.com/jaheppler/status/705906281509294080","705906281509294080")</f>
        <v>705906281509294080</v>
      </c>
      <c r="F534" s="11" t="s">
        <v>462</v>
      </c>
      <c r="G534" s="12">
        <v>1933.0</v>
      </c>
      <c r="H534" s="12">
        <v>480.0</v>
      </c>
      <c r="I534" s="12">
        <v>0.0</v>
      </c>
      <c r="J534" s="12">
        <v>2.0</v>
      </c>
      <c r="K534" s="11" t="s">
        <v>21</v>
      </c>
      <c r="L534" s="7">
        <v>39702.3484375</v>
      </c>
      <c r="M534" s="13" t="s">
        <v>463</v>
      </c>
      <c r="N534" s="13" t="s">
        <v>464</v>
      </c>
      <c r="O534" s="10" t="str">
        <f t="shared" si="142"/>
        <v>View</v>
      </c>
      <c r="P534" s="14"/>
    </row>
    <row r="535">
      <c r="A535" s="7">
        <v>42433.768055555556</v>
      </c>
      <c r="B535" s="8" t="str">
        <f>HYPERLINK("https://twitter.com/rebekkahrubin","@rebekkahrubin")</f>
        <v>@rebekkahrubin</v>
      </c>
      <c r="C535" s="9" t="s">
        <v>141</v>
      </c>
      <c r="D535" s="9" t="s">
        <v>661</v>
      </c>
      <c r="E535" s="10" t="str">
        <f>HYPERLINK("https://twitter.com/rebekkahrubin/status/705912207918366720","705912207918366720")</f>
        <v>705912207918366720</v>
      </c>
      <c r="F535" s="11" t="s">
        <v>31</v>
      </c>
      <c r="G535" s="12">
        <v>492.0</v>
      </c>
      <c r="H535" s="12">
        <v>1224.0</v>
      </c>
      <c r="I535" s="12">
        <v>1.0</v>
      </c>
      <c r="J535" s="12">
        <v>3.0</v>
      </c>
      <c r="K535" s="11" t="s">
        <v>21</v>
      </c>
      <c r="L535" s="7">
        <v>40411.521527777775</v>
      </c>
      <c r="M535" s="13" t="s">
        <v>143</v>
      </c>
      <c r="N535" s="13" t="s">
        <v>144</v>
      </c>
      <c r="O535" s="10" t="str">
        <f>HYPERLINK("https://pbs.twimg.com/profile_images/700317732588408832/Ym_-neUi_normal.jpg","View")</f>
        <v>View</v>
      </c>
      <c r="P535" s="14"/>
    </row>
    <row r="536">
      <c r="A536" s="7">
        <v>42433.773263888885</v>
      </c>
      <c r="B536" s="8" t="str">
        <f>HYPERLINK("https://twitter.com/erfagen","@erfagen")</f>
        <v>@erfagen</v>
      </c>
      <c r="C536" s="9" t="s">
        <v>124</v>
      </c>
      <c r="D536" s="9" t="s">
        <v>662</v>
      </c>
      <c r="E536" s="10" t="str">
        <f>HYPERLINK("https://twitter.com/erfagen/status/705914094495404033","705914094495404033")</f>
        <v>705914094495404033</v>
      </c>
      <c r="F536" s="11" t="s">
        <v>26</v>
      </c>
      <c r="G536" s="12">
        <v>1056.0</v>
      </c>
      <c r="H536" s="12">
        <v>2055.0</v>
      </c>
      <c r="I536" s="12">
        <v>1.0</v>
      </c>
      <c r="J536" s="12">
        <v>1.0</v>
      </c>
      <c r="K536" s="11" t="s">
        <v>21</v>
      </c>
      <c r="L536" s="7">
        <v>40524.93576388889</v>
      </c>
      <c r="M536" s="13" t="s">
        <v>125</v>
      </c>
      <c r="N536" s="13" t="s">
        <v>126</v>
      </c>
      <c r="O536" s="10" t="str">
        <f>HYPERLINK("https://pbs.twimg.com/profile_images/638086945722249217/mid_S_BQ_normal.jpg","View")</f>
        <v>View</v>
      </c>
      <c r="P536" s="14"/>
    </row>
    <row r="537">
      <c r="A537" s="7">
        <v>42433.77348379629</v>
      </c>
      <c r="B537" s="8" t="str">
        <f t="shared" ref="B537:B538" si="143">HYPERLINK("https://twitter.com/GHAUmass","@GHAUmass")</f>
        <v>@GHAUmass</v>
      </c>
      <c r="C537" s="9" t="s">
        <v>30</v>
      </c>
      <c r="D537" s="9" t="s">
        <v>663</v>
      </c>
      <c r="E537" s="10" t="str">
        <f>HYPERLINK("https://twitter.com/GHAUmass/status/705914176666013696","705914176666013696")</f>
        <v>705914176666013696</v>
      </c>
      <c r="F537" s="11" t="s">
        <v>26</v>
      </c>
      <c r="G537" s="12">
        <v>68.0</v>
      </c>
      <c r="H537" s="12">
        <v>100.0</v>
      </c>
      <c r="I537" s="12">
        <v>1.0</v>
      </c>
      <c r="J537" s="12">
        <v>0.0</v>
      </c>
      <c r="K537" s="11" t="s">
        <v>21</v>
      </c>
      <c r="L537" s="7">
        <v>42152.65289351852</v>
      </c>
      <c r="M537" s="13" t="s">
        <v>22</v>
      </c>
      <c r="N537" s="13" t="s">
        <v>32</v>
      </c>
      <c r="O537" s="10" t="str">
        <f t="shared" ref="O537:O538" si="144">HYPERLINK("https://pbs.twimg.com/profile_images/604060333590855682/Fk6r1D7d_normal.jpg","View")</f>
        <v>View</v>
      </c>
      <c r="P537" s="14"/>
    </row>
    <row r="538">
      <c r="A538" s="7">
        <v>42433.77358796296</v>
      </c>
      <c r="B538" s="8" t="str">
        <f t="shared" si="143"/>
        <v>@GHAUmass</v>
      </c>
      <c r="C538" s="9" t="s">
        <v>30</v>
      </c>
      <c r="D538" s="9" t="s">
        <v>664</v>
      </c>
      <c r="E538" s="10" t="str">
        <f>HYPERLINK("https://twitter.com/GHAUmass/status/705914213961752576","705914213961752576")</f>
        <v>705914213961752576</v>
      </c>
      <c r="F538" s="11" t="s">
        <v>26</v>
      </c>
      <c r="G538" s="12">
        <v>68.0</v>
      </c>
      <c r="H538" s="12">
        <v>100.0</v>
      </c>
      <c r="I538" s="12">
        <v>1.0</v>
      </c>
      <c r="J538" s="12">
        <v>0.0</v>
      </c>
      <c r="K538" s="11" t="s">
        <v>21</v>
      </c>
      <c r="L538" s="7">
        <v>42152.65289351852</v>
      </c>
      <c r="M538" s="13" t="s">
        <v>22</v>
      </c>
      <c r="N538" s="13" t="s">
        <v>32</v>
      </c>
      <c r="O538" s="10" t="str">
        <f t="shared" si="144"/>
        <v>View</v>
      </c>
      <c r="P538" s="14"/>
    </row>
    <row r="539">
      <c r="A539" s="7">
        <v>42433.77375</v>
      </c>
      <c r="B539" s="8" t="str">
        <f>HYPERLINK("https://twitter.com/erfagen","@erfagen")</f>
        <v>@erfagen</v>
      </c>
      <c r="C539" s="9" t="s">
        <v>124</v>
      </c>
      <c r="D539" s="9" t="s">
        <v>643</v>
      </c>
      <c r="E539" s="10" t="str">
        <f>HYPERLINK("https://twitter.com/erfagen/status/705914274527449088","705914274527449088")</f>
        <v>705914274527449088</v>
      </c>
      <c r="F539" s="11" t="s">
        <v>26</v>
      </c>
      <c r="G539" s="12">
        <v>1056.0</v>
      </c>
      <c r="H539" s="12">
        <v>2055.0</v>
      </c>
      <c r="I539" s="12">
        <v>4.0</v>
      </c>
      <c r="J539" s="12">
        <v>0.0</v>
      </c>
      <c r="K539" s="11" t="s">
        <v>21</v>
      </c>
      <c r="L539" s="7">
        <v>40524.93576388889</v>
      </c>
      <c r="M539" s="13" t="s">
        <v>125</v>
      </c>
      <c r="N539" s="13" t="s">
        <v>126</v>
      </c>
      <c r="O539" s="10" t="str">
        <f>HYPERLINK("https://pbs.twimg.com/profile_images/638086945722249217/mid_S_BQ_normal.jpg","View")</f>
        <v>View</v>
      </c>
      <c r="P539" s="14"/>
    </row>
    <row r="540">
      <c r="A540" s="7">
        <v>42433.77417824074</v>
      </c>
      <c r="B540" s="8" t="str">
        <f>HYPERLINK("https://twitter.com/defactofecteau","@defactofecteau")</f>
        <v>@defactofecteau</v>
      </c>
      <c r="C540" s="9" t="s">
        <v>665</v>
      </c>
      <c r="D540" s="9" t="s">
        <v>666</v>
      </c>
      <c r="E540" s="10" t="str">
        <f>HYPERLINK("https://twitter.com/defactofecteau/status/705914429796442112","705914429796442112")</f>
        <v>705914429796442112</v>
      </c>
      <c r="F540" s="11" t="s">
        <v>148</v>
      </c>
      <c r="G540" s="12">
        <v>46.0</v>
      </c>
      <c r="H540" s="12">
        <v>104.0</v>
      </c>
      <c r="I540" s="12">
        <v>0.0</v>
      </c>
      <c r="J540" s="12">
        <v>2.0</v>
      </c>
      <c r="K540" s="11" t="s">
        <v>21</v>
      </c>
      <c r="L540" s="7">
        <v>41684.53481481482</v>
      </c>
      <c r="M540" s="15"/>
      <c r="N540" s="13" t="s">
        <v>667</v>
      </c>
      <c r="O540" s="10" t="str">
        <f>HYPERLINK("https://pbs.twimg.com/profile_images/434404729263648768/vsAZLFtj_normal.jpeg","View")</f>
        <v>View</v>
      </c>
      <c r="P540" s="14"/>
    </row>
    <row r="541">
      <c r="A541" s="7">
        <v>42433.77420138889</v>
      </c>
      <c r="B541" s="8" t="str">
        <f>HYPERLINK("https://twitter.com/CitizenWald","@CitizenWald")</f>
        <v>@CitizenWald</v>
      </c>
      <c r="C541" s="9" t="s">
        <v>668</v>
      </c>
      <c r="D541" s="9" t="s">
        <v>643</v>
      </c>
      <c r="E541" s="10" t="str">
        <f>HYPERLINK("https://twitter.com/CitizenWald/status/705914437069361152","705914437069361152")</f>
        <v>705914437069361152</v>
      </c>
      <c r="F541" s="11" t="s">
        <v>26</v>
      </c>
      <c r="G541" s="12">
        <v>2335.0</v>
      </c>
      <c r="H541" s="12">
        <v>2535.0</v>
      </c>
      <c r="I541" s="12">
        <v>4.0</v>
      </c>
      <c r="J541" s="12">
        <v>0.0</v>
      </c>
      <c r="K541" s="11" t="s">
        <v>21</v>
      </c>
      <c r="L541" s="7">
        <v>39373.01613425926</v>
      </c>
      <c r="M541" s="13" t="s">
        <v>22</v>
      </c>
      <c r="N541" s="13" t="s">
        <v>669</v>
      </c>
      <c r="O541" s="10" t="str">
        <f>HYPERLINK("https://pbs.twimg.com/profile_images/661220280564486144/ZxUrdRVS_normal.jpg","View")</f>
        <v>View</v>
      </c>
      <c r="P541" s="14"/>
    </row>
    <row r="542">
      <c r="A542" s="7">
        <v>42433.77491898148</v>
      </c>
      <c r="B542" s="8" t="str">
        <f>HYPERLINK("https://twitter.com/rebekkahrubin","@rebekkahrubin")</f>
        <v>@rebekkahrubin</v>
      </c>
      <c r="C542" s="9" t="s">
        <v>141</v>
      </c>
      <c r="D542" s="9" t="s">
        <v>670</v>
      </c>
      <c r="E542" s="10" t="str">
        <f>HYPERLINK("https://twitter.com/rebekkahrubin/status/705914695400734720","705914695400734720")</f>
        <v>705914695400734720</v>
      </c>
      <c r="F542" s="11" t="s">
        <v>31</v>
      </c>
      <c r="G542" s="12">
        <v>492.0</v>
      </c>
      <c r="H542" s="12">
        <v>1224.0</v>
      </c>
      <c r="I542" s="12">
        <v>2.0</v>
      </c>
      <c r="J542" s="12">
        <v>2.0</v>
      </c>
      <c r="K542" s="11" t="s">
        <v>21</v>
      </c>
      <c r="L542" s="7">
        <v>40411.521527777775</v>
      </c>
      <c r="M542" s="13" t="s">
        <v>143</v>
      </c>
      <c r="N542" s="13" t="s">
        <v>144</v>
      </c>
      <c r="O542" s="10" t="str">
        <f>HYPERLINK("https://pbs.twimg.com/profile_images/700317732588408832/Ym_-neUi_normal.jpg","View")</f>
        <v>View</v>
      </c>
      <c r="P542" s="14"/>
    </row>
    <row r="543">
      <c r="A543" s="7">
        <v>42433.775</v>
      </c>
      <c r="B543" s="8" t="str">
        <f>HYPERLINK("https://twitter.com/juliegpeterson","@juliegpeterson")</f>
        <v>@juliegpeterson</v>
      </c>
      <c r="C543" s="9" t="s">
        <v>24</v>
      </c>
      <c r="D543" s="9" t="s">
        <v>671</v>
      </c>
      <c r="E543" s="10" t="str">
        <f>HYPERLINK("https://twitter.com/juliegpeterson/status/705914727487168512","705914727487168512")</f>
        <v>705914727487168512</v>
      </c>
      <c r="F543" s="11" t="s">
        <v>26</v>
      </c>
      <c r="G543" s="12">
        <v>239.0</v>
      </c>
      <c r="H543" s="12">
        <v>775.0</v>
      </c>
      <c r="I543" s="12">
        <v>1.0</v>
      </c>
      <c r="J543" s="12">
        <v>1.0</v>
      </c>
      <c r="K543" s="11" t="s">
        <v>21</v>
      </c>
      <c r="L543" s="7">
        <v>41208.65523148148</v>
      </c>
      <c r="M543" s="13" t="s">
        <v>22</v>
      </c>
      <c r="N543" s="13" t="s">
        <v>27</v>
      </c>
      <c r="O543" s="10" t="str">
        <f>HYPERLINK("https://pbs.twimg.com/profile_images/609765839051452416/GNW0wSt0_normal.jpg","View")</f>
        <v>View</v>
      </c>
      <c r="P543" s="14"/>
    </row>
    <row r="544">
      <c r="A544" s="7">
        <v>42433.775231481486</v>
      </c>
      <c r="B544" s="8" t="str">
        <f>HYPERLINK("https://twitter.com/GHAUmass","@GHAUmass")</f>
        <v>@GHAUmass</v>
      </c>
      <c r="C544" s="9" t="s">
        <v>30</v>
      </c>
      <c r="D544" s="9" t="s">
        <v>672</v>
      </c>
      <c r="E544" s="10" t="str">
        <f>HYPERLINK("https://twitter.com/GHAUmass/status/705914809720709121","705914809720709121")</f>
        <v>705914809720709121</v>
      </c>
      <c r="F544" s="11" t="s">
        <v>26</v>
      </c>
      <c r="G544" s="12">
        <v>68.0</v>
      </c>
      <c r="H544" s="12">
        <v>100.0</v>
      </c>
      <c r="I544" s="12">
        <v>2.0</v>
      </c>
      <c r="J544" s="12">
        <v>0.0</v>
      </c>
      <c r="K544" s="11" t="s">
        <v>21</v>
      </c>
      <c r="L544" s="7">
        <v>42152.65289351852</v>
      </c>
      <c r="M544" s="13" t="s">
        <v>22</v>
      </c>
      <c r="N544" s="13" t="s">
        <v>32</v>
      </c>
      <c r="O544" s="10" t="str">
        <f>HYPERLINK("https://pbs.twimg.com/profile_images/604060333590855682/Fk6r1D7d_normal.jpg","View")</f>
        <v>View</v>
      </c>
      <c r="P544" s="14"/>
    </row>
    <row r="545">
      <c r="A545" s="7">
        <v>42433.7752662037</v>
      </c>
      <c r="B545" s="8" t="str">
        <f>HYPERLINK("https://twitter.com/erfagen","@erfagen")</f>
        <v>@erfagen</v>
      </c>
      <c r="C545" s="9" t="s">
        <v>124</v>
      </c>
      <c r="D545" s="9" t="s">
        <v>673</v>
      </c>
      <c r="E545" s="10" t="str">
        <f>HYPERLINK("https://twitter.com/erfagen/status/705914820068024321","705914820068024321")</f>
        <v>705914820068024321</v>
      </c>
      <c r="F545" s="11" t="s">
        <v>26</v>
      </c>
      <c r="G545" s="12">
        <v>1056.0</v>
      </c>
      <c r="H545" s="12">
        <v>2055.0</v>
      </c>
      <c r="I545" s="12">
        <v>0.0</v>
      </c>
      <c r="J545" s="12">
        <v>1.0</v>
      </c>
      <c r="K545" s="11" t="s">
        <v>21</v>
      </c>
      <c r="L545" s="7">
        <v>40524.93576388889</v>
      </c>
      <c r="M545" s="13" t="s">
        <v>125</v>
      </c>
      <c r="N545" s="13" t="s">
        <v>126</v>
      </c>
      <c r="O545" s="10" t="str">
        <f>HYPERLINK("https://pbs.twimg.com/profile_images/638086945722249217/mid_S_BQ_normal.jpg","View")</f>
        <v>View</v>
      </c>
      <c r="P545" s="14"/>
    </row>
    <row r="546">
      <c r="A546" s="7">
        <v>42433.77528935185</v>
      </c>
      <c r="B546" s="8" t="str">
        <f>HYPERLINK("https://twitter.com/GHAUmass","@GHAUmass")</f>
        <v>@GHAUmass</v>
      </c>
      <c r="C546" s="9" t="s">
        <v>30</v>
      </c>
      <c r="D546" s="9" t="s">
        <v>674</v>
      </c>
      <c r="E546" s="10" t="str">
        <f>HYPERLINK("https://twitter.com/GHAUmass/status/705914829857550336","705914829857550336")</f>
        <v>705914829857550336</v>
      </c>
      <c r="F546" s="11" t="s">
        <v>26</v>
      </c>
      <c r="G546" s="12">
        <v>68.0</v>
      </c>
      <c r="H546" s="12">
        <v>100.0</v>
      </c>
      <c r="I546" s="12">
        <v>1.0</v>
      </c>
      <c r="J546" s="12">
        <v>0.0</v>
      </c>
      <c r="K546" s="11" t="s">
        <v>21</v>
      </c>
      <c r="L546" s="7">
        <v>42152.65289351852</v>
      </c>
      <c r="M546" s="13" t="s">
        <v>22</v>
      </c>
      <c r="N546" s="13" t="s">
        <v>32</v>
      </c>
      <c r="O546" s="10" t="str">
        <f>HYPERLINK("https://pbs.twimg.com/profile_images/604060333590855682/Fk6r1D7d_normal.jpg","View")</f>
        <v>View</v>
      </c>
      <c r="P546" s="14"/>
    </row>
    <row r="547">
      <c r="A547" s="7">
        <v>42433.77552083333</v>
      </c>
      <c r="B547" s="8" t="str">
        <f>HYPERLINK("https://twitter.com/umassph","@umassph")</f>
        <v>@umassph</v>
      </c>
      <c r="C547" s="9" t="s">
        <v>121</v>
      </c>
      <c r="D547" s="9" t="s">
        <v>672</v>
      </c>
      <c r="E547" s="10" t="str">
        <f>HYPERLINK("https://twitter.com/umassph/status/705914914939019265","705914914939019265")</f>
        <v>705914914939019265</v>
      </c>
      <c r="F547" s="11" t="s">
        <v>26</v>
      </c>
      <c r="G547" s="12">
        <v>693.0</v>
      </c>
      <c r="H547" s="12">
        <v>242.0</v>
      </c>
      <c r="I547" s="12">
        <v>2.0</v>
      </c>
      <c r="J547" s="12">
        <v>0.0</v>
      </c>
      <c r="K547" s="11" t="s">
        <v>21</v>
      </c>
      <c r="L547" s="7">
        <v>40242.52853009259</v>
      </c>
      <c r="M547" s="13" t="s">
        <v>22</v>
      </c>
      <c r="N547" s="13" t="s">
        <v>123</v>
      </c>
      <c r="O547" s="10" t="str">
        <f>HYPERLINK("https://pbs.twimg.com/profile_images/3583165575/54f0bc87a29b2ae8587193829ce07299_normal.jpeg","View")</f>
        <v>View</v>
      </c>
      <c r="P547" s="14"/>
    </row>
    <row r="548">
      <c r="A548" s="7">
        <v>42433.776446759264</v>
      </c>
      <c r="B548" s="8" t="str">
        <f>HYPERLINK("https://twitter.com/rebekkahrubin","@rebekkahrubin")</f>
        <v>@rebekkahrubin</v>
      </c>
      <c r="C548" s="9" t="s">
        <v>141</v>
      </c>
      <c r="D548" s="9" t="s">
        <v>675</v>
      </c>
      <c r="E548" s="10" t="str">
        <f>HYPERLINK("https://twitter.com/rebekkahrubin/status/705915250273611776","705915250273611776")</f>
        <v>705915250273611776</v>
      </c>
      <c r="F548" s="11" t="s">
        <v>31</v>
      </c>
      <c r="G548" s="12">
        <v>492.0</v>
      </c>
      <c r="H548" s="12">
        <v>1224.0</v>
      </c>
      <c r="I548" s="12">
        <v>2.0</v>
      </c>
      <c r="J548" s="12">
        <v>1.0</v>
      </c>
      <c r="K548" s="11" t="s">
        <v>21</v>
      </c>
      <c r="L548" s="7">
        <v>40411.521527777775</v>
      </c>
      <c r="M548" s="13" t="s">
        <v>143</v>
      </c>
      <c r="N548" s="13" t="s">
        <v>144</v>
      </c>
      <c r="O548" s="10" t="str">
        <f>HYPERLINK("https://pbs.twimg.com/profile_images/700317732588408832/Ym_-neUi_normal.jpg","View")</f>
        <v>View</v>
      </c>
      <c r="P548" s="14"/>
    </row>
    <row r="549">
      <c r="A549" s="7">
        <v>42433.77685185186</v>
      </c>
      <c r="B549" s="8" t="str">
        <f>HYPERLINK("https://twitter.com/GHAUmass","@GHAUmass")</f>
        <v>@GHAUmass</v>
      </c>
      <c r="C549" s="9" t="s">
        <v>30</v>
      </c>
      <c r="D549" s="9" t="s">
        <v>676</v>
      </c>
      <c r="E549" s="10" t="str">
        <f>HYPERLINK("https://twitter.com/GHAUmass/status/705915397569122308","705915397569122308")</f>
        <v>705915397569122308</v>
      </c>
      <c r="F549" s="11" t="s">
        <v>26</v>
      </c>
      <c r="G549" s="12">
        <v>68.0</v>
      </c>
      <c r="H549" s="12">
        <v>100.0</v>
      </c>
      <c r="I549" s="12">
        <v>2.0</v>
      </c>
      <c r="J549" s="12">
        <v>0.0</v>
      </c>
      <c r="K549" s="11" t="s">
        <v>21</v>
      </c>
      <c r="L549" s="7">
        <v>42152.65289351852</v>
      </c>
      <c r="M549" s="13" t="s">
        <v>22</v>
      </c>
      <c r="N549" s="13" t="s">
        <v>32</v>
      </c>
      <c r="O549" s="10" t="str">
        <f>HYPERLINK("https://pbs.twimg.com/profile_images/604060333590855682/Fk6r1D7d_normal.jpg","View")</f>
        <v>View</v>
      </c>
      <c r="P549" s="14"/>
    </row>
    <row r="550">
      <c r="A550" s="7">
        <v>42433.777442129634</v>
      </c>
      <c r="B550" s="8" t="str">
        <f>HYPERLINK("https://twitter.com/erfagen","@erfagen")</f>
        <v>@erfagen</v>
      </c>
      <c r="C550" s="9" t="s">
        <v>124</v>
      </c>
      <c r="D550" s="9" t="s">
        <v>676</v>
      </c>
      <c r="E550" s="10" t="str">
        <f>HYPERLINK("https://twitter.com/erfagen/status/705915610924982273","705915610924982273")</f>
        <v>705915610924982273</v>
      </c>
      <c r="F550" s="11" t="s">
        <v>26</v>
      </c>
      <c r="G550" s="12">
        <v>1056.0</v>
      </c>
      <c r="H550" s="12">
        <v>2055.0</v>
      </c>
      <c r="I550" s="12">
        <v>2.0</v>
      </c>
      <c r="J550" s="12">
        <v>0.0</v>
      </c>
      <c r="K550" s="11" t="s">
        <v>21</v>
      </c>
      <c r="L550" s="7">
        <v>40524.93576388889</v>
      </c>
      <c r="M550" s="13" t="s">
        <v>125</v>
      </c>
      <c r="N550" s="13" t="s">
        <v>126</v>
      </c>
      <c r="O550" s="10" t="str">
        <f>HYPERLINK("https://pbs.twimg.com/profile_images/638086945722249217/mid_S_BQ_normal.jpg","View")</f>
        <v>View</v>
      </c>
      <c r="P550" s="14"/>
    </row>
    <row r="551">
      <c r="A551" s="7">
        <v>42433.77784722223</v>
      </c>
      <c r="B551" s="8" t="str">
        <f>HYPERLINK("https://twitter.com/juliegpeterson","@juliegpeterson")</f>
        <v>@juliegpeterson</v>
      </c>
      <c r="C551" s="9" t="s">
        <v>24</v>
      </c>
      <c r="D551" s="9" t="s">
        <v>677</v>
      </c>
      <c r="E551" s="10" t="str">
        <f>HYPERLINK("https://twitter.com/juliegpeterson/status/705915756811329539","705915756811329539")</f>
        <v>705915756811329539</v>
      </c>
      <c r="F551" s="11" t="s">
        <v>26</v>
      </c>
      <c r="G551" s="12">
        <v>239.0</v>
      </c>
      <c r="H551" s="12">
        <v>775.0</v>
      </c>
      <c r="I551" s="12">
        <v>2.0</v>
      </c>
      <c r="J551" s="12">
        <v>4.0</v>
      </c>
      <c r="K551" s="11" t="s">
        <v>21</v>
      </c>
      <c r="L551" s="7">
        <v>41208.65523148148</v>
      </c>
      <c r="M551" s="13" t="s">
        <v>22</v>
      </c>
      <c r="N551" s="13" t="s">
        <v>27</v>
      </c>
      <c r="O551" s="10" t="str">
        <f>HYPERLINK("https://pbs.twimg.com/profile_images/609765839051452416/GNW0wSt0_normal.jpg","View")</f>
        <v>View</v>
      </c>
      <c r="P551" s="14"/>
    </row>
    <row r="552">
      <c r="A552" s="7">
        <v>42433.77820601852</v>
      </c>
      <c r="B552" s="8" t="str">
        <f>HYPERLINK("https://twitter.com/GHAUmass","@GHAUmass")</f>
        <v>@GHAUmass</v>
      </c>
      <c r="C552" s="9" t="s">
        <v>30</v>
      </c>
      <c r="D552" s="9" t="s">
        <v>678</v>
      </c>
      <c r="E552" s="10" t="str">
        <f>HYPERLINK("https://twitter.com/GHAUmass/status/705915888109756416","705915888109756416")</f>
        <v>705915888109756416</v>
      </c>
      <c r="F552" s="11" t="s">
        <v>26</v>
      </c>
      <c r="G552" s="12">
        <v>68.0</v>
      </c>
      <c r="H552" s="12">
        <v>100.0</v>
      </c>
      <c r="I552" s="12">
        <v>2.0</v>
      </c>
      <c r="J552" s="12">
        <v>0.0</v>
      </c>
      <c r="K552" s="11" t="s">
        <v>21</v>
      </c>
      <c r="L552" s="7">
        <v>42152.65289351852</v>
      </c>
      <c r="M552" s="13" t="s">
        <v>22</v>
      </c>
      <c r="N552" s="13" t="s">
        <v>32</v>
      </c>
      <c r="O552" s="10" t="str">
        <f>HYPERLINK("https://pbs.twimg.com/profile_images/604060333590855682/Fk6r1D7d_normal.jpg","View")</f>
        <v>View</v>
      </c>
      <c r="P552" s="14"/>
    </row>
    <row r="553">
      <c r="A553" s="7">
        <v>42433.77885416667</v>
      </c>
      <c r="B553" s="8" t="str">
        <f>HYPERLINK("https://twitter.com/pastpunditry","@pastpunditry")</f>
        <v>@pastpunditry</v>
      </c>
      <c r="C553" s="9" t="s">
        <v>92</v>
      </c>
      <c r="D553" s="9" t="s">
        <v>679</v>
      </c>
      <c r="E553" s="10" t="str">
        <f>HYPERLINK("https://twitter.com/pastpunditry/status/705916124286816256","705916124286816256")</f>
        <v>705916124286816256</v>
      </c>
      <c r="F553" s="11" t="s">
        <v>26</v>
      </c>
      <c r="G553" s="12">
        <v>890.0</v>
      </c>
      <c r="H553" s="12">
        <v>378.0</v>
      </c>
      <c r="I553" s="12">
        <v>1.0</v>
      </c>
      <c r="J553" s="12">
        <v>2.0</v>
      </c>
      <c r="K553" s="11" t="s">
        <v>21</v>
      </c>
      <c r="L553" s="7">
        <v>40283.384351851855</v>
      </c>
      <c r="M553" s="13" t="s">
        <v>94</v>
      </c>
      <c r="N553" s="13" t="s">
        <v>95</v>
      </c>
      <c r="O553" s="10" t="str">
        <f>HYPERLINK("https://pbs.twimg.com/profile_images/704873222802636800/7aFEMOY5_normal.jpg","View")</f>
        <v>View</v>
      </c>
      <c r="P553" s="14"/>
    </row>
    <row r="554">
      <c r="A554" s="7">
        <v>42433.77982638888</v>
      </c>
      <c r="B554" s="8" t="str">
        <f>HYPERLINK("https://twitter.com/rebekkahrubin","@rebekkahrubin")</f>
        <v>@rebekkahrubin</v>
      </c>
      <c r="C554" s="9" t="s">
        <v>141</v>
      </c>
      <c r="D554" s="9" t="s">
        <v>680</v>
      </c>
      <c r="E554" s="10" t="str">
        <f>HYPERLINK("https://twitter.com/rebekkahrubin/status/705916473844305920","705916473844305920")</f>
        <v>705916473844305920</v>
      </c>
      <c r="F554" s="11" t="s">
        <v>31</v>
      </c>
      <c r="G554" s="12">
        <v>492.0</v>
      </c>
      <c r="H554" s="12">
        <v>1224.0</v>
      </c>
      <c r="I554" s="12">
        <v>1.0</v>
      </c>
      <c r="J554" s="12">
        <v>1.0</v>
      </c>
      <c r="K554" s="11" t="s">
        <v>21</v>
      </c>
      <c r="L554" s="7">
        <v>40411.521527777775</v>
      </c>
      <c r="M554" s="13" t="s">
        <v>143</v>
      </c>
      <c r="N554" s="13" t="s">
        <v>144</v>
      </c>
      <c r="O554" s="10" t="str">
        <f>HYPERLINK("https://pbs.twimg.com/profile_images/700317732588408832/Ym_-neUi_normal.jpg","View")</f>
        <v>View</v>
      </c>
      <c r="P554" s="14"/>
    </row>
    <row r="555">
      <c r="A555" s="7">
        <v>42433.78009259259</v>
      </c>
      <c r="B555" s="8" t="str">
        <f t="shared" ref="B555:B556" si="145">HYPERLINK("https://twitter.com/GHAUmass","@GHAUmass")</f>
        <v>@GHAUmass</v>
      </c>
      <c r="C555" s="9" t="s">
        <v>30</v>
      </c>
      <c r="D555" s="9" t="s">
        <v>681</v>
      </c>
      <c r="E555" s="10" t="str">
        <f>HYPERLINK("https://twitter.com/GHAUmass/status/705916571265458177","705916571265458177")</f>
        <v>705916571265458177</v>
      </c>
      <c r="F555" s="11" t="s">
        <v>26</v>
      </c>
      <c r="G555" s="12">
        <v>68.0</v>
      </c>
      <c r="H555" s="12">
        <v>100.0</v>
      </c>
      <c r="I555" s="12">
        <v>0.0</v>
      </c>
      <c r="J555" s="12">
        <v>1.0</v>
      </c>
      <c r="K555" s="11" t="s">
        <v>21</v>
      </c>
      <c r="L555" s="7">
        <v>42152.65289351852</v>
      </c>
      <c r="M555" s="13" t="s">
        <v>22</v>
      </c>
      <c r="N555" s="13" t="s">
        <v>32</v>
      </c>
      <c r="O555" s="10" t="str">
        <f t="shared" ref="O555:O556" si="146">HYPERLINK("https://pbs.twimg.com/profile_images/604060333590855682/Fk6r1D7d_normal.jpg","View")</f>
        <v>View</v>
      </c>
      <c r="P555" s="14"/>
    </row>
    <row r="556">
      <c r="A556" s="7">
        <v>42433.7803125</v>
      </c>
      <c r="B556" s="8" t="str">
        <f t="shared" si="145"/>
        <v>@GHAUmass</v>
      </c>
      <c r="C556" s="9" t="s">
        <v>30</v>
      </c>
      <c r="D556" s="9" t="s">
        <v>682</v>
      </c>
      <c r="E556" s="10" t="str">
        <f>HYPERLINK("https://twitter.com/GHAUmass/status/705916648990121984","705916648990121984")</f>
        <v>705916648990121984</v>
      </c>
      <c r="F556" s="11" t="s">
        <v>26</v>
      </c>
      <c r="G556" s="12">
        <v>68.0</v>
      </c>
      <c r="H556" s="12">
        <v>100.0</v>
      </c>
      <c r="I556" s="12">
        <v>1.0</v>
      </c>
      <c r="J556" s="12">
        <v>0.0</v>
      </c>
      <c r="K556" s="11" t="s">
        <v>21</v>
      </c>
      <c r="L556" s="7">
        <v>42152.65289351852</v>
      </c>
      <c r="M556" s="13" t="s">
        <v>22</v>
      </c>
      <c r="N556" s="13" t="s">
        <v>32</v>
      </c>
      <c r="O556" s="10" t="str">
        <f t="shared" si="146"/>
        <v>View</v>
      </c>
      <c r="P556" s="14"/>
    </row>
    <row r="557">
      <c r="A557" s="7">
        <v>42433.780324074076</v>
      </c>
      <c r="B557" s="8" t="str">
        <f>HYPERLINK("https://twitter.com/JulieThePH","@JulieThePH")</f>
        <v>@JulieThePH</v>
      </c>
      <c r="C557" s="9" t="s">
        <v>211</v>
      </c>
      <c r="D557" s="9" t="s">
        <v>683</v>
      </c>
      <c r="E557" s="10" t="str">
        <f>HYPERLINK("https://twitter.com/JulieThePH/status/705916656992841728","705916656992841728")</f>
        <v>705916656992841728</v>
      </c>
      <c r="F557" s="11" t="s">
        <v>148</v>
      </c>
      <c r="G557" s="12">
        <v>1234.0</v>
      </c>
      <c r="H557" s="12">
        <v>1386.0</v>
      </c>
      <c r="I557" s="12">
        <v>0.0</v>
      </c>
      <c r="J557" s="12">
        <v>1.0</v>
      </c>
      <c r="K557" s="11" t="s">
        <v>21</v>
      </c>
      <c r="L557" s="7">
        <v>40718.66918981481</v>
      </c>
      <c r="M557" s="13" t="s">
        <v>213</v>
      </c>
      <c r="N557" s="13" t="s">
        <v>214</v>
      </c>
      <c r="O557" s="10" t="str">
        <f>HYPERLINK("https://pbs.twimg.com/profile_images/596509974005686273/AqBblwMR_normal.jpg","View")</f>
        <v>View</v>
      </c>
      <c r="P557" s="14"/>
    </row>
    <row r="558">
      <c r="A558" s="7">
        <v>42433.7803587963</v>
      </c>
      <c r="B558" s="8" t="str">
        <f>HYPERLINK("https://twitter.com/GHAUmass","@GHAUmass")</f>
        <v>@GHAUmass</v>
      </c>
      <c r="C558" s="9" t="s">
        <v>30</v>
      </c>
      <c r="D558" s="9" t="s">
        <v>684</v>
      </c>
      <c r="E558" s="10" t="str">
        <f>HYPERLINK("https://twitter.com/GHAUmass/status/705916666954326016","705916666954326016")</f>
        <v>705916666954326016</v>
      </c>
      <c r="F558" s="11" t="s">
        <v>26</v>
      </c>
      <c r="G558" s="12">
        <v>68.0</v>
      </c>
      <c r="H558" s="12">
        <v>100.0</v>
      </c>
      <c r="I558" s="12">
        <v>1.0</v>
      </c>
      <c r="J558" s="12">
        <v>0.0</v>
      </c>
      <c r="K558" s="11" t="s">
        <v>21</v>
      </c>
      <c r="L558" s="7">
        <v>42152.65289351852</v>
      </c>
      <c r="M558" s="13" t="s">
        <v>22</v>
      </c>
      <c r="N558" s="13" t="s">
        <v>32</v>
      </c>
      <c r="O558" s="10" t="str">
        <f>HYPERLINK("https://pbs.twimg.com/profile_images/604060333590855682/Fk6r1D7d_normal.jpg","View")</f>
        <v>View</v>
      </c>
      <c r="P558" s="14"/>
    </row>
    <row r="559">
      <c r="A559" s="7">
        <v>42433.78086805556</v>
      </c>
      <c r="B559" s="8" t="str">
        <f t="shared" ref="B559:B560" si="147">HYPERLINK("https://twitter.com/rebekkahrubin","@rebekkahrubin")</f>
        <v>@rebekkahrubin</v>
      </c>
      <c r="C559" s="9" t="s">
        <v>141</v>
      </c>
      <c r="D559" s="9" t="s">
        <v>685</v>
      </c>
      <c r="E559" s="10" t="str">
        <f>HYPERLINK("https://twitter.com/rebekkahrubin/status/705916852157997058","705916852157997058")</f>
        <v>705916852157997058</v>
      </c>
      <c r="F559" s="11" t="s">
        <v>31</v>
      </c>
      <c r="G559" s="12">
        <v>492.0</v>
      </c>
      <c r="H559" s="12">
        <v>1224.0</v>
      </c>
      <c r="I559" s="12">
        <v>0.0</v>
      </c>
      <c r="J559" s="12">
        <v>1.0</v>
      </c>
      <c r="K559" s="11" t="s">
        <v>21</v>
      </c>
      <c r="L559" s="7">
        <v>40411.521527777775</v>
      </c>
      <c r="M559" s="13" t="s">
        <v>143</v>
      </c>
      <c r="N559" s="13" t="s">
        <v>144</v>
      </c>
      <c r="O559" s="10" t="str">
        <f t="shared" ref="O559:O560" si="148">HYPERLINK("https://pbs.twimg.com/profile_images/700317732588408832/Ym_-neUi_normal.jpg","View")</f>
        <v>View</v>
      </c>
      <c r="P559" s="14"/>
    </row>
    <row r="560">
      <c r="A560" s="7">
        <v>42433.78140046296</v>
      </c>
      <c r="B560" s="8" t="str">
        <f t="shared" si="147"/>
        <v>@rebekkahrubin</v>
      </c>
      <c r="C560" s="9" t="s">
        <v>141</v>
      </c>
      <c r="D560" s="9" t="s">
        <v>686</v>
      </c>
      <c r="E560" s="10" t="str">
        <f>HYPERLINK("https://twitter.com/rebekkahrubin/status/705917044856856576","705917044856856576")</f>
        <v>705917044856856576</v>
      </c>
      <c r="F560" s="11" t="s">
        <v>31</v>
      </c>
      <c r="G560" s="12">
        <v>492.0</v>
      </c>
      <c r="H560" s="12">
        <v>1224.0</v>
      </c>
      <c r="I560" s="12">
        <v>0.0</v>
      </c>
      <c r="J560" s="12">
        <v>1.0</v>
      </c>
      <c r="K560" s="11" t="s">
        <v>21</v>
      </c>
      <c r="L560" s="7">
        <v>40411.521527777775</v>
      </c>
      <c r="M560" s="13" t="s">
        <v>143</v>
      </c>
      <c r="N560" s="13" t="s">
        <v>144</v>
      </c>
      <c r="O560" s="10" t="str">
        <f t="shared" si="148"/>
        <v>View</v>
      </c>
      <c r="P560" s="14"/>
    </row>
    <row r="561">
      <c r="A561" s="7">
        <v>42433.78172453704</v>
      </c>
      <c r="B561" s="8" t="str">
        <f>HYPERLINK("https://twitter.com/magmidd","@magmidd")</f>
        <v>@magmidd</v>
      </c>
      <c r="C561" s="9" t="s">
        <v>636</v>
      </c>
      <c r="D561" s="9" t="s">
        <v>687</v>
      </c>
      <c r="E561" s="10" t="str">
        <f>HYPERLINK("https://twitter.com/magmidd/status/705917161424842752","705917161424842752")</f>
        <v>705917161424842752</v>
      </c>
      <c r="F561" s="11" t="s">
        <v>148</v>
      </c>
      <c r="G561" s="12">
        <v>1385.0</v>
      </c>
      <c r="H561" s="12">
        <v>1353.0</v>
      </c>
      <c r="I561" s="12">
        <v>1.0</v>
      </c>
      <c r="J561" s="12">
        <v>2.0</v>
      </c>
      <c r="K561" s="11" t="s">
        <v>21</v>
      </c>
      <c r="L561" s="7">
        <v>41511.60082175926</v>
      </c>
      <c r="M561" s="13" t="s">
        <v>197</v>
      </c>
      <c r="N561" s="13" t="s">
        <v>638</v>
      </c>
      <c r="O561" s="10" t="str">
        <f>HYPERLINK("https://pbs.twimg.com/profile_images/378800000450415007/82bcc7d0cab85e8d5920dbf5ded6715e_normal.jpeg","View")</f>
        <v>View</v>
      </c>
      <c r="P561" s="14"/>
    </row>
    <row r="562">
      <c r="A562" s="7">
        <v>42433.78178240741</v>
      </c>
      <c r="B562" s="8" t="str">
        <f>HYPERLINK("https://twitter.com/sheishistoric","@sheishistoric")</f>
        <v>@sheishistoric</v>
      </c>
      <c r="C562" s="9" t="s">
        <v>127</v>
      </c>
      <c r="D562" s="9" t="s">
        <v>688</v>
      </c>
      <c r="E562" s="10" t="str">
        <f>HYPERLINK("https://twitter.com/sheishistoric/status/705917185017962496","705917185017962496")</f>
        <v>705917185017962496</v>
      </c>
      <c r="F562" s="11" t="s">
        <v>26</v>
      </c>
      <c r="G562" s="12">
        <v>405.0</v>
      </c>
      <c r="H562" s="12">
        <v>882.0</v>
      </c>
      <c r="I562" s="12">
        <v>0.0</v>
      </c>
      <c r="J562" s="12">
        <v>1.0</v>
      </c>
      <c r="K562" s="11" t="s">
        <v>21</v>
      </c>
      <c r="L562" s="7">
        <v>41529.842094907406</v>
      </c>
      <c r="M562" s="13" t="s">
        <v>129</v>
      </c>
      <c r="N562" s="13" t="s">
        <v>130</v>
      </c>
      <c r="O562" s="10" t="str">
        <f>HYPERLINK("https://pbs.twimg.com/profile_images/650419150620377089/bJxBf---_normal.jpg","View")</f>
        <v>View</v>
      </c>
      <c r="P562" s="14"/>
    </row>
    <row r="563">
      <c r="A563" s="7">
        <v>42433.782071759255</v>
      </c>
      <c r="B563" s="8" t="str">
        <f>HYPERLINK("https://twitter.com/JulieThePH","@JulieThePH")</f>
        <v>@JulieThePH</v>
      </c>
      <c r="C563" s="9" t="s">
        <v>211</v>
      </c>
      <c r="D563" s="9" t="s">
        <v>689</v>
      </c>
      <c r="E563" s="10" t="str">
        <f>HYPERLINK("https://twitter.com/JulieThePH/status/705917289368002565","705917289368002565")</f>
        <v>705917289368002565</v>
      </c>
      <c r="F563" s="11" t="s">
        <v>148</v>
      </c>
      <c r="G563" s="12">
        <v>1234.0</v>
      </c>
      <c r="H563" s="12">
        <v>1386.0</v>
      </c>
      <c r="I563" s="12">
        <v>0.0</v>
      </c>
      <c r="J563" s="12">
        <v>2.0</v>
      </c>
      <c r="K563" s="11" t="s">
        <v>21</v>
      </c>
      <c r="L563" s="7">
        <v>40718.66918981481</v>
      </c>
      <c r="M563" s="13" t="s">
        <v>213</v>
      </c>
      <c r="N563" s="13" t="s">
        <v>214</v>
      </c>
      <c r="O563" s="10" t="str">
        <f>HYPERLINK("https://pbs.twimg.com/profile_images/596509974005686273/AqBblwMR_normal.jpg","View")</f>
        <v>View</v>
      </c>
      <c r="P563" s="14"/>
    </row>
    <row r="564">
      <c r="A564" s="7">
        <v>42433.7825</v>
      </c>
      <c r="B564" s="8" t="str">
        <f>HYPERLINK("https://twitter.com/HistoryCtr","@HistoryCtr")</f>
        <v>@HistoryCtr</v>
      </c>
      <c r="C564" s="9" t="s">
        <v>80</v>
      </c>
      <c r="D564" s="9" t="s">
        <v>690</v>
      </c>
      <c r="E564" s="10" t="str">
        <f>HYPERLINK("https://twitter.com/HistoryCtr/status/705917443395477504","705917443395477504")</f>
        <v>705917443395477504</v>
      </c>
      <c r="F564" s="11" t="s">
        <v>26</v>
      </c>
      <c r="G564" s="12">
        <v>1298.0</v>
      </c>
      <c r="H564" s="12">
        <v>338.0</v>
      </c>
      <c r="I564" s="12">
        <v>1.0</v>
      </c>
      <c r="J564" s="12">
        <v>3.0</v>
      </c>
      <c r="K564" s="11" t="s">
        <v>21</v>
      </c>
      <c r="L564" s="7">
        <v>41248.76708333333</v>
      </c>
      <c r="M564" s="13" t="s">
        <v>39</v>
      </c>
      <c r="N564" s="13" t="s">
        <v>81</v>
      </c>
      <c r="O564" s="10" t="str">
        <f>HYPERLINK("https://pbs.twimg.com/profile_images/3608762633/172233bf2e82856fd9c89c9123981930_normal.jpeg","View")</f>
        <v>View</v>
      </c>
      <c r="P564" s="14"/>
    </row>
    <row r="565">
      <c r="A565" s="7">
        <v>42433.78256944445</v>
      </c>
      <c r="B565" s="8" t="str">
        <f>HYPERLINK("https://twitter.com/GHAUmass","@GHAUmass")</f>
        <v>@GHAUmass</v>
      </c>
      <c r="C565" s="9" t="s">
        <v>30</v>
      </c>
      <c r="D565" s="9" t="s">
        <v>691</v>
      </c>
      <c r="E565" s="10" t="str">
        <f>HYPERLINK("https://twitter.com/GHAUmass/status/705917467051302913","705917467051302913")</f>
        <v>705917467051302913</v>
      </c>
      <c r="F565" s="11" t="s">
        <v>26</v>
      </c>
      <c r="G565" s="12">
        <v>68.0</v>
      </c>
      <c r="H565" s="12">
        <v>100.0</v>
      </c>
      <c r="I565" s="12">
        <v>1.0</v>
      </c>
      <c r="J565" s="12">
        <v>2.0</v>
      </c>
      <c r="K565" s="11" t="s">
        <v>21</v>
      </c>
      <c r="L565" s="7">
        <v>42152.65289351852</v>
      </c>
      <c r="M565" s="13" t="s">
        <v>22</v>
      </c>
      <c r="N565" s="13" t="s">
        <v>32</v>
      </c>
      <c r="O565" s="10" t="str">
        <f>HYPERLINK("https://pbs.twimg.com/profile_images/604060333590855682/Fk6r1D7d_normal.jpg","View")</f>
        <v>View</v>
      </c>
      <c r="P565" s="14"/>
    </row>
    <row r="566">
      <c r="A566" s="7">
        <v>42433.78263888889</v>
      </c>
      <c r="B566" s="8" t="str">
        <f>HYPERLINK("https://twitter.com/rebekkahrubin","@rebekkahrubin")</f>
        <v>@rebekkahrubin</v>
      </c>
      <c r="C566" s="9" t="s">
        <v>141</v>
      </c>
      <c r="D566" s="9" t="s">
        <v>692</v>
      </c>
      <c r="E566" s="10" t="str">
        <f>HYPERLINK("https://twitter.com/rebekkahrubin/status/705917492640813057","705917492640813057")</f>
        <v>705917492640813057</v>
      </c>
      <c r="F566" s="11" t="s">
        <v>31</v>
      </c>
      <c r="G566" s="12">
        <v>492.0</v>
      </c>
      <c r="H566" s="12">
        <v>1224.0</v>
      </c>
      <c r="I566" s="12">
        <v>0.0</v>
      </c>
      <c r="J566" s="12">
        <v>1.0</v>
      </c>
      <c r="K566" s="11" t="s">
        <v>21</v>
      </c>
      <c r="L566" s="7">
        <v>40411.521527777775</v>
      </c>
      <c r="M566" s="13" t="s">
        <v>143</v>
      </c>
      <c r="N566" s="13" t="s">
        <v>144</v>
      </c>
      <c r="O566" s="10" t="str">
        <f>HYPERLINK("https://pbs.twimg.com/profile_images/700317732588408832/Ym_-neUi_normal.jpg","View")</f>
        <v>View</v>
      </c>
      <c r="P566" s="14"/>
    </row>
    <row r="567">
      <c r="A567" s="7">
        <v>42433.78266203703</v>
      </c>
      <c r="B567" s="8" t="str">
        <f>HYPERLINK("https://twitter.com/pastpunditry","@pastpunditry")</f>
        <v>@pastpunditry</v>
      </c>
      <c r="C567" s="9" t="s">
        <v>92</v>
      </c>
      <c r="D567" s="9" t="s">
        <v>693</v>
      </c>
      <c r="E567" s="10" t="str">
        <f>HYPERLINK("https://twitter.com/pastpunditry/status/705917500295356416","705917500295356416")</f>
        <v>705917500295356416</v>
      </c>
      <c r="F567" s="11" t="s">
        <v>26</v>
      </c>
      <c r="G567" s="12">
        <v>890.0</v>
      </c>
      <c r="H567" s="12">
        <v>378.0</v>
      </c>
      <c r="I567" s="12">
        <v>1.0</v>
      </c>
      <c r="J567" s="12">
        <v>1.0</v>
      </c>
      <c r="K567" s="11" t="s">
        <v>21</v>
      </c>
      <c r="L567" s="7">
        <v>40283.384351851855</v>
      </c>
      <c r="M567" s="13" t="s">
        <v>94</v>
      </c>
      <c r="N567" s="13" t="s">
        <v>95</v>
      </c>
      <c r="O567" s="10" t="str">
        <f>HYPERLINK("https://pbs.twimg.com/profile_images/704873222802636800/7aFEMOY5_normal.jpg","View")</f>
        <v>View</v>
      </c>
      <c r="P567" s="14"/>
    </row>
    <row r="568">
      <c r="A568" s="7">
        <v>42433.78284722222</v>
      </c>
      <c r="B568" s="8" t="str">
        <f>HYPERLINK("https://twitter.com/MarlaAtUmass","@MarlaAtUmass")</f>
        <v>@MarlaAtUmass</v>
      </c>
      <c r="C568" s="9" t="s">
        <v>45</v>
      </c>
      <c r="D568" s="9" t="s">
        <v>694</v>
      </c>
      <c r="E568" s="10" t="str">
        <f>HYPERLINK("https://twitter.com/MarlaAtUmass/status/705917567827886080","705917567827886080")</f>
        <v>705917567827886080</v>
      </c>
      <c r="F568" s="11" t="s">
        <v>26</v>
      </c>
      <c r="G568" s="12">
        <v>1993.0</v>
      </c>
      <c r="H568" s="12">
        <v>1647.0</v>
      </c>
      <c r="I568" s="12">
        <v>1.0</v>
      </c>
      <c r="J568" s="12">
        <v>1.0</v>
      </c>
      <c r="K568" s="11" t="s">
        <v>21</v>
      </c>
      <c r="L568" s="7">
        <v>40125.78074074074</v>
      </c>
      <c r="M568" s="15"/>
      <c r="N568" s="13" t="s">
        <v>47</v>
      </c>
      <c r="O568" s="10" t="str">
        <f>HYPERLINK("https://pbs.twimg.com/profile_images/565429960/Betsy_Twitter_normal.jpg","View")</f>
        <v>View</v>
      </c>
      <c r="P568" s="14"/>
    </row>
    <row r="569">
      <c r="A569" s="7">
        <v>42433.78291666666</v>
      </c>
      <c r="B569" s="8" t="str">
        <f>HYPERLINK("https://twitter.com/juliegpeterson","@juliegpeterson")</f>
        <v>@juliegpeterson</v>
      </c>
      <c r="C569" s="9" t="s">
        <v>24</v>
      </c>
      <c r="D569" s="9" t="s">
        <v>695</v>
      </c>
      <c r="E569" s="10" t="str">
        <f>HYPERLINK("https://twitter.com/juliegpeterson/status/705917592700100608","705917592700100608")</f>
        <v>705917592700100608</v>
      </c>
      <c r="F569" s="11" t="s">
        <v>26</v>
      </c>
      <c r="G569" s="12">
        <v>239.0</v>
      </c>
      <c r="H569" s="12">
        <v>775.0</v>
      </c>
      <c r="I569" s="12">
        <v>2.0</v>
      </c>
      <c r="J569" s="12">
        <v>2.0</v>
      </c>
      <c r="K569" s="11" t="s">
        <v>21</v>
      </c>
      <c r="L569" s="7">
        <v>41208.65523148148</v>
      </c>
      <c r="M569" s="13" t="s">
        <v>22</v>
      </c>
      <c r="N569" s="13" t="s">
        <v>27</v>
      </c>
      <c r="O569" s="10" t="str">
        <f>HYPERLINK("https://pbs.twimg.com/profile_images/609765839051452416/GNW0wSt0_normal.jpg","View")</f>
        <v>View</v>
      </c>
      <c r="P569" s="14"/>
    </row>
    <row r="570">
      <c r="A570" s="7">
        <v>42433.78313657407</v>
      </c>
      <c r="B570" s="8" t="str">
        <f>HYPERLINK("https://twitter.com/rebekkahrubin","@rebekkahrubin")</f>
        <v>@rebekkahrubin</v>
      </c>
      <c r="C570" s="9" t="s">
        <v>141</v>
      </c>
      <c r="D570" s="9" t="s">
        <v>696</v>
      </c>
      <c r="E570" s="10" t="str">
        <f>HYPERLINK("https://twitter.com/rebekkahrubin/status/705917674073812993","705917674073812993")</f>
        <v>705917674073812993</v>
      </c>
      <c r="F570" s="11" t="s">
        <v>31</v>
      </c>
      <c r="G570" s="12">
        <v>492.0</v>
      </c>
      <c r="H570" s="12">
        <v>1224.0</v>
      </c>
      <c r="I570" s="12">
        <v>2.0</v>
      </c>
      <c r="J570" s="12">
        <v>1.0</v>
      </c>
      <c r="K570" s="11" t="s">
        <v>21</v>
      </c>
      <c r="L570" s="7">
        <v>40411.521527777775</v>
      </c>
      <c r="M570" s="13" t="s">
        <v>143</v>
      </c>
      <c r="N570" s="13" t="s">
        <v>144</v>
      </c>
      <c r="O570" s="10" t="str">
        <f>HYPERLINK("https://pbs.twimg.com/profile_images/700317732588408832/Ym_-neUi_normal.jpg","View")</f>
        <v>View</v>
      </c>
      <c r="P570" s="14"/>
    </row>
    <row r="571">
      <c r="A571" s="7">
        <v>42433.78322916667</v>
      </c>
      <c r="B571" s="8" t="str">
        <f>HYPERLINK("https://twitter.com/mil_historicus","@mil_historicus")</f>
        <v>@mil_historicus</v>
      </c>
      <c r="C571" s="9" t="s">
        <v>697</v>
      </c>
      <c r="D571" s="9" t="s">
        <v>698</v>
      </c>
      <c r="E571" s="10" t="str">
        <f>HYPERLINK("https://twitter.com/mil_historicus/status/705917708118990848","705917708118990848")</f>
        <v>705917708118990848</v>
      </c>
      <c r="F571" s="11" t="s">
        <v>102</v>
      </c>
      <c r="G571" s="12">
        <v>678.0</v>
      </c>
      <c r="H571" s="12">
        <v>611.0</v>
      </c>
      <c r="I571" s="12">
        <v>3.0</v>
      </c>
      <c r="J571" s="12">
        <v>0.0</v>
      </c>
      <c r="K571" s="11" t="s">
        <v>21</v>
      </c>
      <c r="L571" s="7">
        <v>40347.478009259255</v>
      </c>
      <c r="M571" s="13" t="s">
        <v>699</v>
      </c>
      <c r="N571" s="13" t="s">
        <v>700</v>
      </c>
      <c r="O571" s="10" t="str">
        <f>HYPERLINK("https://pbs.twimg.com/profile_images/703404668714684417/SjKO5beN_normal.jpg","View")</f>
        <v>View</v>
      </c>
      <c r="P571" s="14"/>
    </row>
    <row r="572">
      <c r="A572" s="7">
        <v>42433.78329861111</v>
      </c>
      <c r="B572" s="8" t="str">
        <f>HYPERLINK("https://twitter.com/erfagen","@erfagen")</f>
        <v>@erfagen</v>
      </c>
      <c r="C572" s="9" t="s">
        <v>124</v>
      </c>
      <c r="D572" s="9" t="s">
        <v>701</v>
      </c>
      <c r="E572" s="10" t="str">
        <f>HYPERLINK("https://twitter.com/erfagen/status/705917733335142400","705917733335142400")</f>
        <v>705917733335142400</v>
      </c>
      <c r="F572" s="11" t="s">
        <v>26</v>
      </c>
      <c r="G572" s="12">
        <v>1056.0</v>
      </c>
      <c r="H572" s="12">
        <v>2055.0</v>
      </c>
      <c r="I572" s="12">
        <v>1.0</v>
      </c>
      <c r="J572" s="12">
        <v>1.0</v>
      </c>
      <c r="K572" s="11" t="s">
        <v>21</v>
      </c>
      <c r="L572" s="7">
        <v>40524.93576388889</v>
      </c>
      <c r="M572" s="13" t="s">
        <v>125</v>
      </c>
      <c r="N572" s="13" t="s">
        <v>126</v>
      </c>
      <c r="O572" s="10" t="str">
        <f>HYPERLINK("https://pbs.twimg.com/profile_images/638086945722249217/mid_S_BQ_normal.jpg","View")</f>
        <v>View</v>
      </c>
      <c r="P572" s="14"/>
    </row>
    <row r="573">
      <c r="A573" s="7">
        <v>42433.78331018519</v>
      </c>
      <c r="B573" s="8" t="str">
        <f>HYPERLINK("https://twitter.com/GHAUmass","@GHAUmass")</f>
        <v>@GHAUmass</v>
      </c>
      <c r="C573" s="9" t="s">
        <v>30</v>
      </c>
      <c r="D573" s="9" t="s">
        <v>702</v>
      </c>
      <c r="E573" s="10" t="str">
        <f>HYPERLINK("https://twitter.com/GHAUmass/status/705917736078147584","705917736078147584")</f>
        <v>705917736078147584</v>
      </c>
      <c r="F573" s="11" t="s">
        <v>26</v>
      </c>
      <c r="G573" s="12">
        <v>68.0</v>
      </c>
      <c r="H573" s="12">
        <v>100.0</v>
      </c>
      <c r="I573" s="12">
        <v>1.0</v>
      </c>
      <c r="J573" s="12">
        <v>0.0</v>
      </c>
      <c r="K573" s="11" t="s">
        <v>21</v>
      </c>
      <c r="L573" s="7">
        <v>42152.65289351852</v>
      </c>
      <c r="M573" s="13" t="s">
        <v>22</v>
      </c>
      <c r="N573" s="13" t="s">
        <v>32</v>
      </c>
      <c r="O573" s="10" t="str">
        <f>HYPERLINK("https://pbs.twimg.com/profile_images/604060333590855682/Fk6r1D7d_normal.jpg","View")</f>
        <v>View</v>
      </c>
      <c r="P573" s="14"/>
    </row>
    <row r="574">
      <c r="A574" s="7">
        <v>42433.78333333333</v>
      </c>
      <c r="B574" s="8" t="str">
        <f>HYPERLINK("https://twitter.com/pastpunditry","@pastpunditry")</f>
        <v>@pastpunditry</v>
      </c>
      <c r="C574" s="9" t="s">
        <v>92</v>
      </c>
      <c r="D574" s="9" t="s">
        <v>703</v>
      </c>
      <c r="E574" s="10" t="str">
        <f>HYPERLINK("https://twitter.com/pastpunditry/status/705917747423797248","705917747423797248")</f>
        <v>705917747423797248</v>
      </c>
      <c r="F574" s="11" t="s">
        <v>26</v>
      </c>
      <c r="G574" s="12">
        <v>890.0</v>
      </c>
      <c r="H574" s="12">
        <v>378.0</v>
      </c>
      <c r="I574" s="12">
        <v>0.0</v>
      </c>
      <c r="J574" s="12">
        <v>1.0</v>
      </c>
      <c r="K574" s="11" t="s">
        <v>21</v>
      </c>
      <c r="L574" s="7">
        <v>40283.384351851855</v>
      </c>
      <c r="M574" s="13" t="s">
        <v>94</v>
      </c>
      <c r="N574" s="13" t="s">
        <v>95</v>
      </c>
      <c r="O574" s="10" t="str">
        <f>HYPERLINK("https://pbs.twimg.com/profile_images/704873222802636800/7aFEMOY5_normal.jpg","View")</f>
        <v>View</v>
      </c>
      <c r="P574" s="14"/>
    </row>
    <row r="575">
      <c r="A575" s="7">
        <v>42433.783425925925</v>
      </c>
      <c r="B575" s="8" t="str">
        <f>HYPERLINK("https://twitter.com/JulieThePH","@JulieThePH")</f>
        <v>@JulieThePH</v>
      </c>
      <c r="C575" s="9" t="s">
        <v>211</v>
      </c>
      <c r="D575" s="9" t="s">
        <v>704</v>
      </c>
      <c r="E575" s="10" t="str">
        <f>HYPERLINK("https://twitter.com/JulieThePH/status/705917779237576704","705917779237576704")</f>
        <v>705917779237576704</v>
      </c>
      <c r="F575" s="11" t="s">
        <v>148</v>
      </c>
      <c r="G575" s="12">
        <v>1234.0</v>
      </c>
      <c r="H575" s="12">
        <v>1386.0</v>
      </c>
      <c r="I575" s="12">
        <v>0.0</v>
      </c>
      <c r="J575" s="12">
        <v>1.0</v>
      </c>
      <c r="K575" s="11" t="s">
        <v>21</v>
      </c>
      <c r="L575" s="7">
        <v>40718.66918981481</v>
      </c>
      <c r="M575" s="13" t="s">
        <v>213</v>
      </c>
      <c r="N575" s="13" t="s">
        <v>214</v>
      </c>
      <c r="O575" s="10" t="str">
        <f>HYPERLINK("https://pbs.twimg.com/profile_images/596509974005686273/AqBblwMR_normal.jpg","View")</f>
        <v>View</v>
      </c>
      <c r="P575" s="14"/>
    </row>
    <row r="576">
      <c r="A576" s="7">
        <v>42433.78349537037</v>
      </c>
      <c r="B576" s="8" t="str">
        <f>HYPERLINK("https://twitter.com/umassph","@umassph")</f>
        <v>@umassph</v>
      </c>
      <c r="C576" s="9" t="s">
        <v>121</v>
      </c>
      <c r="D576" s="9" t="s">
        <v>705</v>
      </c>
      <c r="E576" s="10" t="str">
        <f>HYPERLINK("https://twitter.com/umassph/status/705917804650881024","705917804650881024")</f>
        <v>705917804650881024</v>
      </c>
      <c r="F576" s="11" t="s">
        <v>26</v>
      </c>
      <c r="G576" s="12">
        <v>693.0</v>
      </c>
      <c r="H576" s="12">
        <v>242.0</v>
      </c>
      <c r="I576" s="12">
        <v>1.0</v>
      </c>
      <c r="J576" s="12">
        <v>0.0</v>
      </c>
      <c r="K576" s="11" t="s">
        <v>21</v>
      </c>
      <c r="L576" s="7">
        <v>40242.52853009259</v>
      </c>
      <c r="M576" s="13" t="s">
        <v>22</v>
      </c>
      <c r="N576" s="13" t="s">
        <v>123</v>
      </c>
      <c r="O576" s="10" t="str">
        <f>HYPERLINK("https://pbs.twimg.com/profile_images/3583165575/54f0bc87a29b2ae8587193829ce07299_normal.jpeg","View")</f>
        <v>View</v>
      </c>
      <c r="P576" s="14"/>
    </row>
    <row r="577">
      <c r="A577" s="7">
        <v>42433.78351851852</v>
      </c>
      <c r="B577" s="8" t="str">
        <f>HYPERLINK("https://twitter.com/jamiaw","@jamiaw")</f>
        <v>@jamiaw</v>
      </c>
      <c r="C577" s="9" t="s">
        <v>324</v>
      </c>
      <c r="D577" s="9" t="s">
        <v>706</v>
      </c>
      <c r="E577" s="10" t="str">
        <f>HYPERLINK("https://twitter.com/jamiaw/status/705917812477403139","705917812477403139")</f>
        <v>705917812477403139</v>
      </c>
      <c r="F577" s="11" t="s">
        <v>26</v>
      </c>
      <c r="G577" s="12">
        <v>11335.0</v>
      </c>
      <c r="H577" s="12">
        <v>7815.0</v>
      </c>
      <c r="I577" s="12">
        <v>2.0</v>
      </c>
      <c r="J577" s="12">
        <v>0.0</v>
      </c>
      <c r="K577" s="11" t="s">
        <v>21</v>
      </c>
      <c r="L577" s="7">
        <v>39642.39741898148</v>
      </c>
      <c r="M577" s="13" t="s">
        <v>325</v>
      </c>
      <c r="N577" s="13" t="s">
        <v>326</v>
      </c>
      <c r="O577" s="10" t="str">
        <f>HYPERLINK("https://pbs.twimg.com/profile_images/701102020061753344/5zH70uem_normal.jpg","View")</f>
        <v>View</v>
      </c>
      <c r="P577" s="14"/>
    </row>
    <row r="578">
      <c r="A578" s="7">
        <v>42433.783530092594</v>
      </c>
      <c r="B578" s="8" t="str">
        <f t="shared" ref="B578:B580" si="149">HYPERLINK("https://twitter.com/GHAUmass","@GHAUmass")</f>
        <v>@GHAUmass</v>
      </c>
      <c r="C578" s="9" t="s">
        <v>30</v>
      </c>
      <c r="D578" s="9" t="s">
        <v>706</v>
      </c>
      <c r="E578" s="10" t="str">
        <f>HYPERLINK("https://twitter.com/GHAUmass/status/705917816877219841","705917816877219841")</f>
        <v>705917816877219841</v>
      </c>
      <c r="F578" s="11" t="s">
        <v>26</v>
      </c>
      <c r="G578" s="12">
        <v>68.0</v>
      </c>
      <c r="H578" s="12">
        <v>100.0</v>
      </c>
      <c r="I578" s="12">
        <v>2.0</v>
      </c>
      <c r="J578" s="12">
        <v>0.0</v>
      </c>
      <c r="K578" s="11" t="s">
        <v>21</v>
      </c>
      <c r="L578" s="7">
        <v>42152.65289351852</v>
      </c>
      <c r="M578" s="13" t="s">
        <v>22</v>
      </c>
      <c r="N578" s="13" t="s">
        <v>32</v>
      </c>
      <c r="O578" s="10" t="str">
        <f t="shared" ref="O578:O580" si="150">HYPERLINK("https://pbs.twimg.com/profile_images/604060333590855682/Fk6r1D7d_normal.jpg","View")</f>
        <v>View</v>
      </c>
      <c r="P578" s="14"/>
    </row>
    <row r="579">
      <c r="A579" s="7">
        <v>42433.78362268519</v>
      </c>
      <c r="B579" s="8" t="str">
        <f t="shared" si="149"/>
        <v>@GHAUmass</v>
      </c>
      <c r="C579" s="9" t="s">
        <v>30</v>
      </c>
      <c r="D579" s="9" t="s">
        <v>707</v>
      </c>
      <c r="E579" s="10" t="str">
        <f>HYPERLINK("https://twitter.com/GHAUmass/status/705917849890635776","705917849890635776")</f>
        <v>705917849890635776</v>
      </c>
      <c r="F579" s="11" t="s">
        <v>26</v>
      </c>
      <c r="G579" s="12">
        <v>68.0</v>
      </c>
      <c r="H579" s="12">
        <v>100.0</v>
      </c>
      <c r="I579" s="12">
        <v>1.0</v>
      </c>
      <c r="J579" s="12">
        <v>0.0</v>
      </c>
      <c r="K579" s="11" t="s">
        <v>21</v>
      </c>
      <c r="L579" s="7">
        <v>42152.65289351852</v>
      </c>
      <c r="M579" s="13" t="s">
        <v>22</v>
      </c>
      <c r="N579" s="13" t="s">
        <v>32</v>
      </c>
      <c r="O579" s="10" t="str">
        <f t="shared" si="150"/>
        <v>View</v>
      </c>
      <c r="P579" s="14"/>
    </row>
    <row r="580">
      <c r="A580" s="7">
        <v>42433.7836574074</v>
      </c>
      <c r="B580" s="8" t="str">
        <f t="shared" si="149"/>
        <v>@GHAUmass</v>
      </c>
      <c r="C580" s="9" t="s">
        <v>30</v>
      </c>
      <c r="D580" s="9" t="s">
        <v>708</v>
      </c>
      <c r="E580" s="10" t="str">
        <f>HYPERLINK("https://twitter.com/GHAUmass/status/705917862603530241","705917862603530241")</f>
        <v>705917862603530241</v>
      </c>
      <c r="F580" s="11" t="s">
        <v>26</v>
      </c>
      <c r="G580" s="12">
        <v>68.0</v>
      </c>
      <c r="H580" s="12">
        <v>100.0</v>
      </c>
      <c r="I580" s="12">
        <v>2.0</v>
      </c>
      <c r="J580" s="12">
        <v>0.0</v>
      </c>
      <c r="K580" s="11" t="s">
        <v>21</v>
      </c>
      <c r="L580" s="7">
        <v>42152.65289351852</v>
      </c>
      <c r="M580" s="13" t="s">
        <v>22</v>
      </c>
      <c r="N580" s="13" t="s">
        <v>32</v>
      </c>
      <c r="O580" s="10" t="str">
        <f t="shared" si="150"/>
        <v>View</v>
      </c>
      <c r="P580" s="14"/>
    </row>
    <row r="581">
      <c r="A581" s="7">
        <v>42433.78366898149</v>
      </c>
      <c r="B581" s="8" t="str">
        <f>HYPERLINK("https://twitter.com/defactofecteau","@defactofecteau")</f>
        <v>@defactofecteau</v>
      </c>
      <c r="C581" s="9" t="s">
        <v>665</v>
      </c>
      <c r="D581" s="9" t="s">
        <v>709</v>
      </c>
      <c r="E581" s="10" t="str">
        <f>HYPERLINK("https://twitter.com/defactofecteau/status/705917868433645569","705917868433645569")</f>
        <v>705917868433645569</v>
      </c>
      <c r="F581" s="11" t="s">
        <v>148</v>
      </c>
      <c r="G581" s="12">
        <v>46.0</v>
      </c>
      <c r="H581" s="12">
        <v>104.0</v>
      </c>
      <c r="I581" s="12">
        <v>0.0</v>
      </c>
      <c r="J581" s="12">
        <v>1.0</v>
      </c>
      <c r="K581" s="11" t="s">
        <v>21</v>
      </c>
      <c r="L581" s="7">
        <v>41684.53481481482</v>
      </c>
      <c r="M581" s="15"/>
      <c r="N581" s="13" t="s">
        <v>667</v>
      </c>
      <c r="O581" s="10" t="str">
        <f>HYPERLINK("https://pbs.twimg.com/profile_images/434404729263648768/vsAZLFtj_normal.jpeg","View")</f>
        <v>View</v>
      </c>
      <c r="P581" s="14"/>
    </row>
    <row r="582">
      <c r="A582" s="7">
        <v>42433.783784722225</v>
      </c>
      <c r="B582" s="8" t="str">
        <f>HYPERLINK("https://twitter.com/juliegpeterson","@juliegpeterson")</f>
        <v>@juliegpeterson</v>
      </c>
      <c r="C582" s="9" t="s">
        <v>24</v>
      </c>
      <c r="D582" s="9" t="s">
        <v>710</v>
      </c>
      <c r="E582" s="10" t="str">
        <f>HYPERLINK("https://twitter.com/juliegpeterson/status/705917907134504960","705917907134504960")</f>
        <v>705917907134504960</v>
      </c>
      <c r="F582" s="11" t="s">
        <v>26</v>
      </c>
      <c r="G582" s="12">
        <v>239.0</v>
      </c>
      <c r="H582" s="12">
        <v>775.0</v>
      </c>
      <c r="I582" s="12">
        <v>1.0</v>
      </c>
      <c r="J582" s="12">
        <v>0.0</v>
      </c>
      <c r="K582" s="11" t="s">
        <v>21</v>
      </c>
      <c r="L582" s="7">
        <v>41208.65523148148</v>
      </c>
      <c r="M582" s="13" t="s">
        <v>22</v>
      </c>
      <c r="N582" s="13" t="s">
        <v>27</v>
      </c>
      <c r="O582" s="10" t="str">
        <f>HYPERLINK("https://pbs.twimg.com/profile_images/609765839051452416/GNW0wSt0_normal.jpg","View")</f>
        <v>View</v>
      </c>
      <c r="P582" s="14"/>
    </row>
    <row r="583">
      <c r="A583" s="7">
        <v>42433.78387731481</v>
      </c>
      <c r="B583" s="8" t="str">
        <f>HYPERLINK("https://twitter.com/pastpunditry","@pastpunditry")</f>
        <v>@pastpunditry</v>
      </c>
      <c r="C583" s="9" t="s">
        <v>92</v>
      </c>
      <c r="D583" s="9" t="s">
        <v>711</v>
      </c>
      <c r="E583" s="10" t="str">
        <f>HYPERLINK("https://twitter.com/pastpunditry/status/705917943943733248","705917943943733248")</f>
        <v>705917943943733248</v>
      </c>
      <c r="F583" s="11" t="s">
        <v>26</v>
      </c>
      <c r="G583" s="12">
        <v>890.0</v>
      </c>
      <c r="H583" s="12">
        <v>378.0</v>
      </c>
      <c r="I583" s="12">
        <v>1.0</v>
      </c>
      <c r="J583" s="12">
        <v>1.0</v>
      </c>
      <c r="K583" s="11" t="s">
        <v>21</v>
      </c>
      <c r="L583" s="7">
        <v>40283.384351851855</v>
      </c>
      <c r="M583" s="13" t="s">
        <v>94</v>
      </c>
      <c r="N583" s="13" t="s">
        <v>95</v>
      </c>
      <c r="O583" s="10" t="str">
        <f>HYPERLINK("https://pbs.twimg.com/profile_images/704873222802636800/7aFEMOY5_normal.jpg","View")</f>
        <v>View</v>
      </c>
      <c r="P583" s="14"/>
    </row>
    <row r="584">
      <c r="A584" s="7">
        <v>42433.78388888889</v>
      </c>
      <c r="B584" s="8" t="str">
        <f>HYPERLINK("https://twitter.com/erfagen","@erfagen")</f>
        <v>@erfagen</v>
      </c>
      <c r="C584" s="9" t="s">
        <v>124</v>
      </c>
      <c r="D584" s="9" t="s">
        <v>712</v>
      </c>
      <c r="E584" s="10" t="str">
        <f>HYPERLINK("https://twitter.com/erfagen/status/705917946451910656","705917946451910656")</f>
        <v>705917946451910656</v>
      </c>
      <c r="F584" s="11" t="s">
        <v>26</v>
      </c>
      <c r="G584" s="12">
        <v>1056.0</v>
      </c>
      <c r="H584" s="12">
        <v>2055.0</v>
      </c>
      <c r="I584" s="12">
        <v>1.0</v>
      </c>
      <c r="J584" s="12">
        <v>1.0</v>
      </c>
      <c r="K584" s="11" t="s">
        <v>21</v>
      </c>
      <c r="L584" s="7">
        <v>40524.93576388889</v>
      </c>
      <c r="M584" s="13" t="s">
        <v>125</v>
      </c>
      <c r="N584" s="13" t="s">
        <v>126</v>
      </c>
      <c r="O584" s="10" t="str">
        <f>HYPERLINK("https://pbs.twimg.com/profile_images/638086945722249217/mid_S_BQ_normal.jpg","View")</f>
        <v>View</v>
      </c>
      <c r="P584" s="14"/>
    </row>
    <row r="585">
      <c r="A585" s="7">
        <v>42433.78392361111</v>
      </c>
      <c r="B585" s="8" t="str">
        <f>HYPERLINK("https://twitter.com/rebekkahrubin","@rebekkahrubin")</f>
        <v>@rebekkahrubin</v>
      </c>
      <c r="C585" s="9" t="s">
        <v>141</v>
      </c>
      <c r="D585" s="9" t="s">
        <v>713</v>
      </c>
      <c r="E585" s="10" t="str">
        <f>HYPERLINK("https://twitter.com/rebekkahrubin/status/705917959437467648","705917959437467648")</f>
        <v>705917959437467648</v>
      </c>
      <c r="F585" s="11" t="s">
        <v>31</v>
      </c>
      <c r="G585" s="12">
        <v>492.0</v>
      </c>
      <c r="H585" s="12">
        <v>1224.0</v>
      </c>
      <c r="I585" s="12">
        <v>0.0</v>
      </c>
      <c r="J585" s="12">
        <v>1.0</v>
      </c>
      <c r="K585" s="11" t="s">
        <v>21</v>
      </c>
      <c r="L585" s="7">
        <v>40411.521527777775</v>
      </c>
      <c r="M585" s="13" t="s">
        <v>143</v>
      </c>
      <c r="N585" s="13" t="s">
        <v>144</v>
      </c>
      <c r="O585" s="10" t="str">
        <f>HYPERLINK("https://pbs.twimg.com/profile_images/700317732588408832/Ym_-neUi_normal.jpg","View")</f>
        <v>View</v>
      </c>
      <c r="P585" s="14"/>
    </row>
    <row r="586">
      <c r="A586" s="7">
        <v>42433.784259259264</v>
      </c>
      <c r="B586" s="8" t="str">
        <f>HYPERLINK("https://twitter.com/JulieThePH","@JulieThePH")</f>
        <v>@JulieThePH</v>
      </c>
      <c r="C586" s="9" t="s">
        <v>211</v>
      </c>
      <c r="D586" s="9" t="s">
        <v>714</v>
      </c>
      <c r="E586" s="10" t="str">
        <f>HYPERLINK("https://twitter.com/JulieThePH/status/705918081588142080","705918081588142080")</f>
        <v>705918081588142080</v>
      </c>
      <c r="F586" s="11" t="s">
        <v>148</v>
      </c>
      <c r="G586" s="12">
        <v>1234.0</v>
      </c>
      <c r="H586" s="12">
        <v>1386.0</v>
      </c>
      <c r="I586" s="12">
        <v>0.0</v>
      </c>
      <c r="J586" s="12">
        <v>1.0</v>
      </c>
      <c r="K586" s="11" t="s">
        <v>21</v>
      </c>
      <c r="L586" s="7">
        <v>40718.66918981481</v>
      </c>
      <c r="M586" s="13" t="s">
        <v>213</v>
      </c>
      <c r="N586" s="13" t="s">
        <v>214</v>
      </c>
      <c r="O586" s="10" t="str">
        <f>HYPERLINK("https://pbs.twimg.com/profile_images/596509974005686273/AqBblwMR_normal.jpg","View")</f>
        <v>View</v>
      </c>
      <c r="P586" s="14"/>
    </row>
    <row r="587">
      <c r="A587" s="7">
        <v>42433.78450231481</v>
      </c>
      <c r="B587" s="8" t="str">
        <f>HYPERLINK("https://twitter.com/pastpunditry","@pastpunditry")</f>
        <v>@pastpunditry</v>
      </c>
      <c r="C587" s="9" t="s">
        <v>92</v>
      </c>
      <c r="D587" s="9" t="s">
        <v>715</v>
      </c>
      <c r="E587" s="10" t="str">
        <f>HYPERLINK("https://twitter.com/pastpunditry/status/705918169622421504","705918169622421504")</f>
        <v>705918169622421504</v>
      </c>
      <c r="F587" s="11" t="s">
        <v>26</v>
      </c>
      <c r="G587" s="12">
        <v>890.0</v>
      </c>
      <c r="H587" s="12">
        <v>378.0</v>
      </c>
      <c r="I587" s="12">
        <v>1.0</v>
      </c>
      <c r="J587" s="12">
        <v>1.0</v>
      </c>
      <c r="K587" s="11" t="s">
        <v>21</v>
      </c>
      <c r="L587" s="7">
        <v>40283.384351851855</v>
      </c>
      <c r="M587" s="13" t="s">
        <v>94</v>
      </c>
      <c r="N587" s="13" t="s">
        <v>95</v>
      </c>
      <c r="O587" s="10" t="str">
        <f>HYPERLINK("https://pbs.twimg.com/profile_images/704873222802636800/7aFEMOY5_normal.jpg","View")</f>
        <v>View</v>
      </c>
      <c r="P587" s="14"/>
    </row>
    <row r="588">
      <c r="A588" s="7">
        <v>42433.78451388889</v>
      </c>
      <c r="B588" s="8" t="str">
        <f>HYPERLINK("https://twitter.com/rebekkahrubin","@rebekkahrubin")</f>
        <v>@rebekkahrubin</v>
      </c>
      <c r="C588" s="9" t="s">
        <v>141</v>
      </c>
      <c r="D588" s="9" t="s">
        <v>716</v>
      </c>
      <c r="E588" s="10" t="str">
        <f>HYPERLINK("https://twitter.com/rebekkahrubin/status/705918173489590273","705918173489590273")</f>
        <v>705918173489590273</v>
      </c>
      <c r="F588" s="11" t="s">
        <v>31</v>
      </c>
      <c r="G588" s="12">
        <v>492.0</v>
      </c>
      <c r="H588" s="12">
        <v>1224.0</v>
      </c>
      <c r="I588" s="12">
        <v>1.0</v>
      </c>
      <c r="J588" s="12">
        <v>1.0</v>
      </c>
      <c r="K588" s="11" t="s">
        <v>21</v>
      </c>
      <c r="L588" s="7">
        <v>40411.521527777775</v>
      </c>
      <c r="M588" s="13" t="s">
        <v>143</v>
      </c>
      <c r="N588" s="13" t="s">
        <v>144</v>
      </c>
      <c r="O588" s="10" t="str">
        <f>HYPERLINK("https://pbs.twimg.com/profile_images/700317732588408832/Ym_-neUi_normal.jpg","View")</f>
        <v>View</v>
      </c>
      <c r="P588" s="14"/>
    </row>
    <row r="589">
      <c r="A589" s="7">
        <v>42433.78466435186</v>
      </c>
      <c r="B589" s="8" t="str">
        <f>HYPERLINK("https://twitter.com/AmandaMoniz1","@AmandaMoniz1")</f>
        <v>@AmandaMoniz1</v>
      </c>
      <c r="C589" s="9" t="s">
        <v>66</v>
      </c>
      <c r="D589" s="9" t="s">
        <v>717</v>
      </c>
      <c r="E589" s="10" t="str">
        <f>HYPERLINK("https://twitter.com/AmandaMoniz1/status/705918225754824704","705918225754824704")</f>
        <v>705918225754824704</v>
      </c>
      <c r="F589" s="11" t="s">
        <v>26</v>
      </c>
      <c r="G589" s="12">
        <v>622.0</v>
      </c>
      <c r="H589" s="12">
        <v>607.0</v>
      </c>
      <c r="I589" s="12">
        <v>1.0</v>
      </c>
      <c r="J589" s="12">
        <v>0.0</v>
      </c>
      <c r="K589" s="11" t="s">
        <v>21</v>
      </c>
      <c r="L589" s="7">
        <v>40766.33971064815</v>
      </c>
      <c r="M589" s="15"/>
      <c r="N589" s="13" t="s">
        <v>68</v>
      </c>
      <c r="O589" s="10" t="str">
        <f>HYPERLINK("https://pbs.twimg.com/profile_images/378800000149111881/7969acf9cec4197748b502a6a6c3d921_normal.jpeg","View")</f>
        <v>View</v>
      </c>
      <c r="P589" s="14"/>
    </row>
    <row r="590">
      <c r="A590" s="7">
        <v>42433.78493055556</v>
      </c>
      <c r="B590" s="8" t="str">
        <f>HYPERLINK("https://twitter.com/magmidd","@magmidd")</f>
        <v>@magmidd</v>
      </c>
      <c r="C590" s="9" t="s">
        <v>636</v>
      </c>
      <c r="D590" s="9" t="s">
        <v>718</v>
      </c>
      <c r="E590" s="10" t="str">
        <f>HYPERLINK("https://twitter.com/magmidd/status/705918325272907776","705918325272907776")</f>
        <v>705918325272907776</v>
      </c>
      <c r="F590" s="11" t="s">
        <v>148</v>
      </c>
      <c r="G590" s="12">
        <v>1385.0</v>
      </c>
      <c r="H590" s="12">
        <v>1353.0</v>
      </c>
      <c r="I590" s="12">
        <v>2.0</v>
      </c>
      <c r="J590" s="12">
        <v>5.0</v>
      </c>
      <c r="K590" s="11" t="s">
        <v>21</v>
      </c>
      <c r="L590" s="7">
        <v>41511.60082175926</v>
      </c>
      <c r="M590" s="13" t="s">
        <v>197</v>
      </c>
      <c r="N590" s="13" t="s">
        <v>638</v>
      </c>
      <c r="O590" s="10" t="str">
        <f>HYPERLINK("https://pbs.twimg.com/profile_images/378800000450415007/82bcc7d0cab85e8d5920dbf5ded6715e_normal.jpeg","View")</f>
        <v>View</v>
      </c>
      <c r="P590" s="14"/>
    </row>
    <row r="591">
      <c r="A591" s="7">
        <v>42433.78512731481</v>
      </c>
      <c r="B591" s="8" t="str">
        <f>HYPERLINK("https://twitter.com/juliegpeterson","@juliegpeterson")</f>
        <v>@juliegpeterson</v>
      </c>
      <c r="C591" s="9" t="s">
        <v>24</v>
      </c>
      <c r="D591" s="9" t="s">
        <v>719</v>
      </c>
      <c r="E591" s="10" t="str">
        <f>HYPERLINK("https://twitter.com/juliegpeterson/status/705918393656987648","705918393656987648")</f>
        <v>705918393656987648</v>
      </c>
      <c r="F591" s="11" t="s">
        <v>26</v>
      </c>
      <c r="G591" s="12">
        <v>239.0</v>
      </c>
      <c r="H591" s="12">
        <v>775.0</v>
      </c>
      <c r="I591" s="12">
        <v>1.0</v>
      </c>
      <c r="J591" s="12">
        <v>3.0</v>
      </c>
      <c r="K591" s="11" t="s">
        <v>21</v>
      </c>
      <c r="L591" s="7">
        <v>41208.65523148148</v>
      </c>
      <c r="M591" s="13" t="s">
        <v>22</v>
      </c>
      <c r="N591" s="13" t="s">
        <v>27</v>
      </c>
      <c r="O591" s="10" t="str">
        <f>HYPERLINK("https://pbs.twimg.com/profile_images/609765839051452416/GNW0wSt0_normal.jpg","View")</f>
        <v>View</v>
      </c>
      <c r="P591" s="14"/>
    </row>
    <row r="592">
      <c r="A592" s="7">
        <v>42433.78527777777</v>
      </c>
      <c r="B592" s="8" t="str">
        <f>HYPERLINK("https://twitter.com/rebekkahrubin","@rebekkahrubin")</f>
        <v>@rebekkahrubin</v>
      </c>
      <c r="C592" s="9" t="s">
        <v>141</v>
      </c>
      <c r="D592" s="9" t="s">
        <v>720</v>
      </c>
      <c r="E592" s="10" t="str">
        <f>HYPERLINK("https://twitter.com/rebekkahrubin/status/705918451794223105","705918451794223105")</f>
        <v>705918451794223105</v>
      </c>
      <c r="F592" s="11" t="s">
        <v>31</v>
      </c>
      <c r="G592" s="12">
        <v>492.0</v>
      </c>
      <c r="H592" s="12">
        <v>1224.0</v>
      </c>
      <c r="I592" s="12">
        <v>0.0</v>
      </c>
      <c r="J592" s="12">
        <v>2.0</v>
      </c>
      <c r="K592" s="11" t="s">
        <v>21</v>
      </c>
      <c r="L592" s="7">
        <v>40411.521527777775</v>
      </c>
      <c r="M592" s="13" t="s">
        <v>143</v>
      </c>
      <c r="N592" s="13" t="s">
        <v>144</v>
      </c>
      <c r="O592" s="10" t="str">
        <f>HYPERLINK("https://pbs.twimg.com/profile_images/700317732588408832/Ym_-neUi_normal.jpg","View")</f>
        <v>View</v>
      </c>
      <c r="P592" s="14"/>
    </row>
    <row r="593">
      <c r="A593" s="7">
        <v>42433.78530092593</v>
      </c>
      <c r="B593" s="8" t="str">
        <f>HYPERLINK("https://twitter.com/pastpunditry","@pastpunditry")</f>
        <v>@pastpunditry</v>
      </c>
      <c r="C593" s="9" t="s">
        <v>92</v>
      </c>
      <c r="D593" s="9" t="s">
        <v>721</v>
      </c>
      <c r="E593" s="10" t="str">
        <f>HYPERLINK("https://twitter.com/pastpunditry/status/705918459142610944","705918459142610944")</f>
        <v>705918459142610944</v>
      </c>
      <c r="F593" s="11" t="s">
        <v>26</v>
      </c>
      <c r="G593" s="12">
        <v>890.0</v>
      </c>
      <c r="H593" s="12">
        <v>378.0</v>
      </c>
      <c r="I593" s="12">
        <v>0.0</v>
      </c>
      <c r="J593" s="12">
        <v>3.0</v>
      </c>
      <c r="K593" s="11" t="s">
        <v>21</v>
      </c>
      <c r="L593" s="7">
        <v>40283.384351851855</v>
      </c>
      <c r="M593" s="13" t="s">
        <v>94</v>
      </c>
      <c r="N593" s="13" t="s">
        <v>95</v>
      </c>
      <c r="O593" s="10" t="str">
        <f>HYPERLINK("https://pbs.twimg.com/profile_images/704873222802636800/7aFEMOY5_normal.jpg","View")</f>
        <v>View</v>
      </c>
      <c r="P593" s="14"/>
    </row>
    <row r="594">
      <c r="A594" s="7">
        <v>42433.78542824074</v>
      </c>
      <c r="B594" s="8" t="str">
        <f>HYPERLINK("https://twitter.com/sheishistoric","@sheishistoric")</f>
        <v>@sheishistoric</v>
      </c>
      <c r="C594" s="9" t="s">
        <v>127</v>
      </c>
      <c r="D594" s="9" t="s">
        <v>708</v>
      </c>
      <c r="E594" s="10" t="str">
        <f>HYPERLINK("https://twitter.com/sheishistoric/status/705918503220596736","705918503220596736")</f>
        <v>705918503220596736</v>
      </c>
      <c r="F594" s="11" t="s">
        <v>26</v>
      </c>
      <c r="G594" s="12">
        <v>405.0</v>
      </c>
      <c r="H594" s="12">
        <v>882.0</v>
      </c>
      <c r="I594" s="12">
        <v>2.0</v>
      </c>
      <c r="J594" s="12">
        <v>0.0</v>
      </c>
      <c r="K594" s="11" t="s">
        <v>21</v>
      </c>
      <c r="L594" s="7">
        <v>41529.842094907406</v>
      </c>
      <c r="M594" s="13" t="s">
        <v>129</v>
      </c>
      <c r="N594" s="13" t="s">
        <v>130</v>
      </c>
      <c r="O594" s="10" t="str">
        <f>HYPERLINK("https://pbs.twimg.com/profile_images/650419150620377089/bJxBf---_normal.jpg","View")</f>
        <v>View</v>
      </c>
      <c r="P594" s="14"/>
    </row>
    <row r="595">
      <c r="A595" s="7">
        <v>42433.78554398148</v>
      </c>
      <c r="B595" s="8" t="str">
        <f>HYPERLINK("https://twitter.com/JulieThePH","@JulieThePH")</f>
        <v>@JulieThePH</v>
      </c>
      <c r="C595" s="9" t="s">
        <v>211</v>
      </c>
      <c r="D595" s="9" t="s">
        <v>722</v>
      </c>
      <c r="E595" s="10" t="str">
        <f>HYPERLINK("https://twitter.com/JulieThePH/status/705918546363224065","705918546363224065")</f>
        <v>705918546363224065</v>
      </c>
      <c r="F595" s="11" t="s">
        <v>148</v>
      </c>
      <c r="G595" s="12">
        <v>1234.0</v>
      </c>
      <c r="H595" s="12">
        <v>1386.0</v>
      </c>
      <c r="I595" s="12">
        <v>4.0</v>
      </c>
      <c r="J595" s="12">
        <v>10.0</v>
      </c>
      <c r="K595" s="11" t="s">
        <v>21</v>
      </c>
      <c r="L595" s="7">
        <v>40718.66918981481</v>
      </c>
      <c r="M595" s="13" t="s">
        <v>213</v>
      </c>
      <c r="N595" s="13" t="s">
        <v>214</v>
      </c>
      <c r="O595" s="10" t="str">
        <f>HYPERLINK("https://pbs.twimg.com/profile_images/596509974005686273/AqBblwMR_normal.jpg","View")</f>
        <v>View</v>
      </c>
      <c r="P595" s="14"/>
    </row>
    <row r="596">
      <c r="A596" s="7">
        <v>42433.78561342593</v>
      </c>
      <c r="B596" s="8" t="str">
        <f>HYPERLINK("https://twitter.com/magmidd","@magmidd")</f>
        <v>@magmidd</v>
      </c>
      <c r="C596" s="9" t="s">
        <v>636</v>
      </c>
      <c r="D596" s="9" t="s">
        <v>723</v>
      </c>
      <c r="E596" s="10" t="str">
        <f>HYPERLINK("https://twitter.com/magmidd/status/705918572569108480","705918572569108480")</f>
        <v>705918572569108480</v>
      </c>
      <c r="F596" s="11" t="s">
        <v>148</v>
      </c>
      <c r="G596" s="12">
        <v>1385.0</v>
      </c>
      <c r="H596" s="12">
        <v>1353.0</v>
      </c>
      <c r="I596" s="12">
        <v>0.0</v>
      </c>
      <c r="J596" s="12">
        <v>2.0</v>
      </c>
      <c r="K596" s="11" t="s">
        <v>21</v>
      </c>
      <c r="L596" s="7">
        <v>41511.60082175926</v>
      </c>
      <c r="M596" s="13" t="s">
        <v>197</v>
      </c>
      <c r="N596" s="13" t="s">
        <v>638</v>
      </c>
      <c r="O596" s="10" t="str">
        <f>HYPERLINK("https://pbs.twimg.com/profile_images/378800000450415007/82bcc7d0cab85e8d5920dbf5ded6715e_normal.jpeg","View")</f>
        <v>View</v>
      </c>
      <c r="P596" s="14"/>
    </row>
    <row r="597">
      <c r="A597" s="7">
        <v>42433.785891203705</v>
      </c>
      <c r="B597" s="8" t="str">
        <f>HYPERLINK("https://twitter.com/erfagen","@erfagen")</f>
        <v>@erfagen</v>
      </c>
      <c r="C597" s="9" t="s">
        <v>124</v>
      </c>
      <c r="D597" s="9" t="s">
        <v>724</v>
      </c>
      <c r="E597" s="10" t="str">
        <f>HYPERLINK("https://twitter.com/erfagen/status/705918673417015296","705918673417015296")</f>
        <v>705918673417015296</v>
      </c>
      <c r="F597" s="11" t="s">
        <v>26</v>
      </c>
      <c r="G597" s="12">
        <v>1056.0</v>
      </c>
      <c r="H597" s="12">
        <v>2055.0</v>
      </c>
      <c r="I597" s="12">
        <v>2.0</v>
      </c>
      <c r="J597" s="12">
        <v>0.0</v>
      </c>
      <c r="K597" s="11" t="s">
        <v>21</v>
      </c>
      <c r="L597" s="7">
        <v>40524.93576388889</v>
      </c>
      <c r="M597" s="13" t="s">
        <v>125</v>
      </c>
      <c r="N597" s="13" t="s">
        <v>126</v>
      </c>
      <c r="O597" s="10" t="str">
        <f>HYPERLINK("https://pbs.twimg.com/profile_images/638086945722249217/mid_S_BQ_normal.jpg","View")</f>
        <v>View</v>
      </c>
      <c r="P597" s="14"/>
    </row>
    <row r="598">
      <c r="A598" s="7">
        <v>42433.78597222222</v>
      </c>
      <c r="B598" s="8" t="str">
        <f>HYPERLINK("https://twitter.com/GHAUmass","@GHAUmass")</f>
        <v>@GHAUmass</v>
      </c>
      <c r="C598" s="9" t="s">
        <v>30</v>
      </c>
      <c r="D598" s="9" t="s">
        <v>725</v>
      </c>
      <c r="E598" s="10" t="str">
        <f>HYPERLINK("https://twitter.com/GHAUmass/status/705918699941838852","705918699941838852")</f>
        <v>705918699941838852</v>
      </c>
      <c r="F598" s="11" t="s">
        <v>26</v>
      </c>
      <c r="G598" s="12">
        <v>68.0</v>
      </c>
      <c r="H598" s="12">
        <v>100.0</v>
      </c>
      <c r="I598" s="12">
        <v>1.0</v>
      </c>
      <c r="J598" s="12">
        <v>2.0</v>
      </c>
      <c r="K598" s="11" t="s">
        <v>21</v>
      </c>
      <c r="L598" s="7">
        <v>42152.65289351852</v>
      </c>
      <c r="M598" s="13" t="s">
        <v>22</v>
      </c>
      <c r="N598" s="13" t="s">
        <v>32</v>
      </c>
      <c r="O598" s="10" t="str">
        <f>HYPERLINK("https://pbs.twimg.com/profile_images/604060333590855682/Fk6r1D7d_normal.jpg","View")</f>
        <v>View</v>
      </c>
      <c r="P598" s="14"/>
    </row>
    <row r="599">
      <c r="A599" s="7">
        <v>42433.78606481482</v>
      </c>
      <c r="B599" s="8" t="str">
        <f>HYPERLINK("https://twitter.com/AmandaMoniz1","@AmandaMoniz1")</f>
        <v>@AmandaMoniz1</v>
      </c>
      <c r="C599" s="9" t="s">
        <v>66</v>
      </c>
      <c r="D599" s="9" t="s">
        <v>726</v>
      </c>
      <c r="E599" s="10" t="str">
        <f>HYPERLINK("https://twitter.com/AmandaMoniz1/status/705918735593426944","705918735593426944")</f>
        <v>705918735593426944</v>
      </c>
      <c r="F599" s="11" t="s">
        <v>26</v>
      </c>
      <c r="G599" s="12">
        <v>622.0</v>
      </c>
      <c r="H599" s="12">
        <v>607.0</v>
      </c>
      <c r="I599" s="12">
        <v>1.0</v>
      </c>
      <c r="J599" s="12">
        <v>0.0</v>
      </c>
      <c r="K599" s="11" t="s">
        <v>21</v>
      </c>
      <c r="L599" s="7">
        <v>40766.33971064815</v>
      </c>
      <c r="M599" s="15"/>
      <c r="N599" s="13" t="s">
        <v>68</v>
      </c>
      <c r="O599" s="10" t="str">
        <f>HYPERLINK("https://pbs.twimg.com/profile_images/378800000149111881/7969acf9cec4197748b502a6a6c3d921_normal.jpeg","View")</f>
        <v>View</v>
      </c>
      <c r="P599" s="14"/>
    </row>
    <row r="600">
      <c r="A600" s="7">
        <v>42433.786145833335</v>
      </c>
      <c r="B600" s="8" t="str">
        <f>HYPERLINK("https://twitter.com/defactofecteau","@defactofecteau")</f>
        <v>@defactofecteau</v>
      </c>
      <c r="C600" s="9" t="s">
        <v>665</v>
      </c>
      <c r="D600" s="9" t="s">
        <v>727</v>
      </c>
      <c r="E600" s="10" t="str">
        <f>HYPERLINK("https://twitter.com/defactofecteau/status/705918766455115781","705918766455115781")</f>
        <v>705918766455115781</v>
      </c>
      <c r="F600" s="11" t="s">
        <v>148</v>
      </c>
      <c r="G600" s="12">
        <v>46.0</v>
      </c>
      <c r="H600" s="12">
        <v>104.0</v>
      </c>
      <c r="I600" s="12">
        <v>1.0</v>
      </c>
      <c r="J600" s="12">
        <v>0.0</v>
      </c>
      <c r="K600" s="11" t="s">
        <v>21</v>
      </c>
      <c r="L600" s="7">
        <v>41684.53481481482</v>
      </c>
      <c r="M600" s="15"/>
      <c r="N600" s="13" t="s">
        <v>667</v>
      </c>
      <c r="O600" s="10" t="str">
        <f>HYPERLINK("https://pbs.twimg.com/profile_images/434404729263648768/vsAZLFtj_normal.jpeg","View")</f>
        <v>View</v>
      </c>
      <c r="P600" s="14"/>
    </row>
    <row r="601">
      <c r="A601" s="7">
        <v>42433.78638888889</v>
      </c>
      <c r="B601" s="8" t="str">
        <f>HYPERLINK("https://twitter.com/AmandaMoniz1","@AmandaMoniz1")</f>
        <v>@AmandaMoniz1</v>
      </c>
      <c r="C601" s="9" t="s">
        <v>66</v>
      </c>
      <c r="D601" s="9" t="s">
        <v>728</v>
      </c>
      <c r="E601" s="10" t="str">
        <f>HYPERLINK("https://twitter.com/AmandaMoniz1/status/705918851163295744","705918851163295744")</f>
        <v>705918851163295744</v>
      </c>
      <c r="F601" s="11" t="s">
        <v>26</v>
      </c>
      <c r="G601" s="12">
        <v>622.0</v>
      </c>
      <c r="H601" s="12">
        <v>607.0</v>
      </c>
      <c r="I601" s="12">
        <v>4.0</v>
      </c>
      <c r="J601" s="12">
        <v>0.0</v>
      </c>
      <c r="K601" s="11" t="s">
        <v>21</v>
      </c>
      <c r="L601" s="7">
        <v>40766.33971064815</v>
      </c>
      <c r="M601" s="15"/>
      <c r="N601" s="13" t="s">
        <v>68</v>
      </c>
      <c r="O601" s="10" t="str">
        <f>HYPERLINK("https://pbs.twimg.com/profile_images/378800000149111881/7969acf9cec4197748b502a6a6c3d921_normal.jpeg","View")</f>
        <v>View</v>
      </c>
      <c r="P601" s="14"/>
    </row>
    <row r="602">
      <c r="A602" s="7">
        <v>42433.78646990741</v>
      </c>
      <c r="B602" s="8" t="str">
        <f>HYPERLINK("https://twitter.com/GHAUmass","@GHAUmass")</f>
        <v>@GHAUmass</v>
      </c>
      <c r="C602" s="9" t="s">
        <v>30</v>
      </c>
      <c r="D602" s="9" t="s">
        <v>724</v>
      </c>
      <c r="E602" s="10" t="str">
        <f>HYPERLINK("https://twitter.com/GHAUmass/status/705918883417493504","705918883417493504")</f>
        <v>705918883417493504</v>
      </c>
      <c r="F602" s="11" t="s">
        <v>26</v>
      </c>
      <c r="G602" s="12">
        <v>68.0</v>
      </c>
      <c r="H602" s="12">
        <v>100.0</v>
      </c>
      <c r="I602" s="12">
        <v>2.0</v>
      </c>
      <c r="J602" s="12">
        <v>0.0</v>
      </c>
      <c r="K602" s="11" t="s">
        <v>21</v>
      </c>
      <c r="L602" s="7">
        <v>42152.65289351852</v>
      </c>
      <c r="M602" s="13" t="s">
        <v>22</v>
      </c>
      <c r="N602" s="13" t="s">
        <v>32</v>
      </c>
      <c r="O602" s="10" t="str">
        <f>HYPERLINK("https://pbs.twimg.com/profile_images/604060333590855682/Fk6r1D7d_normal.jpg","View")</f>
        <v>View</v>
      </c>
      <c r="P602" s="14"/>
    </row>
    <row r="603">
      <c r="A603" s="7">
        <v>42433.786574074074</v>
      </c>
      <c r="B603" s="8" t="str">
        <f>HYPERLINK("https://twitter.com/pastpunditry","@pastpunditry")</f>
        <v>@pastpunditry</v>
      </c>
      <c r="C603" s="9" t="s">
        <v>92</v>
      </c>
      <c r="D603" s="9" t="s">
        <v>729</v>
      </c>
      <c r="E603" s="10" t="str">
        <f>HYPERLINK("https://twitter.com/pastpunditry/status/705918917978546177","705918917978546177")</f>
        <v>705918917978546177</v>
      </c>
      <c r="F603" s="11" t="s">
        <v>26</v>
      </c>
      <c r="G603" s="12">
        <v>890.0</v>
      </c>
      <c r="H603" s="12">
        <v>378.0</v>
      </c>
      <c r="I603" s="12">
        <v>8.0</v>
      </c>
      <c r="J603" s="12">
        <v>11.0</v>
      </c>
      <c r="K603" s="11" t="s">
        <v>21</v>
      </c>
      <c r="L603" s="7">
        <v>40283.384351851855</v>
      </c>
      <c r="M603" s="13" t="s">
        <v>94</v>
      </c>
      <c r="N603" s="13" t="s">
        <v>95</v>
      </c>
      <c r="O603" s="10" t="str">
        <f>HYPERLINK("https://pbs.twimg.com/profile_images/704873222802636800/7aFEMOY5_normal.jpg","View")</f>
        <v>View</v>
      </c>
      <c r="P603" s="14"/>
    </row>
    <row r="604">
      <c r="A604" s="7">
        <v>42433.78658564815</v>
      </c>
      <c r="B604" s="8" t="str">
        <f>HYPERLINK("https://twitter.com/umassph","@umassph")</f>
        <v>@umassph</v>
      </c>
      <c r="C604" s="9" t="s">
        <v>121</v>
      </c>
      <c r="D604" s="9" t="s">
        <v>728</v>
      </c>
      <c r="E604" s="10" t="str">
        <f>HYPERLINK("https://twitter.com/umassph/status/705918923871539200","705918923871539200")</f>
        <v>705918923871539200</v>
      </c>
      <c r="F604" s="11" t="s">
        <v>26</v>
      </c>
      <c r="G604" s="12">
        <v>693.0</v>
      </c>
      <c r="H604" s="12">
        <v>242.0</v>
      </c>
      <c r="I604" s="12">
        <v>4.0</v>
      </c>
      <c r="J604" s="12">
        <v>0.0</v>
      </c>
      <c r="K604" s="11" t="s">
        <v>21</v>
      </c>
      <c r="L604" s="7">
        <v>40242.52853009259</v>
      </c>
      <c r="M604" s="13" t="s">
        <v>22</v>
      </c>
      <c r="N604" s="13" t="s">
        <v>123</v>
      </c>
      <c r="O604" s="10" t="str">
        <f>HYPERLINK("https://pbs.twimg.com/profile_images/3583165575/54f0bc87a29b2ae8587193829ce07299_normal.jpeg","View")</f>
        <v>View</v>
      </c>
      <c r="P604" s="14"/>
    </row>
    <row r="605">
      <c r="A605" s="7">
        <v>42433.7866550926</v>
      </c>
      <c r="B605" s="8" t="str">
        <f>HYPERLINK("https://twitter.com/GHAUmass","@GHAUmass")</f>
        <v>@GHAUmass</v>
      </c>
      <c r="C605" s="9" t="s">
        <v>30</v>
      </c>
      <c r="D605" s="9" t="s">
        <v>730</v>
      </c>
      <c r="E605" s="10" t="str">
        <f>HYPERLINK("https://twitter.com/GHAUmass/status/705918948764688384","705918948764688384")</f>
        <v>705918948764688384</v>
      </c>
      <c r="F605" s="11" t="s">
        <v>26</v>
      </c>
      <c r="G605" s="12">
        <v>68.0</v>
      </c>
      <c r="H605" s="12">
        <v>100.0</v>
      </c>
      <c r="I605" s="12">
        <v>1.0</v>
      </c>
      <c r="J605" s="12">
        <v>0.0</v>
      </c>
      <c r="K605" s="11" t="s">
        <v>21</v>
      </c>
      <c r="L605" s="7">
        <v>42152.65289351852</v>
      </c>
      <c r="M605" s="13" t="s">
        <v>22</v>
      </c>
      <c r="N605" s="13" t="s">
        <v>32</v>
      </c>
      <c r="O605" s="10" t="str">
        <f>HYPERLINK("https://pbs.twimg.com/profile_images/604060333590855682/Fk6r1D7d_normal.jpg","View")</f>
        <v>View</v>
      </c>
      <c r="P605" s="14"/>
    </row>
    <row r="606">
      <c r="A606" s="7">
        <v>42433.78667824074</v>
      </c>
      <c r="B606" s="8" t="str">
        <f>HYPERLINK("https://twitter.com/rebekkahrubin","@rebekkahrubin")</f>
        <v>@rebekkahrubin</v>
      </c>
      <c r="C606" s="9" t="s">
        <v>141</v>
      </c>
      <c r="D606" s="9" t="s">
        <v>731</v>
      </c>
      <c r="E606" s="10" t="str">
        <f>HYPERLINK("https://twitter.com/rebekkahrubin/status/705918956859727872","705918956859727872")</f>
        <v>705918956859727872</v>
      </c>
      <c r="F606" s="11" t="s">
        <v>31</v>
      </c>
      <c r="G606" s="12">
        <v>492.0</v>
      </c>
      <c r="H606" s="12">
        <v>1224.0</v>
      </c>
      <c r="I606" s="12">
        <v>1.0</v>
      </c>
      <c r="J606" s="12">
        <v>1.0</v>
      </c>
      <c r="K606" s="11" t="s">
        <v>21</v>
      </c>
      <c r="L606" s="7">
        <v>40411.521527777775</v>
      </c>
      <c r="M606" s="13" t="s">
        <v>143</v>
      </c>
      <c r="N606" s="13" t="s">
        <v>144</v>
      </c>
      <c r="O606" s="10" t="str">
        <f>HYPERLINK("https://pbs.twimg.com/profile_images/700317732588408832/Ym_-neUi_normal.jpg","View")</f>
        <v>View</v>
      </c>
      <c r="P606" s="14"/>
    </row>
    <row r="607">
      <c r="A607" s="7">
        <v>42433.78670138889</v>
      </c>
      <c r="B607" s="8" t="str">
        <f t="shared" ref="B607:B609" si="151">HYPERLINK("https://twitter.com/GHAUmass","@GHAUmass")</f>
        <v>@GHAUmass</v>
      </c>
      <c r="C607" s="9" t="s">
        <v>30</v>
      </c>
      <c r="D607" s="9" t="s">
        <v>732</v>
      </c>
      <c r="E607" s="10" t="str">
        <f>HYPERLINK("https://twitter.com/GHAUmass/status/705918966733078528","705918966733078528")</f>
        <v>705918966733078528</v>
      </c>
      <c r="F607" s="11" t="s">
        <v>26</v>
      </c>
      <c r="G607" s="12">
        <v>68.0</v>
      </c>
      <c r="H607" s="12">
        <v>100.0</v>
      </c>
      <c r="I607" s="12">
        <v>1.0</v>
      </c>
      <c r="J607" s="12">
        <v>0.0</v>
      </c>
      <c r="K607" s="11" t="s">
        <v>21</v>
      </c>
      <c r="L607" s="7">
        <v>42152.65289351852</v>
      </c>
      <c r="M607" s="13" t="s">
        <v>22</v>
      </c>
      <c r="N607" s="13" t="s">
        <v>32</v>
      </c>
      <c r="O607" s="10" t="str">
        <f t="shared" ref="O607:O609" si="152">HYPERLINK("https://pbs.twimg.com/profile_images/604060333590855682/Fk6r1D7d_normal.jpg","View")</f>
        <v>View</v>
      </c>
      <c r="P607" s="14"/>
    </row>
    <row r="608">
      <c r="A608" s="7">
        <v>42433.78675925926</v>
      </c>
      <c r="B608" s="8" t="str">
        <f t="shared" si="151"/>
        <v>@GHAUmass</v>
      </c>
      <c r="C608" s="9" t="s">
        <v>30</v>
      </c>
      <c r="D608" s="9" t="s">
        <v>733</v>
      </c>
      <c r="E608" s="10" t="str">
        <f>HYPERLINK("https://twitter.com/GHAUmass/status/705918988098871296","705918988098871296")</f>
        <v>705918988098871296</v>
      </c>
      <c r="F608" s="11" t="s">
        <v>26</v>
      </c>
      <c r="G608" s="12">
        <v>68.0</v>
      </c>
      <c r="H608" s="12">
        <v>100.0</v>
      </c>
      <c r="I608" s="12">
        <v>1.0</v>
      </c>
      <c r="J608" s="12">
        <v>0.0</v>
      </c>
      <c r="K608" s="11" t="s">
        <v>21</v>
      </c>
      <c r="L608" s="7">
        <v>42152.65289351852</v>
      </c>
      <c r="M608" s="13" t="s">
        <v>22</v>
      </c>
      <c r="N608" s="13" t="s">
        <v>32</v>
      </c>
      <c r="O608" s="10" t="str">
        <f t="shared" si="152"/>
        <v>View</v>
      </c>
      <c r="P608" s="14"/>
    </row>
    <row r="609">
      <c r="A609" s="7">
        <v>42433.78685185185</v>
      </c>
      <c r="B609" s="8" t="str">
        <f t="shared" si="151"/>
        <v>@GHAUmass</v>
      </c>
      <c r="C609" s="9" t="s">
        <v>30</v>
      </c>
      <c r="D609" s="9" t="s">
        <v>734</v>
      </c>
      <c r="E609" s="10" t="str">
        <f>HYPERLINK("https://twitter.com/GHAUmass/status/705919019300364288","705919019300364288")</f>
        <v>705919019300364288</v>
      </c>
      <c r="F609" s="11" t="s">
        <v>26</v>
      </c>
      <c r="G609" s="12">
        <v>68.0</v>
      </c>
      <c r="H609" s="12">
        <v>100.0</v>
      </c>
      <c r="I609" s="12">
        <v>1.0</v>
      </c>
      <c r="J609" s="12">
        <v>0.0</v>
      </c>
      <c r="K609" s="11" t="s">
        <v>21</v>
      </c>
      <c r="L609" s="7">
        <v>42152.65289351852</v>
      </c>
      <c r="M609" s="13" t="s">
        <v>22</v>
      </c>
      <c r="N609" s="13" t="s">
        <v>32</v>
      </c>
      <c r="O609" s="10" t="str">
        <f t="shared" si="152"/>
        <v>View</v>
      </c>
      <c r="P609" s="14"/>
    </row>
    <row r="610">
      <c r="A610" s="7">
        <v>42433.787152777775</v>
      </c>
      <c r="B610" s="8" t="str">
        <f>HYPERLINK("https://twitter.com/JulieThePH","@JulieThePH")</f>
        <v>@JulieThePH</v>
      </c>
      <c r="C610" s="9" t="s">
        <v>211</v>
      </c>
      <c r="D610" s="9" t="s">
        <v>735</v>
      </c>
      <c r="E610" s="10" t="str">
        <f>HYPERLINK("https://twitter.com/JulieThePH/status/705919129371410432","705919129371410432")</f>
        <v>705919129371410432</v>
      </c>
      <c r="F610" s="11" t="s">
        <v>148</v>
      </c>
      <c r="G610" s="12">
        <v>1234.0</v>
      </c>
      <c r="H610" s="12">
        <v>1386.0</v>
      </c>
      <c r="I610" s="12">
        <v>0.0</v>
      </c>
      <c r="J610" s="12">
        <v>2.0</v>
      </c>
      <c r="K610" s="11" t="s">
        <v>21</v>
      </c>
      <c r="L610" s="7">
        <v>40718.66918981481</v>
      </c>
      <c r="M610" s="13" t="s">
        <v>213</v>
      </c>
      <c r="N610" s="13" t="s">
        <v>214</v>
      </c>
      <c r="O610" s="10" t="str">
        <f>HYPERLINK("https://pbs.twimg.com/profile_images/596509974005686273/AqBblwMR_normal.jpg","View")</f>
        <v>View</v>
      </c>
      <c r="P610" s="14"/>
    </row>
    <row r="611">
      <c r="A611" s="7">
        <v>42433.787256944444</v>
      </c>
      <c r="B611" s="8" t="str">
        <f>HYPERLINK("https://twitter.com/juliegpeterson","@juliegpeterson")</f>
        <v>@juliegpeterson</v>
      </c>
      <c r="C611" s="9" t="s">
        <v>24</v>
      </c>
      <c r="D611" s="9" t="s">
        <v>736</v>
      </c>
      <c r="E611" s="10" t="str">
        <f>HYPERLINK("https://twitter.com/juliegpeterson/status/705919166847586304","705919166847586304")</f>
        <v>705919166847586304</v>
      </c>
      <c r="F611" s="11" t="s">
        <v>26</v>
      </c>
      <c r="G611" s="12">
        <v>239.0</v>
      </c>
      <c r="H611" s="12">
        <v>775.0</v>
      </c>
      <c r="I611" s="12">
        <v>8.0</v>
      </c>
      <c r="J611" s="12">
        <v>0.0</v>
      </c>
      <c r="K611" s="11" t="s">
        <v>21</v>
      </c>
      <c r="L611" s="7">
        <v>41208.65523148148</v>
      </c>
      <c r="M611" s="13" t="s">
        <v>22</v>
      </c>
      <c r="N611" s="13" t="s">
        <v>27</v>
      </c>
      <c r="O611" s="10" t="str">
        <f>HYPERLINK("https://pbs.twimg.com/profile_images/609765839051452416/GNW0wSt0_normal.jpg","View")</f>
        <v>View</v>
      </c>
      <c r="P611" s="14"/>
    </row>
    <row r="612">
      <c r="A612" s="7">
        <v>42433.787314814814</v>
      </c>
      <c r="B612" s="8" t="str">
        <f>HYPERLINK("https://twitter.com/pastpunditry","@pastpunditry")</f>
        <v>@pastpunditry</v>
      </c>
      <c r="C612" s="9" t="s">
        <v>92</v>
      </c>
      <c r="D612" s="9" t="s">
        <v>737</v>
      </c>
      <c r="E612" s="10" t="str">
        <f>HYPERLINK("https://twitter.com/pastpunditry/status/705919189744295936","705919189744295936")</f>
        <v>705919189744295936</v>
      </c>
      <c r="F612" s="11" t="s">
        <v>26</v>
      </c>
      <c r="G612" s="12">
        <v>890.0</v>
      </c>
      <c r="H612" s="12">
        <v>378.0</v>
      </c>
      <c r="I612" s="12">
        <v>0.0</v>
      </c>
      <c r="J612" s="12">
        <v>3.0</v>
      </c>
      <c r="K612" s="11" t="s">
        <v>21</v>
      </c>
      <c r="L612" s="7">
        <v>40283.384351851855</v>
      </c>
      <c r="M612" s="13" t="s">
        <v>94</v>
      </c>
      <c r="N612" s="13" t="s">
        <v>95</v>
      </c>
      <c r="O612" s="10" t="str">
        <f>HYPERLINK("https://pbs.twimg.com/profile_images/704873222802636800/7aFEMOY5_normal.jpg","View")</f>
        <v>View</v>
      </c>
      <c r="P612" s="14"/>
    </row>
    <row r="613">
      <c r="A613" s="7">
        <v>42433.78736111111</v>
      </c>
      <c r="B613" s="8" t="str">
        <f>HYPERLINK("https://twitter.com/MarlaAtUmass","@MarlaAtUmass")</f>
        <v>@MarlaAtUmass</v>
      </c>
      <c r="C613" s="9" t="s">
        <v>45</v>
      </c>
      <c r="D613" s="9" t="s">
        <v>728</v>
      </c>
      <c r="E613" s="10" t="str">
        <f>HYPERLINK("https://twitter.com/MarlaAtUmass/status/705919206181748736","705919206181748736")</f>
        <v>705919206181748736</v>
      </c>
      <c r="F613" s="11" t="s">
        <v>26</v>
      </c>
      <c r="G613" s="12">
        <v>1993.0</v>
      </c>
      <c r="H613" s="12">
        <v>1647.0</v>
      </c>
      <c r="I613" s="12">
        <v>4.0</v>
      </c>
      <c r="J613" s="12">
        <v>0.0</v>
      </c>
      <c r="K613" s="11" t="s">
        <v>21</v>
      </c>
      <c r="L613" s="7">
        <v>40125.78074074074</v>
      </c>
      <c r="M613" s="15"/>
      <c r="N613" s="13" t="s">
        <v>47</v>
      </c>
      <c r="O613" s="10" t="str">
        <f>HYPERLINK("https://pbs.twimg.com/profile_images/565429960/Betsy_Twitter_normal.jpg","View")</f>
        <v>View</v>
      </c>
      <c r="P613" s="14"/>
    </row>
    <row r="614">
      <c r="A614" s="7">
        <v>42433.787407407406</v>
      </c>
      <c r="B614" s="8" t="str">
        <f>HYPERLINK("https://twitter.com/foundhistory","@foundhistory")</f>
        <v>@foundhistory</v>
      </c>
      <c r="C614" s="9" t="s">
        <v>738</v>
      </c>
      <c r="D614" s="9" t="s">
        <v>739</v>
      </c>
      <c r="E614" s="10" t="str">
        <f>HYPERLINK("https://twitter.com/foundhistory/status/705919220786323457","705919220786323457")</f>
        <v>705919220786323457</v>
      </c>
      <c r="F614" s="11" t="s">
        <v>148</v>
      </c>
      <c r="G614" s="12">
        <v>6003.0</v>
      </c>
      <c r="H614" s="12">
        <v>527.0</v>
      </c>
      <c r="I614" s="12">
        <v>3.0</v>
      </c>
      <c r="J614" s="12">
        <v>6.0</v>
      </c>
      <c r="K614" s="11" t="s">
        <v>21</v>
      </c>
      <c r="L614" s="7">
        <v>39150.702199074076</v>
      </c>
      <c r="M614" s="13" t="s">
        <v>740</v>
      </c>
      <c r="N614" s="13" t="s">
        <v>741</v>
      </c>
      <c r="O614" s="10" t="str">
        <f>HYPERLINK("https://pbs.twimg.com/profile_images/504647141952745472/TwNbdViu_normal.jpeg","View")</f>
        <v>View</v>
      </c>
      <c r="P614" s="14"/>
    </row>
    <row r="615">
      <c r="A615" s="7">
        <v>42433.787407407406</v>
      </c>
      <c r="B615" s="8" t="str">
        <f>HYPERLINK("https://twitter.com/erfagen","@erfagen")</f>
        <v>@erfagen</v>
      </c>
      <c r="C615" s="9" t="s">
        <v>124</v>
      </c>
      <c r="D615" s="9" t="s">
        <v>742</v>
      </c>
      <c r="E615" s="10" t="str">
        <f>HYPERLINK("https://twitter.com/erfagen/status/705919221792952320","705919221792952320")</f>
        <v>705919221792952320</v>
      </c>
      <c r="F615" s="11" t="s">
        <v>26</v>
      </c>
      <c r="G615" s="12">
        <v>1055.0</v>
      </c>
      <c r="H615" s="12">
        <v>2055.0</v>
      </c>
      <c r="I615" s="12">
        <v>1.0</v>
      </c>
      <c r="J615" s="12">
        <v>0.0</v>
      </c>
      <c r="K615" s="11" t="s">
        <v>21</v>
      </c>
      <c r="L615" s="7">
        <v>40524.93576388889</v>
      </c>
      <c r="M615" s="13" t="s">
        <v>125</v>
      </c>
      <c r="N615" s="13" t="s">
        <v>126</v>
      </c>
      <c r="O615" s="10" t="str">
        <f>HYPERLINK("https://pbs.twimg.com/profile_images/638086945722249217/mid_S_BQ_normal.jpg","View")</f>
        <v>View</v>
      </c>
      <c r="P615" s="14"/>
    </row>
    <row r="616">
      <c r="A616" s="7">
        <v>42433.78755787037</v>
      </c>
      <c r="B616" s="8" t="str">
        <f>HYPERLINK("https://twitter.com/MarlaAtUmass","@MarlaAtUmass")</f>
        <v>@MarlaAtUmass</v>
      </c>
      <c r="C616" s="9" t="s">
        <v>45</v>
      </c>
      <c r="D616" s="9" t="s">
        <v>678</v>
      </c>
      <c r="E616" s="10" t="str">
        <f>HYPERLINK("https://twitter.com/MarlaAtUmass/status/705919275626840064","705919275626840064")</f>
        <v>705919275626840064</v>
      </c>
      <c r="F616" s="11" t="s">
        <v>26</v>
      </c>
      <c r="G616" s="12">
        <v>1993.0</v>
      </c>
      <c r="H616" s="12">
        <v>1647.0</v>
      </c>
      <c r="I616" s="12">
        <v>2.0</v>
      </c>
      <c r="J616" s="12">
        <v>0.0</v>
      </c>
      <c r="K616" s="11" t="s">
        <v>21</v>
      </c>
      <c r="L616" s="7">
        <v>40125.78074074074</v>
      </c>
      <c r="M616" s="15"/>
      <c r="N616" s="13" t="s">
        <v>47</v>
      </c>
      <c r="O616" s="10" t="str">
        <f>HYPERLINK("https://pbs.twimg.com/profile_images/565429960/Betsy_Twitter_normal.jpg","View")</f>
        <v>View</v>
      </c>
      <c r="P616" s="14"/>
    </row>
    <row r="617">
      <c r="A617" s="7">
        <v>42433.787627314814</v>
      </c>
      <c r="B617" s="8" t="str">
        <f>HYPERLINK("https://twitter.com/rebekkahrubin","@rebekkahrubin")</f>
        <v>@rebekkahrubin</v>
      </c>
      <c r="C617" s="9" t="s">
        <v>141</v>
      </c>
      <c r="D617" s="9" t="s">
        <v>743</v>
      </c>
      <c r="E617" s="10" t="str">
        <f>HYPERLINK("https://twitter.com/rebekkahrubin/status/705919300431962112","705919300431962112")</f>
        <v>705919300431962112</v>
      </c>
      <c r="F617" s="11" t="s">
        <v>31</v>
      </c>
      <c r="G617" s="12">
        <v>492.0</v>
      </c>
      <c r="H617" s="12">
        <v>1224.0</v>
      </c>
      <c r="I617" s="12">
        <v>1.0</v>
      </c>
      <c r="J617" s="12">
        <v>2.0</v>
      </c>
      <c r="K617" s="11" t="s">
        <v>21</v>
      </c>
      <c r="L617" s="7">
        <v>40411.521527777775</v>
      </c>
      <c r="M617" s="13" t="s">
        <v>143</v>
      </c>
      <c r="N617" s="13" t="s">
        <v>144</v>
      </c>
      <c r="O617" s="10" t="str">
        <f>HYPERLINK("https://pbs.twimg.com/profile_images/700317732588408832/Ym_-neUi_normal.jpg","View")</f>
        <v>View</v>
      </c>
      <c r="P617" s="14"/>
    </row>
    <row r="618">
      <c r="A618" s="7">
        <v>42433.78780092593</v>
      </c>
      <c r="B618" s="8" t="str">
        <f>HYPERLINK("https://twitter.com/MarlaAtUmass","@MarlaAtUmass")</f>
        <v>@MarlaAtUmass</v>
      </c>
      <c r="C618" s="9" t="s">
        <v>45</v>
      </c>
      <c r="D618" s="9" t="s">
        <v>744</v>
      </c>
      <c r="E618" s="10" t="str">
        <f>HYPERLINK("https://twitter.com/MarlaAtUmass/status/705919366278344704","705919366278344704")</f>
        <v>705919366278344704</v>
      </c>
      <c r="F618" s="11" t="s">
        <v>26</v>
      </c>
      <c r="G618" s="12">
        <v>1993.0</v>
      </c>
      <c r="H618" s="12">
        <v>1647.0</v>
      </c>
      <c r="I618" s="12">
        <v>3.0</v>
      </c>
      <c r="J618" s="12">
        <v>0.0</v>
      </c>
      <c r="K618" s="11" t="s">
        <v>21</v>
      </c>
      <c r="L618" s="7">
        <v>40125.78074074074</v>
      </c>
      <c r="M618" s="15"/>
      <c r="N618" s="13" t="s">
        <v>47</v>
      </c>
      <c r="O618" s="10" t="str">
        <f>HYPERLINK("https://pbs.twimg.com/profile_images/565429960/Betsy_Twitter_normal.jpg","View")</f>
        <v>View</v>
      </c>
      <c r="P618" s="14"/>
    </row>
    <row r="619">
      <c r="A619" s="7">
        <v>42433.7878125</v>
      </c>
      <c r="B619" s="8" t="str">
        <f>HYPERLINK("https://twitter.com/sheishistoric","@sheishistoric")</f>
        <v>@sheishistoric</v>
      </c>
      <c r="C619" s="9" t="s">
        <v>127</v>
      </c>
      <c r="D619" s="9" t="s">
        <v>736</v>
      </c>
      <c r="E619" s="10" t="str">
        <f>HYPERLINK("https://twitter.com/sheishistoric/status/705919368820072448","705919368820072448")</f>
        <v>705919368820072448</v>
      </c>
      <c r="F619" s="11" t="s">
        <v>26</v>
      </c>
      <c r="G619" s="12">
        <v>405.0</v>
      </c>
      <c r="H619" s="12">
        <v>882.0</v>
      </c>
      <c r="I619" s="12">
        <v>8.0</v>
      </c>
      <c r="J619" s="12">
        <v>0.0</v>
      </c>
      <c r="K619" s="11" t="s">
        <v>21</v>
      </c>
      <c r="L619" s="7">
        <v>41529.842094907406</v>
      </c>
      <c r="M619" s="13" t="s">
        <v>129</v>
      </c>
      <c r="N619" s="13" t="s">
        <v>130</v>
      </c>
      <c r="O619" s="10" t="str">
        <f>HYPERLINK("https://pbs.twimg.com/profile_images/650419150620377089/bJxBf---_normal.jpg","View")</f>
        <v>View</v>
      </c>
      <c r="P619" s="14"/>
    </row>
    <row r="620">
      <c r="A620" s="7">
        <v>42433.78784722222</v>
      </c>
      <c r="B620" s="8" t="str">
        <f>HYPERLINK("https://twitter.com/historein","@historein")</f>
        <v>@historein</v>
      </c>
      <c r="C620" s="9" t="s">
        <v>172</v>
      </c>
      <c r="D620" s="9" t="s">
        <v>745</v>
      </c>
      <c r="E620" s="10" t="str">
        <f>HYPERLINK("https://twitter.com/historein/status/705919382065549314","705919382065549314")</f>
        <v>705919382065549314</v>
      </c>
      <c r="F620" s="11" t="s">
        <v>31</v>
      </c>
      <c r="G620" s="12">
        <v>641.0</v>
      </c>
      <c r="H620" s="12">
        <v>753.0</v>
      </c>
      <c r="I620" s="12">
        <v>0.0</v>
      </c>
      <c r="J620" s="12">
        <v>1.0</v>
      </c>
      <c r="K620" s="11" t="s">
        <v>21</v>
      </c>
      <c r="L620" s="7">
        <v>40416.68083333333</v>
      </c>
      <c r="M620" s="13" t="s">
        <v>35</v>
      </c>
      <c r="N620" s="13" t="s">
        <v>174</v>
      </c>
      <c r="O620" s="10" t="str">
        <f>HYPERLINK("https://pbs.twimg.com/profile_images/636901483401904128/cxbavncr_normal.jpg","View")</f>
        <v>View</v>
      </c>
      <c r="P620" s="14"/>
    </row>
    <row r="621">
      <c r="A621" s="7">
        <v>42433.78785879629</v>
      </c>
      <c r="B621" s="8" t="str">
        <f>HYPERLINK("https://twitter.com/CitizenWald","@CitizenWald")</f>
        <v>@CitizenWald</v>
      </c>
      <c r="C621" s="9" t="s">
        <v>668</v>
      </c>
      <c r="D621" s="9" t="s">
        <v>746</v>
      </c>
      <c r="E621" s="10" t="str">
        <f>HYPERLINK("https://twitter.com/CitizenWald/status/705919385760894976","705919385760894976")</f>
        <v>705919385760894976</v>
      </c>
      <c r="F621" s="11" t="s">
        <v>26</v>
      </c>
      <c r="G621" s="12">
        <v>2335.0</v>
      </c>
      <c r="H621" s="12">
        <v>2535.0</v>
      </c>
      <c r="I621" s="12">
        <v>3.0</v>
      </c>
      <c r="J621" s="12">
        <v>1.0</v>
      </c>
      <c r="K621" s="11" t="s">
        <v>21</v>
      </c>
      <c r="L621" s="7">
        <v>39373.01613425926</v>
      </c>
      <c r="M621" s="13" t="s">
        <v>22</v>
      </c>
      <c r="N621" s="13" t="s">
        <v>669</v>
      </c>
      <c r="O621" s="10" t="str">
        <f>HYPERLINK("https://pbs.twimg.com/profile_images/661220280564486144/ZxUrdRVS_normal.jpg","View")</f>
        <v>View</v>
      </c>
      <c r="P621" s="14"/>
    </row>
    <row r="622">
      <c r="A622" s="7">
        <v>42433.787893518514</v>
      </c>
      <c r="B622" s="8" t="str">
        <f>HYPERLINK("https://twitter.com/pastpunditry","@pastpunditry")</f>
        <v>@pastpunditry</v>
      </c>
      <c r="C622" s="9" t="s">
        <v>92</v>
      </c>
      <c r="D622" s="9" t="s">
        <v>747</v>
      </c>
      <c r="E622" s="10" t="str">
        <f>HYPERLINK("https://twitter.com/pastpunditry/status/705919399782391808","705919399782391808")</f>
        <v>705919399782391808</v>
      </c>
      <c r="F622" s="11" t="s">
        <v>26</v>
      </c>
      <c r="G622" s="12">
        <v>890.0</v>
      </c>
      <c r="H622" s="12">
        <v>378.0</v>
      </c>
      <c r="I622" s="12">
        <v>0.0</v>
      </c>
      <c r="J622" s="12">
        <v>2.0</v>
      </c>
      <c r="K622" s="11" t="s">
        <v>21</v>
      </c>
      <c r="L622" s="7">
        <v>40283.384351851855</v>
      </c>
      <c r="M622" s="13" t="s">
        <v>94</v>
      </c>
      <c r="N622" s="13" t="s">
        <v>95</v>
      </c>
      <c r="O622" s="10" t="str">
        <f>HYPERLINK("https://pbs.twimg.com/profile_images/704873222802636800/7aFEMOY5_normal.jpg","View")</f>
        <v>View</v>
      </c>
      <c r="P622" s="14"/>
    </row>
    <row r="623">
      <c r="A623" s="7">
        <v>42433.78827546297</v>
      </c>
      <c r="B623" s="8" t="str">
        <f>HYPERLINK("https://twitter.com/juliegpeterson","@juliegpeterson")</f>
        <v>@juliegpeterson</v>
      </c>
      <c r="C623" s="9" t="s">
        <v>24</v>
      </c>
      <c r="D623" s="9" t="s">
        <v>748</v>
      </c>
      <c r="E623" s="10" t="str">
        <f>HYPERLINK("https://twitter.com/juliegpeterson/status/705919537246576640","705919537246576640")</f>
        <v>705919537246576640</v>
      </c>
      <c r="F623" s="11" t="s">
        <v>26</v>
      </c>
      <c r="G623" s="12">
        <v>239.0</v>
      </c>
      <c r="H623" s="12">
        <v>775.0</v>
      </c>
      <c r="I623" s="12">
        <v>3.0</v>
      </c>
      <c r="J623" s="12">
        <v>2.0</v>
      </c>
      <c r="K623" s="11" t="s">
        <v>21</v>
      </c>
      <c r="L623" s="7">
        <v>41208.65523148148</v>
      </c>
      <c r="M623" s="13" t="s">
        <v>22</v>
      </c>
      <c r="N623" s="13" t="s">
        <v>27</v>
      </c>
      <c r="O623" s="10" t="str">
        <f>HYPERLINK("https://pbs.twimg.com/profile_images/609765839051452416/GNW0wSt0_normal.jpg","View")</f>
        <v>View</v>
      </c>
      <c r="P623" s="14"/>
    </row>
    <row r="624">
      <c r="A624" s="7">
        <v>42433.788402777776</v>
      </c>
      <c r="B624" s="8" t="str">
        <f>HYPERLINK("https://twitter.com/erfagen","@erfagen")</f>
        <v>@erfagen</v>
      </c>
      <c r="C624" s="9" t="s">
        <v>124</v>
      </c>
      <c r="D624" s="9" t="s">
        <v>749</v>
      </c>
      <c r="E624" s="10" t="str">
        <f>HYPERLINK("https://twitter.com/erfagen/status/705919582163378176","705919582163378176")</f>
        <v>705919582163378176</v>
      </c>
      <c r="F624" s="11" t="s">
        <v>26</v>
      </c>
      <c r="G624" s="12">
        <v>1055.0</v>
      </c>
      <c r="H624" s="12">
        <v>2055.0</v>
      </c>
      <c r="I624" s="12">
        <v>3.0</v>
      </c>
      <c r="J624" s="12">
        <v>0.0</v>
      </c>
      <c r="K624" s="11" t="s">
        <v>21</v>
      </c>
      <c r="L624" s="7">
        <v>40524.93576388889</v>
      </c>
      <c r="M624" s="13" t="s">
        <v>125</v>
      </c>
      <c r="N624" s="13" t="s">
        <v>126</v>
      </c>
      <c r="O624" s="10" t="str">
        <f>HYPERLINK("https://pbs.twimg.com/profile_images/638086945722249217/mid_S_BQ_normal.jpg","View")</f>
        <v>View</v>
      </c>
      <c r="P624" s="14"/>
    </row>
    <row r="625">
      <c r="A625" s="7">
        <v>42433.78841435185</v>
      </c>
      <c r="B625" s="8" t="str">
        <f>HYPERLINK("https://twitter.com/sheishistoric","@sheishistoric")</f>
        <v>@sheishistoric</v>
      </c>
      <c r="C625" s="9" t="s">
        <v>127</v>
      </c>
      <c r="D625" s="9" t="s">
        <v>750</v>
      </c>
      <c r="E625" s="10" t="str">
        <f>HYPERLINK("https://twitter.com/sheishistoric/status/705919586735144960","705919586735144960")</f>
        <v>705919586735144960</v>
      </c>
      <c r="F625" s="11" t="s">
        <v>26</v>
      </c>
      <c r="G625" s="12">
        <v>405.0</v>
      </c>
      <c r="H625" s="12">
        <v>882.0</v>
      </c>
      <c r="I625" s="12">
        <v>3.0</v>
      </c>
      <c r="J625" s="12">
        <v>0.0</v>
      </c>
      <c r="K625" s="11" t="s">
        <v>21</v>
      </c>
      <c r="L625" s="7">
        <v>41529.842094907406</v>
      </c>
      <c r="M625" s="13" t="s">
        <v>129</v>
      </c>
      <c r="N625" s="13" t="s">
        <v>130</v>
      </c>
      <c r="O625" s="10" t="str">
        <f>HYPERLINK("https://pbs.twimg.com/profile_images/650419150620377089/bJxBf---_normal.jpg","View")</f>
        <v>View</v>
      </c>
      <c r="P625" s="14"/>
    </row>
    <row r="626">
      <c r="A626" s="7">
        <v>42433.78849537037</v>
      </c>
      <c r="B626" s="8" t="str">
        <f t="shared" ref="B626:B627" si="153">HYPERLINK("https://twitter.com/lizl_genealogy","@lizl_genealogy")</f>
        <v>@lizl_genealogy</v>
      </c>
      <c r="C626" s="9" t="s">
        <v>89</v>
      </c>
      <c r="D626" s="9" t="s">
        <v>744</v>
      </c>
      <c r="E626" s="10" t="str">
        <f>HYPERLINK("https://twitter.com/lizl_genealogy/status/705919615868665856","705919615868665856")</f>
        <v>705919615868665856</v>
      </c>
      <c r="F626" s="11" t="s">
        <v>31</v>
      </c>
      <c r="G626" s="12">
        <v>1547.0</v>
      </c>
      <c r="H626" s="12">
        <v>615.0</v>
      </c>
      <c r="I626" s="12">
        <v>3.0</v>
      </c>
      <c r="J626" s="12">
        <v>0.0</v>
      </c>
      <c r="K626" s="11" t="s">
        <v>21</v>
      </c>
      <c r="L626" s="7">
        <v>40763.52722222223</v>
      </c>
      <c r="M626" s="13" t="s">
        <v>90</v>
      </c>
      <c r="N626" s="13" t="s">
        <v>91</v>
      </c>
      <c r="O626" s="10" t="str">
        <f t="shared" ref="O626:O627" si="154">HYPERLINK("https://pbs.twimg.com/profile_images/2700002859/1f2d610ddaf1f03ac7d033dd83847b45_normal.jpeg","View")</f>
        <v>View</v>
      </c>
      <c r="P626" s="14"/>
    </row>
    <row r="627">
      <c r="A627" s="7">
        <v>42433.7887962963</v>
      </c>
      <c r="B627" s="8" t="str">
        <f t="shared" si="153"/>
        <v>@lizl_genealogy</v>
      </c>
      <c r="C627" s="9" t="s">
        <v>89</v>
      </c>
      <c r="D627" s="9" t="s">
        <v>750</v>
      </c>
      <c r="E627" s="10" t="str">
        <f>HYPERLINK("https://twitter.com/lizl_genealogy/status/705919723146326016","705919723146326016")</f>
        <v>705919723146326016</v>
      </c>
      <c r="F627" s="11" t="s">
        <v>31</v>
      </c>
      <c r="G627" s="12">
        <v>1547.0</v>
      </c>
      <c r="H627" s="12">
        <v>615.0</v>
      </c>
      <c r="I627" s="12">
        <v>3.0</v>
      </c>
      <c r="J627" s="12">
        <v>0.0</v>
      </c>
      <c r="K627" s="11" t="s">
        <v>21</v>
      </c>
      <c r="L627" s="7">
        <v>40763.52722222223</v>
      </c>
      <c r="M627" s="13" t="s">
        <v>90</v>
      </c>
      <c r="N627" s="13" t="s">
        <v>91</v>
      </c>
      <c r="O627" s="10" t="str">
        <f t="shared" si="154"/>
        <v>View</v>
      </c>
      <c r="P627" s="14"/>
    </row>
    <row r="628">
      <c r="A628" s="7">
        <v>42433.78880787037</v>
      </c>
      <c r="B628" s="8" t="str">
        <f>HYPERLINK("https://twitter.com/allisonhorrocks","@allisonhorrocks")</f>
        <v>@allisonhorrocks</v>
      </c>
      <c r="C628" s="9" t="s">
        <v>105</v>
      </c>
      <c r="D628" s="9" t="s">
        <v>751</v>
      </c>
      <c r="E628" s="10" t="str">
        <f>HYPERLINK("https://twitter.com/allisonhorrocks/status/705919730167783425","705919730167783425")</f>
        <v>705919730167783425</v>
      </c>
      <c r="F628" s="11" t="s">
        <v>26</v>
      </c>
      <c r="G628" s="12">
        <v>122.0</v>
      </c>
      <c r="H628" s="12">
        <v>260.0</v>
      </c>
      <c r="I628" s="12">
        <v>1.0</v>
      </c>
      <c r="J628" s="12">
        <v>2.0</v>
      </c>
      <c r="K628" s="11" t="s">
        <v>21</v>
      </c>
      <c r="L628" s="7">
        <v>39874.8815625</v>
      </c>
      <c r="M628" s="13" t="s">
        <v>106</v>
      </c>
      <c r="N628" s="13" t="s">
        <v>107</v>
      </c>
      <c r="O628" s="10" t="str">
        <f>HYPERLINK("https://pbs.twimg.com/profile_images/562279222522032128/-phaZgxO_normal.jpeg","View")</f>
        <v>View</v>
      </c>
      <c r="P628" s="14"/>
    </row>
    <row r="629">
      <c r="A629" s="7">
        <v>42433.78920138889</v>
      </c>
      <c r="B629" s="8" t="str">
        <f>HYPERLINK("https://twitter.com/juliegpeterson","@juliegpeterson")</f>
        <v>@juliegpeterson</v>
      </c>
      <c r="C629" s="9" t="s">
        <v>24</v>
      </c>
      <c r="D629" s="9" t="s">
        <v>752</v>
      </c>
      <c r="E629" s="10" t="str">
        <f>HYPERLINK("https://twitter.com/juliegpeterson/status/705919873487085568","705919873487085568")</f>
        <v>705919873487085568</v>
      </c>
      <c r="F629" s="11" t="s">
        <v>26</v>
      </c>
      <c r="G629" s="12">
        <v>239.0</v>
      </c>
      <c r="H629" s="12">
        <v>775.0</v>
      </c>
      <c r="I629" s="12">
        <v>3.0</v>
      </c>
      <c r="J629" s="12">
        <v>3.0</v>
      </c>
      <c r="K629" s="11" t="s">
        <v>21</v>
      </c>
      <c r="L629" s="7">
        <v>41208.65523148148</v>
      </c>
      <c r="M629" s="13" t="s">
        <v>22</v>
      </c>
      <c r="N629" s="13" t="s">
        <v>27</v>
      </c>
      <c r="O629" s="10" t="str">
        <f>HYPERLINK("https://pbs.twimg.com/profile_images/609765839051452416/GNW0wSt0_normal.jpg","View")</f>
        <v>View</v>
      </c>
      <c r="P629" s="14"/>
    </row>
    <row r="630">
      <c r="A630" s="7">
        <v>42433.78934027778</v>
      </c>
      <c r="B630" s="8" t="str">
        <f>HYPERLINK("https://twitter.com/magmidd","@magmidd")</f>
        <v>@magmidd</v>
      </c>
      <c r="C630" s="9" t="s">
        <v>636</v>
      </c>
      <c r="D630" s="9" t="s">
        <v>753</v>
      </c>
      <c r="E630" s="10" t="str">
        <f>HYPERLINK("https://twitter.com/magmidd/status/705919923667611650","705919923667611650")</f>
        <v>705919923667611650</v>
      </c>
      <c r="F630" s="11" t="s">
        <v>148</v>
      </c>
      <c r="G630" s="12">
        <v>1385.0</v>
      </c>
      <c r="H630" s="12">
        <v>1353.0</v>
      </c>
      <c r="I630" s="12">
        <v>2.0</v>
      </c>
      <c r="J630" s="12">
        <v>3.0</v>
      </c>
      <c r="K630" s="11" t="s">
        <v>21</v>
      </c>
      <c r="L630" s="7">
        <v>41511.60082175926</v>
      </c>
      <c r="M630" s="13" t="s">
        <v>197</v>
      </c>
      <c r="N630" s="13" t="s">
        <v>638</v>
      </c>
      <c r="O630" s="10" t="str">
        <f>HYPERLINK("https://pbs.twimg.com/profile_images/378800000450415007/82bcc7d0cab85e8d5920dbf5ded6715e_normal.jpeg","View")</f>
        <v>View</v>
      </c>
      <c r="P630" s="14"/>
    </row>
    <row r="631">
      <c r="A631" s="7">
        <v>42433.789375</v>
      </c>
      <c r="B631" s="8" t="str">
        <f>HYPERLINK("https://twitter.com/JulieThePH","@JulieThePH")</f>
        <v>@JulieThePH</v>
      </c>
      <c r="C631" s="9" t="s">
        <v>211</v>
      </c>
      <c r="D631" s="9" t="s">
        <v>754</v>
      </c>
      <c r="E631" s="10" t="str">
        <f>HYPERLINK("https://twitter.com/JulieThePH/status/705919933285269506","705919933285269506")</f>
        <v>705919933285269506</v>
      </c>
      <c r="F631" s="11" t="s">
        <v>148</v>
      </c>
      <c r="G631" s="12">
        <v>1234.0</v>
      </c>
      <c r="H631" s="12">
        <v>1386.0</v>
      </c>
      <c r="I631" s="12">
        <v>1.0</v>
      </c>
      <c r="J631" s="12">
        <v>2.0</v>
      </c>
      <c r="K631" s="11" t="s">
        <v>21</v>
      </c>
      <c r="L631" s="7">
        <v>40718.66918981481</v>
      </c>
      <c r="M631" s="13" t="s">
        <v>213</v>
      </c>
      <c r="N631" s="13" t="s">
        <v>214</v>
      </c>
      <c r="O631" s="10" t="str">
        <f>HYPERLINK("https://pbs.twimg.com/profile_images/596509974005686273/AqBblwMR_normal.jpg","View")</f>
        <v>View</v>
      </c>
      <c r="P631" s="14"/>
    </row>
    <row r="632">
      <c r="A632" s="7">
        <v>42433.78947916666</v>
      </c>
      <c r="B632" s="8" t="str">
        <f>HYPERLINK("https://twitter.com/CitizenWald","@CitizenWald")</f>
        <v>@CitizenWald</v>
      </c>
      <c r="C632" s="9" t="s">
        <v>668</v>
      </c>
      <c r="D632" s="9" t="s">
        <v>755</v>
      </c>
      <c r="E632" s="10" t="str">
        <f>HYPERLINK("https://twitter.com/CitizenWald/status/705919974586638336","705919974586638336")</f>
        <v>705919974586638336</v>
      </c>
      <c r="F632" s="11" t="s">
        <v>26</v>
      </c>
      <c r="G632" s="12">
        <v>2335.0</v>
      </c>
      <c r="H632" s="12">
        <v>2535.0</v>
      </c>
      <c r="I632" s="12">
        <v>0.0</v>
      </c>
      <c r="J632" s="12">
        <v>1.0</v>
      </c>
      <c r="K632" s="11" t="s">
        <v>21</v>
      </c>
      <c r="L632" s="7">
        <v>39373.01613425926</v>
      </c>
      <c r="M632" s="13" t="s">
        <v>22</v>
      </c>
      <c r="N632" s="13" t="s">
        <v>669</v>
      </c>
      <c r="O632" s="10" t="str">
        <f>HYPERLINK("https://pbs.twimg.com/profile_images/661220280564486144/ZxUrdRVS_normal.jpg","View")</f>
        <v>View</v>
      </c>
      <c r="P632" s="14"/>
    </row>
    <row r="633">
      <c r="A633" s="7">
        <v>42433.78953703704</v>
      </c>
      <c r="B633" s="8" t="str">
        <f>HYPERLINK("https://twitter.com/GHAUmass","@GHAUmass")</f>
        <v>@GHAUmass</v>
      </c>
      <c r="C633" s="9" t="s">
        <v>30</v>
      </c>
      <c r="D633" s="9" t="s">
        <v>756</v>
      </c>
      <c r="E633" s="10" t="str">
        <f>HYPERLINK("https://twitter.com/GHAUmass/status/705919994681499648","705919994681499648")</f>
        <v>705919994681499648</v>
      </c>
      <c r="F633" s="11" t="s">
        <v>26</v>
      </c>
      <c r="G633" s="12">
        <v>68.0</v>
      </c>
      <c r="H633" s="12">
        <v>100.0</v>
      </c>
      <c r="I633" s="12">
        <v>0.0</v>
      </c>
      <c r="J633" s="12">
        <v>1.0</v>
      </c>
      <c r="K633" s="11" t="s">
        <v>21</v>
      </c>
      <c r="L633" s="7">
        <v>42152.65289351852</v>
      </c>
      <c r="M633" s="13" t="s">
        <v>22</v>
      </c>
      <c r="N633" s="13" t="s">
        <v>32</v>
      </c>
      <c r="O633" s="10" t="str">
        <f>HYPERLINK("https://pbs.twimg.com/profile_images/604060333590855682/Fk6r1D7d_normal.jpg","View")</f>
        <v>View</v>
      </c>
      <c r="P633" s="14"/>
    </row>
    <row r="634">
      <c r="A634" s="7">
        <v>42433.78957175926</v>
      </c>
      <c r="B634" s="8" t="str">
        <f>HYPERLINK("https://twitter.com/lizl_genealogy","@lizl_genealogy")</f>
        <v>@lizl_genealogy</v>
      </c>
      <c r="C634" s="9" t="s">
        <v>89</v>
      </c>
      <c r="D634" s="9" t="s">
        <v>757</v>
      </c>
      <c r="E634" s="10" t="str">
        <f>HYPERLINK("https://twitter.com/lizl_genealogy/status/705920006710648832","705920006710648832")</f>
        <v>705920006710648832</v>
      </c>
      <c r="F634" s="11" t="s">
        <v>31</v>
      </c>
      <c r="G634" s="12">
        <v>1547.0</v>
      </c>
      <c r="H634" s="12">
        <v>615.0</v>
      </c>
      <c r="I634" s="12">
        <v>1.0</v>
      </c>
      <c r="J634" s="12">
        <v>0.0</v>
      </c>
      <c r="K634" s="11" t="s">
        <v>21</v>
      </c>
      <c r="L634" s="7">
        <v>40763.52722222223</v>
      </c>
      <c r="M634" s="13" t="s">
        <v>90</v>
      </c>
      <c r="N634" s="13" t="s">
        <v>91</v>
      </c>
      <c r="O634" s="10" t="str">
        <f>HYPERLINK("https://pbs.twimg.com/profile_images/2700002859/1f2d610ddaf1f03ac7d033dd83847b45_normal.jpeg","View")</f>
        <v>View</v>
      </c>
      <c r="P634" s="14"/>
    </row>
    <row r="635">
      <c r="A635" s="7">
        <v>42433.78958333333</v>
      </c>
      <c r="B635" s="8" t="str">
        <f>HYPERLINK("https://twitter.com/rebekkahrubin","@rebekkahrubin")</f>
        <v>@rebekkahrubin</v>
      </c>
      <c r="C635" s="9" t="s">
        <v>141</v>
      </c>
      <c r="D635" s="9" t="s">
        <v>758</v>
      </c>
      <c r="E635" s="10" t="str">
        <f>HYPERLINK("https://twitter.com/rebekkahrubin/status/705920008375951360","705920008375951360")</f>
        <v>705920008375951360</v>
      </c>
      <c r="F635" s="11" t="s">
        <v>31</v>
      </c>
      <c r="G635" s="12">
        <v>492.0</v>
      </c>
      <c r="H635" s="12">
        <v>1224.0</v>
      </c>
      <c r="I635" s="12">
        <v>0.0</v>
      </c>
      <c r="J635" s="12">
        <v>1.0</v>
      </c>
      <c r="K635" s="11" t="s">
        <v>21</v>
      </c>
      <c r="L635" s="7">
        <v>40411.521527777775</v>
      </c>
      <c r="M635" s="13" t="s">
        <v>143</v>
      </c>
      <c r="N635" s="13" t="s">
        <v>144</v>
      </c>
      <c r="O635" s="10" t="str">
        <f>HYPERLINK("https://pbs.twimg.com/profile_images/700317732588408832/Ym_-neUi_normal.jpg","View")</f>
        <v>View</v>
      </c>
      <c r="P635" s="14"/>
    </row>
    <row r="636">
      <c r="A636" s="7">
        <v>42433.78967592593</v>
      </c>
      <c r="B636" s="8" t="str">
        <f>HYPERLINK("https://twitter.com/GHAUmass","@GHAUmass")</f>
        <v>@GHAUmass</v>
      </c>
      <c r="C636" s="9" t="s">
        <v>30</v>
      </c>
      <c r="D636" s="9" t="s">
        <v>759</v>
      </c>
      <c r="E636" s="10" t="str">
        <f>HYPERLINK("https://twitter.com/GHAUmass/status/705920044853813248","705920044853813248")</f>
        <v>705920044853813248</v>
      </c>
      <c r="F636" s="11" t="s">
        <v>26</v>
      </c>
      <c r="G636" s="12">
        <v>68.0</v>
      </c>
      <c r="H636" s="12">
        <v>100.0</v>
      </c>
      <c r="I636" s="12">
        <v>3.0</v>
      </c>
      <c r="J636" s="12">
        <v>0.0</v>
      </c>
      <c r="K636" s="11" t="s">
        <v>21</v>
      </c>
      <c r="L636" s="7">
        <v>42152.65289351852</v>
      </c>
      <c r="M636" s="13" t="s">
        <v>22</v>
      </c>
      <c r="N636" s="13" t="s">
        <v>32</v>
      </c>
      <c r="O636" s="10" t="str">
        <f>HYPERLINK("https://pbs.twimg.com/profile_images/604060333590855682/Fk6r1D7d_normal.jpg","View")</f>
        <v>View</v>
      </c>
      <c r="P636" s="14"/>
    </row>
    <row r="637">
      <c r="A637" s="7">
        <v>42433.78971064815</v>
      </c>
      <c r="B637" s="8" t="str">
        <f t="shared" ref="B637:B638" si="155">HYPERLINK("https://twitter.com/sheishistoric","@sheishistoric")</f>
        <v>@sheishistoric</v>
      </c>
      <c r="C637" s="9" t="s">
        <v>127</v>
      </c>
      <c r="D637" s="9" t="s">
        <v>760</v>
      </c>
      <c r="E637" s="10" t="str">
        <f>HYPERLINK("https://twitter.com/sheishistoric/status/705920057394794496","705920057394794496")</f>
        <v>705920057394794496</v>
      </c>
      <c r="F637" s="11" t="s">
        <v>26</v>
      </c>
      <c r="G637" s="12">
        <v>405.0</v>
      </c>
      <c r="H637" s="12">
        <v>882.0</v>
      </c>
      <c r="I637" s="12">
        <v>2.0</v>
      </c>
      <c r="J637" s="12">
        <v>2.0</v>
      </c>
      <c r="K637" s="11" t="s">
        <v>21</v>
      </c>
      <c r="L637" s="7">
        <v>41529.842094907406</v>
      </c>
      <c r="M637" s="13" t="s">
        <v>129</v>
      </c>
      <c r="N637" s="13" t="s">
        <v>130</v>
      </c>
      <c r="O637" s="10" t="str">
        <f t="shared" ref="O637:O638" si="156">HYPERLINK("https://pbs.twimg.com/profile_images/650419150620377089/bJxBf---_normal.jpg","View")</f>
        <v>View</v>
      </c>
      <c r="P637" s="14"/>
    </row>
    <row r="638">
      <c r="A638" s="7">
        <v>42433.78978009259</v>
      </c>
      <c r="B638" s="8" t="str">
        <f t="shared" si="155"/>
        <v>@sheishistoric</v>
      </c>
      <c r="C638" s="9" t="s">
        <v>127</v>
      </c>
      <c r="D638" s="9" t="s">
        <v>759</v>
      </c>
      <c r="E638" s="10" t="str">
        <f>HYPERLINK("https://twitter.com/sheishistoric/status/705920080832503809","705920080832503809")</f>
        <v>705920080832503809</v>
      </c>
      <c r="F638" s="11" t="s">
        <v>26</v>
      </c>
      <c r="G638" s="12">
        <v>405.0</v>
      </c>
      <c r="H638" s="12">
        <v>882.0</v>
      </c>
      <c r="I638" s="12">
        <v>3.0</v>
      </c>
      <c r="J638" s="12">
        <v>0.0</v>
      </c>
      <c r="K638" s="11" t="s">
        <v>21</v>
      </c>
      <c r="L638" s="7">
        <v>41529.842094907406</v>
      </c>
      <c r="M638" s="13" t="s">
        <v>129</v>
      </c>
      <c r="N638" s="13" t="s">
        <v>130</v>
      </c>
      <c r="O638" s="10" t="str">
        <f t="shared" si="156"/>
        <v>View</v>
      </c>
      <c r="P638" s="14"/>
    </row>
    <row r="639">
      <c r="A639" s="7">
        <v>42433.78989583333</v>
      </c>
      <c r="B639" s="8" t="str">
        <f>HYPERLINK("https://twitter.com/cameshascruggs","@cameshascruggs")</f>
        <v>@cameshascruggs</v>
      </c>
      <c r="C639" s="9" t="s">
        <v>761</v>
      </c>
      <c r="D639" s="9" t="s">
        <v>749</v>
      </c>
      <c r="E639" s="10" t="str">
        <f>HYPERLINK("https://twitter.com/cameshascruggs/status/705920123580841984","705920123580841984")</f>
        <v>705920123580841984</v>
      </c>
      <c r="F639" s="11" t="s">
        <v>43</v>
      </c>
      <c r="G639" s="12">
        <v>144.0</v>
      </c>
      <c r="H639" s="12">
        <v>551.0</v>
      </c>
      <c r="I639" s="12">
        <v>3.0</v>
      </c>
      <c r="J639" s="12">
        <v>0.0</v>
      </c>
      <c r="K639" s="11" t="s">
        <v>21</v>
      </c>
      <c r="L639" s="7">
        <v>39897.69201388889</v>
      </c>
      <c r="M639" s="15"/>
      <c r="N639" s="13" t="s">
        <v>762</v>
      </c>
      <c r="O639" s="10" t="str">
        <f>HYPERLINK("https://pbs.twimg.com/profile_images/187613030/me_in_panel_mode_normal.jpg","View")</f>
        <v>View</v>
      </c>
      <c r="P639" s="14"/>
    </row>
    <row r="640">
      <c r="A640" s="7">
        <v>42433.78994212963</v>
      </c>
      <c r="B640" s="8" t="str">
        <f>HYPERLINK("https://twitter.com/GHAUmass","@GHAUmass")</f>
        <v>@GHAUmass</v>
      </c>
      <c r="C640" s="9" t="s">
        <v>30</v>
      </c>
      <c r="D640" s="9" t="s">
        <v>750</v>
      </c>
      <c r="E640" s="10" t="str">
        <f>HYPERLINK("https://twitter.com/GHAUmass/status/705920138575532033","705920138575532033")</f>
        <v>705920138575532033</v>
      </c>
      <c r="F640" s="11" t="s">
        <v>26</v>
      </c>
      <c r="G640" s="12">
        <v>68.0</v>
      </c>
      <c r="H640" s="12">
        <v>100.0</v>
      </c>
      <c r="I640" s="12">
        <v>3.0</v>
      </c>
      <c r="J640" s="12">
        <v>0.0</v>
      </c>
      <c r="K640" s="11" t="s">
        <v>21</v>
      </c>
      <c r="L640" s="7">
        <v>42152.65289351852</v>
      </c>
      <c r="M640" s="13" t="s">
        <v>22</v>
      </c>
      <c r="N640" s="13" t="s">
        <v>32</v>
      </c>
      <c r="O640" s="10" t="str">
        <f>HYPERLINK("https://pbs.twimg.com/profile_images/604060333590855682/Fk6r1D7d_normal.jpg","View")</f>
        <v>View</v>
      </c>
      <c r="P640" s="14"/>
    </row>
    <row r="641">
      <c r="A641" s="7">
        <v>42433.790034722224</v>
      </c>
      <c r="B641" s="8" t="str">
        <f>HYPERLINK("https://twitter.com/JulieThePH","@JulieThePH")</f>
        <v>@JulieThePH</v>
      </c>
      <c r="C641" s="9" t="s">
        <v>211</v>
      </c>
      <c r="D641" s="9" t="s">
        <v>763</v>
      </c>
      <c r="E641" s="10" t="str">
        <f>HYPERLINK("https://twitter.com/JulieThePH/status/705920171911811072","705920171911811072")</f>
        <v>705920171911811072</v>
      </c>
      <c r="F641" s="11" t="s">
        <v>148</v>
      </c>
      <c r="G641" s="12">
        <v>1234.0</v>
      </c>
      <c r="H641" s="12">
        <v>1386.0</v>
      </c>
      <c r="I641" s="12">
        <v>3.0</v>
      </c>
      <c r="J641" s="12">
        <v>1.0</v>
      </c>
      <c r="K641" s="11" t="s">
        <v>21</v>
      </c>
      <c r="L641" s="7">
        <v>40718.66918981481</v>
      </c>
      <c r="M641" s="13" t="s">
        <v>213</v>
      </c>
      <c r="N641" s="13" t="s">
        <v>214</v>
      </c>
      <c r="O641" s="10" t="str">
        <f>HYPERLINK("https://pbs.twimg.com/profile_images/596509974005686273/AqBblwMR_normal.jpg","View")</f>
        <v>View</v>
      </c>
      <c r="P641" s="14"/>
    </row>
    <row r="642">
      <c r="A642" s="7">
        <v>42433.7900462963</v>
      </c>
      <c r="B642" s="8" t="str">
        <f t="shared" ref="B642:B643" si="157">HYPERLINK("https://twitter.com/GHAUmass","@GHAUmass")</f>
        <v>@GHAUmass</v>
      </c>
      <c r="C642" s="9" t="s">
        <v>30</v>
      </c>
      <c r="D642" s="9" t="s">
        <v>749</v>
      </c>
      <c r="E642" s="10" t="str">
        <f>HYPERLINK("https://twitter.com/GHAUmass/status/705920177972645889","705920177972645889")</f>
        <v>705920177972645889</v>
      </c>
      <c r="F642" s="11" t="s">
        <v>26</v>
      </c>
      <c r="G642" s="12">
        <v>68.0</v>
      </c>
      <c r="H642" s="12">
        <v>100.0</v>
      </c>
      <c r="I642" s="12">
        <v>3.0</v>
      </c>
      <c r="J642" s="12">
        <v>0.0</v>
      </c>
      <c r="K642" s="11" t="s">
        <v>21</v>
      </c>
      <c r="L642" s="7">
        <v>42152.65289351852</v>
      </c>
      <c r="M642" s="13" t="s">
        <v>22</v>
      </c>
      <c r="N642" s="13" t="s">
        <v>32</v>
      </c>
      <c r="O642" s="10" t="str">
        <f t="shared" ref="O642:O643" si="158">HYPERLINK("https://pbs.twimg.com/profile_images/604060333590855682/Fk6r1D7d_normal.jpg","View")</f>
        <v>View</v>
      </c>
      <c r="P642" s="14"/>
    </row>
    <row r="643">
      <c r="A643" s="7">
        <v>42433.790127314816</v>
      </c>
      <c r="B643" s="8" t="str">
        <f t="shared" si="157"/>
        <v>@GHAUmass</v>
      </c>
      <c r="C643" s="9" t="s">
        <v>30</v>
      </c>
      <c r="D643" s="9" t="s">
        <v>744</v>
      </c>
      <c r="E643" s="10" t="str">
        <f>HYPERLINK("https://twitter.com/GHAUmass/status/705920206271434752","705920206271434752")</f>
        <v>705920206271434752</v>
      </c>
      <c r="F643" s="11" t="s">
        <v>26</v>
      </c>
      <c r="G643" s="12">
        <v>68.0</v>
      </c>
      <c r="H643" s="12">
        <v>100.0</v>
      </c>
      <c r="I643" s="12">
        <v>3.0</v>
      </c>
      <c r="J643" s="12">
        <v>0.0</v>
      </c>
      <c r="K643" s="11" t="s">
        <v>21</v>
      </c>
      <c r="L643" s="7">
        <v>42152.65289351852</v>
      </c>
      <c r="M643" s="13" t="s">
        <v>22</v>
      </c>
      <c r="N643" s="13" t="s">
        <v>32</v>
      </c>
      <c r="O643" s="10" t="str">
        <f t="shared" si="158"/>
        <v>View</v>
      </c>
      <c r="P643" s="14"/>
    </row>
    <row r="644">
      <c r="A644" s="7">
        <v>42433.79042824074</v>
      </c>
      <c r="B644" s="8" t="str">
        <f>HYPERLINK("https://twitter.com/sheishistoric","@sheishistoric")</f>
        <v>@sheishistoric</v>
      </c>
      <c r="C644" s="9" t="s">
        <v>127</v>
      </c>
      <c r="D644" s="9" t="s">
        <v>764</v>
      </c>
      <c r="E644" s="10" t="str">
        <f>HYPERLINK("https://twitter.com/sheishistoric/status/705920317420670977","705920317420670977")</f>
        <v>705920317420670977</v>
      </c>
      <c r="F644" s="11" t="s">
        <v>26</v>
      </c>
      <c r="G644" s="12">
        <v>405.0</v>
      </c>
      <c r="H644" s="12">
        <v>882.0</v>
      </c>
      <c r="I644" s="12">
        <v>3.0</v>
      </c>
      <c r="J644" s="12">
        <v>0.0</v>
      </c>
      <c r="K644" s="11" t="s">
        <v>21</v>
      </c>
      <c r="L644" s="7">
        <v>41529.842094907406</v>
      </c>
      <c r="M644" s="13" t="s">
        <v>129</v>
      </c>
      <c r="N644" s="13" t="s">
        <v>130</v>
      </c>
      <c r="O644" s="10" t="str">
        <f>HYPERLINK("https://pbs.twimg.com/profile_images/650419150620377089/bJxBf---_normal.jpg","View")</f>
        <v>View</v>
      </c>
      <c r="P644" s="14"/>
    </row>
    <row r="645">
      <c r="A645" s="7">
        <v>42433.790555555555</v>
      </c>
      <c r="B645" s="8" t="str">
        <f>HYPERLINK("https://twitter.com/GHAUmass","@GHAUmass")</f>
        <v>@GHAUmass</v>
      </c>
      <c r="C645" s="9" t="s">
        <v>30</v>
      </c>
      <c r="D645" s="9" t="s">
        <v>765</v>
      </c>
      <c r="E645" s="10" t="str">
        <f>HYPERLINK("https://twitter.com/GHAUmass/status/705920362589122560","705920362589122560")</f>
        <v>705920362589122560</v>
      </c>
      <c r="F645" s="11" t="s">
        <v>26</v>
      </c>
      <c r="G645" s="12">
        <v>68.0</v>
      </c>
      <c r="H645" s="12">
        <v>100.0</v>
      </c>
      <c r="I645" s="12">
        <v>2.0</v>
      </c>
      <c r="J645" s="12">
        <v>0.0</v>
      </c>
      <c r="K645" s="11" t="s">
        <v>21</v>
      </c>
      <c r="L645" s="7">
        <v>42152.65289351852</v>
      </c>
      <c r="M645" s="13" t="s">
        <v>22</v>
      </c>
      <c r="N645" s="13" t="s">
        <v>32</v>
      </c>
      <c r="O645" s="10" t="str">
        <f>HYPERLINK("https://pbs.twimg.com/profile_images/604060333590855682/Fk6r1D7d_normal.jpg","View")</f>
        <v>View</v>
      </c>
      <c r="P645" s="14"/>
    </row>
    <row r="646">
      <c r="A646" s="7">
        <v>42433.790555555555</v>
      </c>
      <c r="B646" s="8" t="str">
        <f>HYPERLINK("https://twitter.com/rebekkahrubin","@rebekkahrubin")</f>
        <v>@rebekkahrubin</v>
      </c>
      <c r="C646" s="9" t="s">
        <v>141</v>
      </c>
      <c r="D646" s="9" t="s">
        <v>766</v>
      </c>
      <c r="E646" s="10" t="str">
        <f>HYPERLINK("https://twitter.com/rebekkahrubin/status/705920362719154177","705920362719154177")</f>
        <v>705920362719154177</v>
      </c>
      <c r="F646" s="11" t="s">
        <v>31</v>
      </c>
      <c r="G646" s="12">
        <v>492.0</v>
      </c>
      <c r="H646" s="12">
        <v>1224.0</v>
      </c>
      <c r="I646" s="12">
        <v>3.0</v>
      </c>
      <c r="J646" s="12">
        <v>2.0</v>
      </c>
      <c r="K646" s="11" t="s">
        <v>21</v>
      </c>
      <c r="L646" s="7">
        <v>40411.521527777775</v>
      </c>
      <c r="M646" s="13" t="s">
        <v>143</v>
      </c>
      <c r="N646" s="13" t="s">
        <v>144</v>
      </c>
      <c r="O646" s="10" t="str">
        <f>HYPERLINK("https://pbs.twimg.com/profile_images/700317732588408832/Ym_-neUi_normal.jpg","View")</f>
        <v>View</v>
      </c>
      <c r="P646" s="14"/>
    </row>
    <row r="647">
      <c r="A647" s="7">
        <v>42433.79056712963</v>
      </c>
      <c r="B647" s="8" t="str">
        <f>HYPERLINK("https://twitter.com/erfagen","@erfagen")</f>
        <v>@erfagen</v>
      </c>
      <c r="C647" s="9" t="s">
        <v>124</v>
      </c>
      <c r="D647" s="9" t="s">
        <v>767</v>
      </c>
      <c r="E647" s="10" t="str">
        <f>HYPERLINK("https://twitter.com/erfagen/status/705920368578568193","705920368578568193")</f>
        <v>705920368578568193</v>
      </c>
      <c r="F647" s="11" t="s">
        <v>26</v>
      </c>
      <c r="G647" s="12">
        <v>1055.0</v>
      </c>
      <c r="H647" s="12">
        <v>2055.0</v>
      </c>
      <c r="I647" s="12">
        <v>2.0</v>
      </c>
      <c r="J647" s="12">
        <v>4.0</v>
      </c>
      <c r="K647" s="11" t="s">
        <v>21</v>
      </c>
      <c r="L647" s="7">
        <v>40524.93576388889</v>
      </c>
      <c r="M647" s="13" t="s">
        <v>125</v>
      </c>
      <c r="N647" s="13" t="s">
        <v>126</v>
      </c>
      <c r="O647" s="10" t="str">
        <f>HYPERLINK("https://pbs.twimg.com/profile_images/638086945722249217/mid_S_BQ_normal.jpg","View")</f>
        <v>View</v>
      </c>
      <c r="P647" s="14"/>
    </row>
    <row r="648">
      <c r="A648" s="7">
        <v>42433.79074074074</v>
      </c>
      <c r="B648" s="8" t="str">
        <f>HYPERLINK("https://twitter.com/JulieThePH","@JulieThePH")</f>
        <v>@JulieThePH</v>
      </c>
      <c r="C648" s="9" t="s">
        <v>211</v>
      </c>
      <c r="D648" s="9" t="s">
        <v>768</v>
      </c>
      <c r="E648" s="10" t="str">
        <f>HYPERLINK("https://twitter.com/JulieThePH/status/705920429114970112","705920429114970112")</f>
        <v>705920429114970112</v>
      </c>
      <c r="F648" s="11" t="s">
        <v>148</v>
      </c>
      <c r="G648" s="12">
        <v>1234.0</v>
      </c>
      <c r="H648" s="12">
        <v>1386.0</v>
      </c>
      <c r="I648" s="12">
        <v>1.0</v>
      </c>
      <c r="J648" s="12">
        <v>3.0</v>
      </c>
      <c r="K648" s="11" t="s">
        <v>21</v>
      </c>
      <c r="L648" s="7">
        <v>40718.66918981481</v>
      </c>
      <c r="M648" s="13" t="s">
        <v>213</v>
      </c>
      <c r="N648" s="13" t="s">
        <v>214</v>
      </c>
      <c r="O648" s="10" t="str">
        <f>HYPERLINK("https://pbs.twimg.com/profile_images/596509974005686273/AqBblwMR_normal.jpg","View")</f>
        <v>View</v>
      </c>
      <c r="P648" s="14"/>
    </row>
    <row r="649">
      <c r="A649" s="7">
        <v>42433.7909375</v>
      </c>
      <c r="B649" s="8" t="str">
        <f>HYPERLINK("https://twitter.com/lizl_genealogy","@lizl_genealogy")</f>
        <v>@lizl_genealogy</v>
      </c>
      <c r="C649" s="9" t="s">
        <v>89</v>
      </c>
      <c r="D649" s="9" t="s">
        <v>765</v>
      </c>
      <c r="E649" s="10" t="str">
        <f>HYPERLINK("https://twitter.com/lizl_genealogy/status/705920500657074176","705920500657074176")</f>
        <v>705920500657074176</v>
      </c>
      <c r="F649" s="11" t="s">
        <v>31</v>
      </c>
      <c r="G649" s="12">
        <v>1547.0</v>
      </c>
      <c r="H649" s="12">
        <v>615.0</v>
      </c>
      <c r="I649" s="12">
        <v>2.0</v>
      </c>
      <c r="J649" s="12">
        <v>0.0</v>
      </c>
      <c r="K649" s="11" t="s">
        <v>21</v>
      </c>
      <c r="L649" s="7">
        <v>40763.52722222223</v>
      </c>
      <c r="M649" s="13" t="s">
        <v>90</v>
      </c>
      <c r="N649" s="13" t="s">
        <v>91</v>
      </c>
      <c r="O649" s="10" t="str">
        <f>HYPERLINK("https://pbs.twimg.com/profile_images/2700002859/1f2d610ddaf1f03ac7d033dd83847b45_normal.jpeg","View")</f>
        <v>View</v>
      </c>
      <c r="P649" s="14"/>
    </row>
    <row r="650">
      <c r="A650" s="7">
        <v>42433.79127314815</v>
      </c>
      <c r="B650" s="8" t="str">
        <f t="shared" ref="B650:B651" si="159">HYPERLINK("https://twitter.com/GHAUmass","@GHAUmass")</f>
        <v>@GHAUmass</v>
      </c>
      <c r="C650" s="9" t="s">
        <v>30</v>
      </c>
      <c r="D650" s="9" t="s">
        <v>764</v>
      </c>
      <c r="E650" s="10" t="str">
        <f>HYPERLINK("https://twitter.com/GHAUmass/status/705920621478342657","705920621478342657")</f>
        <v>705920621478342657</v>
      </c>
      <c r="F650" s="11" t="s">
        <v>26</v>
      </c>
      <c r="G650" s="12">
        <v>68.0</v>
      </c>
      <c r="H650" s="12">
        <v>100.0</v>
      </c>
      <c r="I650" s="12">
        <v>3.0</v>
      </c>
      <c r="J650" s="12">
        <v>0.0</v>
      </c>
      <c r="K650" s="11" t="s">
        <v>21</v>
      </c>
      <c r="L650" s="7">
        <v>42152.65289351852</v>
      </c>
      <c r="M650" s="13" t="s">
        <v>22</v>
      </c>
      <c r="N650" s="13" t="s">
        <v>32</v>
      </c>
      <c r="O650" s="10" t="str">
        <f t="shared" ref="O650:O651" si="160">HYPERLINK("https://pbs.twimg.com/profile_images/604060333590855682/Fk6r1D7d_normal.jpg","View")</f>
        <v>View</v>
      </c>
      <c r="P650" s="14"/>
    </row>
    <row r="651">
      <c r="A651" s="7">
        <v>42433.791354166664</v>
      </c>
      <c r="B651" s="8" t="str">
        <f t="shared" si="159"/>
        <v>@GHAUmass</v>
      </c>
      <c r="C651" s="9" t="s">
        <v>30</v>
      </c>
      <c r="D651" s="9" t="s">
        <v>769</v>
      </c>
      <c r="E651" s="10" t="str">
        <f>HYPERLINK("https://twitter.com/GHAUmass/status/705920651635396609","705920651635396609")</f>
        <v>705920651635396609</v>
      </c>
      <c r="F651" s="11" t="s">
        <v>26</v>
      </c>
      <c r="G651" s="12">
        <v>68.0</v>
      </c>
      <c r="H651" s="12">
        <v>100.0</v>
      </c>
      <c r="I651" s="12">
        <v>2.0</v>
      </c>
      <c r="J651" s="12">
        <v>0.0</v>
      </c>
      <c r="K651" s="11" t="s">
        <v>21</v>
      </c>
      <c r="L651" s="7">
        <v>42152.65289351852</v>
      </c>
      <c r="M651" s="13" t="s">
        <v>22</v>
      </c>
      <c r="N651" s="13" t="s">
        <v>32</v>
      </c>
      <c r="O651" s="10" t="str">
        <f t="shared" si="160"/>
        <v>View</v>
      </c>
      <c r="P651" s="14"/>
    </row>
    <row r="652">
      <c r="A652" s="7">
        <v>42433.79142361111</v>
      </c>
      <c r="B652" s="8" t="str">
        <f>HYPERLINK("https://twitter.com/juliegpeterson","@juliegpeterson")</f>
        <v>@juliegpeterson</v>
      </c>
      <c r="C652" s="9" t="s">
        <v>24</v>
      </c>
      <c r="D652" s="9" t="s">
        <v>770</v>
      </c>
      <c r="E652" s="10" t="str">
        <f>HYPERLINK("https://twitter.com/juliegpeterson/status/705920675878408194","705920675878408194")</f>
        <v>705920675878408194</v>
      </c>
      <c r="F652" s="11" t="s">
        <v>26</v>
      </c>
      <c r="G652" s="12">
        <v>239.0</v>
      </c>
      <c r="H652" s="12">
        <v>775.0</v>
      </c>
      <c r="I652" s="12">
        <v>2.0</v>
      </c>
      <c r="J652" s="12">
        <v>2.0</v>
      </c>
      <c r="K652" s="11" t="s">
        <v>21</v>
      </c>
      <c r="L652" s="7">
        <v>41208.65523148148</v>
      </c>
      <c r="M652" s="13" t="s">
        <v>22</v>
      </c>
      <c r="N652" s="13" t="s">
        <v>27</v>
      </c>
      <c r="O652" s="10" t="str">
        <f>HYPERLINK("https://pbs.twimg.com/profile_images/609765839051452416/GNW0wSt0_normal.jpg","View")</f>
        <v>View</v>
      </c>
      <c r="P652" s="14"/>
    </row>
    <row r="653">
      <c r="A653" s="7">
        <v>42433.79152777778</v>
      </c>
      <c r="B653" s="8" t="str">
        <f>HYPERLINK("https://twitter.com/sheishistoric","@sheishistoric")</f>
        <v>@sheishistoric</v>
      </c>
      <c r="C653" s="9" t="s">
        <v>127</v>
      </c>
      <c r="D653" s="9" t="s">
        <v>771</v>
      </c>
      <c r="E653" s="10" t="str">
        <f>HYPERLINK("https://twitter.com/sheishistoric/status/705920713711083521","705920713711083521")</f>
        <v>705920713711083521</v>
      </c>
      <c r="F653" s="11" t="s">
        <v>26</v>
      </c>
      <c r="G653" s="12">
        <v>405.0</v>
      </c>
      <c r="H653" s="12">
        <v>882.0</v>
      </c>
      <c r="I653" s="12">
        <v>3.0</v>
      </c>
      <c r="J653" s="12">
        <v>0.0</v>
      </c>
      <c r="K653" s="11" t="s">
        <v>21</v>
      </c>
      <c r="L653" s="7">
        <v>41529.842094907406</v>
      </c>
      <c r="M653" s="13" t="s">
        <v>129</v>
      </c>
      <c r="N653" s="13" t="s">
        <v>130</v>
      </c>
      <c r="O653" s="10" t="str">
        <f>HYPERLINK("https://pbs.twimg.com/profile_images/650419150620377089/bJxBf---_normal.jpg","View")</f>
        <v>View</v>
      </c>
      <c r="P653" s="14"/>
    </row>
    <row r="654">
      <c r="A654" s="7">
        <v>42433.791967592595</v>
      </c>
      <c r="B654" s="8" t="str">
        <f>HYPERLINK("https://twitter.com/ValleyNerdWatch","@ValleyNerdWatch")</f>
        <v>@ValleyNerdWatch</v>
      </c>
      <c r="C654" s="9" t="s">
        <v>772</v>
      </c>
      <c r="D654" s="9" t="s">
        <v>773</v>
      </c>
      <c r="E654" s="10" t="str">
        <f>HYPERLINK("https://twitter.com/ValleyNerdWatch/status/705920876210954241","705920876210954241")</f>
        <v>705920876210954241</v>
      </c>
      <c r="F654" s="11" t="s">
        <v>148</v>
      </c>
      <c r="G654" s="12">
        <v>339.0</v>
      </c>
      <c r="H654" s="12">
        <v>452.0</v>
      </c>
      <c r="I654" s="12">
        <v>1.0</v>
      </c>
      <c r="J654" s="12">
        <v>0.0</v>
      </c>
      <c r="K654" s="11" t="s">
        <v>21</v>
      </c>
      <c r="L654" s="7">
        <v>42036.03533564815</v>
      </c>
      <c r="M654" s="13" t="s">
        <v>774</v>
      </c>
      <c r="N654" s="13" t="s">
        <v>775</v>
      </c>
      <c r="O654" s="10" t="str">
        <f>HYPERLINK("https://pbs.twimg.com/profile_images/564445065573965824/Ec20w5KQ_normal.jpeg","View")</f>
        <v>View</v>
      </c>
      <c r="P654" s="14"/>
    </row>
    <row r="655">
      <c r="A655" s="7">
        <v>42433.792129629626</v>
      </c>
      <c r="B655" s="8" t="str">
        <f>HYPERLINK("https://twitter.com/JulieThePH","@JulieThePH")</f>
        <v>@JulieThePH</v>
      </c>
      <c r="C655" s="9" t="s">
        <v>211</v>
      </c>
      <c r="D655" s="9" t="s">
        <v>776</v>
      </c>
      <c r="E655" s="10" t="str">
        <f>HYPERLINK("https://twitter.com/JulieThePH/status/705920932544647168","705920932544647168")</f>
        <v>705920932544647168</v>
      </c>
      <c r="F655" s="11" t="s">
        <v>148</v>
      </c>
      <c r="G655" s="12">
        <v>1234.0</v>
      </c>
      <c r="H655" s="12">
        <v>1386.0</v>
      </c>
      <c r="I655" s="12">
        <v>1.0</v>
      </c>
      <c r="J655" s="12">
        <v>3.0</v>
      </c>
      <c r="K655" s="11" t="s">
        <v>21</v>
      </c>
      <c r="L655" s="7">
        <v>40718.66918981481</v>
      </c>
      <c r="M655" s="13" t="s">
        <v>213</v>
      </c>
      <c r="N655" s="13" t="s">
        <v>214</v>
      </c>
      <c r="O655" s="10" t="str">
        <f>HYPERLINK("https://pbs.twimg.com/profile_images/596509974005686273/AqBblwMR_normal.jpg","View")</f>
        <v>View</v>
      </c>
      <c r="P655" s="14"/>
    </row>
    <row r="656">
      <c r="A656" s="7">
        <v>42433.79263888889</v>
      </c>
      <c r="B656" s="8" t="str">
        <f>HYPERLINK("https://twitter.com/juliegpeterson","@juliegpeterson")</f>
        <v>@juliegpeterson</v>
      </c>
      <c r="C656" s="9" t="s">
        <v>24</v>
      </c>
      <c r="D656" s="9" t="s">
        <v>777</v>
      </c>
      <c r="E656" s="10" t="str">
        <f>HYPERLINK("https://twitter.com/juliegpeterson/status/705921119216394240","705921119216394240")</f>
        <v>705921119216394240</v>
      </c>
      <c r="F656" s="11" t="s">
        <v>26</v>
      </c>
      <c r="G656" s="12">
        <v>239.0</v>
      </c>
      <c r="H656" s="12">
        <v>775.0</v>
      </c>
      <c r="I656" s="12">
        <v>3.0</v>
      </c>
      <c r="J656" s="12">
        <v>2.0</v>
      </c>
      <c r="K656" s="11" t="s">
        <v>21</v>
      </c>
      <c r="L656" s="7">
        <v>41208.65523148148</v>
      </c>
      <c r="M656" s="13" t="s">
        <v>22</v>
      </c>
      <c r="N656" s="13" t="s">
        <v>27</v>
      </c>
      <c r="O656" s="10" t="str">
        <f>HYPERLINK("https://pbs.twimg.com/profile_images/609765839051452416/GNW0wSt0_normal.jpg","View")</f>
        <v>View</v>
      </c>
      <c r="P656" s="14"/>
    </row>
    <row r="657">
      <c r="A657" s="7">
        <v>42433.79282407407</v>
      </c>
      <c r="B657" s="8" t="str">
        <f t="shared" ref="B657:B658" si="161">HYPERLINK("https://twitter.com/GHAUmass","@GHAUmass")</f>
        <v>@GHAUmass</v>
      </c>
      <c r="C657" s="9" t="s">
        <v>30</v>
      </c>
      <c r="D657" s="9" t="s">
        <v>778</v>
      </c>
      <c r="E657" s="10" t="str">
        <f>HYPERLINK("https://twitter.com/GHAUmass/status/705921184173580288","705921184173580288")</f>
        <v>705921184173580288</v>
      </c>
      <c r="F657" s="11" t="s">
        <v>26</v>
      </c>
      <c r="G657" s="12">
        <v>68.0</v>
      </c>
      <c r="H657" s="12">
        <v>100.0</v>
      </c>
      <c r="I657" s="12">
        <v>2.0</v>
      </c>
      <c r="J657" s="12">
        <v>0.0</v>
      </c>
      <c r="K657" s="11" t="s">
        <v>21</v>
      </c>
      <c r="L657" s="7">
        <v>42152.65289351852</v>
      </c>
      <c r="M657" s="13" t="s">
        <v>22</v>
      </c>
      <c r="N657" s="13" t="s">
        <v>32</v>
      </c>
      <c r="O657" s="10" t="str">
        <f t="shared" ref="O657:O658" si="162">HYPERLINK("https://pbs.twimg.com/profile_images/604060333590855682/Fk6r1D7d_normal.jpg","View")</f>
        <v>View</v>
      </c>
      <c r="P657" s="14"/>
    </row>
    <row r="658">
      <c r="A658" s="7">
        <v>42433.79284722223</v>
      </c>
      <c r="B658" s="8" t="str">
        <f t="shared" si="161"/>
        <v>@GHAUmass</v>
      </c>
      <c r="C658" s="9" t="s">
        <v>30</v>
      </c>
      <c r="D658" s="9" t="s">
        <v>779</v>
      </c>
      <c r="E658" s="10" t="str">
        <f>HYPERLINK("https://twitter.com/GHAUmass/status/705921193187082240","705921193187082240")</f>
        <v>705921193187082240</v>
      </c>
      <c r="F658" s="11" t="s">
        <v>26</v>
      </c>
      <c r="G658" s="12">
        <v>68.0</v>
      </c>
      <c r="H658" s="12">
        <v>100.0</v>
      </c>
      <c r="I658" s="12">
        <v>3.0</v>
      </c>
      <c r="J658" s="12">
        <v>0.0</v>
      </c>
      <c r="K658" s="11" t="s">
        <v>21</v>
      </c>
      <c r="L658" s="7">
        <v>42152.65289351852</v>
      </c>
      <c r="M658" s="13" t="s">
        <v>22</v>
      </c>
      <c r="N658" s="13" t="s">
        <v>32</v>
      </c>
      <c r="O658" s="10" t="str">
        <f t="shared" si="162"/>
        <v>View</v>
      </c>
      <c r="P658" s="14"/>
    </row>
    <row r="659">
      <c r="A659" s="7">
        <v>42433.79304398148</v>
      </c>
      <c r="B659" s="8" t="str">
        <f>HYPERLINK("https://twitter.com/rebekkahrubin","@rebekkahrubin")</f>
        <v>@rebekkahrubin</v>
      </c>
      <c r="C659" s="9" t="s">
        <v>141</v>
      </c>
      <c r="D659" s="9" t="s">
        <v>780</v>
      </c>
      <c r="E659" s="10" t="str">
        <f>HYPERLINK("https://twitter.com/rebekkahrubin/status/705921265039757312","705921265039757312")</f>
        <v>705921265039757312</v>
      </c>
      <c r="F659" s="11" t="s">
        <v>31</v>
      </c>
      <c r="G659" s="12">
        <v>492.0</v>
      </c>
      <c r="H659" s="12">
        <v>1224.0</v>
      </c>
      <c r="I659" s="12">
        <v>1.0</v>
      </c>
      <c r="J659" s="12">
        <v>2.0</v>
      </c>
      <c r="K659" s="11" t="s">
        <v>21</v>
      </c>
      <c r="L659" s="7">
        <v>40411.521527777775</v>
      </c>
      <c r="M659" s="13" t="s">
        <v>143</v>
      </c>
      <c r="N659" s="13" t="s">
        <v>144</v>
      </c>
      <c r="O659" s="10" t="str">
        <f>HYPERLINK("https://pbs.twimg.com/profile_images/700317732588408832/Ym_-neUi_normal.jpg","View")</f>
        <v>View</v>
      </c>
      <c r="P659" s="14"/>
    </row>
    <row r="660">
      <c r="A660" s="7">
        <v>42433.79305555555</v>
      </c>
      <c r="B660" s="8" t="str">
        <f>HYPERLINK("https://twitter.com/GHAUmass","@GHAUmass")</f>
        <v>@GHAUmass</v>
      </c>
      <c r="C660" s="9" t="s">
        <v>30</v>
      </c>
      <c r="D660" s="9" t="s">
        <v>771</v>
      </c>
      <c r="E660" s="10" t="str">
        <f>HYPERLINK("https://twitter.com/GHAUmass/status/705921269615689728","705921269615689728")</f>
        <v>705921269615689728</v>
      </c>
      <c r="F660" s="11" t="s">
        <v>26</v>
      </c>
      <c r="G660" s="12">
        <v>68.0</v>
      </c>
      <c r="H660" s="12">
        <v>100.0</v>
      </c>
      <c r="I660" s="12">
        <v>3.0</v>
      </c>
      <c r="J660" s="12">
        <v>0.0</v>
      </c>
      <c r="K660" s="11" t="s">
        <v>21</v>
      </c>
      <c r="L660" s="7">
        <v>42152.65289351852</v>
      </c>
      <c r="M660" s="13" t="s">
        <v>22</v>
      </c>
      <c r="N660" s="13" t="s">
        <v>32</v>
      </c>
      <c r="O660" s="10" t="str">
        <f>HYPERLINK("https://pbs.twimg.com/profile_images/604060333590855682/Fk6r1D7d_normal.jpg","View")</f>
        <v>View</v>
      </c>
      <c r="P660" s="14"/>
    </row>
    <row r="661">
      <c r="A661" s="7">
        <v>42433.79311342593</v>
      </c>
      <c r="B661" s="8" t="str">
        <f>HYPERLINK("https://twitter.com/CitizenWald","@CitizenWald")</f>
        <v>@CitizenWald</v>
      </c>
      <c r="C661" s="9" t="s">
        <v>668</v>
      </c>
      <c r="D661" s="9" t="s">
        <v>781</v>
      </c>
      <c r="E661" s="10" t="str">
        <f>HYPERLINK("https://twitter.com/CitizenWald/status/705921289643548672","705921289643548672")</f>
        <v>705921289643548672</v>
      </c>
      <c r="F661" s="11" t="s">
        <v>26</v>
      </c>
      <c r="G661" s="12">
        <v>2335.0</v>
      </c>
      <c r="H661" s="12">
        <v>2535.0</v>
      </c>
      <c r="I661" s="12">
        <v>4.0</v>
      </c>
      <c r="J661" s="12">
        <v>5.0</v>
      </c>
      <c r="K661" s="11" t="s">
        <v>21</v>
      </c>
      <c r="L661" s="7">
        <v>39373.01613425926</v>
      </c>
      <c r="M661" s="13" t="s">
        <v>22</v>
      </c>
      <c r="N661" s="13" t="s">
        <v>669</v>
      </c>
      <c r="O661" s="10" t="str">
        <f>HYPERLINK("https://pbs.twimg.com/profile_images/661220280564486144/ZxUrdRVS_normal.jpg","View")</f>
        <v>View</v>
      </c>
      <c r="P661" s="14"/>
    </row>
    <row r="662">
      <c r="A662" s="7">
        <v>42433.793333333335</v>
      </c>
      <c r="B662" s="8" t="str">
        <f>HYPERLINK("https://twitter.com/erfagen","@erfagen")</f>
        <v>@erfagen</v>
      </c>
      <c r="C662" s="9" t="s">
        <v>124</v>
      </c>
      <c r="D662" s="9" t="s">
        <v>779</v>
      </c>
      <c r="E662" s="10" t="str">
        <f>HYPERLINK("https://twitter.com/erfagen/status/705921367347175424","705921367347175424")</f>
        <v>705921367347175424</v>
      </c>
      <c r="F662" s="11" t="s">
        <v>26</v>
      </c>
      <c r="G662" s="12">
        <v>1055.0</v>
      </c>
      <c r="H662" s="12">
        <v>2055.0</v>
      </c>
      <c r="I662" s="12">
        <v>3.0</v>
      </c>
      <c r="J662" s="12">
        <v>0.0</v>
      </c>
      <c r="K662" s="11" t="s">
        <v>21</v>
      </c>
      <c r="L662" s="7">
        <v>40524.93576388889</v>
      </c>
      <c r="M662" s="13" t="s">
        <v>125</v>
      </c>
      <c r="N662" s="13" t="s">
        <v>126</v>
      </c>
      <c r="O662" s="10" t="str">
        <f>HYPERLINK("https://pbs.twimg.com/profile_images/638086945722249217/mid_S_BQ_normal.jpg","View")</f>
        <v>View</v>
      </c>
      <c r="P662" s="14"/>
    </row>
    <row r="663">
      <c r="A663" s="7">
        <v>42433.79337962963</v>
      </c>
      <c r="B663" s="8" t="str">
        <f>HYPERLINK("https://twitter.com/defactofecteau","@defactofecteau")</f>
        <v>@defactofecteau</v>
      </c>
      <c r="C663" s="9" t="s">
        <v>665</v>
      </c>
      <c r="D663" s="9" t="s">
        <v>782</v>
      </c>
      <c r="E663" s="10" t="str">
        <f>HYPERLINK("https://twitter.com/defactofecteau/status/705921385915420672","705921385915420672")</f>
        <v>705921385915420672</v>
      </c>
      <c r="F663" s="11" t="s">
        <v>148</v>
      </c>
      <c r="G663" s="12">
        <v>46.0</v>
      </c>
      <c r="H663" s="12">
        <v>104.0</v>
      </c>
      <c r="I663" s="12">
        <v>4.0</v>
      </c>
      <c r="J663" s="12">
        <v>3.0</v>
      </c>
      <c r="K663" s="11" t="s">
        <v>21</v>
      </c>
      <c r="L663" s="7">
        <v>41684.53481481482</v>
      </c>
      <c r="M663" s="15"/>
      <c r="N663" s="13" t="s">
        <v>667</v>
      </c>
      <c r="O663" s="10" t="str">
        <f>HYPERLINK("https://pbs.twimg.com/profile_images/434404729263648768/vsAZLFtj_normal.jpeg","View")</f>
        <v>View</v>
      </c>
      <c r="P663" s="14"/>
    </row>
    <row r="664">
      <c r="A664" s="7">
        <v>42433.79361111111</v>
      </c>
      <c r="B664" s="8" t="str">
        <f>HYPERLINK("https://twitter.com/GHAUmass","@GHAUmass")</f>
        <v>@GHAUmass</v>
      </c>
      <c r="C664" s="9" t="s">
        <v>30</v>
      </c>
      <c r="D664" s="9" t="s">
        <v>783</v>
      </c>
      <c r="E664" s="10" t="str">
        <f>HYPERLINK("https://twitter.com/GHAUmass/status/705921472045387777","705921472045387777")</f>
        <v>705921472045387777</v>
      </c>
      <c r="F664" s="11" t="s">
        <v>26</v>
      </c>
      <c r="G664" s="12">
        <v>68.0</v>
      </c>
      <c r="H664" s="12">
        <v>100.0</v>
      </c>
      <c r="I664" s="12">
        <v>4.0</v>
      </c>
      <c r="J664" s="12">
        <v>0.0</v>
      </c>
      <c r="K664" s="11" t="s">
        <v>21</v>
      </c>
      <c r="L664" s="7">
        <v>42152.65289351852</v>
      </c>
      <c r="M664" s="13" t="s">
        <v>22</v>
      </c>
      <c r="N664" s="13" t="s">
        <v>32</v>
      </c>
      <c r="O664" s="10" t="str">
        <f>HYPERLINK("https://pbs.twimg.com/profile_images/604060333590855682/Fk6r1D7d_normal.jpg","View")</f>
        <v>View</v>
      </c>
      <c r="P664" s="14"/>
    </row>
    <row r="665">
      <c r="A665" s="7">
        <v>42433.79362268519</v>
      </c>
      <c r="B665" s="8" t="str">
        <f>HYPERLINK("https://twitter.com/juliegpeterson","@juliegpeterson")</f>
        <v>@juliegpeterson</v>
      </c>
      <c r="C665" s="9" t="s">
        <v>24</v>
      </c>
      <c r="D665" s="9" t="s">
        <v>783</v>
      </c>
      <c r="E665" s="10" t="str">
        <f>HYPERLINK("https://twitter.com/juliegpeterson/status/705921473207267329","705921473207267329")</f>
        <v>705921473207267329</v>
      </c>
      <c r="F665" s="11" t="s">
        <v>26</v>
      </c>
      <c r="G665" s="12">
        <v>239.0</v>
      </c>
      <c r="H665" s="12">
        <v>775.0</v>
      </c>
      <c r="I665" s="12">
        <v>4.0</v>
      </c>
      <c r="J665" s="12">
        <v>0.0</v>
      </c>
      <c r="K665" s="11" t="s">
        <v>21</v>
      </c>
      <c r="L665" s="7">
        <v>41208.65523148148</v>
      </c>
      <c r="M665" s="13" t="s">
        <v>22</v>
      </c>
      <c r="N665" s="13" t="s">
        <v>27</v>
      </c>
      <c r="O665" s="10" t="str">
        <f>HYPERLINK("https://pbs.twimg.com/profile_images/609765839051452416/GNW0wSt0_normal.jpg","View")</f>
        <v>View</v>
      </c>
      <c r="P665" s="14"/>
    </row>
    <row r="666">
      <c r="A666" s="7">
        <v>42433.79372685185</v>
      </c>
      <c r="B666" s="8" t="str">
        <f>HYPERLINK("https://twitter.com/GHAUmass","@GHAUmass")</f>
        <v>@GHAUmass</v>
      </c>
      <c r="C666" s="9" t="s">
        <v>30</v>
      </c>
      <c r="D666" s="9" t="s">
        <v>784</v>
      </c>
      <c r="E666" s="10" t="str">
        <f>HYPERLINK("https://twitter.com/GHAUmass/status/705921512348454912","705921512348454912")</f>
        <v>705921512348454912</v>
      </c>
      <c r="F666" s="11" t="s">
        <v>26</v>
      </c>
      <c r="G666" s="12">
        <v>68.0</v>
      </c>
      <c r="H666" s="12">
        <v>100.0</v>
      </c>
      <c r="I666" s="12">
        <v>4.0</v>
      </c>
      <c r="J666" s="12">
        <v>0.0</v>
      </c>
      <c r="K666" s="11" t="s">
        <v>21</v>
      </c>
      <c r="L666" s="7">
        <v>42152.65289351852</v>
      </c>
      <c r="M666" s="13" t="s">
        <v>22</v>
      </c>
      <c r="N666" s="13" t="s">
        <v>32</v>
      </c>
      <c r="O666" s="10" t="str">
        <f>HYPERLINK("https://pbs.twimg.com/profile_images/604060333590855682/Fk6r1D7d_normal.jpg","View")</f>
        <v>View</v>
      </c>
      <c r="P666" s="14"/>
    </row>
    <row r="667">
      <c r="A667" s="7">
        <v>42433.79390046296</v>
      </c>
      <c r="B667" s="8" t="str">
        <f>HYPERLINK("https://twitter.com/magmidd","@magmidd")</f>
        <v>@magmidd</v>
      </c>
      <c r="C667" s="9" t="s">
        <v>636</v>
      </c>
      <c r="D667" s="9" t="s">
        <v>785</v>
      </c>
      <c r="E667" s="10" t="str">
        <f>HYPERLINK("https://twitter.com/magmidd/status/705921576605122560","705921576605122560")</f>
        <v>705921576605122560</v>
      </c>
      <c r="F667" s="11" t="s">
        <v>148</v>
      </c>
      <c r="G667" s="12">
        <v>1385.0</v>
      </c>
      <c r="H667" s="12">
        <v>1353.0</v>
      </c>
      <c r="I667" s="12">
        <v>3.0</v>
      </c>
      <c r="J667" s="12">
        <v>3.0</v>
      </c>
      <c r="K667" s="11" t="s">
        <v>21</v>
      </c>
      <c r="L667" s="7">
        <v>41511.60082175926</v>
      </c>
      <c r="M667" s="13" t="s">
        <v>197</v>
      </c>
      <c r="N667" s="13" t="s">
        <v>638</v>
      </c>
      <c r="O667" s="10" t="str">
        <f>HYPERLINK("https://pbs.twimg.com/profile_images/378800000450415007/82bcc7d0cab85e8d5920dbf5ded6715e_normal.jpeg","View")</f>
        <v>View</v>
      </c>
      <c r="P667" s="14"/>
    </row>
    <row r="668">
      <c r="A668" s="7">
        <v>42433.794074074074</v>
      </c>
      <c r="B668" s="8" t="str">
        <f>HYPERLINK("https://twitter.com/sheishistoric","@sheishistoric")</f>
        <v>@sheishistoric</v>
      </c>
      <c r="C668" s="9" t="s">
        <v>127</v>
      </c>
      <c r="D668" s="9" t="s">
        <v>784</v>
      </c>
      <c r="E668" s="10" t="str">
        <f>HYPERLINK("https://twitter.com/sheishistoric/status/705921638026575872","705921638026575872")</f>
        <v>705921638026575872</v>
      </c>
      <c r="F668" s="11" t="s">
        <v>26</v>
      </c>
      <c r="G668" s="12">
        <v>405.0</v>
      </c>
      <c r="H668" s="12">
        <v>882.0</v>
      </c>
      <c r="I668" s="12">
        <v>4.0</v>
      </c>
      <c r="J668" s="12">
        <v>0.0</v>
      </c>
      <c r="K668" s="11" t="s">
        <v>21</v>
      </c>
      <c r="L668" s="7">
        <v>41529.842094907406</v>
      </c>
      <c r="M668" s="13" t="s">
        <v>129</v>
      </c>
      <c r="N668" s="13" t="s">
        <v>130</v>
      </c>
      <c r="O668" s="10" t="str">
        <f>HYPERLINK("https://pbs.twimg.com/profile_images/650419150620377089/bJxBf---_normal.jpg","View")</f>
        <v>View</v>
      </c>
      <c r="P668" s="14"/>
    </row>
    <row r="669">
      <c r="A669" s="7">
        <v>42433.7941087963</v>
      </c>
      <c r="B669" s="8" t="str">
        <f>HYPERLINK("https://twitter.com/JimGrossmanAHA","@JimGrossmanAHA")</f>
        <v>@JimGrossmanAHA</v>
      </c>
      <c r="C669" s="9" t="s">
        <v>278</v>
      </c>
      <c r="D669" s="9" t="s">
        <v>786</v>
      </c>
      <c r="E669" s="10" t="str">
        <f>HYPERLINK("https://twitter.com/JimGrossmanAHA/status/705921650211078144","705921650211078144")</f>
        <v>705921650211078144</v>
      </c>
      <c r="F669" s="11" t="s">
        <v>31</v>
      </c>
      <c r="G669" s="12">
        <v>2241.0</v>
      </c>
      <c r="H669" s="12">
        <v>368.0</v>
      </c>
      <c r="I669" s="12">
        <v>2.0</v>
      </c>
      <c r="J669" s="12">
        <v>3.0</v>
      </c>
      <c r="K669" s="11" t="s">
        <v>21</v>
      </c>
      <c r="L669" s="7">
        <v>41576.36603009259</v>
      </c>
      <c r="M669" s="13" t="s">
        <v>279</v>
      </c>
      <c r="N669" s="13" t="s">
        <v>280</v>
      </c>
      <c r="O669" s="10" t="str">
        <f>HYPERLINK("https://pbs.twimg.com/profile_images/378800000667891782/44d7b181c077bf16ab07b242f7ad81b9_normal.png","View")</f>
        <v>View</v>
      </c>
      <c r="P669" s="14"/>
    </row>
    <row r="670">
      <c r="A670" s="7">
        <v>42433.794386574074</v>
      </c>
      <c r="B670" s="8" t="str">
        <f>HYPERLINK("https://twitter.com/cameshascruggs","@cameshascruggs")</f>
        <v>@cameshascruggs</v>
      </c>
      <c r="C670" s="9" t="s">
        <v>761</v>
      </c>
      <c r="D670" s="9" t="s">
        <v>787</v>
      </c>
      <c r="E670" s="10" t="str">
        <f>HYPERLINK("https://twitter.com/cameshascruggs/status/705921752552046592","705921752552046592")</f>
        <v>705921752552046592</v>
      </c>
      <c r="F670" s="11" t="s">
        <v>43</v>
      </c>
      <c r="G670" s="12">
        <v>144.0</v>
      </c>
      <c r="H670" s="12">
        <v>551.0</v>
      </c>
      <c r="I670" s="12">
        <v>1.0</v>
      </c>
      <c r="J670" s="12">
        <v>0.0</v>
      </c>
      <c r="K670" s="11" t="s">
        <v>21</v>
      </c>
      <c r="L670" s="7">
        <v>39897.69201388889</v>
      </c>
      <c r="M670" s="15"/>
      <c r="N670" s="13" t="s">
        <v>762</v>
      </c>
      <c r="O670" s="10" t="str">
        <f>HYPERLINK("https://pbs.twimg.com/profile_images/187613030/me_in_panel_mode_normal.jpg","View")</f>
        <v>View</v>
      </c>
      <c r="P670" s="14"/>
    </row>
    <row r="671">
      <c r="A671" s="7">
        <v>42433.79474537037</v>
      </c>
      <c r="B671" s="8" t="str">
        <f>HYPERLINK("https://twitter.com/rebekkahrubin","@rebekkahrubin")</f>
        <v>@rebekkahrubin</v>
      </c>
      <c r="C671" s="9" t="s">
        <v>141</v>
      </c>
      <c r="D671" s="9" t="s">
        <v>788</v>
      </c>
      <c r="E671" s="10" t="str">
        <f>HYPERLINK("https://twitter.com/rebekkahrubin/status/705921879471742977","705921879471742977")</f>
        <v>705921879471742977</v>
      </c>
      <c r="F671" s="11" t="s">
        <v>31</v>
      </c>
      <c r="G671" s="12">
        <v>492.0</v>
      </c>
      <c r="H671" s="12">
        <v>1224.0</v>
      </c>
      <c r="I671" s="12">
        <v>0.0</v>
      </c>
      <c r="J671" s="12">
        <v>1.0</v>
      </c>
      <c r="K671" s="11" t="s">
        <v>21</v>
      </c>
      <c r="L671" s="7">
        <v>40411.521527777775</v>
      </c>
      <c r="M671" s="13" t="s">
        <v>143</v>
      </c>
      <c r="N671" s="13" t="s">
        <v>144</v>
      </c>
      <c r="O671" s="10" t="str">
        <f>HYPERLINK("https://pbs.twimg.com/profile_images/700317732588408832/Ym_-neUi_normal.jpg","View")</f>
        <v>View</v>
      </c>
      <c r="P671" s="14"/>
    </row>
    <row r="672">
      <c r="A672" s="7">
        <v>42433.79479166667</v>
      </c>
      <c r="B672" s="8" t="str">
        <f>HYPERLINK("https://twitter.com/fefenifi","@fefenifi")</f>
        <v>@fefenifi</v>
      </c>
      <c r="C672" s="9" t="s">
        <v>789</v>
      </c>
      <c r="D672" s="9" t="s">
        <v>790</v>
      </c>
      <c r="E672" s="10" t="str">
        <f>HYPERLINK("https://twitter.com/fefenifi/status/705921896861327360","705921896861327360")</f>
        <v>705921896861327360</v>
      </c>
      <c r="F672" s="11" t="s">
        <v>26</v>
      </c>
      <c r="G672" s="12">
        <v>44.0</v>
      </c>
      <c r="H672" s="12">
        <v>113.0</v>
      </c>
      <c r="I672" s="12">
        <v>3.0</v>
      </c>
      <c r="J672" s="12">
        <v>6.0</v>
      </c>
      <c r="K672" s="11" t="s">
        <v>21</v>
      </c>
      <c r="L672" s="7">
        <v>42357.812696759254</v>
      </c>
      <c r="M672" s="13" t="s">
        <v>791</v>
      </c>
      <c r="N672" s="13" t="s">
        <v>792</v>
      </c>
      <c r="O672" s="10" t="str">
        <f>HYPERLINK("https://pbs.twimg.com/profile_images/678387998577135616/E7-0NNJV_normal.jpg","View")</f>
        <v>View</v>
      </c>
      <c r="P672" s="14"/>
    </row>
    <row r="673">
      <c r="A673" s="7">
        <v>42433.79483796297</v>
      </c>
      <c r="B673" s="8" t="str">
        <f>HYPERLINK("https://twitter.com/historycampaign","@historycampaign")</f>
        <v>@historycampaign</v>
      </c>
      <c r="C673" s="9" t="s">
        <v>133</v>
      </c>
      <c r="D673" s="9" t="s">
        <v>793</v>
      </c>
      <c r="E673" s="10" t="str">
        <f>HYPERLINK("https://twitter.com/historycampaign/status/705921914020057088","705921914020057088")</f>
        <v>705921914020057088</v>
      </c>
      <c r="F673" s="11" t="s">
        <v>26</v>
      </c>
      <c r="G673" s="12">
        <v>110.0</v>
      </c>
      <c r="H673" s="12">
        <v>59.0</v>
      </c>
      <c r="I673" s="12">
        <v>1.0</v>
      </c>
      <c r="J673" s="12">
        <v>3.0</v>
      </c>
      <c r="K673" s="11" t="s">
        <v>21</v>
      </c>
      <c r="L673" s="7">
        <v>42311.25096064815</v>
      </c>
      <c r="M673" s="15"/>
      <c r="N673" s="13" t="s">
        <v>135</v>
      </c>
      <c r="O673" s="10" t="str">
        <f>HYPERLINK("https://pbs.twimg.com/profile_images/673691030139609088/8v7ab61D_normal.jpg","View")</f>
        <v>View</v>
      </c>
      <c r="P673" s="14"/>
    </row>
    <row r="674">
      <c r="A674" s="7">
        <v>42433.79497685185</v>
      </c>
      <c r="B674" s="8" t="str">
        <f>HYPERLINK("https://twitter.com/aglassofhistory","@aglassofhistory")</f>
        <v>@aglassofhistory</v>
      </c>
      <c r="C674" s="9" t="s">
        <v>53</v>
      </c>
      <c r="D674" s="9" t="s">
        <v>794</v>
      </c>
      <c r="E674" s="10" t="str">
        <f>HYPERLINK("https://twitter.com/aglassofhistory/status/705921966482595840","705921966482595840")</f>
        <v>705921966482595840</v>
      </c>
      <c r="F674" s="11" t="s">
        <v>148</v>
      </c>
      <c r="G674" s="12">
        <v>400.0</v>
      </c>
      <c r="H674" s="12">
        <v>733.0</v>
      </c>
      <c r="I674" s="12">
        <v>1.0</v>
      </c>
      <c r="J674" s="12">
        <v>4.0</v>
      </c>
      <c r="K674" s="11" t="s">
        <v>21</v>
      </c>
      <c r="L674" s="7">
        <v>41697.65762731482</v>
      </c>
      <c r="M674" s="13" t="s">
        <v>55</v>
      </c>
      <c r="N674" s="13" t="s">
        <v>56</v>
      </c>
      <c r="O674" s="10" t="str">
        <f>HYPERLINK("https://pbs.twimg.com/profile_images/611592888816898048/cGMlIfmz_normal.jpg","View")</f>
        <v>View</v>
      </c>
      <c r="P674" s="14"/>
    </row>
    <row r="675">
      <c r="A675" s="7">
        <v>42433.795011574075</v>
      </c>
      <c r="B675" s="8" t="str">
        <f t="shared" ref="B675:B676" si="163">HYPERLINK("https://twitter.com/JulieThePH","@JulieThePH")</f>
        <v>@JulieThePH</v>
      </c>
      <c r="C675" s="9" t="s">
        <v>211</v>
      </c>
      <c r="D675" s="9" t="s">
        <v>795</v>
      </c>
      <c r="E675" s="10" t="str">
        <f>HYPERLINK("https://twitter.com/JulieThePH/status/705921978843209728","705921978843209728")</f>
        <v>705921978843209728</v>
      </c>
      <c r="F675" s="11" t="s">
        <v>148</v>
      </c>
      <c r="G675" s="12">
        <v>1234.0</v>
      </c>
      <c r="H675" s="12">
        <v>1386.0</v>
      </c>
      <c r="I675" s="12">
        <v>2.0</v>
      </c>
      <c r="J675" s="12">
        <v>3.0</v>
      </c>
      <c r="K675" s="11" t="s">
        <v>21</v>
      </c>
      <c r="L675" s="7">
        <v>40718.66918981481</v>
      </c>
      <c r="M675" s="13" t="s">
        <v>213</v>
      </c>
      <c r="N675" s="13" t="s">
        <v>214</v>
      </c>
      <c r="O675" s="10" t="str">
        <f t="shared" ref="O675:O676" si="164">HYPERLINK("https://pbs.twimg.com/profile_images/596509974005686273/AqBblwMR_normal.jpg","View")</f>
        <v>View</v>
      </c>
      <c r="P675" s="14"/>
    </row>
    <row r="676">
      <c r="A676" s="7">
        <v>42433.795127314814</v>
      </c>
      <c r="B676" s="8" t="str">
        <f t="shared" si="163"/>
        <v>@JulieThePH</v>
      </c>
      <c r="C676" s="9" t="s">
        <v>211</v>
      </c>
      <c r="D676" s="9" t="s">
        <v>796</v>
      </c>
      <c r="E676" s="10" t="str">
        <f>HYPERLINK("https://twitter.com/JulieThePH/status/705922018412199936","705922018412199936")</f>
        <v>705922018412199936</v>
      </c>
      <c r="F676" s="11" t="s">
        <v>148</v>
      </c>
      <c r="G676" s="12">
        <v>1234.0</v>
      </c>
      <c r="H676" s="12">
        <v>1386.0</v>
      </c>
      <c r="I676" s="12">
        <v>1.0</v>
      </c>
      <c r="J676" s="12">
        <v>0.0</v>
      </c>
      <c r="K676" s="11" t="s">
        <v>21</v>
      </c>
      <c r="L676" s="7">
        <v>40718.66918981481</v>
      </c>
      <c r="M676" s="13" t="s">
        <v>213</v>
      </c>
      <c r="N676" s="13" t="s">
        <v>214</v>
      </c>
      <c r="O676" s="10" t="str">
        <f t="shared" si="164"/>
        <v>View</v>
      </c>
      <c r="P676" s="14"/>
    </row>
    <row r="677">
      <c r="A677" s="7">
        <v>42433.79517361111</v>
      </c>
      <c r="B677" s="8" t="str">
        <f>HYPERLINK("https://twitter.com/CitizenWald","@CitizenWald")</f>
        <v>@CitizenWald</v>
      </c>
      <c r="C677" s="9" t="s">
        <v>668</v>
      </c>
      <c r="D677" s="9" t="s">
        <v>482</v>
      </c>
      <c r="E677" s="10" t="str">
        <f>HYPERLINK("https://twitter.com/CitizenWald/status/705922037395673088","705922037395673088")</f>
        <v>705922037395673088</v>
      </c>
      <c r="F677" s="11" t="s">
        <v>26</v>
      </c>
      <c r="G677" s="12">
        <v>2335.0</v>
      </c>
      <c r="H677" s="12">
        <v>2535.0</v>
      </c>
      <c r="I677" s="12">
        <v>13.0</v>
      </c>
      <c r="J677" s="12">
        <v>0.0</v>
      </c>
      <c r="K677" s="11" t="s">
        <v>21</v>
      </c>
      <c r="L677" s="7">
        <v>39373.01613425926</v>
      </c>
      <c r="M677" s="13" t="s">
        <v>22</v>
      </c>
      <c r="N677" s="13" t="s">
        <v>669</v>
      </c>
      <c r="O677" s="10" t="str">
        <f>HYPERLINK("https://pbs.twimg.com/profile_images/661220280564486144/ZxUrdRVS_normal.jpg","View")</f>
        <v>View</v>
      </c>
      <c r="P677" s="14"/>
    </row>
    <row r="678">
      <c r="A678" s="7">
        <v>42433.79520833334</v>
      </c>
      <c r="B678" s="8" t="str">
        <f>HYPERLINK("https://twitter.com/juliegpeterson","@juliegpeterson")</f>
        <v>@juliegpeterson</v>
      </c>
      <c r="C678" s="9" t="s">
        <v>24</v>
      </c>
      <c r="D678" s="9" t="s">
        <v>797</v>
      </c>
      <c r="E678" s="10" t="str">
        <f>HYPERLINK("https://twitter.com/juliegpeterson/status/705922046845386752","705922046845386752")</f>
        <v>705922046845386752</v>
      </c>
      <c r="F678" s="11" t="s">
        <v>26</v>
      </c>
      <c r="G678" s="12">
        <v>239.0</v>
      </c>
      <c r="H678" s="12">
        <v>775.0</v>
      </c>
      <c r="I678" s="12">
        <v>0.0</v>
      </c>
      <c r="J678" s="12">
        <v>1.0</v>
      </c>
      <c r="K678" s="11" t="s">
        <v>21</v>
      </c>
      <c r="L678" s="7">
        <v>41208.65523148148</v>
      </c>
      <c r="M678" s="13" t="s">
        <v>22</v>
      </c>
      <c r="N678" s="13" t="s">
        <v>27</v>
      </c>
      <c r="O678" s="10" t="str">
        <f>HYPERLINK("https://pbs.twimg.com/profile_images/609765839051452416/GNW0wSt0_normal.jpg","View")</f>
        <v>View</v>
      </c>
      <c r="P678" s="14"/>
    </row>
    <row r="679">
      <c r="A679" s="7">
        <v>42433.79524305556</v>
      </c>
      <c r="B679" s="8" t="str">
        <f>HYPERLINK("https://twitter.com/CitizenWald","@CitizenWald")</f>
        <v>@CitizenWald</v>
      </c>
      <c r="C679" s="9" t="s">
        <v>668</v>
      </c>
      <c r="D679" s="9" t="s">
        <v>798</v>
      </c>
      <c r="E679" s="10" t="str">
        <f>HYPERLINK("https://twitter.com/CitizenWald/status/705922060254584832","705922060254584832")</f>
        <v>705922060254584832</v>
      </c>
      <c r="F679" s="11" t="s">
        <v>26</v>
      </c>
      <c r="G679" s="12">
        <v>2335.0</v>
      </c>
      <c r="H679" s="12">
        <v>2535.0</v>
      </c>
      <c r="I679" s="12">
        <v>2.0</v>
      </c>
      <c r="J679" s="12">
        <v>0.0</v>
      </c>
      <c r="K679" s="11" t="s">
        <v>21</v>
      </c>
      <c r="L679" s="7">
        <v>39373.01613425926</v>
      </c>
      <c r="M679" s="13" t="s">
        <v>22</v>
      </c>
      <c r="N679" s="13" t="s">
        <v>669</v>
      </c>
      <c r="O679" s="10" t="str">
        <f>HYPERLINK("https://pbs.twimg.com/profile_images/661220280564486144/ZxUrdRVS_normal.jpg","View")</f>
        <v>View</v>
      </c>
      <c r="P679" s="14"/>
    </row>
    <row r="680">
      <c r="A680" s="7">
        <v>42433.7952662037</v>
      </c>
      <c r="B680" s="8" t="str">
        <f>HYPERLINK("https://twitter.com/GHAUmass","@GHAUmass")</f>
        <v>@GHAUmass</v>
      </c>
      <c r="C680" s="9" t="s">
        <v>30</v>
      </c>
      <c r="D680" s="9" t="s">
        <v>799</v>
      </c>
      <c r="E680" s="10" t="str">
        <f>HYPERLINK("https://twitter.com/GHAUmass/status/705922069112987649","705922069112987649")</f>
        <v>705922069112987649</v>
      </c>
      <c r="F680" s="11" t="s">
        <v>26</v>
      </c>
      <c r="G680" s="12">
        <v>68.0</v>
      </c>
      <c r="H680" s="12">
        <v>100.0</v>
      </c>
      <c r="I680" s="12">
        <v>2.0</v>
      </c>
      <c r="J680" s="12">
        <v>0.0</v>
      </c>
      <c r="K680" s="11" t="s">
        <v>21</v>
      </c>
      <c r="L680" s="7">
        <v>42152.65289351852</v>
      </c>
      <c r="M680" s="13" t="s">
        <v>22</v>
      </c>
      <c r="N680" s="13" t="s">
        <v>32</v>
      </c>
      <c r="O680" s="10" t="str">
        <f>HYPERLINK("https://pbs.twimg.com/profile_images/604060333590855682/Fk6r1D7d_normal.jpg","View")</f>
        <v>View</v>
      </c>
      <c r="P680" s="14"/>
    </row>
    <row r="681">
      <c r="A681" s="7">
        <v>42433.79528935185</v>
      </c>
      <c r="B681" s="8" t="str">
        <f>HYPERLINK("https://twitter.com/erfagen","@erfagen")</f>
        <v>@erfagen</v>
      </c>
      <c r="C681" s="9" t="s">
        <v>124</v>
      </c>
      <c r="D681" s="9" t="s">
        <v>800</v>
      </c>
      <c r="E681" s="10" t="str">
        <f>HYPERLINK("https://twitter.com/erfagen/status/705922078428545025","705922078428545025")</f>
        <v>705922078428545025</v>
      </c>
      <c r="F681" s="11" t="s">
        <v>26</v>
      </c>
      <c r="G681" s="12">
        <v>1055.0</v>
      </c>
      <c r="H681" s="12">
        <v>2055.0</v>
      </c>
      <c r="I681" s="12">
        <v>2.0</v>
      </c>
      <c r="J681" s="12">
        <v>3.0</v>
      </c>
      <c r="K681" s="11" t="s">
        <v>21</v>
      </c>
      <c r="L681" s="7">
        <v>40524.93576388889</v>
      </c>
      <c r="M681" s="13" t="s">
        <v>125</v>
      </c>
      <c r="N681" s="13" t="s">
        <v>126</v>
      </c>
      <c r="O681" s="10" t="str">
        <f>HYPERLINK("https://pbs.twimg.com/profile_images/638086945722249217/mid_S_BQ_normal.jpg","View")</f>
        <v>View</v>
      </c>
      <c r="P681" s="14"/>
    </row>
    <row r="682">
      <c r="A682" s="7">
        <v>42433.79530092592</v>
      </c>
      <c r="B682" s="8" t="str">
        <f>HYPERLINK("https://twitter.com/Boston1775","@Boston1775")</f>
        <v>@Boston1775</v>
      </c>
      <c r="C682" s="9" t="s">
        <v>801</v>
      </c>
      <c r="D682" s="9" t="s">
        <v>783</v>
      </c>
      <c r="E682" s="10" t="str">
        <f>HYPERLINK("https://twitter.com/Boston1775/status/705922082698371072","705922082698371072")</f>
        <v>705922082698371072</v>
      </c>
      <c r="F682" s="11" t="s">
        <v>26</v>
      </c>
      <c r="G682" s="12">
        <v>3672.0</v>
      </c>
      <c r="H682" s="12">
        <v>577.0</v>
      </c>
      <c r="I682" s="12">
        <v>4.0</v>
      </c>
      <c r="J682" s="12">
        <v>0.0</v>
      </c>
      <c r="K682" s="11" t="s">
        <v>21</v>
      </c>
      <c r="L682" s="7">
        <v>40032.88606481481</v>
      </c>
      <c r="M682" s="13" t="s">
        <v>85</v>
      </c>
      <c r="N682" s="13" t="s">
        <v>802</v>
      </c>
      <c r="O682" s="10" t="str">
        <f>HYPERLINK("https://pbs.twimg.com/profile_images/361505483/Henry_Pelham_thumbnail_normal.jpg","View")</f>
        <v>View</v>
      </c>
      <c r="P682" s="14"/>
    </row>
    <row r="683">
      <c r="A683" s="7">
        <v>42433.79539351852</v>
      </c>
      <c r="B683" s="8" t="str">
        <f>HYPERLINK("https://twitter.com/GHAUmass","@GHAUmass")</f>
        <v>@GHAUmass</v>
      </c>
      <c r="C683" s="9" t="s">
        <v>30</v>
      </c>
      <c r="D683" s="9" t="s">
        <v>803</v>
      </c>
      <c r="E683" s="10" t="str">
        <f>HYPERLINK("https://twitter.com/GHAUmass/status/705922115648819200","705922115648819200")</f>
        <v>705922115648819200</v>
      </c>
      <c r="F683" s="11" t="s">
        <v>26</v>
      </c>
      <c r="G683" s="12">
        <v>68.0</v>
      </c>
      <c r="H683" s="12">
        <v>100.0</v>
      </c>
      <c r="I683" s="12">
        <v>1.0</v>
      </c>
      <c r="J683" s="12">
        <v>0.0</v>
      </c>
      <c r="K683" s="11" t="s">
        <v>21</v>
      </c>
      <c r="L683" s="7">
        <v>42152.65289351852</v>
      </c>
      <c r="M683" s="13" t="s">
        <v>22</v>
      </c>
      <c r="N683" s="13" t="s">
        <v>32</v>
      </c>
      <c r="O683" s="10" t="str">
        <f>HYPERLINK("https://pbs.twimg.com/profile_images/604060333590855682/Fk6r1D7d_normal.jpg","View")</f>
        <v>View</v>
      </c>
      <c r="P683" s="14"/>
    </row>
    <row r="684">
      <c r="A684" s="7">
        <v>42433.79547453704</v>
      </c>
      <c r="B684" s="8" t="str">
        <f>HYPERLINK("https://twitter.com/magmidd","@magmidd")</f>
        <v>@magmidd</v>
      </c>
      <c r="C684" s="9" t="s">
        <v>636</v>
      </c>
      <c r="D684" s="9" t="s">
        <v>804</v>
      </c>
      <c r="E684" s="10" t="str">
        <f>HYPERLINK("https://twitter.com/magmidd/status/705922144346091520","705922144346091520")</f>
        <v>705922144346091520</v>
      </c>
      <c r="F684" s="11" t="s">
        <v>148</v>
      </c>
      <c r="G684" s="12">
        <v>1385.0</v>
      </c>
      <c r="H684" s="12">
        <v>1353.0</v>
      </c>
      <c r="I684" s="12">
        <v>2.0</v>
      </c>
      <c r="J684" s="12">
        <v>0.0</v>
      </c>
      <c r="K684" s="11" t="s">
        <v>21</v>
      </c>
      <c r="L684" s="7">
        <v>41511.60082175926</v>
      </c>
      <c r="M684" s="13" t="s">
        <v>197</v>
      </c>
      <c r="N684" s="13" t="s">
        <v>638</v>
      </c>
      <c r="O684" s="10" t="str">
        <f>HYPERLINK("https://pbs.twimg.com/profile_images/378800000450415007/82bcc7d0cab85e8d5920dbf5ded6715e_normal.jpeg","View")</f>
        <v>View</v>
      </c>
      <c r="P684" s="14"/>
    </row>
    <row r="685">
      <c r="A685" s="7">
        <v>42433.79549768519</v>
      </c>
      <c r="B685" s="8" t="str">
        <f>HYPERLINK("https://twitter.com/GHAUmass","@GHAUmass")</f>
        <v>@GHAUmass</v>
      </c>
      <c r="C685" s="9" t="s">
        <v>30</v>
      </c>
      <c r="D685" s="9" t="s">
        <v>805</v>
      </c>
      <c r="E685" s="10" t="str">
        <f>HYPERLINK("https://twitter.com/GHAUmass/status/705922151740805120","705922151740805120")</f>
        <v>705922151740805120</v>
      </c>
      <c r="F685" s="11" t="s">
        <v>26</v>
      </c>
      <c r="G685" s="12">
        <v>68.0</v>
      </c>
      <c r="H685" s="12">
        <v>100.0</v>
      </c>
      <c r="I685" s="12">
        <v>2.0</v>
      </c>
      <c r="J685" s="12">
        <v>0.0</v>
      </c>
      <c r="K685" s="11" t="s">
        <v>21</v>
      </c>
      <c r="L685" s="7">
        <v>42152.65289351852</v>
      </c>
      <c r="M685" s="13" t="s">
        <v>22</v>
      </c>
      <c r="N685" s="13" t="s">
        <v>32</v>
      </c>
      <c r="O685" s="10" t="str">
        <f>HYPERLINK("https://pbs.twimg.com/profile_images/604060333590855682/Fk6r1D7d_normal.jpg","View")</f>
        <v>View</v>
      </c>
      <c r="P685" s="14"/>
    </row>
    <row r="686">
      <c r="A686" s="7">
        <v>42433.795636574076</v>
      </c>
      <c r="B686" s="8" t="str">
        <f>HYPERLINK("https://twitter.com/Boston1775","@Boston1775")</f>
        <v>@Boston1775</v>
      </c>
      <c r="C686" s="9" t="s">
        <v>801</v>
      </c>
      <c r="D686" s="9" t="s">
        <v>736</v>
      </c>
      <c r="E686" s="10" t="str">
        <f>HYPERLINK("https://twitter.com/Boston1775/status/705922205029425153","705922205029425153")</f>
        <v>705922205029425153</v>
      </c>
      <c r="F686" s="11" t="s">
        <v>26</v>
      </c>
      <c r="G686" s="12">
        <v>3672.0</v>
      </c>
      <c r="H686" s="12">
        <v>577.0</v>
      </c>
      <c r="I686" s="12">
        <v>8.0</v>
      </c>
      <c r="J686" s="12">
        <v>0.0</v>
      </c>
      <c r="K686" s="11" t="s">
        <v>21</v>
      </c>
      <c r="L686" s="7">
        <v>40032.88606481481</v>
      </c>
      <c r="M686" s="13" t="s">
        <v>85</v>
      </c>
      <c r="N686" s="13" t="s">
        <v>802</v>
      </c>
      <c r="O686" s="10" t="str">
        <f>HYPERLINK("https://pbs.twimg.com/profile_images/361505483/Henry_Pelham_thumbnail_normal.jpg","View")</f>
        <v>View</v>
      </c>
      <c r="P686" s="14"/>
    </row>
    <row r="687">
      <c r="A687" s="7">
        <v>42433.79564814815</v>
      </c>
      <c r="B687" s="8" t="str">
        <f>HYPERLINK("https://twitter.com/JimGrossmanAHA","@JimGrossmanAHA")</f>
        <v>@JimGrossmanAHA</v>
      </c>
      <c r="C687" s="9" t="s">
        <v>278</v>
      </c>
      <c r="D687" s="9" t="s">
        <v>806</v>
      </c>
      <c r="E687" s="10" t="str">
        <f>HYPERLINK("https://twitter.com/JimGrossmanAHA/status/705922208007380992","705922208007380992")</f>
        <v>705922208007380992</v>
      </c>
      <c r="F687" s="11" t="s">
        <v>31</v>
      </c>
      <c r="G687" s="12">
        <v>2241.0</v>
      </c>
      <c r="H687" s="12">
        <v>368.0</v>
      </c>
      <c r="I687" s="12">
        <v>2.0</v>
      </c>
      <c r="J687" s="12">
        <v>4.0</v>
      </c>
      <c r="K687" s="11" t="s">
        <v>21</v>
      </c>
      <c r="L687" s="7">
        <v>41576.36603009259</v>
      </c>
      <c r="M687" s="13" t="s">
        <v>279</v>
      </c>
      <c r="N687" s="13" t="s">
        <v>280</v>
      </c>
      <c r="O687" s="10" t="str">
        <f>HYPERLINK("https://pbs.twimg.com/profile_images/378800000667891782/44d7b181c077bf16ab07b242f7ad81b9_normal.png","View")</f>
        <v>View</v>
      </c>
      <c r="P687" s="14"/>
    </row>
    <row r="688">
      <c r="A688" s="7">
        <v>42433.795682870375</v>
      </c>
      <c r="B688" s="8" t="str">
        <f>HYPERLINK("https://twitter.com/CitizenWald","@CitizenWald")</f>
        <v>@CitizenWald</v>
      </c>
      <c r="C688" s="9" t="s">
        <v>668</v>
      </c>
      <c r="D688" s="9" t="s">
        <v>736</v>
      </c>
      <c r="E688" s="10" t="str">
        <f>HYPERLINK("https://twitter.com/CitizenWald/status/705922221815029761","705922221815029761")</f>
        <v>705922221815029761</v>
      </c>
      <c r="F688" s="11" t="s">
        <v>26</v>
      </c>
      <c r="G688" s="12">
        <v>2335.0</v>
      </c>
      <c r="H688" s="12">
        <v>2535.0</v>
      </c>
      <c r="I688" s="12">
        <v>8.0</v>
      </c>
      <c r="J688" s="12">
        <v>0.0</v>
      </c>
      <c r="K688" s="11" t="s">
        <v>21</v>
      </c>
      <c r="L688" s="7">
        <v>39373.01613425926</v>
      </c>
      <c r="M688" s="13" t="s">
        <v>22</v>
      </c>
      <c r="N688" s="13" t="s">
        <v>669</v>
      </c>
      <c r="O688" s="10" t="str">
        <f>HYPERLINK("https://pbs.twimg.com/profile_images/661220280564486144/ZxUrdRVS_normal.jpg","View")</f>
        <v>View</v>
      </c>
      <c r="P688" s="14"/>
    </row>
    <row r="689">
      <c r="A689" s="7">
        <v>42433.79576388889</v>
      </c>
      <c r="B689" s="8" t="str">
        <f>HYPERLINK("https://twitter.com/rebekkahrubin","@rebekkahrubin")</f>
        <v>@rebekkahrubin</v>
      </c>
      <c r="C689" s="9" t="s">
        <v>141</v>
      </c>
      <c r="D689" s="9" t="s">
        <v>807</v>
      </c>
      <c r="E689" s="10" t="str">
        <f>HYPERLINK("https://twitter.com/rebekkahrubin/status/705922252110503936","705922252110503936")</f>
        <v>705922252110503936</v>
      </c>
      <c r="F689" s="11" t="s">
        <v>31</v>
      </c>
      <c r="G689" s="12">
        <v>492.0</v>
      </c>
      <c r="H689" s="12">
        <v>1224.0</v>
      </c>
      <c r="I689" s="12">
        <v>2.0</v>
      </c>
      <c r="J689" s="12">
        <v>2.0</v>
      </c>
      <c r="K689" s="11" t="s">
        <v>21</v>
      </c>
      <c r="L689" s="7">
        <v>40411.521527777775</v>
      </c>
      <c r="M689" s="13" t="s">
        <v>143</v>
      </c>
      <c r="N689" s="13" t="s">
        <v>144</v>
      </c>
      <c r="O689" s="10" t="str">
        <f>HYPERLINK("https://pbs.twimg.com/profile_images/700317732588408832/Ym_-neUi_normal.jpg","View")</f>
        <v>View</v>
      </c>
      <c r="P689" s="14"/>
    </row>
    <row r="690">
      <c r="A690" s="7">
        <v>42433.79604166667</v>
      </c>
      <c r="B690" s="8" t="str">
        <f>HYPERLINK("https://twitter.com/aglassofhistory","@aglassofhistory")</f>
        <v>@aglassofhistory</v>
      </c>
      <c r="C690" s="9" t="s">
        <v>53</v>
      </c>
      <c r="D690" s="9" t="s">
        <v>808</v>
      </c>
      <c r="E690" s="10" t="str">
        <f>HYPERLINK("https://twitter.com/aglassofhistory/status/705922352782176256","705922352782176256")</f>
        <v>705922352782176256</v>
      </c>
      <c r="F690" s="11" t="s">
        <v>148</v>
      </c>
      <c r="G690" s="12">
        <v>400.0</v>
      </c>
      <c r="H690" s="12">
        <v>733.0</v>
      </c>
      <c r="I690" s="12">
        <v>0.0</v>
      </c>
      <c r="J690" s="12">
        <v>1.0</v>
      </c>
      <c r="K690" s="11" t="s">
        <v>21</v>
      </c>
      <c r="L690" s="7">
        <v>41697.65762731482</v>
      </c>
      <c r="M690" s="13" t="s">
        <v>55</v>
      </c>
      <c r="N690" s="13" t="s">
        <v>56</v>
      </c>
      <c r="O690" s="10" t="str">
        <f>HYPERLINK("https://pbs.twimg.com/profile_images/611592888816898048/cGMlIfmz_normal.jpg","View")</f>
        <v>View</v>
      </c>
      <c r="P690" s="14"/>
    </row>
    <row r="691">
      <c r="A691" s="7">
        <v>42433.79608796297</v>
      </c>
      <c r="B691" s="8" t="str">
        <f>HYPERLINK("https://twitter.com/sheishistoric","@sheishistoric")</f>
        <v>@sheishistoric</v>
      </c>
      <c r="C691" s="9" t="s">
        <v>127</v>
      </c>
      <c r="D691" s="9" t="s">
        <v>809</v>
      </c>
      <c r="E691" s="10" t="str">
        <f>HYPERLINK("https://twitter.com/sheishistoric/status/705922367902580738","705922367902580738")</f>
        <v>705922367902580738</v>
      </c>
      <c r="F691" s="11" t="s">
        <v>26</v>
      </c>
      <c r="G691" s="12">
        <v>405.0</v>
      </c>
      <c r="H691" s="12">
        <v>882.0</v>
      </c>
      <c r="I691" s="12">
        <v>1.0</v>
      </c>
      <c r="J691" s="12">
        <v>2.0</v>
      </c>
      <c r="K691" s="11" t="s">
        <v>21</v>
      </c>
      <c r="L691" s="7">
        <v>41529.842094907406</v>
      </c>
      <c r="M691" s="13" t="s">
        <v>129</v>
      </c>
      <c r="N691" s="13" t="s">
        <v>130</v>
      </c>
      <c r="O691" s="10" t="str">
        <f>HYPERLINK("https://pbs.twimg.com/profile_images/650419150620377089/bJxBf---_normal.jpg","View")</f>
        <v>View</v>
      </c>
      <c r="P691" s="14"/>
    </row>
    <row r="692">
      <c r="A692" s="7">
        <v>42433.79609953704</v>
      </c>
      <c r="B692" s="8" t="str">
        <f>HYPERLINK("https://twitter.com/jaheppler","@jaheppler")</f>
        <v>@jaheppler</v>
      </c>
      <c r="C692" s="9" t="s">
        <v>460</v>
      </c>
      <c r="D692" s="9" t="s">
        <v>482</v>
      </c>
      <c r="E692" s="10" t="str">
        <f>HYPERLINK("https://twitter.com/jaheppler/status/705922372612681729","705922372612681729")</f>
        <v>705922372612681729</v>
      </c>
      <c r="F692" s="11" t="s">
        <v>462</v>
      </c>
      <c r="G692" s="12">
        <v>1933.0</v>
      </c>
      <c r="H692" s="12">
        <v>480.0</v>
      </c>
      <c r="I692" s="12">
        <v>13.0</v>
      </c>
      <c r="J692" s="12">
        <v>0.0</v>
      </c>
      <c r="K692" s="11" t="s">
        <v>21</v>
      </c>
      <c r="L692" s="7">
        <v>39702.3484375</v>
      </c>
      <c r="M692" s="13" t="s">
        <v>463</v>
      </c>
      <c r="N692" s="13" t="s">
        <v>464</v>
      </c>
      <c r="O692" s="10" t="str">
        <f>HYPERLINK("https://pbs.twimg.com/profile_images/436607137188290560/UM-U3wT1_normal.jpeg","View")</f>
        <v>View</v>
      </c>
      <c r="P692" s="14"/>
    </row>
    <row r="693">
      <c r="A693" s="7">
        <v>42433.796331018515</v>
      </c>
      <c r="B693" s="8" t="str">
        <f>HYPERLINK("https://twitter.com/GHAUmass","@GHAUmass")</f>
        <v>@GHAUmass</v>
      </c>
      <c r="C693" s="9" t="s">
        <v>30</v>
      </c>
      <c r="D693" s="9" t="s">
        <v>810</v>
      </c>
      <c r="E693" s="10" t="str">
        <f>HYPERLINK("https://twitter.com/GHAUmass/status/705922455194435584","705922455194435584")</f>
        <v>705922455194435584</v>
      </c>
      <c r="F693" s="11" t="s">
        <v>26</v>
      </c>
      <c r="G693" s="12">
        <v>68.0</v>
      </c>
      <c r="H693" s="12">
        <v>100.0</v>
      </c>
      <c r="I693" s="12">
        <v>2.0</v>
      </c>
      <c r="J693" s="12">
        <v>0.0</v>
      </c>
      <c r="K693" s="11" t="s">
        <v>21</v>
      </c>
      <c r="L693" s="7">
        <v>42152.65289351852</v>
      </c>
      <c r="M693" s="13" t="s">
        <v>22</v>
      </c>
      <c r="N693" s="13" t="s">
        <v>32</v>
      </c>
      <c r="O693" s="10" t="str">
        <f>HYPERLINK("https://pbs.twimg.com/profile_images/604060333590855682/Fk6r1D7d_normal.jpg","View")</f>
        <v>View</v>
      </c>
      <c r="P693" s="14"/>
    </row>
    <row r="694">
      <c r="A694" s="7">
        <v>42433.79634259259</v>
      </c>
      <c r="B694" s="8" t="str">
        <f t="shared" ref="B694:B695" si="165">HYPERLINK("https://twitter.com/MedeaCulpa","@MedeaCulpa")</f>
        <v>@MedeaCulpa</v>
      </c>
      <c r="C694" s="9" t="s">
        <v>811</v>
      </c>
      <c r="D694" s="9" t="s">
        <v>812</v>
      </c>
      <c r="E694" s="10" t="str">
        <f>HYPERLINK("https://twitter.com/MedeaCulpa/status/705922459241992193","705922459241992193")</f>
        <v>705922459241992193</v>
      </c>
      <c r="F694" s="11" t="s">
        <v>148</v>
      </c>
      <c r="G694" s="12">
        <v>971.0</v>
      </c>
      <c r="H694" s="12">
        <v>424.0</v>
      </c>
      <c r="I694" s="12">
        <v>3.0</v>
      </c>
      <c r="J694" s="12">
        <v>0.0</v>
      </c>
      <c r="K694" s="11" t="s">
        <v>21</v>
      </c>
      <c r="L694" s="7">
        <v>39894.5790625</v>
      </c>
      <c r="M694" s="13" t="s">
        <v>813</v>
      </c>
      <c r="N694" s="13" t="s">
        <v>814</v>
      </c>
      <c r="O694" s="10" t="str">
        <f t="shared" ref="O694:O695" si="166">HYPERLINK("https://pbs.twimg.com/profile_images/702272676837068800/xO5D7apz_normal.jpg","View")</f>
        <v>View</v>
      </c>
      <c r="P694" s="14"/>
    </row>
    <row r="695">
      <c r="A695" s="7">
        <v>42433.79634259259</v>
      </c>
      <c r="B695" s="8" t="str">
        <f t="shared" si="165"/>
        <v>@MedeaCulpa</v>
      </c>
      <c r="C695" s="9" t="s">
        <v>811</v>
      </c>
      <c r="D695" s="9" t="s">
        <v>784</v>
      </c>
      <c r="E695" s="10" t="str">
        <f>HYPERLINK("https://twitter.com/MedeaCulpa/status/705922459254530048","705922459254530048")</f>
        <v>705922459254530048</v>
      </c>
      <c r="F695" s="11" t="s">
        <v>148</v>
      </c>
      <c r="G695" s="12">
        <v>971.0</v>
      </c>
      <c r="H695" s="12">
        <v>424.0</v>
      </c>
      <c r="I695" s="12">
        <v>4.0</v>
      </c>
      <c r="J695" s="12">
        <v>0.0</v>
      </c>
      <c r="K695" s="11" t="s">
        <v>21</v>
      </c>
      <c r="L695" s="7">
        <v>39894.5790625</v>
      </c>
      <c r="M695" s="13" t="s">
        <v>813</v>
      </c>
      <c r="N695" s="13" t="s">
        <v>814</v>
      </c>
      <c r="O695" s="10" t="str">
        <f t="shared" si="166"/>
        <v>View</v>
      </c>
      <c r="P695" s="14"/>
    </row>
    <row r="696">
      <c r="A696" s="7">
        <v>42433.79634259259</v>
      </c>
      <c r="B696" s="8" t="str">
        <f>HYPERLINK("https://twitter.com/rebekkahrubin","@rebekkahrubin")</f>
        <v>@rebekkahrubin</v>
      </c>
      <c r="C696" s="9" t="s">
        <v>141</v>
      </c>
      <c r="D696" s="9" t="s">
        <v>815</v>
      </c>
      <c r="E696" s="10" t="str">
        <f>HYPERLINK("https://twitter.com/rebekkahrubin/status/705922459975950336","705922459975950336")</f>
        <v>705922459975950336</v>
      </c>
      <c r="F696" s="11" t="s">
        <v>31</v>
      </c>
      <c r="G696" s="12">
        <v>492.0</v>
      </c>
      <c r="H696" s="12">
        <v>1224.0</v>
      </c>
      <c r="I696" s="12">
        <v>1.0</v>
      </c>
      <c r="J696" s="12">
        <v>1.0</v>
      </c>
      <c r="K696" s="11" t="s">
        <v>21</v>
      </c>
      <c r="L696" s="7">
        <v>40411.521527777775</v>
      </c>
      <c r="M696" s="13" t="s">
        <v>143</v>
      </c>
      <c r="N696" s="13" t="s">
        <v>144</v>
      </c>
      <c r="O696" s="10" t="str">
        <f>HYPERLINK("https://pbs.twimg.com/profile_images/700317732588408832/Ym_-neUi_normal.jpg","View")</f>
        <v>View</v>
      </c>
      <c r="P696" s="14"/>
    </row>
    <row r="697">
      <c r="A697" s="7">
        <v>42433.79640046296</v>
      </c>
      <c r="B697" s="8" t="str">
        <f>HYPERLINK("https://twitter.com/JulieThePH","@JulieThePH")</f>
        <v>@JulieThePH</v>
      </c>
      <c r="C697" s="9" t="s">
        <v>211</v>
      </c>
      <c r="D697" s="9" t="s">
        <v>816</v>
      </c>
      <c r="E697" s="10" t="str">
        <f>HYPERLINK("https://twitter.com/JulieThePH/status/705922481308213248","705922481308213248")</f>
        <v>705922481308213248</v>
      </c>
      <c r="F697" s="11" t="s">
        <v>148</v>
      </c>
      <c r="G697" s="12">
        <v>1234.0</v>
      </c>
      <c r="H697" s="12">
        <v>1386.0</v>
      </c>
      <c r="I697" s="12">
        <v>2.0</v>
      </c>
      <c r="J697" s="12">
        <v>3.0</v>
      </c>
      <c r="K697" s="11" t="s">
        <v>21</v>
      </c>
      <c r="L697" s="7">
        <v>40718.66918981481</v>
      </c>
      <c r="M697" s="13" t="s">
        <v>213</v>
      </c>
      <c r="N697" s="13" t="s">
        <v>214</v>
      </c>
      <c r="O697" s="10" t="str">
        <f>HYPERLINK("https://pbs.twimg.com/profile_images/596509974005686273/AqBblwMR_normal.jpg","View")</f>
        <v>View</v>
      </c>
      <c r="P697" s="14"/>
    </row>
    <row r="698">
      <c r="A698" s="7">
        <v>42433.79641203704</v>
      </c>
      <c r="B698" s="8" t="str">
        <f t="shared" ref="B698:B700" si="167">HYPERLINK("https://twitter.com/GHAUmass","@GHAUmass")</f>
        <v>@GHAUmass</v>
      </c>
      <c r="C698" s="9" t="s">
        <v>30</v>
      </c>
      <c r="D698" s="9" t="s">
        <v>817</v>
      </c>
      <c r="E698" s="10" t="str">
        <f>HYPERLINK("https://twitter.com/GHAUmass/status/705922486366502913","705922486366502913")</f>
        <v>705922486366502913</v>
      </c>
      <c r="F698" s="11" t="s">
        <v>26</v>
      </c>
      <c r="G698" s="12">
        <v>68.0</v>
      </c>
      <c r="H698" s="12">
        <v>100.0</v>
      </c>
      <c r="I698" s="12">
        <v>2.0</v>
      </c>
      <c r="J698" s="12">
        <v>0.0</v>
      </c>
      <c r="K698" s="11" t="s">
        <v>21</v>
      </c>
      <c r="L698" s="7">
        <v>42152.65289351852</v>
      </c>
      <c r="M698" s="13" t="s">
        <v>22</v>
      </c>
      <c r="N698" s="13" t="s">
        <v>32</v>
      </c>
      <c r="O698" s="10" t="str">
        <f t="shared" ref="O698:O700" si="168">HYPERLINK("https://pbs.twimg.com/profile_images/604060333590855682/Fk6r1D7d_normal.jpg","View")</f>
        <v>View</v>
      </c>
      <c r="P698" s="14"/>
    </row>
    <row r="699">
      <c r="A699" s="7">
        <v>42433.79650462963</v>
      </c>
      <c r="B699" s="8" t="str">
        <f t="shared" si="167"/>
        <v>@GHAUmass</v>
      </c>
      <c r="C699" s="9" t="s">
        <v>30</v>
      </c>
      <c r="D699" s="9" t="s">
        <v>812</v>
      </c>
      <c r="E699" s="10" t="str">
        <f>HYPERLINK("https://twitter.com/GHAUmass/status/705922516913676289","705922516913676289")</f>
        <v>705922516913676289</v>
      </c>
      <c r="F699" s="11" t="s">
        <v>26</v>
      </c>
      <c r="G699" s="12">
        <v>68.0</v>
      </c>
      <c r="H699" s="12">
        <v>100.0</v>
      </c>
      <c r="I699" s="12">
        <v>3.0</v>
      </c>
      <c r="J699" s="12">
        <v>0.0</v>
      </c>
      <c r="K699" s="11" t="s">
        <v>21</v>
      </c>
      <c r="L699" s="7">
        <v>42152.65289351852</v>
      </c>
      <c r="M699" s="13" t="s">
        <v>22</v>
      </c>
      <c r="N699" s="13" t="s">
        <v>32</v>
      </c>
      <c r="O699" s="10" t="str">
        <f t="shared" si="168"/>
        <v>View</v>
      </c>
      <c r="P699" s="14"/>
    </row>
    <row r="700">
      <c r="A700" s="7">
        <v>42433.796805555554</v>
      </c>
      <c r="B700" s="8" t="str">
        <f t="shared" si="167"/>
        <v>@GHAUmass</v>
      </c>
      <c r="C700" s="9" t="s">
        <v>30</v>
      </c>
      <c r="D700" s="9" t="s">
        <v>818</v>
      </c>
      <c r="E700" s="10" t="str">
        <f>HYPERLINK("https://twitter.com/GHAUmass/status/705922628708671488","705922628708671488")</f>
        <v>705922628708671488</v>
      </c>
      <c r="F700" s="11" t="s">
        <v>26</v>
      </c>
      <c r="G700" s="12">
        <v>68.0</v>
      </c>
      <c r="H700" s="12">
        <v>100.0</v>
      </c>
      <c r="I700" s="12">
        <v>1.0</v>
      </c>
      <c r="J700" s="12">
        <v>0.0</v>
      </c>
      <c r="K700" s="11" t="s">
        <v>21</v>
      </c>
      <c r="L700" s="7">
        <v>42152.65289351852</v>
      </c>
      <c r="M700" s="13" t="s">
        <v>22</v>
      </c>
      <c r="N700" s="13" t="s">
        <v>32</v>
      </c>
      <c r="O700" s="10" t="str">
        <f t="shared" si="168"/>
        <v>View</v>
      </c>
      <c r="P700" s="14"/>
    </row>
    <row r="701">
      <c r="A701" s="7">
        <v>42433.796875</v>
      </c>
      <c r="B701" s="8" t="str">
        <f>HYPERLINK("https://twitter.com/jamiaw","@jamiaw")</f>
        <v>@jamiaw</v>
      </c>
      <c r="C701" s="9" t="s">
        <v>324</v>
      </c>
      <c r="D701" s="9" t="s">
        <v>819</v>
      </c>
      <c r="E701" s="10" t="str">
        <f>HYPERLINK("https://twitter.com/jamiaw/status/705922653928988672","705922653928988672")</f>
        <v>705922653928988672</v>
      </c>
      <c r="F701" s="11" t="s">
        <v>26</v>
      </c>
      <c r="G701" s="12">
        <v>11335.0</v>
      </c>
      <c r="H701" s="12">
        <v>7815.0</v>
      </c>
      <c r="I701" s="12">
        <v>3.0</v>
      </c>
      <c r="J701" s="12">
        <v>5.0</v>
      </c>
      <c r="K701" s="11" t="s">
        <v>21</v>
      </c>
      <c r="L701" s="7">
        <v>39642.39741898148</v>
      </c>
      <c r="M701" s="13" t="s">
        <v>325</v>
      </c>
      <c r="N701" s="13" t="s">
        <v>326</v>
      </c>
      <c r="O701" s="10" t="str">
        <f>HYPERLINK("https://pbs.twimg.com/profile_images/701102020061753344/5zH70uem_normal.jpg","View")</f>
        <v>View</v>
      </c>
      <c r="P701" s="14"/>
    </row>
    <row r="702">
      <c r="A702" s="7">
        <v>42433.796956018516</v>
      </c>
      <c r="B702" s="8" t="str">
        <f>HYPERLINK("https://twitter.com/erfagen","@erfagen")</f>
        <v>@erfagen</v>
      </c>
      <c r="C702" s="9" t="s">
        <v>124</v>
      </c>
      <c r="D702" s="9" t="s">
        <v>820</v>
      </c>
      <c r="E702" s="10" t="str">
        <f>HYPERLINK("https://twitter.com/erfagen/status/705922682651590656","705922682651590656")</f>
        <v>705922682651590656</v>
      </c>
      <c r="F702" s="11" t="s">
        <v>26</v>
      </c>
      <c r="G702" s="12">
        <v>1055.0</v>
      </c>
      <c r="H702" s="12">
        <v>2055.0</v>
      </c>
      <c r="I702" s="12">
        <v>1.0</v>
      </c>
      <c r="J702" s="12">
        <v>3.0</v>
      </c>
      <c r="K702" s="11" t="s">
        <v>21</v>
      </c>
      <c r="L702" s="7">
        <v>40524.93576388889</v>
      </c>
      <c r="M702" s="13" t="s">
        <v>125</v>
      </c>
      <c r="N702" s="13" t="s">
        <v>126</v>
      </c>
      <c r="O702" s="10" t="str">
        <f>HYPERLINK("https://pbs.twimg.com/profile_images/638086945722249217/mid_S_BQ_normal.jpg","View")</f>
        <v>View</v>
      </c>
      <c r="P702" s="14"/>
    </row>
    <row r="703">
      <c r="A703" s="7">
        <v>42433.79699074074</v>
      </c>
      <c r="B703" s="8" t="str">
        <f>HYPERLINK("https://twitter.com/GHAUmass","@GHAUmass")</f>
        <v>@GHAUmass</v>
      </c>
      <c r="C703" s="9" t="s">
        <v>30</v>
      </c>
      <c r="D703" s="9" t="s">
        <v>821</v>
      </c>
      <c r="E703" s="10" t="str">
        <f>HYPERLINK("https://twitter.com/GHAUmass/status/705922694697590785","705922694697590785")</f>
        <v>705922694697590785</v>
      </c>
      <c r="F703" s="11" t="s">
        <v>26</v>
      </c>
      <c r="G703" s="12">
        <v>68.0</v>
      </c>
      <c r="H703" s="12">
        <v>100.0</v>
      </c>
      <c r="I703" s="12">
        <v>3.0</v>
      </c>
      <c r="J703" s="12">
        <v>0.0</v>
      </c>
      <c r="K703" s="11" t="s">
        <v>21</v>
      </c>
      <c r="L703" s="7">
        <v>42152.65289351852</v>
      </c>
      <c r="M703" s="13" t="s">
        <v>22</v>
      </c>
      <c r="N703" s="13" t="s">
        <v>32</v>
      </c>
      <c r="O703" s="10" t="str">
        <f>HYPERLINK("https://pbs.twimg.com/profile_images/604060333590855682/Fk6r1D7d_normal.jpg","View")</f>
        <v>View</v>
      </c>
      <c r="P703" s="14"/>
    </row>
    <row r="704">
      <c r="A704" s="7">
        <v>42433.797060185185</v>
      </c>
      <c r="B704" s="8" t="str">
        <f>HYPERLINK("https://twitter.com/juliegpeterson","@juliegpeterson")</f>
        <v>@juliegpeterson</v>
      </c>
      <c r="C704" s="9" t="s">
        <v>24</v>
      </c>
      <c r="D704" s="9" t="s">
        <v>822</v>
      </c>
      <c r="E704" s="10" t="str">
        <f>HYPERLINK("https://twitter.com/juliegpeterson/status/705922721608110080","705922721608110080")</f>
        <v>705922721608110080</v>
      </c>
      <c r="F704" s="11" t="s">
        <v>26</v>
      </c>
      <c r="G704" s="12">
        <v>239.0</v>
      </c>
      <c r="H704" s="12">
        <v>775.0</v>
      </c>
      <c r="I704" s="12">
        <v>0.0</v>
      </c>
      <c r="J704" s="12">
        <v>1.0</v>
      </c>
      <c r="K704" s="11" t="s">
        <v>21</v>
      </c>
      <c r="L704" s="7">
        <v>41208.65523148148</v>
      </c>
      <c r="M704" s="13" t="s">
        <v>22</v>
      </c>
      <c r="N704" s="13" t="s">
        <v>27</v>
      </c>
      <c r="O704" s="10" t="str">
        <f>HYPERLINK("https://pbs.twimg.com/profile_images/609765839051452416/GNW0wSt0_normal.jpg","View")</f>
        <v>View</v>
      </c>
      <c r="P704" s="14"/>
    </row>
    <row r="705">
      <c r="A705" s="7">
        <v>42433.79710648148</v>
      </c>
      <c r="B705" s="8" t="str">
        <f>HYPERLINK("https://twitter.com/pastpunditry","@pastpunditry")</f>
        <v>@pastpunditry</v>
      </c>
      <c r="C705" s="9" t="s">
        <v>92</v>
      </c>
      <c r="D705" s="9" t="s">
        <v>823</v>
      </c>
      <c r="E705" s="10" t="str">
        <f>HYPERLINK("https://twitter.com/pastpunditry/status/705922735537594368","705922735537594368")</f>
        <v>705922735537594368</v>
      </c>
      <c r="F705" s="11" t="s">
        <v>77</v>
      </c>
      <c r="G705" s="12">
        <v>890.0</v>
      </c>
      <c r="H705" s="12">
        <v>378.0</v>
      </c>
      <c r="I705" s="12">
        <v>1.0</v>
      </c>
      <c r="J705" s="12">
        <v>1.0</v>
      </c>
      <c r="K705" s="11" t="s">
        <v>21</v>
      </c>
      <c r="L705" s="7">
        <v>40283.384351851855</v>
      </c>
      <c r="M705" s="13" t="s">
        <v>94</v>
      </c>
      <c r="N705" s="13" t="s">
        <v>95</v>
      </c>
      <c r="O705" s="10" t="str">
        <f>HYPERLINK("https://pbs.twimg.com/profile_images/704873222802636800/7aFEMOY5_normal.jpg","View")</f>
        <v>View</v>
      </c>
      <c r="P705" s="14"/>
    </row>
    <row r="706">
      <c r="A706" s="7">
        <v>42433.7971412037</v>
      </c>
      <c r="B706" s="8" t="str">
        <f>HYPERLINK("https://twitter.com/erfagen","@erfagen")</f>
        <v>@erfagen</v>
      </c>
      <c r="C706" s="9" t="s">
        <v>124</v>
      </c>
      <c r="D706" s="9" t="s">
        <v>824</v>
      </c>
      <c r="E706" s="10" t="str">
        <f>HYPERLINK("https://twitter.com/erfagen/status/705922749898874881","705922749898874881")</f>
        <v>705922749898874881</v>
      </c>
      <c r="F706" s="11" t="s">
        <v>26</v>
      </c>
      <c r="G706" s="12">
        <v>1055.0</v>
      </c>
      <c r="H706" s="12">
        <v>2055.0</v>
      </c>
      <c r="I706" s="12">
        <v>2.0</v>
      </c>
      <c r="J706" s="12">
        <v>0.0</v>
      </c>
      <c r="K706" s="11" t="s">
        <v>21</v>
      </c>
      <c r="L706" s="7">
        <v>40524.93576388889</v>
      </c>
      <c r="M706" s="13" t="s">
        <v>125</v>
      </c>
      <c r="N706" s="13" t="s">
        <v>126</v>
      </c>
      <c r="O706" s="10" t="str">
        <f>HYPERLINK("https://pbs.twimg.com/profile_images/638086945722249217/mid_S_BQ_normal.jpg","View")</f>
        <v>View</v>
      </c>
      <c r="P706" s="14"/>
    </row>
    <row r="707">
      <c r="A707" s="7">
        <v>42433.79725694444</v>
      </c>
      <c r="B707" s="8" t="str">
        <f>HYPERLINK("https://twitter.com/CitizenWald","@CitizenWald")</f>
        <v>@CitizenWald</v>
      </c>
      <c r="C707" s="9" t="s">
        <v>668</v>
      </c>
      <c r="D707" s="9" t="s">
        <v>825</v>
      </c>
      <c r="E707" s="10" t="str">
        <f>HYPERLINK("https://twitter.com/CitizenWald/status/705922790495559680","705922790495559680")</f>
        <v>705922790495559680</v>
      </c>
      <c r="F707" s="11" t="s">
        <v>26</v>
      </c>
      <c r="G707" s="12">
        <v>2335.0</v>
      </c>
      <c r="H707" s="12">
        <v>2535.0</v>
      </c>
      <c r="I707" s="12">
        <v>1.0</v>
      </c>
      <c r="J707" s="12">
        <v>0.0</v>
      </c>
      <c r="K707" s="11" t="s">
        <v>21</v>
      </c>
      <c r="L707" s="7">
        <v>39373.01613425926</v>
      </c>
      <c r="M707" s="13" t="s">
        <v>22</v>
      </c>
      <c r="N707" s="13" t="s">
        <v>669</v>
      </c>
      <c r="O707" s="10" t="str">
        <f>HYPERLINK("https://pbs.twimg.com/profile_images/661220280564486144/ZxUrdRVS_normal.jpg","View")</f>
        <v>View</v>
      </c>
      <c r="P707" s="14"/>
    </row>
    <row r="708">
      <c r="A708" s="7">
        <v>42433.79733796296</v>
      </c>
      <c r="B708" s="8" t="str">
        <f>HYPERLINK("https://twitter.com/MedeaCulpa","@MedeaCulpa")</f>
        <v>@MedeaCulpa</v>
      </c>
      <c r="C708" s="9" t="s">
        <v>811</v>
      </c>
      <c r="D708" s="9" t="s">
        <v>821</v>
      </c>
      <c r="E708" s="10" t="str">
        <f>HYPERLINK("https://twitter.com/MedeaCulpa/status/705922821449457665","705922821449457665")</f>
        <v>705922821449457665</v>
      </c>
      <c r="F708" s="11" t="s">
        <v>148</v>
      </c>
      <c r="G708" s="12">
        <v>971.0</v>
      </c>
      <c r="H708" s="12">
        <v>424.0</v>
      </c>
      <c r="I708" s="12">
        <v>3.0</v>
      </c>
      <c r="J708" s="12">
        <v>0.0</v>
      </c>
      <c r="K708" s="11" t="s">
        <v>21</v>
      </c>
      <c r="L708" s="7">
        <v>39894.5790625</v>
      </c>
      <c r="M708" s="13" t="s">
        <v>813</v>
      </c>
      <c r="N708" s="13" t="s">
        <v>814</v>
      </c>
      <c r="O708" s="10" t="str">
        <f>HYPERLINK("https://pbs.twimg.com/profile_images/702272676837068800/xO5D7apz_normal.jpg","View")</f>
        <v>View</v>
      </c>
      <c r="P708" s="14"/>
    </row>
    <row r="709">
      <c r="A709" s="7">
        <v>42433.79734953704</v>
      </c>
      <c r="B709" s="8" t="str">
        <f>HYPERLINK("https://twitter.com/pastpunditry","@pastpunditry")</f>
        <v>@pastpunditry</v>
      </c>
      <c r="C709" s="9" t="s">
        <v>92</v>
      </c>
      <c r="D709" s="9" t="s">
        <v>826</v>
      </c>
      <c r="E709" s="10" t="str">
        <f>HYPERLINK("https://twitter.com/pastpunditry/status/705922823307579392","705922823307579392")</f>
        <v>705922823307579392</v>
      </c>
      <c r="F709" s="11" t="s">
        <v>77</v>
      </c>
      <c r="G709" s="12">
        <v>890.0</v>
      </c>
      <c r="H709" s="12">
        <v>378.0</v>
      </c>
      <c r="I709" s="12">
        <v>1.0</v>
      </c>
      <c r="J709" s="12">
        <v>2.0</v>
      </c>
      <c r="K709" s="11" t="s">
        <v>21</v>
      </c>
      <c r="L709" s="7">
        <v>40283.384351851855</v>
      </c>
      <c r="M709" s="13" t="s">
        <v>94</v>
      </c>
      <c r="N709" s="13" t="s">
        <v>95</v>
      </c>
      <c r="O709" s="10" t="str">
        <f>HYPERLINK("https://pbs.twimg.com/profile_images/704873222802636800/7aFEMOY5_normal.jpg","View")</f>
        <v>View</v>
      </c>
      <c r="P709" s="14"/>
    </row>
    <row r="710">
      <c r="A710" s="7">
        <v>42433.79760416667</v>
      </c>
      <c r="B710" s="8" t="str">
        <f>HYPERLINK("https://twitter.com/fefenifi","@fefenifi")</f>
        <v>@fefenifi</v>
      </c>
      <c r="C710" s="9" t="s">
        <v>789</v>
      </c>
      <c r="D710" s="9" t="s">
        <v>821</v>
      </c>
      <c r="E710" s="10" t="str">
        <f>HYPERLINK("https://twitter.com/fefenifi/status/705922918883135491","705922918883135491")</f>
        <v>705922918883135491</v>
      </c>
      <c r="F710" s="11" t="s">
        <v>26</v>
      </c>
      <c r="G710" s="12">
        <v>44.0</v>
      </c>
      <c r="H710" s="12">
        <v>113.0</v>
      </c>
      <c r="I710" s="12">
        <v>3.0</v>
      </c>
      <c r="J710" s="12">
        <v>0.0</v>
      </c>
      <c r="K710" s="11" t="s">
        <v>21</v>
      </c>
      <c r="L710" s="7">
        <v>42357.812696759254</v>
      </c>
      <c r="M710" s="13" t="s">
        <v>791</v>
      </c>
      <c r="N710" s="13" t="s">
        <v>792</v>
      </c>
      <c r="O710" s="10" t="str">
        <f>HYPERLINK("https://pbs.twimg.com/profile_images/678387998577135616/E7-0NNJV_normal.jpg","View")</f>
        <v>View</v>
      </c>
      <c r="P710" s="14"/>
    </row>
    <row r="711">
      <c r="A711" s="7">
        <v>42433.797743055555</v>
      </c>
      <c r="B711" s="8" t="str">
        <f>HYPERLINK("https://twitter.com/GHAUmass","@GHAUmass")</f>
        <v>@GHAUmass</v>
      </c>
      <c r="C711" s="9" t="s">
        <v>30</v>
      </c>
      <c r="D711" s="9" t="s">
        <v>827</v>
      </c>
      <c r="E711" s="10" t="str">
        <f>HYPERLINK("https://twitter.com/GHAUmass/status/705922968933761026","705922968933761026")</f>
        <v>705922968933761026</v>
      </c>
      <c r="F711" s="11" t="s">
        <v>26</v>
      </c>
      <c r="G711" s="12">
        <v>68.0</v>
      </c>
      <c r="H711" s="12">
        <v>100.0</v>
      </c>
      <c r="I711" s="12">
        <v>1.0</v>
      </c>
      <c r="J711" s="12">
        <v>0.0</v>
      </c>
      <c r="K711" s="11" t="s">
        <v>21</v>
      </c>
      <c r="L711" s="7">
        <v>42152.65289351852</v>
      </c>
      <c r="M711" s="13" t="s">
        <v>22</v>
      </c>
      <c r="N711" s="13" t="s">
        <v>32</v>
      </c>
      <c r="O711" s="10" t="str">
        <f>HYPERLINK("https://pbs.twimg.com/profile_images/604060333590855682/Fk6r1D7d_normal.jpg","View")</f>
        <v>View</v>
      </c>
      <c r="P711" s="14"/>
    </row>
    <row r="712">
      <c r="A712" s="7">
        <v>42433.797847222224</v>
      </c>
      <c r="B712" s="8" t="str">
        <f>HYPERLINK("https://twitter.com/sheishistoric","@sheishistoric")</f>
        <v>@sheishistoric</v>
      </c>
      <c r="C712" s="9" t="s">
        <v>127</v>
      </c>
      <c r="D712" s="9" t="s">
        <v>828</v>
      </c>
      <c r="E712" s="10" t="str">
        <f>HYPERLINK("https://twitter.com/sheishistoric/status/705923004178538496","705923004178538496")</f>
        <v>705923004178538496</v>
      </c>
      <c r="F712" s="11" t="s">
        <v>26</v>
      </c>
      <c r="G712" s="12">
        <v>405.0</v>
      </c>
      <c r="H712" s="12">
        <v>882.0</v>
      </c>
      <c r="I712" s="12">
        <v>1.0</v>
      </c>
      <c r="J712" s="12">
        <v>0.0</v>
      </c>
      <c r="K712" s="11" t="s">
        <v>21</v>
      </c>
      <c r="L712" s="7">
        <v>41529.842094907406</v>
      </c>
      <c r="M712" s="13" t="s">
        <v>129</v>
      </c>
      <c r="N712" s="13" t="s">
        <v>130</v>
      </c>
      <c r="O712" s="10" t="str">
        <f>HYPERLINK("https://pbs.twimg.com/profile_images/650419150620377089/bJxBf---_normal.jpg","View")</f>
        <v>View</v>
      </c>
      <c r="P712" s="14"/>
    </row>
    <row r="713">
      <c r="A713" s="7">
        <v>42433.79791666666</v>
      </c>
      <c r="B713" s="8" t="str">
        <f>HYPERLINK("https://twitter.com/jamiaw","@jamiaw")</f>
        <v>@jamiaw</v>
      </c>
      <c r="C713" s="9" t="s">
        <v>324</v>
      </c>
      <c r="D713" s="9" t="s">
        <v>829</v>
      </c>
      <c r="E713" s="10" t="str">
        <f>HYPERLINK("https://twitter.com/jamiaw/status/705923031122767872","705923031122767872")</f>
        <v>705923031122767872</v>
      </c>
      <c r="F713" s="11" t="s">
        <v>26</v>
      </c>
      <c r="G713" s="12">
        <v>11335.0</v>
      </c>
      <c r="H713" s="12">
        <v>7815.0</v>
      </c>
      <c r="I713" s="12">
        <v>8.0</v>
      </c>
      <c r="J713" s="12">
        <v>3.0</v>
      </c>
      <c r="K713" s="11" t="s">
        <v>21</v>
      </c>
      <c r="L713" s="7">
        <v>39642.39741898148</v>
      </c>
      <c r="M713" s="13" t="s">
        <v>325</v>
      </c>
      <c r="N713" s="13" t="s">
        <v>326</v>
      </c>
      <c r="O713" s="10" t="str">
        <f>HYPERLINK("https://pbs.twimg.com/profile_images/701102020061753344/5zH70uem_normal.jpg","View")</f>
        <v>View</v>
      </c>
      <c r="P713" s="14"/>
    </row>
    <row r="714">
      <c r="A714" s="7">
        <v>42433.79796296296</v>
      </c>
      <c r="B714" s="8" t="str">
        <f>HYPERLINK("https://twitter.com/JulieThePH","@JulieThePH")</f>
        <v>@JulieThePH</v>
      </c>
      <c r="C714" s="9" t="s">
        <v>211</v>
      </c>
      <c r="D714" s="9" t="s">
        <v>830</v>
      </c>
      <c r="E714" s="10" t="str">
        <f>HYPERLINK("https://twitter.com/JulieThePH/status/705923047312719872","705923047312719872")</f>
        <v>705923047312719872</v>
      </c>
      <c r="F714" s="11" t="s">
        <v>148</v>
      </c>
      <c r="G714" s="12">
        <v>1234.0</v>
      </c>
      <c r="H714" s="12">
        <v>1386.0</v>
      </c>
      <c r="I714" s="12">
        <v>0.0</v>
      </c>
      <c r="J714" s="12">
        <v>2.0</v>
      </c>
      <c r="K714" s="11" t="s">
        <v>21</v>
      </c>
      <c r="L714" s="7">
        <v>40718.66918981481</v>
      </c>
      <c r="M714" s="13" t="s">
        <v>213</v>
      </c>
      <c r="N714" s="13" t="s">
        <v>214</v>
      </c>
      <c r="O714" s="10" t="str">
        <f>HYPERLINK("https://pbs.twimg.com/profile_images/596509974005686273/AqBblwMR_normal.jpg","View")</f>
        <v>View</v>
      </c>
      <c r="P714" s="14"/>
    </row>
    <row r="715">
      <c r="A715" s="7">
        <v>42433.798043981486</v>
      </c>
      <c r="B715" s="8" t="str">
        <f>HYPERLINK("https://twitter.com/juliegpeterson","@juliegpeterson")</f>
        <v>@juliegpeterson</v>
      </c>
      <c r="C715" s="9" t="s">
        <v>24</v>
      </c>
      <c r="D715" s="9" t="s">
        <v>831</v>
      </c>
      <c r="E715" s="10" t="str">
        <f>HYPERLINK("https://twitter.com/juliegpeterson/status/705923075032936448","705923075032936448")</f>
        <v>705923075032936448</v>
      </c>
      <c r="F715" s="11" t="s">
        <v>26</v>
      </c>
      <c r="G715" s="12">
        <v>239.0</v>
      </c>
      <c r="H715" s="12">
        <v>775.0</v>
      </c>
      <c r="I715" s="12">
        <v>2.0</v>
      </c>
      <c r="J715" s="12">
        <v>1.0</v>
      </c>
      <c r="K715" s="11" t="s">
        <v>21</v>
      </c>
      <c r="L715" s="7">
        <v>41208.65523148148</v>
      </c>
      <c r="M715" s="13" t="s">
        <v>22</v>
      </c>
      <c r="N715" s="13" t="s">
        <v>27</v>
      </c>
      <c r="O715" s="10" t="str">
        <f>HYPERLINK("https://pbs.twimg.com/profile_images/609765839051452416/GNW0wSt0_normal.jpg","View")</f>
        <v>View</v>
      </c>
      <c r="P715" s="14"/>
    </row>
    <row r="716">
      <c r="A716" s="7">
        <v>42433.798055555555</v>
      </c>
      <c r="B716" s="8" t="str">
        <f>HYPERLINK("https://twitter.com/GHAUmass","@GHAUmass")</f>
        <v>@GHAUmass</v>
      </c>
      <c r="C716" s="9" t="s">
        <v>30</v>
      </c>
      <c r="D716" s="9" t="s">
        <v>832</v>
      </c>
      <c r="E716" s="10" t="str">
        <f>HYPERLINK("https://twitter.com/GHAUmass/status/705923080732987392","705923080732987392")</f>
        <v>705923080732987392</v>
      </c>
      <c r="F716" s="11" t="s">
        <v>26</v>
      </c>
      <c r="G716" s="12">
        <v>68.0</v>
      </c>
      <c r="H716" s="12">
        <v>100.0</v>
      </c>
      <c r="I716" s="12">
        <v>8.0</v>
      </c>
      <c r="J716" s="12">
        <v>0.0</v>
      </c>
      <c r="K716" s="11" t="s">
        <v>21</v>
      </c>
      <c r="L716" s="7">
        <v>42152.65289351852</v>
      </c>
      <c r="M716" s="13" t="s">
        <v>22</v>
      </c>
      <c r="N716" s="13" t="s">
        <v>32</v>
      </c>
      <c r="O716" s="10" t="str">
        <f>HYPERLINK("https://pbs.twimg.com/profile_images/604060333590855682/Fk6r1D7d_normal.jpg","View")</f>
        <v>View</v>
      </c>
      <c r="P716" s="14"/>
    </row>
    <row r="717">
      <c r="A717" s="7">
        <v>42433.798067129625</v>
      </c>
      <c r="B717" s="8" t="str">
        <f>HYPERLINK("https://twitter.com/erfagen","@erfagen")</f>
        <v>@erfagen</v>
      </c>
      <c r="C717" s="9" t="s">
        <v>124</v>
      </c>
      <c r="D717" s="9" t="s">
        <v>833</v>
      </c>
      <c r="E717" s="10" t="str">
        <f>HYPERLINK("https://twitter.com/erfagen/status/705923084151345156","705923084151345156")</f>
        <v>705923084151345156</v>
      </c>
      <c r="F717" s="11" t="s">
        <v>26</v>
      </c>
      <c r="G717" s="12">
        <v>1055.0</v>
      </c>
      <c r="H717" s="12">
        <v>2055.0</v>
      </c>
      <c r="I717" s="12">
        <v>0.0</v>
      </c>
      <c r="J717" s="12">
        <v>1.0</v>
      </c>
      <c r="K717" s="11" t="s">
        <v>21</v>
      </c>
      <c r="L717" s="7">
        <v>40524.93576388889</v>
      </c>
      <c r="M717" s="13" t="s">
        <v>125</v>
      </c>
      <c r="N717" s="13" t="s">
        <v>126</v>
      </c>
      <c r="O717" s="10" t="str">
        <f>HYPERLINK("https://pbs.twimg.com/profile_images/638086945722249217/mid_S_BQ_normal.jpg","View")</f>
        <v>View</v>
      </c>
      <c r="P717" s="14"/>
    </row>
    <row r="718">
      <c r="A718" s="7">
        <v>42433.798067129625</v>
      </c>
      <c r="B718" s="8" t="str">
        <f>HYPERLINK("https://twitter.com/lizl_genealogy","@lizl_genealogy")</f>
        <v>@lizl_genealogy</v>
      </c>
      <c r="C718" s="9" t="s">
        <v>89</v>
      </c>
      <c r="D718" s="9" t="s">
        <v>824</v>
      </c>
      <c r="E718" s="10" t="str">
        <f>HYPERLINK("https://twitter.com/lizl_genealogy/status/705923086126813184","705923086126813184")</f>
        <v>705923086126813184</v>
      </c>
      <c r="F718" s="11" t="s">
        <v>31</v>
      </c>
      <c r="G718" s="12">
        <v>1547.0</v>
      </c>
      <c r="H718" s="12">
        <v>615.0</v>
      </c>
      <c r="I718" s="12">
        <v>2.0</v>
      </c>
      <c r="J718" s="12">
        <v>0.0</v>
      </c>
      <c r="K718" s="11" t="s">
        <v>21</v>
      </c>
      <c r="L718" s="7">
        <v>40763.52722222223</v>
      </c>
      <c r="M718" s="13" t="s">
        <v>90</v>
      </c>
      <c r="N718" s="13" t="s">
        <v>91</v>
      </c>
      <c r="O718" s="10" t="str">
        <f>HYPERLINK("https://pbs.twimg.com/profile_images/2700002859/1f2d610ddaf1f03ac7d033dd83847b45_normal.jpeg","View")</f>
        <v>View</v>
      </c>
      <c r="P718" s="14"/>
    </row>
    <row r="719">
      <c r="A719" s="7">
        <v>42433.79813657407</v>
      </c>
      <c r="B719" s="8" t="str">
        <f>HYPERLINK("https://twitter.com/jaheppler","@jaheppler")</f>
        <v>@jaheppler</v>
      </c>
      <c r="C719" s="9" t="s">
        <v>460</v>
      </c>
      <c r="D719" s="9" t="s">
        <v>834</v>
      </c>
      <c r="E719" s="10" t="str">
        <f>HYPERLINK("https://twitter.com/jaheppler/status/705923108201345025","705923108201345025")</f>
        <v>705923108201345025</v>
      </c>
      <c r="F719" s="11" t="s">
        <v>26</v>
      </c>
      <c r="G719" s="12">
        <v>1933.0</v>
      </c>
      <c r="H719" s="12">
        <v>480.0</v>
      </c>
      <c r="I719" s="12">
        <v>2.0</v>
      </c>
      <c r="J719" s="12">
        <v>0.0</v>
      </c>
      <c r="K719" s="11" t="s">
        <v>21</v>
      </c>
      <c r="L719" s="7">
        <v>39702.3484375</v>
      </c>
      <c r="M719" s="13" t="s">
        <v>463</v>
      </c>
      <c r="N719" s="13" t="s">
        <v>464</v>
      </c>
      <c r="O719" s="10" t="str">
        <f>HYPERLINK("https://pbs.twimg.com/profile_images/436607137188290560/UM-U3wT1_normal.jpeg","View")</f>
        <v>View</v>
      </c>
      <c r="P719" s="14"/>
    </row>
    <row r="720">
      <c r="A720" s="7">
        <v>42433.79819444445</v>
      </c>
      <c r="B720" s="8" t="str">
        <f>HYPERLINK("https://twitter.com/juliegpeterson","@juliegpeterson")</f>
        <v>@juliegpeterson</v>
      </c>
      <c r="C720" s="9" t="s">
        <v>24</v>
      </c>
      <c r="D720" s="9" t="s">
        <v>832</v>
      </c>
      <c r="E720" s="10" t="str">
        <f>HYPERLINK("https://twitter.com/juliegpeterson/status/705923132708802560","705923132708802560")</f>
        <v>705923132708802560</v>
      </c>
      <c r="F720" s="11" t="s">
        <v>26</v>
      </c>
      <c r="G720" s="12">
        <v>239.0</v>
      </c>
      <c r="H720" s="12">
        <v>775.0</v>
      </c>
      <c r="I720" s="12">
        <v>8.0</v>
      </c>
      <c r="J720" s="12">
        <v>0.0</v>
      </c>
      <c r="K720" s="11" t="s">
        <v>21</v>
      </c>
      <c r="L720" s="7">
        <v>41208.65523148148</v>
      </c>
      <c r="M720" s="13" t="s">
        <v>22</v>
      </c>
      <c r="N720" s="13" t="s">
        <v>27</v>
      </c>
      <c r="O720" s="10" t="str">
        <f>HYPERLINK("https://pbs.twimg.com/profile_images/609765839051452416/GNW0wSt0_normal.jpg","View")</f>
        <v>View</v>
      </c>
      <c r="P720" s="14"/>
    </row>
    <row r="721">
      <c r="A721" s="7">
        <v>42433.79821759259</v>
      </c>
      <c r="B721" s="8" t="str">
        <f>HYPERLINK("https://twitter.com/jaheppler","@jaheppler")</f>
        <v>@jaheppler</v>
      </c>
      <c r="C721" s="9" t="s">
        <v>460</v>
      </c>
      <c r="D721" s="9" t="s">
        <v>810</v>
      </c>
      <c r="E721" s="10" t="str">
        <f>HYPERLINK("https://twitter.com/jaheppler/status/705923140006744064","705923140006744064")</f>
        <v>705923140006744064</v>
      </c>
      <c r="F721" s="11" t="s">
        <v>26</v>
      </c>
      <c r="G721" s="12">
        <v>1933.0</v>
      </c>
      <c r="H721" s="12">
        <v>480.0</v>
      </c>
      <c r="I721" s="12">
        <v>2.0</v>
      </c>
      <c r="J721" s="12">
        <v>0.0</v>
      </c>
      <c r="K721" s="11" t="s">
        <v>21</v>
      </c>
      <c r="L721" s="7">
        <v>39702.3484375</v>
      </c>
      <c r="M721" s="13" t="s">
        <v>463</v>
      </c>
      <c r="N721" s="13" t="s">
        <v>464</v>
      </c>
      <c r="O721" s="10" t="str">
        <f>HYPERLINK("https://pbs.twimg.com/profile_images/436607137188290560/UM-U3wT1_normal.jpeg","View")</f>
        <v>View</v>
      </c>
      <c r="P721" s="14"/>
    </row>
    <row r="722">
      <c r="A722" s="7">
        <v>42433.79825231481</v>
      </c>
      <c r="B722" s="8" t="str">
        <f>HYPERLINK("https://twitter.com/JimGrossmanAHA","@JimGrossmanAHA")</f>
        <v>@JimGrossmanAHA</v>
      </c>
      <c r="C722" s="9" t="s">
        <v>278</v>
      </c>
      <c r="D722" s="9" t="s">
        <v>835</v>
      </c>
      <c r="E722" s="10" t="str">
        <f>HYPERLINK("https://twitter.com/JimGrossmanAHA/status/705923151595708416","705923151595708416")</f>
        <v>705923151595708416</v>
      </c>
      <c r="F722" s="11" t="s">
        <v>31</v>
      </c>
      <c r="G722" s="12">
        <v>2241.0</v>
      </c>
      <c r="H722" s="12">
        <v>368.0</v>
      </c>
      <c r="I722" s="12">
        <v>1.0</v>
      </c>
      <c r="J722" s="12">
        <v>2.0</v>
      </c>
      <c r="K722" s="11" t="s">
        <v>21</v>
      </c>
      <c r="L722" s="7">
        <v>41576.36603009259</v>
      </c>
      <c r="M722" s="13" t="s">
        <v>279</v>
      </c>
      <c r="N722" s="13" t="s">
        <v>280</v>
      </c>
      <c r="O722" s="10" t="str">
        <f>HYPERLINK("https://pbs.twimg.com/profile_images/378800000667891782/44d7b181c077bf16ab07b242f7ad81b9_normal.png","View")</f>
        <v>View</v>
      </c>
      <c r="P722" s="14"/>
    </row>
    <row r="723">
      <c r="A723" s="7">
        <v>42433.798310185186</v>
      </c>
      <c r="B723" s="8" t="str">
        <f>HYPERLINK("https://twitter.com/historycampaign","@historycampaign")</f>
        <v>@historycampaign</v>
      </c>
      <c r="C723" s="9" t="s">
        <v>133</v>
      </c>
      <c r="D723" s="9" t="s">
        <v>836</v>
      </c>
      <c r="E723" s="10" t="str">
        <f>HYPERLINK("https://twitter.com/historycampaign/status/705923173225615360","705923173225615360")</f>
        <v>705923173225615360</v>
      </c>
      <c r="F723" s="11" t="s">
        <v>26</v>
      </c>
      <c r="G723" s="12">
        <v>110.0</v>
      </c>
      <c r="H723" s="12">
        <v>59.0</v>
      </c>
      <c r="I723" s="12">
        <v>1.0</v>
      </c>
      <c r="J723" s="12">
        <v>1.0</v>
      </c>
      <c r="K723" s="11" t="s">
        <v>21</v>
      </c>
      <c r="L723" s="7">
        <v>42311.25096064815</v>
      </c>
      <c r="M723" s="15"/>
      <c r="N723" s="13" t="s">
        <v>135</v>
      </c>
      <c r="O723" s="10" t="str">
        <f>HYPERLINK("https://pbs.twimg.com/profile_images/673691030139609088/8v7ab61D_normal.jpg","View")</f>
        <v>View</v>
      </c>
      <c r="P723" s="14"/>
    </row>
    <row r="724">
      <c r="A724" s="7">
        <v>42433.79850694444</v>
      </c>
      <c r="B724" s="8" t="str">
        <f>HYPERLINK("https://twitter.com/defactofecteau","@defactofecteau")</f>
        <v>@defactofecteau</v>
      </c>
      <c r="C724" s="9" t="s">
        <v>665</v>
      </c>
      <c r="D724" s="9" t="s">
        <v>837</v>
      </c>
      <c r="E724" s="10" t="str">
        <f>HYPERLINK("https://twitter.com/defactofecteau/status/705923242771554304","705923242771554304")</f>
        <v>705923242771554304</v>
      </c>
      <c r="F724" s="11" t="s">
        <v>148</v>
      </c>
      <c r="G724" s="12">
        <v>46.0</v>
      </c>
      <c r="H724" s="12">
        <v>104.0</v>
      </c>
      <c r="I724" s="12">
        <v>0.0</v>
      </c>
      <c r="J724" s="12">
        <v>1.0</v>
      </c>
      <c r="K724" s="11" t="s">
        <v>21</v>
      </c>
      <c r="L724" s="7">
        <v>41684.53481481482</v>
      </c>
      <c r="M724" s="15"/>
      <c r="N724" s="13" t="s">
        <v>667</v>
      </c>
      <c r="O724" s="10" t="str">
        <f>HYPERLINK("https://pbs.twimg.com/profile_images/434404729263648768/vsAZLFtj_normal.jpeg","View")</f>
        <v>View</v>
      </c>
      <c r="P724" s="14"/>
    </row>
    <row r="725">
      <c r="A725" s="7">
        <v>42433.79857638889</v>
      </c>
      <c r="B725" s="8" t="str">
        <f>HYPERLINK("https://twitter.com/rebekkahrubin","@rebekkahrubin")</f>
        <v>@rebekkahrubin</v>
      </c>
      <c r="C725" s="9" t="s">
        <v>141</v>
      </c>
      <c r="D725" s="9" t="s">
        <v>832</v>
      </c>
      <c r="E725" s="10" t="str">
        <f>HYPERLINK("https://twitter.com/rebekkahrubin/status/705923267324977152","705923267324977152")</f>
        <v>705923267324977152</v>
      </c>
      <c r="F725" s="11" t="s">
        <v>31</v>
      </c>
      <c r="G725" s="12">
        <v>492.0</v>
      </c>
      <c r="H725" s="12">
        <v>1224.0</v>
      </c>
      <c r="I725" s="12">
        <v>8.0</v>
      </c>
      <c r="J725" s="12">
        <v>0.0</v>
      </c>
      <c r="K725" s="11" t="s">
        <v>21</v>
      </c>
      <c r="L725" s="7">
        <v>40411.521527777775</v>
      </c>
      <c r="M725" s="13" t="s">
        <v>143</v>
      </c>
      <c r="N725" s="13" t="s">
        <v>144</v>
      </c>
      <c r="O725" s="10" t="str">
        <f>HYPERLINK("https://pbs.twimg.com/profile_images/700317732588408832/Ym_-neUi_normal.jpg","View")</f>
        <v>View</v>
      </c>
      <c r="P725" s="14"/>
    </row>
    <row r="726">
      <c r="A726" s="7">
        <v>42433.79859953704</v>
      </c>
      <c r="B726" s="8" t="str">
        <f>HYPERLINK("https://twitter.com/MedeaCulpa","@MedeaCulpa")</f>
        <v>@MedeaCulpa</v>
      </c>
      <c r="C726" s="9" t="s">
        <v>811</v>
      </c>
      <c r="D726" s="9" t="s">
        <v>838</v>
      </c>
      <c r="E726" s="10" t="str">
        <f>HYPERLINK("https://twitter.com/MedeaCulpa/status/705923279098417153","705923279098417153")</f>
        <v>705923279098417153</v>
      </c>
      <c r="F726" s="11" t="s">
        <v>148</v>
      </c>
      <c r="G726" s="12">
        <v>971.0</v>
      </c>
      <c r="H726" s="12">
        <v>424.0</v>
      </c>
      <c r="I726" s="12">
        <v>0.0</v>
      </c>
      <c r="J726" s="12">
        <v>0.0</v>
      </c>
      <c r="K726" s="11" t="s">
        <v>21</v>
      </c>
      <c r="L726" s="7">
        <v>39894.5790625</v>
      </c>
      <c r="M726" s="13" t="s">
        <v>813</v>
      </c>
      <c r="N726" s="13" t="s">
        <v>814</v>
      </c>
      <c r="O726" s="10" t="str">
        <f>HYPERLINK("https://pbs.twimg.com/profile_images/702272676837068800/xO5D7apz_normal.jpg","View")</f>
        <v>View</v>
      </c>
      <c r="P726" s="14"/>
    </row>
    <row r="727">
      <c r="A727" s="7">
        <v>42433.79872685185</v>
      </c>
      <c r="B727" s="8" t="str">
        <f>HYPERLINK("https://twitter.com/magmidd","@magmidd")</f>
        <v>@magmidd</v>
      </c>
      <c r="C727" s="9" t="s">
        <v>636</v>
      </c>
      <c r="D727" s="9" t="s">
        <v>839</v>
      </c>
      <c r="E727" s="10" t="str">
        <f>HYPERLINK("https://twitter.com/magmidd/status/705923322219880449","705923322219880449")</f>
        <v>705923322219880449</v>
      </c>
      <c r="F727" s="11" t="s">
        <v>148</v>
      </c>
      <c r="G727" s="12">
        <v>1385.0</v>
      </c>
      <c r="H727" s="12">
        <v>1353.0</v>
      </c>
      <c r="I727" s="12">
        <v>1.0</v>
      </c>
      <c r="J727" s="12">
        <v>3.0</v>
      </c>
      <c r="K727" s="11" t="s">
        <v>21</v>
      </c>
      <c r="L727" s="7">
        <v>41511.60082175926</v>
      </c>
      <c r="M727" s="13" t="s">
        <v>197</v>
      </c>
      <c r="N727" s="13" t="s">
        <v>638</v>
      </c>
      <c r="O727" s="10" t="str">
        <f>HYPERLINK("https://pbs.twimg.com/profile_images/378800000450415007/82bcc7d0cab85e8d5920dbf5ded6715e_normal.jpeg","View")</f>
        <v>View</v>
      </c>
      <c r="P727" s="14"/>
    </row>
    <row r="728">
      <c r="A728" s="7">
        <v>42433.79885416667</v>
      </c>
      <c r="B728" s="8" t="str">
        <f>HYPERLINK("https://twitter.com/GHAUmass","@GHAUmass")</f>
        <v>@GHAUmass</v>
      </c>
      <c r="C728" s="9" t="s">
        <v>30</v>
      </c>
      <c r="D728" s="9" t="s">
        <v>840</v>
      </c>
      <c r="E728" s="10" t="str">
        <f>HYPERLINK("https://twitter.com/GHAUmass/status/705923368495796224","705923368495796224")</f>
        <v>705923368495796224</v>
      </c>
      <c r="F728" s="11" t="s">
        <v>26</v>
      </c>
      <c r="G728" s="12">
        <v>68.0</v>
      </c>
      <c r="H728" s="12">
        <v>100.0</v>
      </c>
      <c r="I728" s="12">
        <v>1.0</v>
      </c>
      <c r="J728" s="12">
        <v>0.0</v>
      </c>
      <c r="K728" s="11" t="s">
        <v>21</v>
      </c>
      <c r="L728" s="7">
        <v>42152.65289351852</v>
      </c>
      <c r="M728" s="13" t="s">
        <v>22</v>
      </c>
      <c r="N728" s="13" t="s">
        <v>32</v>
      </c>
      <c r="O728" s="10" t="str">
        <f>HYPERLINK("https://pbs.twimg.com/profile_images/604060333590855682/Fk6r1D7d_normal.jpg","View")</f>
        <v>View</v>
      </c>
      <c r="P728" s="14"/>
    </row>
    <row r="729">
      <c r="A729" s="7">
        <v>42433.79914351852</v>
      </c>
      <c r="B729" s="8" t="str">
        <f>HYPERLINK("https://twitter.com/lizl_genealogy","@lizl_genealogy")</f>
        <v>@lizl_genealogy</v>
      </c>
      <c r="C729" s="9" t="s">
        <v>89</v>
      </c>
      <c r="D729" s="9" t="s">
        <v>841</v>
      </c>
      <c r="E729" s="10" t="str">
        <f>HYPERLINK("https://twitter.com/lizl_genealogy/status/705923474196455425","705923474196455425")</f>
        <v>705923474196455425</v>
      </c>
      <c r="F729" s="11" t="s">
        <v>31</v>
      </c>
      <c r="G729" s="12">
        <v>1547.0</v>
      </c>
      <c r="H729" s="12">
        <v>615.0</v>
      </c>
      <c r="I729" s="12">
        <v>2.0</v>
      </c>
      <c r="J729" s="12">
        <v>0.0</v>
      </c>
      <c r="K729" s="11" t="s">
        <v>21</v>
      </c>
      <c r="L729" s="7">
        <v>40763.52722222223</v>
      </c>
      <c r="M729" s="13" t="s">
        <v>90</v>
      </c>
      <c r="N729" s="13" t="s">
        <v>91</v>
      </c>
      <c r="O729" s="10" t="str">
        <f>HYPERLINK("https://pbs.twimg.com/profile_images/2700002859/1f2d610ddaf1f03ac7d033dd83847b45_normal.jpeg","View")</f>
        <v>View</v>
      </c>
      <c r="P729" s="14"/>
    </row>
    <row r="730">
      <c r="A730" s="7">
        <v>42433.799155092594</v>
      </c>
      <c r="B730" s="8" t="str">
        <f>HYPERLINK("https://twitter.com/cameshascruggs","@cameshascruggs")</f>
        <v>@cameshascruggs</v>
      </c>
      <c r="C730" s="9" t="s">
        <v>761</v>
      </c>
      <c r="D730" s="9" t="s">
        <v>842</v>
      </c>
      <c r="E730" s="10" t="str">
        <f>HYPERLINK("https://twitter.com/cameshascruggs/status/705923478692745218","705923478692745218")</f>
        <v>705923478692745218</v>
      </c>
      <c r="F730" s="11" t="s">
        <v>43</v>
      </c>
      <c r="G730" s="12">
        <v>144.0</v>
      </c>
      <c r="H730" s="12">
        <v>551.0</v>
      </c>
      <c r="I730" s="12">
        <v>0.0</v>
      </c>
      <c r="J730" s="12">
        <v>5.0</v>
      </c>
      <c r="K730" s="11" t="s">
        <v>21</v>
      </c>
      <c r="L730" s="7">
        <v>39897.69201388889</v>
      </c>
      <c r="M730" s="15"/>
      <c r="N730" s="13" t="s">
        <v>762</v>
      </c>
      <c r="O730" s="10" t="str">
        <f>HYPERLINK("https://pbs.twimg.com/profile_images/187613030/me_in_panel_mode_normal.jpg","View")</f>
        <v>View</v>
      </c>
      <c r="P730" s="14"/>
    </row>
    <row r="731">
      <c r="A731" s="7">
        <v>42433.79917824074</v>
      </c>
      <c r="B731" s="8" t="str">
        <f>HYPERLINK("https://twitter.com/pastpunditry","@pastpunditry")</f>
        <v>@pastpunditry</v>
      </c>
      <c r="C731" s="9" t="s">
        <v>92</v>
      </c>
      <c r="D731" s="9" t="s">
        <v>843</v>
      </c>
      <c r="E731" s="10" t="str">
        <f>HYPERLINK("https://twitter.com/pastpunditry/status/705923485927870468","705923485927870468")</f>
        <v>705923485927870468</v>
      </c>
      <c r="F731" s="11" t="s">
        <v>77</v>
      </c>
      <c r="G731" s="12">
        <v>890.0</v>
      </c>
      <c r="H731" s="12">
        <v>378.0</v>
      </c>
      <c r="I731" s="12">
        <v>3.0</v>
      </c>
      <c r="J731" s="12">
        <v>1.0</v>
      </c>
      <c r="K731" s="11" t="s">
        <v>21</v>
      </c>
      <c r="L731" s="7">
        <v>40283.384351851855</v>
      </c>
      <c r="M731" s="13" t="s">
        <v>94</v>
      </c>
      <c r="N731" s="13" t="s">
        <v>95</v>
      </c>
      <c r="O731" s="10" t="str">
        <f>HYPERLINK("https://pbs.twimg.com/profile_images/704873222802636800/7aFEMOY5_normal.jpg","View")</f>
        <v>View</v>
      </c>
      <c r="P731" s="14"/>
    </row>
    <row r="732">
      <c r="A732" s="7">
        <v>42433.79920138889</v>
      </c>
      <c r="B732" s="8" t="str">
        <f>HYPERLINK("https://twitter.com/sheishistoric","@sheishistoric")</f>
        <v>@sheishistoric</v>
      </c>
      <c r="C732" s="9" t="s">
        <v>127</v>
      </c>
      <c r="D732" s="9" t="s">
        <v>832</v>
      </c>
      <c r="E732" s="10" t="str">
        <f>HYPERLINK("https://twitter.com/sheishistoric/status/705923496032002048","705923496032002048")</f>
        <v>705923496032002048</v>
      </c>
      <c r="F732" s="11" t="s">
        <v>26</v>
      </c>
      <c r="G732" s="12">
        <v>405.0</v>
      </c>
      <c r="H732" s="12">
        <v>882.0</v>
      </c>
      <c r="I732" s="12">
        <v>8.0</v>
      </c>
      <c r="J732" s="12">
        <v>0.0</v>
      </c>
      <c r="K732" s="11" t="s">
        <v>21</v>
      </c>
      <c r="L732" s="7">
        <v>41529.842094907406</v>
      </c>
      <c r="M732" s="13" t="s">
        <v>129</v>
      </c>
      <c r="N732" s="13" t="s">
        <v>130</v>
      </c>
      <c r="O732" s="10" t="str">
        <f>HYPERLINK("https://pbs.twimg.com/profile_images/650419150620377089/bJxBf---_normal.jpg","View")</f>
        <v>View</v>
      </c>
      <c r="P732" s="14"/>
    </row>
    <row r="733">
      <c r="A733" s="7">
        <v>42433.79924768519</v>
      </c>
      <c r="B733" s="8" t="str">
        <f>HYPERLINK("https://twitter.com/erfagen","@erfagen")</f>
        <v>@erfagen</v>
      </c>
      <c r="C733" s="9" t="s">
        <v>124</v>
      </c>
      <c r="D733" s="9" t="s">
        <v>832</v>
      </c>
      <c r="E733" s="10" t="str">
        <f>HYPERLINK("https://twitter.com/erfagen/status/705923513916530688","705923513916530688")</f>
        <v>705923513916530688</v>
      </c>
      <c r="F733" s="11" t="s">
        <v>26</v>
      </c>
      <c r="G733" s="12">
        <v>1055.0</v>
      </c>
      <c r="H733" s="12">
        <v>2055.0</v>
      </c>
      <c r="I733" s="12">
        <v>8.0</v>
      </c>
      <c r="J733" s="12">
        <v>0.0</v>
      </c>
      <c r="K733" s="11" t="s">
        <v>21</v>
      </c>
      <c r="L733" s="7">
        <v>40524.93576388889</v>
      </c>
      <c r="M733" s="13" t="s">
        <v>125</v>
      </c>
      <c r="N733" s="13" t="s">
        <v>126</v>
      </c>
      <c r="O733" s="10" t="str">
        <f>HYPERLINK("https://pbs.twimg.com/profile_images/638086945722249217/mid_S_BQ_normal.jpg","View")</f>
        <v>View</v>
      </c>
      <c r="P733" s="14"/>
    </row>
    <row r="734">
      <c r="A734" s="7">
        <v>42433.799305555556</v>
      </c>
      <c r="B734" s="8" t="str">
        <f>HYPERLINK("https://twitter.com/jamiaw","@jamiaw")</f>
        <v>@jamiaw</v>
      </c>
      <c r="C734" s="9" t="s">
        <v>324</v>
      </c>
      <c r="D734" s="9" t="s">
        <v>844</v>
      </c>
      <c r="E734" s="10" t="str">
        <f>HYPERLINK("https://twitter.com/jamiaw/status/705923534699286528","705923534699286528")</f>
        <v>705923534699286528</v>
      </c>
      <c r="F734" s="11" t="s">
        <v>26</v>
      </c>
      <c r="G734" s="12">
        <v>11335.0</v>
      </c>
      <c r="H734" s="12">
        <v>7815.0</v>
      </c>
      <c r="I734" s="12">
        <v>1.0</v>
      </c>
      <c r="J734" s="12">
        <v>2.0</v>
      </c>
      <c r="K734" s="11" t="s">
        <v>21</v>
      </c>
      <c r="L734" s="7">
        <v>39642.39741898148</v>
      </c>
      <c r="M734" s="13" t="s">
        <v>325</v>
      </c>
      <c r="N734" s="13" t="s">
        <v>326</v>
      </c>
      <c r="O734" s="10" t="str">
        <f>HYPERLINK("https://pbs.twimg.com/profile_images/701102020061753344/5zH70uem_normal.jpg","View")</f>
        <v>View</v>
      </c>
      <c r="P734" s="14"/>
    </row>
    <row r="735">
      <c r="A735" s="7">
        <v>42433.799409722225</v>
      </c>
      <c r="B735" s="8" t="str">
        <f>HYPERLINK("https://twitter.com/historein","@historein")</f>
        <v>@historein</v>
      </c>
      <c r="C735" s="9" t="s">
        <v>172</v>
      </c>
      <c r="D735" s="9" t="s">
        <v>845</v>
      </c>
      <c r="E735" s="10" t="str">
        <f>HYPERLINK("https://twitter.com/historein/status/705923571042791424","705923571042791424")</f>
        <v>705923571042791424</v>
      </c>
      <c r="F735" s="11" t="s">
        <v>31</v>
      </c>
      <c r="G735" s="12">
        <v>641.0</v>
      </c>
      <c r="H735" s="12">
        <v>753.0</v>
      </c>
      <c r="I735" s="12">
        <v>1.0</v>
      </c>
      <c r="J735" s="12">
        <v>0.0</v>
      </c>
      <c r="K735" s="11" t="s">
        <v>21</v>
      </c>
      <c r="L735" s="7">
        <v>40416.68083333333</v>
      </c>
      <c r="M735" s="13" t="s">
        <v>35</v>
      </c>
      <c r="N735" s="13" t="s">
        <v>174</v>
      </c>
      <c r="O735" s="10" t="str">
        <f>HYPERLINK("https://pbs.twimg.com/profile_images/636901483401904128/cxbavncr_normal.jpg","View")</f>
        <v>View</v>
      </c>
      <c r="P735" s="14"/>
    </row>
    <row r="736">
      <c r="A736" s="7">
        <v>42433.79957175926</v>
      </c>
      <c r="B736" s="8" t="str">
        <f>HYPERLINK("https://twitter.com/pastpunditry","@pastpunditry")</f>
        <v>@pastpunditry</v>
      </c>
      <c r="C736" s="9" t="s">
        <v>92</v>
      </c>
      <c r="D736" s="9" t="s">
        <v>846</v>
      </c>
      <c r="E736" s="10" t="str">
        <f>HYPERLINK("https://twitter.com/pastpunditry/status/705923632078442496","705923632078442496")</f>
        <v>705923632078442496</v>
      </c>
      <c r="F736" s="11" t="s">
        <v>77</v>
      </c>
      <c r="G736" s="12">
        <v>890.0</v>
      </c>
      <c r="H736" s="12">
        <v>378.0</v>
      </c>
      <c r="I736" s="12">
        <v>1.0</v>
      </c>
      <c r="J736" s="12">
        <v>4.0</v>
      </c>
      <c r="K736" s="11" t="s">
        <v>21</v>
      </c>
      <c r="L736" s="7">
        <v>40283.384351851855</v>
      </c>
      <c r="M736" s="13" t="s">
        <v>94</v>
      </c>
      <c r="N736" s="13" t="s">
        <v>95</v>
      </c>
      <c r="O736" s="10" t="str">
        <f>HYPERLINK("https://pbs.twimg.com/profile_images/704873222802636800/7aFEMOY5_normal.jpg","View")</f>
        <v>View</v>
      </c>
      <c r="P736" s="14"/>
    </row>
    <row r="737">
      <c r="A737" s="7">
        <v>42433.799664351856</v>
      </c>
      <c r="B737" s="8" t="str">
        <f>HYPERLINK("https://twitter.com/JulieThePH","@JulieThePH")</f>
        <v>@JulieThePH</v>
      </c>
      <c r="C737" s="9" t="s">
        <v>211</v>
      </c>
      <c r="D737" s="9" t="s">
        <v>847</v>
      </c>
      <c r="E737" s="10" t="str">
        <f>HYPERLINK("https://twitter.com/JulieThePH/status/705923662382243840","705923662382243840")</f>
        <v>705923662382243840</v>
      </c>
      <c r="F737" s="11" t="s">
        <v>148</v>
      </c>
      <c r="G737" s="12">
        <v>1234.0</v>
      </c>
      <c r="H737" s="12">
        <v>1386.0</v>
      </c>
      <c r="I737" s="12">
        <v>0.0</v>
      </c>
      <c r="J737" s="12">
        <v>2.0</v>
      </c>
      <c r="K737" s="11" t="s">
        <v>21</v>
      </c>
      <c r="L737" s="7">
        <v>40718.66918981481</v>
      </c>
      <c r="M737" s="13" t="s">
        <v>213</v>
      </c>
      <c r="N737" s="13" t="s">
        <v>214</v>
      </c>
      <c r="O737" s="10" t="str">
        <f>HYPERLINK("https://pbs.twimg.com/profile_images/596509974005686273/AqBblwMR_normal.jpg","View")</f>
        <v>View</v>
      </c>
      <c r="P737" s="14"/>
    </row>
    <row r="738">
      <c r="A738" s="7">
        <v>42433.799664351856</v>
      </c>
      <c r="B738" s="8" t="str">
        <f>HYPERLINK("https://twitter.com/rebekkahrubin","@rebekkahrubin")</f>
        <v>@rebekkahrubin</v>
      </c>
      <c r="C738" s="9" t="s">
        <v>141</v>
      </c>
      <c r="D738" s="9" t="s">
        <v>848</v>
      </c>
      <c r="E738" s="10" t="str">
        <f>HYPERLINK("https://twitter.com/rebekkahrubin/status/705923665263783936","705923665263783936")</f>
        <v>705923665263783936</v>
      </c>
      <c r="F738" s="11" t="s">
        <v>31</v>
      </c>
      <c r="G738" s="12">
        <v>492.0</v>
      </c>
      <c r="H738" s="12">
        <v>1224.0</v>
      </c>
      <c r="I738" s="12">
        <v>3.0</v>
      </c>
      <c r="J738" s="12">
        <v>1.0</v>
      </c>
      <c r="K738" s="11" t="s">
        <v>21</v>
      </c>
      <c r="L738" s="7">
        <v>40411.521527777775</v>
      </c>
      <c r="M738" s="13" t="s">
        <v>143</v>
      </c>
      <c r="N738" s="13" t="s">
        <v>144</v>
      </c>
      <c r="O738" s="10" t="str">
        <f>HYPERLINK("https://pbs.twimg.com/profile_images/700317732588408832/Ym_-neUi_normal.jpg","View")</f>
        <v>View</v>
      </c>
      <c r="P738" s="14"/>
    </row>
    <row r="739">
      <c r="A739" s="7">
        <v>42433.79972222222</v>
      </c>
      <c r="B739" s="8" t="str">
        <f>HYPERLINK("https://twitter.com/GHAUmass","@GHAUmass")</f>
        <v>@GHAUmass</v>
      </c>
      <c r="C739" s="9" t="s">
        <v>30</v>
      </c>
      <c r="D739" s="9" t="s">
        <v>849</v>
      </c>
      <c r="E739" s="10" t="str">
        <f>HYPERLINK("https://twitter.com/GHAUmass/status/705923684406525953","705923684406525953")</f>
        <v>705923684406525953</v>
      </c>
      <c r="F739" s="11" t="s">
        <v>26</v>
      </c>
      <c r="G739" s="12">
        <v>68.0</v>
      </c>
      <c r="H739" s="12">
        <v>100.0</v>
      </c>
      <c r="I739" s="12">
        <v>3.0</v>
      </c>
      <c r="J739" s="12">
        <v>0.0</v>
      </c>
      <c r="K739" s="11" t="s">
        <v>21</v>
      </c>
      <c r="L739" s="7">
        <v>42152.65289351852</v>
      </c>
      <c r="M739" s="13" t="s">
        <v>22</v>
      </c>
      <c r="N739" s="13" t="s">
        <v>32</v>
      </c>
      <c r="O739" s="10" t="str">
        <f>HYPERLINK("https://pbs.twimg.com/profile_images/604060333590855682/Fk6r1D7d_normal.jpg","View")</f>
        <v>View</v>
      </c>
      <c r="P739" s="14"/>
    </row>
    <row r="740">
      <c r="A740" s="7">
        <v>42433.799733796295</v>
      </c>
      <c r="B740" s="8" t="str">
        <f>HYPERLINK("https://twitter.com/magmidd","@magmidd")</f>
        <v>@magmidd</v>
      </c>
      <c r="C740" s="9" t="s">
        <v>636</v>
      </c>
      <c r="D740" s="9" t="s">
        <v>849</v>
      </c>
      <c r="E740" s="10" t="str">
        <f>HYPERLINK("https://twitter.com/magmidd/status/705923687044636673","705923687044636673")</f>
        <v>705923687044636673</v>
      </c>
      <c r="F740" s="11" t="s">
        <v>148</v>
      </c>
      <c r="G740" s="12">
        <v>1385.0</v>
      </c>
      <c r="H740" s="12">
        <v>1353.0</v>
      </c>
      <c r="I740" s="12">
        <v>3.0</v>
      </c>
      <c r="J740" s="12">
        <v>0.0</v>
      </c>
      <c r="K740" s="11" t="s">
        <v>21</v>
      </c>
      <c r="L740" s="7">
        <v>41511.60082175926</v>
      </c>
      <c r="M740" s="13" t="s">
        <v>197</v>
      </c>
      <c r="N740" s="13" t="s">
        <v>638</v>
      </c>
      <c r="O740" s="10" t="str">
        <f>HYPERLINK("https://pbs.twimg.com/profile_images/378800000450415007/82bcc7d0cab85e8d5920dbf5ded6715e_normal.jpeg","View")</f>
        <v>View</v>
      </c>
      <c r="P740" s="14"/>
    </row>
    <row r="741">
      <c r="A741" s="7">
        <v>42433.799733796295</v>
      </c>
      <c r="B741" s="8" t="str">
        <f>HYPERLINK("https://twitter.com/pastpunditry","@pastpunditry")</f>
        <v>@pastpunditry</v>
      </c>
      <c r="C741" s="9" t="s">
        <v>92</v>
      </c>
      <c r="D741" s="9" t="s">
        <v>850</v>
      </c>
      <c r="E741" s="10" t="str">
        <f>HYPERLINK("https://twitter.com/pastpunditry/status/705923687917232132","705923687917232132")</f>
        <v>705923687917232132</v>
      </c>
      <c r="F741" s="11" t="s">
        <v>77</v>
      </c>
      <c r="G741" s="12">
        <v>890.0</v>
      </c>
      <c r="H741" s="12">
        <v>378.0</v>
      </c>
      <c r="I741" s="12">
        <v>1.0</v>
      </c>
      <c r="J741" s="12">
        <v>3.0</v>
      </c>
      <c r="K741" s="11" t="s">
        <v>21</v>
      </c>
      <c r="L741" s="7">
        <v>40283.384351851855</v>
      </c>
      <c r="M741" s="13" t="s">
        <v>94</v>
      </c>
      <c r="N741" s="13" t="s">
        <v>95</v>
      </c>
      <c r="O741" s="10" t="str">
        <f>HYPERLINK("https://pbs.twimg.com/profile_images/704873222802636800/7aFEMOY5_normal.jpg","View")</f>
        <v>View</v>
      </c>
      <c r="P741" s="14"/>
    </row>
    <row r="742">
      <c r="A742" s="7">
        <v>42433.79974537037</v>
      </c>
      <c r="B742" s="8" t="str">
        <f t="shared" ref="B742:B743" si="169">HYPERLINK("https://twitter.com/jamiaw","@jamiaw")</f>
        <v>@jamiaw</v>
      </c>
      <c r="C742" s="9" t="s">
        <v>324</v>
      </c>
      <c r="D742" s="9" t="s">
        <v>805</v>
      </c>
      <c r="E742" s="10" t="str">
        <f>HYPERLINK("https://twitter.com/jamiaw/status/705923693638258689","705923693638258689")</f>
        <v>705923693638258689</v>
      </c>
      <c r="F742" s="11" t="s">
        <v>26</v>
      </c>
      <c r="G742" s="12">
        <v>11335.0</v>
      </c>
      <c r="H742" s="12">
        <v>7815.0</v>
      </c>
      <c r="I742" s="12">
        <v>2.0</v>
      </c>
      <c r="J742" s="12">
        <v>0.0</v>
      </c>
      <c r="K742" s="11" t="s">
        <v>21</v>
      </c>
      <c r="L742" s="7">
        <v>39642.39741898148</v>
      </c>
      <c r="M742" s="13" t="s">
        <v>325</v>
      </c>
      <c r="N742" s="13" t="s">
        <v>326</v>
      </c>
      <c r="O742" s="10" t="str">
        <f t="shared" ref="O742:O743" si="170">HYPERLINK("https://pbs.twimg.com/profile_images/701102020061753344/5zH70uem_normal.jpg","View")</f>
        <v>View</v>
      </c>
      <c r="P742" s="14"/>
    </row>
    <row r="743">
      <c r="A743" s="7">
        <v>42433.79984953704</v>
      </c>
      <c r="B743" s="8" t="str">
        <f t="shared" si="169"/>
        <v>@jamiaw</v>
      </c>
      <c r="C743" s="9" t="s">
        <v>324</v>
      </c>
      <c r="D743" s="9" t="s">
        <v>804</v>
      </c>
      <c r="E743" s="10" t="str">
        <f>HYPERLINK("https://twitter.com/jamiaw/status/705923730103468036","705923730103468036")</f>
        <v>705923730103468036</v>
      </c>
      <c r="F743" s="11" t="s">
        <v>26</v>
      </c>
      <c r="G743" s="12">
        <v>11335.0</v>
      </c>
      <c r="H743" s="12">
        <v>7815.0</v>
      </c>
      <c r="I743" s="12">
        <v>2.0</v>
      </c>
      <c r="J743" s="12">
        <v>0.0</v>
      </c>
      <c r="K743" s="11" t="s">
        <v>21</v>
      </c>
      <c r="L743" s="7">
        <v>39642.39741898148</v>
      </c>
      <c r="M743" s="13" t="s">
        <v>325</v>
      </c>
      <c r="N743" s="13" t="s">
        <v>326</v>
      </c>
      <c r="O743" s="10" t="str">
        <f t="shared" si="170"/>
        <v>View</v>
      </c>
      <c r="P743" s="14"/>
    </row>
    <row r="744">
      <c r="A744" s="7">
        <v>42433.79987268518</v>
      </c>
      <c r="B744" s="8" t="str">
        <f>HYPERLINK("https://twitter.com/GHAUmass","@GHAUmass")</f>
        <v>@GHAUmass</v>
      </c>
      <c r="C744" s="9" t="s">
        <v>30</v>
      </c>
      <c r="D744" s="9" t="s">
        <v>851</v>
      </c>
      <c r="E744" s="10" t="str">
        <f>HYPERLINK("https://twitter.com/GHAUmass/status/705923738177503233","705923738177503233")</f>
        <v>705923738177503233</v>
      </c>
      <c r="F744" s="11" t="s">
        <v>26</v>
      </c>
      <c r="G744" s="12">
        <v>68.0</v>
      </c>
      <c r="H744" s="12">
        <v>100.0</v>
      </c>
      <c r="I744" s="12">
        <v>1.0</v>
      </c>
      <c r="J744" s="12">
        <v>0.0</v>
      </c>
      <c r="K744" s="11" t="s">
        <v>21</v>
      </c>
      <c r="L744" s="7">
        <v>42152.65289351852</v>
      </c>
      <c r="M744" s="13" t="s">
        <v>22</v>
      </c>
      <c r="N744" s="13" t="s">
        <v>32</v>
      </c>
      <c r="O744" s="10" t="str">
        <f>HYPERLINK("https://pbs.twimg.com/profile_images/604060333590855682/Fk6r1D7d_normal.jpg","View")</f>
        <v>View</v>
      </c>
      <c r="P744" s="14"/>
    </row>
    <row r="745">
      <c r="A745" s="7">
        <v>42433.799884259264</v>
      </c>
      <c r="B745" s="8" t="str">
        <f>HYPERLINK("https://twitter.com/jamiaw","@jamiaw")</f>
        <v>@jamiaw</v>
      </c>
      <c r="C745" s="9" t="s">
        <v>324</v>
      </c>
      <c r="D745" s="9" t="s">
        <v>812</v>
      </c>
      <c r="E745" s="10" t="str">
        <f>HYPERLINK("https://twitter.com/jamiaw/status/705923742074060800","705923742074060800")</f>
        <v>705923742074060800</v>
      </c>
      <c r="F745" s="11" t="s">
        <v>26</v>
      </c>
      <c r="G745" s="12">
        <v>11335.0</v>
      </c>
      <c r="H745" s="12">
        <v>7815.0</v>
      </c>
      <c r="I745" s="12">
        <v>3.0</v>
      </c>
      <c r="J745" s="12">
        <v>0.0</v>
      </c>
      <c r="K745" s="11" t="s">
        <v>21</v>
      </c>
      <c r="L745" s="7">
        <v>39642.39741898148</v>
      </c>
      <c r="M745" s="13" t="s">
        <v>325</v>
      </c>
      <c r="N745" s="13" t="s">
        <v>326</v>
      </c>
      <c r="O745" s="10" t="str">
        <f>HYPERLINK("https://pbs.twimg.com/profile_images/701102020061753344/5zH70uem_normal.jpg","View")</f>
        <v>View</v>
      </c>
      <c r="P745" s="14"/>
    </row>
    <row r="746">
      <c r="A746" s="7">
        <v>42433.800046296295</v>
      </c>
      <c r="B746" s="8" t="str">
        <f>HYPERLINK("https://twitter.com/GHAUmass","@GHAUmass")</f>
        <v>@GHAUmass</v>
      </c>
      <c r="C746" s="9" t="s">
        <v>30</v>
      </c>
      <c r="D746" s="9" t="s">
        <v>852</v>
      </c>
      <c r="E746" s="10" t="str">
        <f>HYPERLINK("https://twitter.com/GHAUmass/status/705923801792552960","705923801792552960")</f>
        <v>705923801792552960</v>
      </c>
      <c r="F746" s="11" t="s">
        <v>26</v>
      </c>
      <c r="G746" s="12">
        <v>68.0</v>
      </c>
      <c r="H746" s="12">
        <v>100.0</v>
      </c>
      <c r="I746" s="12">
        <v>1.0</v>
      </c>
      <c r="J746" s="12">
        <v>0.0</v>
      </c>
      <c r="K746" s="11" t="s">
        <v>21</v>
      </c>
      <c r="L746" s="7">
        <v>42152.65289351852</v>
      </c>
      <c r="M746" s="13" t="s">
        <v>22</v>
      </c>
      <c r="N746" s="13" t="s">
        <v>32</v>
      </c>
      <c r="O746" s="10" t="str">
        <f>HYPERLINK("https://pbs.twimg.com/profile_images/604060333590855682/Fk6r1D7d_normal.jpg","View")</f>
        <v>View</v>
      </c>
      <c r="P746" s="14"/>
    </row>
    <row r="747">
      <c r="A747" s="7">
        <v>42433.80006944445</v>
      </c>
      <c r="B747" s="8" t="str">
        <f>HYPERLINK("https://twitter.com/juliegpeterson","@juliegpeterson")</f>
        <v>@juliegpeterson</v>
      </c>
      <c r="C747" s="9" t="s">
        <v>24</v>
      </c>
      <c r="D747" s="9" t="s">
        <v>853</v>
      </c>
      <c r="E747" s="10" t="str">
        <f>HYPERLINK("https://twitter.com/juliegpeterson/status/705923809086406656","705923809086406656")</f>
        <v>705923809086406656</v>
      </c>
      <c r="F747" s="11" t="s">
        <v>26</v>
      </c>
      <c r="G747" s="12">
        <v>239.0</v>
      </c>
      <c r="H747" s="12">
        <v>775.0</v>
      </c>
      <c r="I747" s="12">
        <v>1.0</v>
      </c>
      <c r="J747" s="12">
        <v>1.0</v>
      </c>
      <c r="K747" s="11" t="s">
        <v>21</v>
      </c>
      <c r="L747" s="7">
        <v>41208.65523148148</v>
      </c>
      <c r="M747" s="13" t="s">
        <v>22</v>
      </c>
      <c r="N747" s="13" t="s">
        <v>27</v>
      </c>
      <c r="O747" s="10" t="str">
        <f>HYPERLINK("https://pbs.twimg.com/profile_images/609765839051452416/GNW0wSt0_normal.jpg","View")</f>
        <v>View</v>
      </c>
      <c r="P747" s="14"/>
    </row>
    <row r="748">
      <c r="A748" s="7">
        <v>42433.80008101852</v>
      </c>
      <c r="B748" s="8" t="str">
        <f>HYPERLINK("https://twitter.com/GHAUmass","@GHAUmass")</f>
        <v>@GHAUmass</v>
      </c>
      <c r="C748" s="9" t="s">
        <v>30</v>
      </c>
      <c r="D748" s="9" t="s">
        <v>854</v>
      </c>
      <c r="E748" s="10" t="str">
        <f>HYPERLINK("https://twitter.com/GHAUmass/status/705923814392258564","705923814392258564")</f>
        <v>705923814392258564</v>
      </c>
      <c r="F748" s="11" t="s">
        <v>26</v>
      </c>
      <c r="G748" s="12">
        <v>68.0</v>
      </c>
      <c r="H748" s="12">
        <v>100.0</v>
      </c>
      <c r="I748" s="12">
        <v>3.0</v>
      </c>
      <c r="J748" s="12">
        <v>0.0</v>
      </c>
      <c r="K748" s="11" t="s">
        <v>21</v>
      </c>
      <c r="L748" s="7">
        <v>42152.65289351852</v>
      </c>
      <c r="M748" s="13" t="s">
        <v>22</v>
      </c>
      <c r="N748" s="13" t="s">
        <v>32</v>
      </c>
      <c r="O748" s="10" t="str">
        <f>HYPERLINK("https://pbs.twimg.com/profile_images/604060333590855682/Fk6r1D7d_normal.jpg","View")</f>
        <v>View</v>
      </c>
      <c r="P748" s="14"/>
    </row>
    <row r="749">
      <c r="A749" s="7">
        <v>42433.80019675926</v>
      </c>
      <c r="B749" s="8" t="str">
        <f>HYPERLINK("https://twitter.com/jamiaw","@jamiaw")</f>
        <v>@jamiaw</v>
      </c>
      <c r="C749" s="9" t="s">
        <v>324</v>
      </c>
      <c r="D749" s="9" t="s">
        <v>855</v>
      </c>
      <c r="E749" s="10" t="str">
        <f>HYPERLINK("https://twitter.com/jamiaw/status/705923857933344768","705923857933344768")</f>
        <v>705923857933344768</v>
      </c>
      <c r="F749" s="11" t="s">
        <v>26</v>
      </c>
      <c r="G749" s="12">
        <v>11335.0</v>
      </c>
      <c r="H749" s="12">
        <v>7815.0</v>
      </c>
      <c r="I749" s="12">
        <v>3.0</v>
      </c>
      <c r="J749" s="12">
        <v>0.0</v>
      </c>
      <c r="K749" s="11" t="s">
        <v>21</v>
      </c>
      <c r="L749" s="7">
        <v>39642.39741898148</v>
      </c>
      <c r="M749" s="13" t="s">
        <v>325</v>
      </c>
      <c r="N749" s="13" t="s">
        <v>326</v>
      </c>
      <c r="O749" s="10" t="str">
        <f>HYPERLINK("https://pbs.twimg.com/profile_images/701102020061753344/5zH70uem_normal.jpg","View")</f>
        <v>View</v>
      </c>
      <c r="P749" s="14"/>
    </row>
    <row r="750">
      <c r="A750" s="7">
        <v>42433.80023148148</v>
      </c>
      <c r="B750" s="8" t="str">
        <f>HYPERLINK("https://twitter.com/pastpunditry","@pastpunditry")</f>
        <v>@pastpunditry</v>
      </c>
      <c r="C750" s="9" t="s">
        <v>92</v>
      </c>
      <c r="D750" s="9" t="s">
        <v>856</v>
      </c>
      <c r="E750" s="10" t="str">
        <f>HYPERLINK("https://twitter.com/pastpunditry/status/705923869270515713","705923869270515713")</f>
        <v>705923869270515713</v>
      </c>
      <c r="F750" s="11" t="s">
        <v>77</v>
      </c>
      <c r="G750" s="12">
        <v>890.0</v>
      </c>
      <c r="H750" s="12">
        <v>378.0</v>
      </c>
      <c r="I750" s="12">
        <v>2.0</v>
      </c>
      <c r="J750" s="12">
        <v>3.0</v>
      </c>
      <c r="K750" s="11" t="s">
        <v>21</v>
      </c>
      <c r="L750" s="7">
        <v>40283.384351851855</v>
      </c>
      <c r="M750" s="13" t="s">
        <v>94</v>
      </c>
      <c r="N750" s="13" t="s">
        <v>95</v>
      </c>
      <c r="O750" s="10" t="str">
        <f>HYPERLINK("https://pbs.twimg.com/profile_images/704873222802636800/7aFEMOY5_normal.jpg","View")</f>
        <v>View</v>
      </c>
      <c r="P750" s="14"/>
    </row>
    <row r="751">
      <c r="A751" s="7">
        <v>42433.800254629634</v>
      </c>
      <c r="B751" s="8" t="str">
        <f t="shared" ref="B751:B754" si="171">HYPERLINK("https://twitter.com/jamiaw","@jamiaw")</f>
        <v>@jamiaw</v>
      </c>
      <c r="C751" s="9" t="s">
        <v>324</v>
      </c>
      <c r="D751" s="9" t="s">
        <v>779</v>
      </c>
      <c r="E751" s="10" t="str">
        <f>HYPERLINK("https://twitter.com/jamiaw/status/705923877856268288","705923877856268288")</f>
        <v>705923877856268288</v>
      </c>
      <c r="F751" s="11" t="s">
        <v>26</v>
      </c>
      <c r="G751" s="12">
        <v>11335.0</v>
      </c>
      <c r="H751" s="12">
        <v>7815.0</v>
      </c>
      <c r="I751" s="12">
        <v>3.0</v>
      </c>
      <c r="J751" s="12">
        <v>0.0</v>
      </c>
      <c r="K751" s="11" t="s">
        <v>21</v>
      </c>
      <c r="L751" s="7">
        <v>39642.39741898148</v>
      </c>
      <c r="M751" s="13" t="s">
        <v>325</v>
      </c>
      <c r="N751" s="13" t="s">
        <v>326</v>
      </c>
      <c r="O751" s="10" t="str">
        <f t="shared" ref="O751:O754" si="172">HYPERLINK("https://pbs.twimg.com/profile_images/701102020061753344/5zH70uem_normal.jpg","View")</f>
        <v>View</v>
      </c>
      <c r="P751" s="14"/>
    </row>
    <row r="752">
      <c r="A752" s="7">
        <v>42433.80032407407</v>
      </c>
      <c r="B752" s="8" t="str">
        <f t="shared" si="171"/>
        <v>@jamiaw</v>
      </c>
      <c r="C752" s="9" t="s">
        <v>324</v>
      </c>
      <c r="D752" s="9" t="s">
        <v>857</v>
      </c>
      <c r="E752" s="10" t="str">
        <f>HYPERLINK("https://twitter.com/jamiaw/status/705923901394698240","705923901394698240")</f>
        <v>705923901394698240</v>
      </c>
      <c r="F752" s="11" t="s">
        <v>26</v>
      </c>
      <c r="G752" s="12">
        <v>11335.0</v>
      </c>
      <c r="H752" s="12">
        <v>7815.0</v>
      </c>
      <c r="I752" s="12">
        <v>1.0</v>
      </c>
      <c r="J752" s="12">
        <v>0.0</v>
      </c>
      <c r="K752" s="11" t="s">
        <v>21</v>
      </c>
      <c r="L752" s="7">
        <v>39642.39741898148</v>
      </c>
      <c r="M752" s="13" t="s">
        <v>325</v>
      </c>
      <c r="N752" s="13" t="s">
        <v>326</v>
      </c>
      <c r="O752" s="10" t="str">
        <f t="shared" si="172"/>
        <v>View</v>
      </c>
      <c r="P752" s="14"/>
    </row>
    <row r="753">
      <c r="A753" s="7">
        <v>42433.80037037037</v>
      </c>
      <c r="B753" s="8" t="str">
        <f t="shared" si="171"/>
        <v>@jamiaw</v>
      </c>
      <c r="C753" s="9" t="s">
        <v>324</v>
      </c>
      <c r="D753" s="9" t="s">
        <v>778</v>
      </c>
      <c r="E753" s="10" t="str">
        <f>HYPERLINK("https://twitter.com/jamiaw/status/705923920847900672","705923920847900672")</f>
        <v>705923920847900672</v>
      </c>
      <c r="F753" s="11" t="s">
        <v>26</v>
      </c>
      <c r="G753" s="12">
        <v>11335.0</v>
      </c>
      <c r="H753" s="12">
        <v>7815.0</v>
      </c>
      <c r="I753" s="12">
        <v>2.0</v>
      </c>
      <c r="J753" s="12">
        <v>0.0</v>
      </c>
      <c r="K753" s="11" t="s">
        <v>21</v>
      </c>
      <c r="L753" s="7">
        <v>39642.39741898148</v>
      </c>
      <c r="M753" s="13" t="s">
        <v>325</v>
      </c>
      <c r="N753" s="13" t="s">
        <v>326</v>
      </c>
      <c r="O753" s="10" t="str">
        <f t="shared" si="172"/>
        <v>View</v>
      </c>
      <c r="P753" s="14"/>
    </row>
    <row r="754">
      <c r="A754" s="7">
        <v>42433.80049768518</v>
      </c>
      <c r="B754" s="8" t="str">
        <f t="shared" si="171"/>
        <v>@jamiaw</v>
      </c>
      <c r="C754" s="9" t="s">
        <v>324</v>
      </c>
      <c r="D754" s="9" t="s">
        <v>858</v>
      </c>
      <c r="E754" s="10" t="str">
        <f>HYPERLINK("https://twitter.com/jamiaw/status/705923966263816192","705923966263816192")</f>
        <v>705923966263816192</v>
      </c>
      <c r="F754" s="11" t="s">
        <v>26</v>
      </c>
      <c r="G754" s="12">
        <v>11335.0</v>
      </c>
      <c r="H754" s="12">
        <v>7815.0</v>
      </c>
      <c r="I754" s="12">
        <v>1.0</v>
      </c>
      <c r="J754" s="12">
        <v>0.0</v>
      </c>
      <c r="K754" s="11" t="s">
        <v>21</v>
      </c>
      <c r="L754" s="7">
        <v>39642.39741898148</v>
      </c>
      <c r="M754" s="13" t="s">
        <v>325</v>
      </c>
      <c r="N754" s="13" t="s">
        <v>326</v>
      </c>
      <c r="O754" s="10" t="str">
        <f t="shared" si="172"/>
        <v>View</v>
      </c>
      <c r="P754" s="14"/>
    </row>
    <row r="755">
      <c r="A755" s="7">
        <v>42433.80050925926</v>
      </c>
      <c r="B755" s="8" t="str">
        <f>HYPERLINK("https://twitter.com/CitizenWald","@CitizenWald")</f>
        <v>@CitizenWald</v>
      </c>
      <c r="C755" s="9" t="s">
        <v>668</v>
      </c>
      <c r="D755" s="9" t="s">
        <v>859</v>
      </c>
      <c r="E755" s="10" t="str">
        <f>HYPERLINK("https://twitter.com/CitizenWald/status/705923970474893314","705923970474893314")</f>
        <v>705923970474893314</v>
      </c>
      <c r="F755" s="11" t="s">
        <v>26</v>
      </c>
      <c r="G755" s="12">
        <v>2335.0</v>
      </c>
      <c r="H755" s="12">
        <v>2535.0</v>
      </c>
      <c r="I755" s="12">
        <v>1.0</v>
      </c>
      <c r="J755" s="12">
        <v>6.0</v>
      </c>
      <c r="K755" s="11" t="s">
        <v>21</v>
      </c>
      <c r="L755" s="7">
        <v>39373.01613425926</v>
      </c>
      <c r="M755" s="13" t="s">
        <v>22</v>
      </c>
      <c r="N755" s="13" t="s">
        <v>669</v>
      </c>
      <c r="O755" s="10" t="str">
        <f>HYPERLINK("https://pbs.twimg.com/profile_images/661220280564486144/ZxUrdRVS_normal.jpg","View")</f>
        <v>View</v>
      </c>
      <c r="P755" s="14"/>
    </row>
    <row r="756">
      <c r="A756" s="7">
        <v>42433.800532407404</v>
      </c>
      <c r="B756" s="8" t="str">
        <f t="shared" ref="B756:B759" si="173">HYPERLINK("https://twitter.com/jamiaw","@jamiaw")</f>
        <v>@jamiaw</v>
      </c>
      <c r="C756" s="9" t="s">
        <v>324</v>
      </c>
      <c r="D756" s="9" t="s">
        <v>769</v>
      </c>
      <c r="E756" s="10" t="str">
        <f>HYPERLINK("https://twitter.com/jamiaw/status/705923977345146880","705923977345146880")</f>
        <v>705923977345146880</v>
      </c>
      <c r="F756" s="11" t="s">
        <v>26</v>
      </c>
      <c r="G756" s="12">
        <v>11335.0</v>
      </c>
      <c r="H756" s="12">
        <v>7815.0</v>
      </c>
      <c r="I756" s="12">
        <v>2.0</v>
      </c>
      <c r="J756" s="12">
        <v>0.0</v>
      </c>
      <c r="K756" s="11" t="s">
        <v>21</v>
      </c>
      <c r="L756" s="7">
        <v>39642.39741898148</v>
      </c>
      <c r="M756" s="13" t="s">
        <v>325</v>
      </c>
      <c r="N756" s="13" t="s">
        <v>326</v>
      </c>
      <c r="O756" s="10" t="str">
        <f t="shared" ref="O756:O759" si="174">HYPERLINK("https://pbs.twimg.com/profile_images/701102020061753344/5zH70uem_normal.jpg","View")</f>
        <v>View</v>
      </c>
      <c r="P756" s="14"/>
    </row>
    <row r="757">
      <c r="A757" s="7">
        <v>42433.800578703704</v>
      </c>
      <c r="B757" s="8" t="str">
        <f t="shared" si="173"/>
        <v>@jamiaw</v>
      </c>
      <c r="C757" s="9" t="s">
        <v>324</v>
      </c>
      <c r="D757" s="9" t="s">
        <v>860</v>
      </c>
      <c r="E757" s="10" t="str">
        <f>HYPERLINK("https://twitter.com/jamiaw/status/705923996362088448","705923996362088448")</f>
        <v>705923996362088448</v>
      </c>
      <c r="F757" s="11" t="s">
        <v>26</v>
      </c>
      <c r="G757" s="12">
        <v>11335.0</v>
      </c>
      <c r="H757" s="12">
        <v>7815.0</v>
      </c>
      <c r="I757" s="12">
        <v>1.0</v>
      </c>
      <c r="J757" s="12">
        <v>0.0</v>
      </c>
      <c r="K757" s="11" t="s">
        <v>21</v>
      </c>
      <c r="L757" s="7">
        <v>39642.39741898148</v>
      </c>
      <c r="M757" s="13" t="s">
        <v>325</v>
      </c>
      <c r="N757" s="13" t="s">
        <v>326</v>
      </c>
      <c r="O757" s="10" t="str">
        <f t="shared" si="174"/>
        <v>View</v>
      </c>
      <c r="P757" s="14"/>
    </row>
    <row r="758">
      <c r="A758" s="7">
        <v>42433.800625</v>
      </c>
      <c r="B758" s="8" t="str">
        <f t="shared" si="173"/>
        <v>@jamiaw</v>
      </c>
      <c r="C758" s="9" t="s">
        <v>324</v>
      </c>
      <c r="D758" s="9" t="s">
        <v>759</v>
      </c>
      <c r="E758" s="10" t="str">
        <f>HYPERLINK("https://twitter.com/jamiaw/status/705924012573138945","705924012573138945")</f>
        <v>705924012573138945</v>
      </c>
      <c r="F758" s="11" t="s">
        <v>26</v>
      </c>
      <c r="G758" s="12">
        <v>11335.0</v>
      </c>
      <c r="H758" s="12">
        <v>7815.0</v>
      </c>
      <c r="I758" s="12">
        <v>3.0</v>
      </c>
      <c r="J758" s="12">
        <v>0.0</v>
      </c>
      <c r="K758" s="11" t="s">
        <v>21</v>
      </c>
      <c r="L758" s="7">
        <v>39642.39741898148</v>
      </c>
      <c r="M758" s="13" t="s">
        <v>325</v>
      </c>
      <c r="N758" s="13" t="s">
        <v>326</v>
      </c>
      <c r="O758" s="10" t="str">
        <f t="shared" si="174"/>
        <v>View</v>
      </c>
      <c r="P758" s="14"/>
    </row>
    <row r="759">
      <c r="A759" s="7">
        <v>42433.80070601852</v>
      </c>
      <c r="B759" s="8" t="str">
        <f t="shared" si="173"/>
        <v>@jamiaw</v>
      </c>
      <c r="C759" s="9" t="s">
        <v>324</v>
      </c>
      <c r="D759" s="9" t="s">
        <v>861</v>
      </c>
      <c r="E759" s="10" t="str">
        <f>HYPERLINK("https://twitter.com/jamiaw/status/705924041325068289","705924041325068289")</f>
        <v>705924041325068289</v>
      </c>
      <c r="F759" s="11" t="s">
        <v>26</v>
      </c>
      <c r="G759" s="12">
        <v>11335.0</v>
      </c>
      <c r="H759" s="12">
        <v>7815.0</v>
      </c>
      <c r="I759" s="12">
        <v>1.0</v>
      </c>
      <c r="J759" s="12">
        <v>0.0</v>
      </c>
      <c r="K759" s="11" t="s">
        <v>21</v>
      </c>
      <c r="L759" s="7">
        <v>39642.39741898148</v>
      </c>
      <c r="M759" s="13" t="s">
        <v>325</v>
      </c>
      <c r="N759" s="13" t="s">
        <v>326</v>
      </c>
      <c r="O759" s="10" t="str">
        <f t="shared" si="174"/>
        <v>View</v>
      </c>
      <c r="P759" s="14"/>
    </row>
    <row r="760">
      <c r="A760" s="7">
        <v>42433.80070601852</v>
      </c>
      <c r="B760" s="8" t="str">
        <f>HYPERLINK("https://twitter.com/allisonhorrocks","@allisonhorrocks")</f>
        <v>@allisonhorrocks</v>
      </c>
      <c r="C760" s="9" t="s">
        <v>105</v>
      </c>
      <c r="D760" s="9" t="s">
        <v>862</v>
      </c>
      <c r="E760" s="10" t="str">
        <f>HYPERLINK("https://twitter.com/allisonhorrocks/status/705924042423984129","705924042423984129")</f>
        <v>705924042423984129</v>
      </c>
      <c r="F760" s="11" t="s">
        <v>26</v>
      </c>
      <c r="G760" s="12">
        <v>122.0</v>
      </c>
      <c r="H760" s="12">
        <v>260.0</v>
      </c>
      <c r="I760" s="12">
        <v>0.0</v>
      </c>
      <c r="J760" s="12">
        <v>3.0</v>
      </c>
      <c r="K760" s="11" t="s">
        <v>21</v>
      </c>
      <c r="L760" s="7">
        <v>39874.8815625</v>
      </c>
      <c r="M760" s="13" t="s">
        <v>106</v>
      </c>
      <c r="N760" s="13" t="s">
        <v>107</v>
      </c>
      <c r="O760" s="10" t="str">
        <f>HYPERLINK("https://pbs.twimg.com/profile_images/562279222522032128/-phaZgxO_normal.jpeg","View")</f>
        <v>View</v>
      </c>
      <c r="P760" s="14"/>
    </row>
    <row r="761">
      <c r="A761" s="7">
        <v>42433.80071759259</v>
      </c>
      <c r="B761" s="8" t="str">
        <f>HYPERLINK("https://twitter.com/GHAUmass","@GHAUmass")</f>
        <v>@GHAUmass</v>
      </c>
      <c r="C761" s="9" t="s">
        <v>30</v>
      </c>
      <c r="D761" s="9" t="s">
        <v>863</v>
      </c>
      <c r="E761" s="10" t="str">
        <f>HYPERLINK("https://twitter.com/GHAUmass/status/705924045963927552","705924045963927552")</f>
        <v>705924045963927552</v>
      </c>
      <c r="F761" s="11" t="s">
        <v>26</v>
      </c>
      <c r="G761" s="12">
        <v>68.0</v>
      </c>
      <c r="H761" s="12">
        <v>100.0</v>
      </c>
      <c r="I761" s="12">
        <v>1.0</v>
      </c>
      <c r="J761" s="12">
        <v>0.0</v>
      </c>
      <c r="K761" s="11" t="s">
        <v>21</v>
      </c>
      <c r="L761" s="7">
        <v>42152.65289351852</v>
      </c>
      <c r="M761" s="13" t="s">
        <v>22</v>
      </c>
      <c r="N761" s="13" t="s">
        <v>32</v>
      </c>
      <c r="O761" s="10" t="str">
        <f>HYPERLINK("https://pbs.twimg.com/profile_images/604060333590855682/Fk6r1D7d_normal.jpg","View")</f>
        <v>View</v>
      </c>
      <c r="P761" s="14"/>
    </row>
    <row r="762">
      <c r="A762" s="7">
        <v>42433.80074074074</v>
      </c>
      <c r="B762" s="8" t="str">
        <f>HYPERLINK("https://twitter.com/rebekkahrubin","@rebekkahrubin")</f>
        <v>@rebekkahrubin</v>
      </c>
      <c r="C762" s="9" t="s">
        <v>141</v>
      </c>
      <c r="D762" s="9" t="s">
        <v>864</v>
      </c>
      <c r="E762" s="10" t="str">
        <f>HYPERLINK("https://twitter.com/rebekkahrubin/status/705924055669592069","705924055669592069")</f>
        <v>705924055669592069</v>
      </c>
      <c r="F762" s="11" t="s">
        <v>31</v>
      </c>
      <c r="G762" s="12">
        <v>492.0</v>
      </c>
      <c r="H762" s="12">
        <v>1224.0</v>
      </c>
      <c r="I762" s="12">
        <v>0.0</v>
      </c>
      <c r="J762" s="12">
        <v>2.0</v>
      </c>
      <c r="K762" s="11" t="s">
        <v>21</v>
      </c>
      <c r="L762" s="7">
        <v>40411.521527777775</v>
      </c>
      <c r="M762" s="13" t="s">
        <v>143</v>
      </c>
      <c r="N762" s="13" t="s">
        <v>144</v>
      </c>
      <c r="O762" s="10" t="str">
        <f>HYPERLINK("https://pbs.twimg.com/profile_images/700317732588408832/Ym_-neUi_normal.jpg","View")</f>
        <v>View</v>
      </c>
      <c r="P762" s="14"/>
    </row>
    <row r="763">
      <c r="A763" s="7">
        <v>42433.800787037035</v>
      </c>
      <c r="B763" s="8" t="str">
        <f>HYPERLINK("https://twitter.com/MedeaCulpa","@MedeaCulpa")</f>
        <v>@MedeaCulpa</v>
      </c>
      <c r="C763" s="9" t="s">
        <v>811</v>
      </c>
      <c r="D763" s="9" t="s">
        <v>854</v>
      </c>
      <c r="E763" s="10" t="str">
        <f>HYPERLINK("https://twitter.com/MedeaCulpa/status/705924071389843457","705924071389843457")</f>
        <v>705924071389843457</v>
      </c>
      <c r="F763" s="11" t="s">
        <v>148</v>
      </c>
      <c r="G763" s="12">
        <v>971.0</v>
      </c>
      <c r="H763" s="12">
        <v>424.0</v>
      </c>
      <c r="I763" s="12">
        <v>3.0</v>
      </c>
      <c r="J763" s="12">
        <v>0.0</v>
      </c>
      <c r="K763" s="11" t="s">
        <v>21</v>
      </c>
      <c r="L763" s="7">
        <v>39894.5790625</v>
      </c>
      <c r="M763" s="13" t="s">
        <v>813</v>
      </c>
      <c r="N763" s="13" t="s">
        <v>814</v>
      </c>
      <c r="O763" s="10" t="str">
        <f>HYPERLINK("https://pbs.twimg.com/profile_images/702272676837068800/xO5D7apz_normal.jpg","View")</f>
        <v>View</v>
      </c>
      <c r="P763" s="14"/>
    </row>
    <row r="764">
      <c r="A764" s="7">
        <v>42433.80079861111</v>
      </c>
      <c r="B764" s="8" t="str">
        <f>HYPERLINK("https://twitter.com/sheishistoric","@sheishistoric")</f>
        <v>@sheishistoric</v>
      </c>
      <c r="C764" s="9" t="s">
        <v>127</v>
      </c>
      <c r="D764" s="9" t="s">
        <v>865</v>
      </c>
      <c r="E764" s="10" t="str">
        <f>HYPERLINK("https://twitter.com/sheishistoric/status/705924075701575680","705924075701575680")</f>
        <v>705924075701575680</v>
      </c>
      <c r="F764" s="11" t="s">
        <v>26</v>
      </c>
      <c r="G764" s="12">
        <v>405.0</v>
      </c>
      <c r="H764" s="12">
        <v>882.0</v>
      </c>
      <c r="I764" s="12">
        <v>4.0</v>
      </c>
      <c r="J764" s="12">
        <v>4.0</v>
      </c>
      <c r="K764" s="11" t="s">
        <v>21</v>
      </c>
      <c r="L764" s="7">
        <v>41529.842094907406</v>
      </c>
      <c r="M764" s="13" t="s">
        <v>129</v>
      </c>
      <c r="N764" s="13" t="s">
        <v>130</v>
      </c>
      <c r="O764" s="10" t="str">
        <f>HYPERLINK("https://pbs.twimg.com/profile_images/650419150620377089/bJxBf---_normal.jpg","View")</f>
        <v>View</v>
      </c>
      <c r="P764" s="14"/>
    </row>
    <row r="765">
      <c r="A765" s="7">
        <v>42433.80099537037</v>
      </c>
      <c r="B765" s="8" t="str">
        <f>HYPERLINK("https://twitter.com/CitizenWald","@CitizenWald")</f>
        <v>@CitizenWald</v>
      </c>
      <c r="C765" s="9" t="s">
        <v>668</v>
      </c>
      <c r="D765" s="9" t="s">
        <v>849</v>
      </c>
      <c r="E765" s="10" t="str">
        <f>HYPERLINK("https://twitter.com/CitizenWald/status/705924144286867462","705924144286867462")</f>
        <v>705924144286867462</v>
      </c>
      <c r="F765" s="11" t="s">
        <v>26</v>
      </c>
      <c r="G765" s="12">
        <v>2335.0</v>
      </c>
      <c r="H765" s="12">
        <v>2535.0</v>
      </c>
      <c r="I765" s="12">
        <v>3.0</v>
      </c>
      <c r="J765" s="12">
        <v>0.0</v>
      </c>
      <c r="K765" s="11" t="s">
        <v>21</v>
      </c>
      <c r="L765" s="7">
        <v>39373.01613425926</v>
      </c>
      <c r="M765" s="13" t="s">
        <v>22</v>
      </c>
      <c r="N765" s="13" t="s">
        <v>669</v>
      </c>
      <c r="O765" s="10" t="str">
        <f>HYPERLINK("https://pbs.twimg.com/profile_images/661220280564486144/ZxUrdRVS_normal.jpg","View")</f>
        <v>View</v>
      </c>
      <c r="P765" s="14"/>
    </row>
    <row r="766">
      <c r="A766" s="7">
        <v>42433.801030092596</v>
      </c>
      <c r="B766" s="8" t="str">
        <f>HYPERLINK("https://twitter.com/jamiaw","@jamiaw")</f>
        <v>@jamiaw</v>
      </c>
      <c r="C766" s="9" t="s">
        <v>324</v>
      </c>
      <c r="D766" s="9" t="s">
        <v>866</v>
      </c>
      <c r="E766" s="10" t="str">
        <f>HYPERLINK("https://twitter.com/jamiaw/status/705924159709302784","705924159709302784")</f>
        <v>705924159709302784</v>
      </c>
      <c r="F766" s="11" t="s">
        <v>26</v>
      </c>
      <c r="G766" s="12">
        <v>11335.0</v>
      </c>
      <c r="H766" s="12">
        <v>7815.0</v>
      </c>
      <c r="I766" s="12">
        <v>2.0</v>
      </c>
      <c r="J766" s="12">
        <v>0.0</v>
      </c>
      <c r="K766" s="11" t="s">
        <v>21</v>
      </c>
      <c r="L766" s="7">
        <v>39642.39741898148</v>
      </c>
      <c r="M766" s="13" t="s">
        <v>325</v>
      </c>
      <c r="N766" s="13" t="s">
        <v>326</v>
      </c>
      <c r="O766" s="10" t="str">
        <f>HYPERLINK("https://pbs.twimg.com/profile_images/701102020061753344/5zH70uem_normal.jpg","View")</f>
        <v>View</v>
      </c>
      <c r="P766" s="14"/>
    </row>
    <row r="767">
      <c r="A767" s="7">
        <v>42433.801203703704</v>
      </c>
      <c r="B767" s="8" t="str">
        <f>HYPERLINK("https://twitter.com/pastpunditry","@pastpunditry")</f>
        <v>@pastpunditry</v>
      </c>
      <c r="C767" s="9" t="s">
        <v>92</v>
      </c>
      <c r="D767" s="9" t="s">
        <v>867</v>
      </c>
      <c r="E767" s="10" t="str">
        <f>HYPERLINK("https://twitter.com/pastpunditry/status/705924222359572481","705924222359572481")</f>
        <v>705924222359572481</v>
      </c>
      <c r="F767" s="11" t="s">
        <v>77</v>
      </c>
      <c r="G767" s="12">
        <v>890.0</v>
      </c>
      <c r="H767" s="12">
        <v>378.0</v>
      </c>
      <c r="I767" s="12">
        <v>0.0</v>
      </c>
      <c r="J767" s="12">
        <v>1.0</v>
      </c>
      <c r="K767" s="11" t="s">
        <v>21</v>
      </c>
      <c r="L767" s="7">
        <v>40283.384351851855</v>
      </c>
      <c r="M767" s="13" t="s">
        <v>94</v>
      </c>
      <c r="N767" s="13" t="s">
        <v>95</v>
      </c>
      <c r="O767" s="10" t="str">
        <f>HYPERLINK("https://pbs.twimg.com/profile_images/704873222802636800/7aFEMOY5_normal.jpg","View")</f>
        <v>View</v>
      </c>
      <c r="P767" s="14"/>
    </row>
    <row r="768">
      <c r="A768" s="7">
        <v>42433.80144675926</v>
      </c>
      <c r="B768" s="8" t="str">
        <f t="shared" ref="B768:B769" si="175">HYPERLINK("https://twitter.com/jamiaw","@jamiaw")</f>
        <v>@jamiaw</v>
      </c>
      <c r="C768" s="9" t="s">
        <v>324</v>
      </c>
      <c r="D768" s="9" t="s">
        <v>868</v>
      </c>
      <c r="E768" s="10" t="str">
        <f>HYPERLINK("https://twitter.com/jamiaw/status/705924309055836160","705924309055836160")</f>
        <v>705924309055836160</v>
      </c>
      <c r="F768" s="11" t="s">
        <v>26</v>
      </c>
      <c r="G768" s="12">
        <v>11335.0</v>
      </c>
      <c r="H768" s="12">
        <v>7815.0</v>
      </c>
      <c r="I768" s="12">
        <v>1.0</v>
      </c>
      <c r="J768" s="12">
        <v>0.0</v>
      </c>
      <c r="K768" s="11" t="s">
        <v>21</v>
      </c>
      <c r="L768" s="7">
        <v>39642.39741898148</v>
      </c>
      <c r="M768" s="13" t="s">
        <v>325</v>
      </c>
      <c r="N768" s="13" t="s">
        <v>326</v>
      </c>
      <c r="O768" s="10" t="str">
        <f t="shared" ref="O768:O769" si="176">HYPERLINK("https://pbs.twimg.com/profile_images/701102020061753344/5zH70uem_normal.jpg","View")</f>
        <v>View</v>
      </c>
      <c r="P768" s="14"/>
    </row>
    <row r="769">
      <c r="A769" s="7">
        <v>42433.801516203705</v>
      </c>
      <c r="B769" s="8" t="str">
        <f t="shared" si="175"/>
        <v>@jamiaw</v>
      </c>
      <c r="C769" s="9" t="s">
        <v>324</v>
      </c>
      <c r="D769" s="9" t="s">
        <v>817</v>
      </c>
      <c r="E769" s="10" t="str">
        <f>HYPERLINK("https://twitter.com/jamiaw/status/705924336029401089","705924336029401089")</f>
        <v>705924336029401089</v>
      </c>
      <c r="F769" s="11" t="s">
        <v>26</v>
      </c>
      <c r="G769" s="12">
        <v>11335.0</v>
      </c>
      <c r="H769" s="12">
        <v>7815.0</v>
      </c>
      <c r="I769" s="12">
        <v>2.0</v>
      </c>
      <c r="J769" s="12">
        <v>0.0</v>
      </c>
      <c r="K769" s="11" t="s">
        <v>21</v>
      </c>
      <c r="L769" s="7">
        <v>39642.39741898148</v>
      </c>
      <c r="M769" s="13" t="s">
        <v>325</v>
      </c>
      <c r="N769" s="13" t="s">
        <v>326</v>
      </c>
      <c r="O769" s="10" t="str">
        <f t="shared" si="176"/>
        <v>View</v>
      </c>
      <c r="P769" s="14"/>
    </row>
    <row r="770">
      <c r="A770" s="7">
        <v>42433.8016550926</v>
      </c>
      <c r="B770" s="8" t="str">
        <f>HYPERLINK("https://twitter.com/aglassofhistory","@aglassofhistory")</f>
        <v>@aglassofhistory</v>
      </c>
      <c r="C770" s="9" t="s">
        <v>53</v>
      </c>
      <c r="D770" s="9" t="s">
        <v>866</v>
      </c>
      <c r="E770" s="10" t="str">
        <f>HYPERLINK("https://twitter.com/aglassofhistory/status/705924385832574978","705924385832574978")</f>
        <v>705924385832574978</v>
      </c>
      <c r="F770" s="11" t="s">
        <v>148</v>
      </c>
      <c r="G770" s="12">
        <v>400.0</v>
      </c>
      <c r="H770" s="12">
        <v>733.0</v>
      </c>
      <c r="I770" s="12">
        <v>2.0</v>
      </c>
      <c r="J770" s="12">
        <v>0.0</v>
      </c>
      <c r="K770" s="11" t="s">
        <v>21</v>
      </c>
      <c r="L770" s="7">
        <v>41697.65762731482</v>
      </c>
      <c r="M770" s="13" t="s">
        <v>55</v>
      </c>
      <c r="N770" s="13" t="s">
        <v>56</v>
      </c>
      <c r="O770" s="10" t="str">
        <f>HYPERLINK("https://pbs.twimg.com/profile_images/611592888816898048/cGMlIfmz_normal.jpg","View")</f>
        <v>View</v>
      </c>
      <c r="P770" s="14"/>
    </row>
    <row r="771">
      <c r="A771" s="7">
        <v>42433.801666666666</v>
      </c>
      <c r="B771" s="8" t="str">
        <f>HYPERLINK("https://twitter.com/historein","@historein")</f>
        <v>@historein</v>
      </c>
      <c r="C771" s="9" t="s">
        <v>172</v>
      </c>
      <c r="D771" s="9" t="s">
        <v>869</v>
      </c>
      <c r="E771" s="10" t="str">
        <f>HYPERLINK("https://twitter.com/historein/status/705924387673763840","705924387673763840")</f>
        <v>705924387673763840</v>
      </c>
      <c r="F771" s="11" t="s">
        <v>31</v>
      </c>
      <c r="G771" s="12">
        <v>641.0</v>
      </c>
      <c r="H771" s="12">
        <v>753.0</v>
      </c>
      <c r="I771" s="12">
        <v>2.0</v>
      </c>
      <c r="J771" s="12">
        <v>6.0</v>
      </c>
      <c r="K771" s="11" t="s">
        <v>21</v>
      </c>
      <c r="L771" s="7">
        <v>40416.68083333333</v>
      </c>
      <c r="M771" s="13" t="s">
        <v>35</v>
      </c>
      <c r="N771" s="13" t="s">
        <v>174</v>
      </c>
      <c r="O771" s="10" t="str">
        <f>HYPERLINK("https://pbs.twimg.com/profile_images/636901483401904128/cxbavncr_normal.jpg","View")</f>
        <v>View</v>
      </c>
      <c r="P771" s="14"/>
    </row>
    <row r="772">
      <c r="A772" s="7">
        <v>42433.801678240736</v>
      </c>
      <c r="B772" s="8" t="str">
        <f>HYPERLINK("https://twitter.com/juliegpeterson","@juliegpeterson")</f>
        <v>@juliegpeterson</v>
      </c>
      <c r="C772" s="9" t="s">
        <v>24</v>
      </c>
      <c r="D772" s="9" t="s">
        <v>870</v>
      </c>
      <c r="E772" s="10" t="str">
        <f>HYPERLINK("https://twitter.com/juliegpeterson/status/705924391801131008","705924391801131008")</f>
        <v>705924391801131008</v>
      </c>
      <c r="F772" s="11" t="s">
        <v>26</v>
      </c>
      <c r="G772" s="12">
        <v>239.0</v>
      </c>
      <c r="H772" s="12">
        <v>775.0</v>
      </c>
      <c r="I772" s="12">
        <v>0.0</v>
      </c>
      <c r="J772" s="12">
        <v>1.0</v>
      </c>
      <c r="K772" s="11" t="s">
        <v>21</v>
      </c>
      <c r="L772" s="7">
        <v>41208.65523148148</v>
      </c>
      <c r="M772" s="13" t="s">
        <v>22</v>
      </c>
      <c r="N772" s="13" t="s">
        <v>27</v>
      </c>
      <c r="O772" s="10" t="str">
        <f>HYPERLINK("https://pbs.twimg.com/profile_images/609765839051452416/GNW0wSt0_normal.jpg","View")</f>
        <v>View</v>
      </c>
      <c r="P772" s="14"/>
    </row>
    <row r="773">
      <c r="A773" s="7">
        <v>42433.80174768518</v>
      </c>
      <c r="B773" s="8" t="str">
        <f>HYPERLINK("https://twitter.com/lizl_genealogy","@lizl_genealogy")</f>
        <v>@lizl_genealogy</v>
      </c>
      <c r="C773" s="9" t="s">
        <v>89</v>
      </c>
      <c r="D773" s="9" t="s">
        <v>871</v>
      </c>
      <c r="E773" s="10" t="str">
        <f>HYPERLINK("https://twitter.com/lizl_genealogy/status/705924416690102272","705924416690102272")</f>
        <v>705924416690102272</v>
      </c>
      <c r="F773" s="11" t="s">
        <v>31</v>
      </c>
      <c r="G773" s="12">
        <v>1547.0</v>
      </c>
      <c r="H773" s="12">
        <v>615.0</v>
      </c>
      <c r="I773" s="12">
        <v>4.0</v>
      </c>
      <c r="J773" s="12">
        <v>0.0</v>
      </c>
      <c r="K773" s="11" t="s">
        <v>21</v>
      </c>
      <c r="L773" s="7">
        <v>40763.52722222223</v>
      </c>
      <c r="M773" s="13" t="s">
        <v>90</v>
      </c>
      <c r="N773" s="13" t="s">
        <v>91</v>
      </c>
      <c r="O773" s="10" t="str">
        <f>HYPERLINK("https://pbs.twimg.com/profile_images/2700002859/1f2d610ddaf1f03ac7d033dd83847b45_normal.jpeg","View")</f>
        <v>View</v>
      </c>
      <c r="P773" s="14"/>
    </row>
    <row r="774">
      <c r="A774" s="7">
        <v>42433.80175925926</v>
      </c>
      <c r="B774" s="8" t="str">
        <f t="shared" ref="B774:B775" si="177">HYPERLINK("https://twitter.com/erfagen","@erfagen")</f>
        <v>@erfagen</v>
      </c>
      <c r="C774" s="9" t="s">
        <v>124</v>
      </c>
      <c r="D774" s="9" t="s">
        <v>872</v>
      </c>
      <c r="E774" s="10" t="str">
        <f>HYPERLINK("https://twitter.com/erfagen/status/705924423249993728","705924423249993728")</f>
        <v>705924423249993728</v>
      </c>
      <c r="F774" s="11" t="s">
        <v>26</v>
      </c>
      <c r="G774" s="12">
        <v>1055.0</v>
      </c>
      <c r="H774" s="12">
        <v>2055.0</v>
      </c>
      <c r="I774" s="12">
        <v>0.0</v>
      </c>
      <c r="J774" s="12">
        <v>1.0</v>
      </c>
      <c r="K774" s="11" t="s">
        <v>21</v>
      </c>
      <c r="L774" s="7">
        <v>40524.93576388889</v>
      </c>
      <c r="M774" s="13" t="s">
        <v>125</v>
      </c>
      <c r="N774" s="13" t="s">
        <v>126</v>
      </c>
      <c r="O774" s="10" t="str">
        <f t="shared" ref="O774:O775" si="178">HYPERLINK("https://pbs.twimg.com/profile_images/638086945722249217/mid_S_BQ_normal.jpg","View")</f>
        <v>View</v>
      </c>
      <c r="P774" s="14"/>
    </row>
    <row r="775">
      <c r="A775" s="7">
        <v>42433.80202546297</v>
      </c>
      <c r="B775" s="8" t="str">
        <f t="shared" si="177"/>
        <v>@erfagen</v>
      </c>
      <c r="C775" s="9" t="s">
        <v>124</v>
      </c>
      <c r="D775" s="9" t="s">
        <v>871</v>
      </c>
      <c r="E775" s="10" t="str">
        <f>HYPERLINK("https://twitter.com/erfagen/status/705924519404412929","705924519404412929")</f>
        <v>705924519404412929</v>
      </c>
      <c r="F775" s="11" t="s">
        <v>26</v>
      </c>
      <c r="G775" s="12">
        <v>1055.0</v>
      </c>
      <c r="H775" s="12">
        <v>2055.0</v>
      </c>
      <c r="I775" s="12">
        <v>4.0</v>
      </c>
      <c r="J775" s="12">
        <v>0.0</v>
      </c>
      <c r="K775" s="11" t="s">
        <v>21</v>
      </c>
      <c r="L775" s="7">
        <v>40524.93576388889</v>
      </c>
      <c r="M775" s="13" t="s">
        <v>125</v>
      </c>
      <c r="N775" s="13" t="s">
        <v>126</v>
      </c>
      <c r="O775" s="10" t="str">
        <f t="shared" si="178"/>
        <v>View</v>
      </c>
      <c r="P775" s="14"/>
    </row>
    <row r="776">
      <c r="A776" s="7">
        <v>42433.80209490741</v>
      </c>
      <c r="B776" s="8" t="str">
        <f>HYPERLINK("https://twitter.com/jamiaw","@jamiaw")</f>
        <v>@jamiaw</v>
      </c>
      <c r="C776" s="9" t="s">
        <v>324</v>
      </c>
      <c r="D776" s="9" t="s">
        <v>784</v>
      </c>
      <c r="E776" s="10" t="str">
        <f>HYPERLINK("https://twitter.com/jamiaw/status/705924546398953473","705924546398953473")</f>
        <v>705924546398953473</v>
      </c>
      <c r="F776" s="11" t="s">
        <v>26</v>
      </c>
      <c r="G776" s="12">
        <v>11335.0</v>
      </c>
      <c r="H776" s="12">
        <v>7815.0</v>
      </c>
      <c r="I776" s="12">
        <v>4.0</v>
      </c>
      <c r="J776" s="12">
        <v>0.0</v>
      </c>
      <c r="K776" s="11" t="s">
        <v>21</v>
      </c>
      <c r="L776" s="7">
        <v>39642.39741898148</v>
      </c>
      <c r="M776" s="13" t="s">
        <v>325</v>
      </c>
      <c r="N776" s="13" t="s">
        <v>326</v>
      </c>
      <c r="O776" s="10" t="str">
        <f>HYPERLINK("https://pbs.twimg.com/profile_images/701102020061753344/5zH70uem_normal.jpg","View")</f>
        <v>View</v>
      </c>
      <c r="P776" s="14"/>
    </row>
    <row r="777">
      <c r="A777" s="7">
        <v>42433.80211805555</v>
      </c>
      <c r="B777" s="8" t="str">
        <f>HYPERLINK("https://twitter.com/aglassofhistory","@aglassofhistory")</f>
        <v>@aglassofhistory</v>
      </c>
      <c r="C777" s="9" t="s">
        <v>53</v>
      </c>
      <c r="D777" s="9" t="s">
        <v>873</v>
      </c>
      <c r="E777" s="10" t="str">
        <f>HYPERLINK("https://twitter.com/aglassofhistory/status/705924550832295936","705924550832295936")</f>
        <v>705924550832295936</v>
      </c>
      <c r="F777" s="11" t="s">
        <v>148</v>
      </c>
      <c r="G777" s="12">
        <v>400.0</v>
      </c>
      <c r="H777" s="12">
        <v>733.0</v>
      </c>
      <c r="I777" s="12">
        <v>2.0</v>
      </c>
      <c r="J777" s="12">
        <v>0.0</v>
      </c>
      <c r="K777" s="11" t="s">
        <v>21</v>
      </c>
      <c r="L777" s="7">
        <v>41697.65762731482</v>
      </c>
      <c r="M777" s="13" t="s">
        <v>55</v>
      </c>
      <c r="N777" s="13" t="s">
        <v>56</v>
      </c>
      <c r="O777" s="10" t="str">
        <f>HYPERLINK("https://pbs.twimg.com/profile_images/611592888816898048/cGMlIfmz_normal.jpg","View")</f>
        <v>View</v>
      </c>
      <c r="P777" s="14"/>
    </row>
    <row r="778">
      <c r="A778" s="7">
        <v>42433.802141203705</v>
      </c>
      <c r="B778" s="8" t="str">
        <f>HYPERLINK("https://twitter.com/JulieThePH","@JulieThePH")</f>
        <v>@JulieThePH</v>
      </c>
      <c r="C778" s="9" t="s">
        <v>211</v>
      </c>
      <c r="D778" s="9" t="s">
        <v>874</v>
      </c>
      <c r="E778" s="10" t="str">
        <f>HYPERLINK("https://twitter.com/JulieThePH/status/705924561242615809","705924561242615809")</f>
        <v>705924561242615809</v>
      </c>
      <c r="F778" s="11" t="s">
        <v>148</v>
      </c>
      <c r="G778" s="12">
        <v>1234.0</v>
      </c>
      <c r="H778" s="12">
        <v>1386.0</v>
      </c>
      <c r="I778" s="12">
        <v>0.0</v>
      </c>
      <c r="J778" s="12">
        <v>1.0</v>
      </c>
      <c r="K778" s="11" t="s">
        <v>21</v>
      </c>
      <c r="L778" s="7">
        <v>40718.66918981481</v>
      </c>
      <c r="M778" s="13" t="s">
        <v>213</v>
      </c>
      <c r="N778" s="13" t="s">
        <v>214</v>
      </c>
      <c r="O778" s="10" t="str">
        <f>HYPERLINK("https://pbs.twimg.com/profile_images/596509974005686273/AqBblwMR_normal.jpg","View")</f>
        <v>View</v>
      </c>
      <c r="P778" s="14"/>
    </row>
    <row r="779">
      <c r="A779" s="7">
        <v>42433.80216435185</v>
      </c>
      <c r="B779" s="8" t="str">
        <f>HYPERLINK("https://twitter.com/jamiaw","@jamiaw")</f>
        <v>@jamiaw</v>
      </c>
      <c r="C779" s="9" t="s">
        <v>324</v>
      </c>
      <c r="D779" s="9" t="s">
        <v>783</v>
      </c>
      <c r="E779" s="10" t="str">
        <f>HYPERLINK("https://twitter.com/jamiaw/status/705924568855097344","705924568855097344")</f>
        <v>705924568855097344</v>
      </c>
      <c r="F779" s="11" t="s">
        <v>26</v>
      </c>
      <c r="G779" s="12">
        <v>11335.0</v>
      </c>
      <c r="H779" s="12">
        <v>7815.0</v>
      </c>
      <c r="I779" s="12">
        <v>4.0</v>
      </c>
      <c r="J779" s="12">
        <v>0.0</v>
      </c>
      <c r="K779" s="11" t="s">
        <v>21</v>
      </c>
      <c r="L779" s="7">
        <v>39642.39741898148</v>
      </c>
      <c r="M779" s="13" t="s">
        <v>325</v>
      </c>
      <c r="N779" s="13" t="s">
        <v>326</v>
      </c>
      <c r="O779" s="10" t="str">
        <f>HYPERLINK("https://pbs.twimg.com/profile_images/701102020061753344/5zH70uem_normal.jpg","View")</f>
        <v>View</v>
      </c>
      <c r="P779" s="14"/>
    </row>
    <row r="780">
      <c r="A780" s="7">
        <v>42433.802199074074</v>
      </c>
      <c r="B780" s="8" t="str">
        <f>HYPERLINK("https://twitter.com/TradeCardCarl","@TradeCardCarl")</f>
        <v>@TradeCardCarl</v>
      </c>
      <c r="C780" s="9" t="s">
        <v>538</v>
      </c>
      <c r="D780" s="9" t="s">
        <v>875</v>
      </c>
      <c r="E780" s="10" t="str">
        <f>HYPERLINK("https://twitter.com/TradeCardCarl/status/705924582201532417","705924582201532417")</f>
        <v>705924582201532417</v>
      </c>
      <c r="F780" s="11" t="s">
        <v>26</v>
      </c>
      <c r="G780" s="12">
        <v>375.0</v>
      </c>
      <c r="H780" s="12">
        <v>270.0</v>
      </c>
      <c r="I780" s="12">
        <v>2.0</v>
      </c>
      <c r="J780" s="12">
        <v>5.0</v>
      </c>
      <c r="K780" s="11" t="s">
        <v>21</v>
      </c>
      <c r="L780" s="7">
        <v>42157.74815972222</v>
      </c>
      <c r="M780" s="13" t="s">
        <v>539</v>
      </c>
      <c r="N780" s="13" t="s">
        <v>540</v>
      </c>
      <c r="O780" s="10" t="str">
        <f>HYPERLINK("https://pbs.twimg.com/profile_images/605887014114754560/z-GNNui4_normal.jpg","View")</f>
        <v>View</v>
      </c>
      <c r="P780" s="14"/>
    </row>
    <row r="781">
      <c r="A781" s="7">
        <v>42433.80222222222</v>
      </c>
      <c r="B781" s="8" t="str">
        <f>HYPERLINK("https://twitter.com/sheishistoric","@sheishistoric")</f>
        <v>@sheishistoric</v>
      </c>
      <c r="C781" s="9" t="s">
        <v>127</v>
      </c>
      <c r="D781" s="9" t="s">
        <v>873</v>
      </c>
      <c r="E781" s="10" t="str">
        <f>HYPERLINK("https://twitter.com/sheishistoric/status/705924589818355712","705924589818355712")</f>
        <v>705924589818355712</v>
      </c>
      <c r="F781" s="11" t="s">
        <v>26</v>
      </c>
      <c r="G781" s="12">
        <v>405.0</v>
      </c>
      <c r="H781" s="12">
        <v>882.0</v>
      </c>
      <c r="I781" s="12">
        <v>2.0</v>
      </c>
      <c r="J781" s="12">
        <v>0.0</v>
      </c>
      <c r="K781" s="11" t="s">
        <v>21</v>
      </c>
      <c r="L781" s="7">
        <v>41529.842094907406</v>
      </c>
      <c r="M781" s="13" t="s">
        <v>129</v>
      </c>
      <c r="N781" s="13" t="s">
        <v>130</v>
      </c>
      <c r="O781" s="10" t="str">
        <f>HYPERLINK("https://pbs.twimg.com/profile_images/650419150620377089/bJxBf---_normal.jpg","View")</f>
        <v>View</v>
      </c>
      <c r="P781" s="14"/>
    </row>
    <row r="782">
      <c r="A782" s="7">
        <v>42433.802245370374</v>
      </c>
      <c r="B782" s="8" t="str">
        <f>HYPERLINK("https://twitter.com/GHAUmass","@GHAUmass")</f>
        <v>@GHAUmass</v>
      </c>
      <c r="C782" s="9" t="s">
        <v>30</v>
      </c>
      <c r="D782" s="9" t="s">
        <v>855</v>
      </c>
      <c r="E782" s="10" t="str">
        <f>HYPERLINK("https://twitter.com/GHAUmass/status/705924598991290368","705924598991290368")</f>
        <v>705924598991290368</v>
      </c>
      <c r="F782" s="11" t="s">
        <v>26</v>
      </c>
      <c r="G782" s="12">
        <v>68.0</v>
      </c>
      <c r="H782" s="12">
        <v>100.0</v>
      </c>
      <c r="I782" s="12">
        <v>3.0</v>
      </c>
      <c r="J782" s="12">
        <v>0.0</v>
      </c>
      <c r="K782" s="11" t="s">
        <v>21</v>
      </c>
      <c r="L782" s="7">
        <v>42152.65289351852</v>
      </c>
      <c r="M782" s="13" t="s">
        <v>22</v>
      </c>
      <c r="N782" s="13" t="s">
        <v>32</v>
      </c>
      <c r="O782" s="10" t="str">
        <f>HYPERLINK("https://pbs.twimg.com/profile_images/604060333590855682/Fk6r1D7d_normal.jpg","View")</f>
        <v>View</v>
      </c>
      <c r="P782" s="14"/>
    </row>
    <row r="783">
      <c r="A783" s="7">
        <v>42433.802256944444</v>
      </c>
      <c r="B783" s="8" t="str">
        <f>HYPERLINK("https://twitter.com/pastpunditry","@pastpunditry")</f>
        <v>@pastpunditry</v>
      </c>
      <c r="C783" s="9" t="s">
        <v>92</v>
      </c>
      <c r="D783" s="9" t="s">
        <v>876</v>
      </c>
      <c r="E783" s="10" t="str">
        <f>HYPERLINK("https://twitter.com/pastpunditry/status/705924604783697920","705924604783697920")</f>
        <v>705924604783697920</v>
      </c>
      <c r="F783" s="11" t="s">
        <v>77</v>
      </c>
      <c r="G783" s="12">
        <v>890.0</v>
      </c>
      <c r="H783" s="12">
        <v>378.0</v>
      </c>
      <c r="I783" s="12">
        <v>2.0</v>
      </c>
      <c r="J783" s="12">
        <v>4.0</v>
      </c>
      <c r="K783" s="11" t="s">
        <v>21</v>
      </c>
      <c r="L783" s="7">
        <v>40283.384351851855</v>
      </c>
      <c r="M783" s="13" t="s">
        <v>94</v>
      </c>
      <c r="N783" s="13" t="s">
        <v>95</v>
      </c>
      <c r="O783" s="10" t="str">
        <f>HYPERLINK("https://pbs.twimg.com/profile_images/704873222802636800/7aFEMOY5_normal.jpg","View")</f>
        <v>View</v>
      </c>
      <c r="P783" s="14"/>
    </row>
    <row r="784">
      <c r="A784" s="7">
        <v>42433.802453703705</v>
      </c>
      <c r="B784" s="8" t="str">
        <f>HYPERLINK("https://twitter.com/aglassofhistory","@aglassofhistory")</f>
        <v>@aglassofhistory</v>
      </c>
      <c r="C784" s="9" t="s">
        <v>53</v>
      </c>
      <c r="D784" s="9" t="s">
        <v>877</v>
      </c>
      <c r="E784" s="10" t="str">
        <f>HYPERLINK("https://twitter.com/aglassofhistory/status/705924674283311104","705924674283311104")</f>
        <v>705924674283311104</v>
      </c>
      <c r="F784" s="11" t="s">
        <v>148</v>
      </c>
      <c r="G784" s="12">
        <v>400.0</v>
      </c>
      <c r="H784" s="12">
        <v>733.0</v>
      </c>
      <c r="I784" s="12">
        <v>2.0</v>
      </c>
      <c r="J784" s="12">
        <v>0.0</v>
      </c>
      <c r="K784" s="11" t="s">
        <v>21</v>
      </c>
      <c r="L784" s="7">
        <v>41697.65762731482</v>
      </c>
      <c r="M784" s="13" t="s">
        <v>55</v>
      </c>
      <c r="N784" s="13" t="s">
        <v>56</v>
      </c>
      <c r="O784" s="10" t="str">
        <f>HYPERLINK("https://pbs.twimg.com/profile_images/611592888816898048/cGMlIfmz_normal.jpg","View")</f>
        <v>View</v>
      </c>
      <c r="P784" s="14"/>
    </row>
    <row r="785">
      <c r="A785" s="7">
        <v>42433.802569444444</v>
      </c>
      <c r="B785" s="8" t="str">
        <f t="shared" ref="B785:B786" si="179">HYPERLINK("https://twitter.com/GHAUmass","@GHAUmass")</f>
        <v>@GHAUmass</v>
      </c>
      <c r="C785" s="9" t="s">
        <v>30</v>
      </c>
      <c r="D785" s="9" t="s">
        <v>878</v>
      </c>
      <c r="E785" s="10" t="str">
        <f>HYPERLINK("https://twitter.com/GHAUmass/status/705924715211321344","705924715211321344")</f>
        <v>705924715211321344</v>
      </c>
      <c r="F785" s="11" t="s">
        <v>26</v>
      </c>
      <c r="G785" s="12">
        <v>68.0</v>
      </c>
      <c r="H785" s="12">
        <v>100.0</v>
      </c>
      <c r="I785" s="12">
        <v>1.0</v>
      </c>
      <c r="J785" s="12">
        <v>0.0</v>
      </c>
      <c r="K785" s="11" t="s">
        <v>21</v>
      </c>
      <c r="L785" s="7">
        <v>42152.65289351852</v>
      </c>
      <c r="M785" s="13" t="s">
        <v>22</v>
      </c>
      <c r="N785" s="13" t="s">
        <v>32</v>
      </c>
      <c r="O785" s="10" t="str">
        <f t="shared" ref="O785:O786" si="180">HYPERLINK("https://pbs.twimg.com/profile_images/604060333590855682/Fk6r1D7d_normal.jpg","View")</f>
        <v>View</v>
      </c>
      <c r="P785" s="14"/>
    </row>
    <row r="786">
      <c r="A786" s="7">
        <v>42433.8028587963</v>
      </c>
      <c r="B786" s="8" t="str">
        <f t="shared" si="179"/>
        <v>@GHAUmass</v>
      </c>
      <c r="C786" s="9" t="s">
        <v>30</v>
      </c>
      <c r="D786" s="9" t="s">
        <v>871</v>
      </c>
      <c r="E786" s="10" t="str">
        <f>HYPERLINK("https://twitter.com/GHAUmass/status/705924820169580544","705924820169580544")</f>
        <v>705924820169580544</v>
      </c>
      <c r="F786" s="11" t="s">
        <v>26</v>
      </c>
      <c r="G786" s="12">
        <v>68.0</v>
      </c>
      <c r="H786" s="12">
        <v>100.0</v>
      </c>
      <c r="I786" s="12">
        <v>4.0</v>
      </c>
      <c r="J786" s="12">
        <v>0.0</v>
      </c>
      <c r="K786" s="11" t="s">
        <v>21</v>
      </c>
      <c r="L786" s="7">
        <v>42152.65289351852</v>
      </c>
      <c r="M786" s="13" t="s">
        <v>22</v>
      </c>
      <c r="N786" s="13" t="s">
        <v>32</v>
      </c>
      <c r="O786" s="10" t="str">
        <f t="shared" si="180"/>
        <v>View</v>
      </c>
      <c r="P786" s="14"/>
    </row>
    <row r="787">
      <c r="A787" s="7">
        <v>42433.80300925926</v>
      </c>
      <c r="B787" s="8" t="str">
        <f>HYPERLINK("https://twitter.com/magmidd","@magmidd")</f>
        <v>@magmidd</v>
      </c>
      <c r="C787" s="9" t="s">
        <v>636</v>
      </c>
      <c r="D787" s="9" t="s">
        <v>879</v>
      </c>
      <c r="E787" s="10" t="str">
        <f>HYPERLINK("https://twitter.com/magmidd/status/705924875035086848","705924875035086848")</f>
        <v>705924875035086848</v>
      </c>
      <c r="F787" s="11" t="s">
        <v>148</v>
      </c>
      <c r="G787" s="12">
        <v>1385.0</v>
      </c>
      <c r="H787" s="12">
        <v>1353.0</v>
      </c>
      <c r="I787" s="12">
        <v>10.0</v>
      </c>
      <c r="J787" s="12">
        <v>11.0</v>
      </c>
      <c r="K787" s="11" t="s">
        <v>21</v>
      </c>
      <c r="L787" s="7">
        <v>41511.60082175926</v>
      </c>
      <c r="M787" s="13" t="s">
        <v>197</v>
      </c>
      <c r="N787" s="13" t="s">
        <v>638</v>
      </c>
      <c r="O787" s="10" t="str">
        <f>HYPERLINK("https://pbs.twimg.com/profile_images/378800000450415007/82bcc7d0cab85e8d5920dbf5ded6715e_normal.jpeg","View")</f>
        <v>View</v>
      </c>
      <c r="P787" s="14"/>
    </row>
    <row r="788">
      <c r="A788" s="7">
        <v>42433.80306712963</v>
      </c>
      <c r="B788" s="8" t="str">
        <f>HYPERLINK("https://twitter.com/JulieThePH","@JulieThePH")</f>
        <v>@JulieThePH</v>
      </c>
      <c r="C788" s="9" t="s">
        <v>211</v>
      </c>
      <c r="D788" s="9" t="s">
        <v>880</v>
      </c>
      <c r="E788" s="10" t="str">
        <f>HYPERLINK("https://twitter.com/JulieThePH/status/705924895042101249","705924895042101249")</f>
        <v>705924895042101249</v>
      </c>
      <c r="F788" s="11" t="s">
        <v>148</v>
      </c>
      <c r="G788" s="12">
        <v>1234.0</v>
      </c>
      <c r="H788" s="12">
        <v>1386.0</v>
      </c>
      <c r="I788" s="12">
        <v>0.0</v>
      </c>
      <c r="J788" s="12">
        <v>1.0</v>
      </c>
      <c r="K788" s="11" t="s">
        <v>21</v>
      </c>
      <c r="L788" s="7">
        <v>40718.66918981481</v>
      </c>
      <c r="M788" s="13" t="s">
        <v>213</v>
      </c>
      <c r="N788" s="13" t="s">
        <v>214</v>
      </c>
      <c r="O788" s="10" t="str">
        <f>HYPERLINK("https://pbs.twimg.com/profile_images/596509974005686273/AqBblwMR_normal.jpg","View")</f>
        <v>View</v>
      </c>
      <c r="P788" s="14"/>
    </row>
    <row r="789">
      <c r="A789" s="7">
        <v>42433.80318287037</v>
      </c>
      <c r="B789" s="8" t="str">
        <f>HYPERLINK("https://twitter.com/lubar","@lubar")</f>
        <v>@lubar</v>
      </c>
      <c r="C789" s="9" t="s">
        <v>881</v>
      </c>
      <c r="D789" s="9" t="s">
        <v>882</v>
      </c>
      <c r="E789" s="10" t="str">
        <f>HYPERLINK("https://twitter.com/lubar/status/705924939568836608","705924939568836608")</f>
        <v>705924939568836608</v>
      </c>
      <c r="F789" s="11" t="s">
        <v>26</v>
      </c>
      <c r="G789" s="12">
        <v>4049.0</v>
      </c>
      <c r="H789" s="12">
        <v>1626.0</v>
      </c>
      <c r="I789" s="12">
        <v>2.0</v>
      </c>
      <c r="J789" s="12">
        <v>0.0</v>
      </c>
      <c r="K789" s="11" t="s">
        <v>21</v>
      </c>
      <c r="L789" s="7">
        <v>39844.30554398148</v>
      </c>
      <c r="M789" s="13" t="s">
        <v>883</v>
      </c>
      <c r="N789" s="13" t="s">
        <v>884</v>
      </c>
      <c r="O789" s="10" t="str">
        <f>HYPERLINK("https://pbs.twimg.com/profile_images/660856832915693568/mhLbwLF6_normal.jpg","View")</f>
        <v>View</v>
      </c>
      <c r="P789" s="14"/>
    </row>
    <row r="790">
      <c r="A790" s="7">
        <v>42433.80336805555</v>
      </c>
      <c r="B790" s="8" t="str">
        <f>HYPERLINK("https://twitter.com/HamiltonTicket8","@HamiltonTicket8")</f>
        <v>@HamiltonTicket8</v>
      </c>
      <c r="C790" s="9" t="s">
        <v>885</v>
      </c>
      <c r="D790" s="9" t="s">
        <v>886</v>
      </c>
      <c r="E790" s="10" t="str">
        <f>HYPERLINK("https://twitter.com/HamiltonTicket8/status/705925004496662528","705925004496662528")</f>
        <v>705925004496662528</v>
      </c>
      <c r="F790" s="16" t="s">
        <v>887</v>
      </c>
      <c r="G790" s="12">
        <v>7.0</v>
      </c>
      <c r="H790" s="12">
        <v>12.0</v>
      </c>
      <c r="I790" s="12">
        <v>0.0</v>
      </c>
      <c r="J790" s="12">
        <v>0.0</v>
      </c>
      <c r="K790" s="11" t="s">
        <v>21</v>
      </c>
      <c r="L790" s="7">
        <v>42432.781747685185</v>
      </c>
      <c r="M790" s="15"/>
      <c r="N790" s="13" t="s">
        <v>888</v>
      </c>
      <c r="O790" s="10" t="str">
        <f>HYPERLINK("https://pbs.twimg.com/profile_images/705556431752208384/HgXy_Q_L_normal.jpg","View")</f>
        <v>View</v>
      </c>
      <c r="P790" s="14"/>
    </row>
    <row r="791">
      <c r="A791" s="7">
        <v>42433.80347222222</v>
      </c>
      <c r="B791" s="8" t="str">
        <f>HYPERLINK("https://twitter.com/juliegpeterson","@juliegpeterson")</f>
        <v>@juliegpeterson</v>
      </c>
      <c r="C791" s="9" t="s">
        <v>24</v>
      </c>
      <c r="D791" s="9" t="s">
        <v>889</v>
      </c>
      <c r="E791" s="10" t="str">
        <f>HYPERLINK("https://twitter.com/juliegpeterson/status/705925043415547905","705925043415547905")</f>
        <v>705925043415547905</v>
      </c>
      <c r="F791" s="11" t="s">
        <v>26</v>
      </c>
      <c r="G791" s="12">
        <v>239.0</v>
      </c>
      <c r="H791" s="12">
        <v>775.0</v>
      </c>
      <c r="I791" s="12">
        <v>0.0</v>
      </c>
      <c r="J791" s="12">
        <v>1.0</v>
      </c>
      <c r="K791" s="11" t="s">
        <v>21</v>
      </c>
      <c r="L791" s="7">
        <v>41208.65523148148</v>
      </c>
      <c r="M791" s="13" t="s">
        <v>22</v>
      </c>
      <c r="N791" s="13" t="s">
        <v>27</v>
      </c>
      <c r="O791" s="10" t="str">
        <f>HYPERLINK("https://pbs.twimg.com/profile_images/609765839051452416/GNW0wSt0_normal.jpg","View")</f>
        <v>View</v>
      </c>
      <c r="P791" s="14"/>
    </row>
    <row r="792">
      <c r="A792" s="7">
        <v>42433.80355324074</v>
      </c>
      <c r="B792" s="8" t="str">
        <f>HYPERLINK("https://twitter.com/pastpunditry","@pastpunditry")</f>
        <v>@pastpunditry</v>
      </c>
      <c r="C792" s="9" t="s">
        <v>92</v>
      </c>
      <c r="D792" s="9" t="s">
        <v>890</v>
      </c>
      <c r="E792" s="10" t="str">
        <f>HYPERLINK("https://twitter.com/pastpunditry/status/705925074075914240","705925074075914240")</f>
        <v>705925074075914240</v>
      </c>
      <c r="F792" s="11" t="s">
        <v>77</v>
      </c>
      <c r="G792" s="12">
        <v>890.0</v>
      </c>
      <c r="H792" s="12">
        <v>378.0</v>
      </c>
      <c r="I792" s="12">
        <v>1.0</v>
      </c>
      <c r="J792" s="12">
        <v>2.0</v>
      </c>
      <c r="K792" s="11" t="s">
        <v>21</v>
      </c>
      <c r="L792" s="7">
        <v>40283.384351851855</v>
      </c>
      <c r="M792" s="13" t="s">
        <v>94</v>
      </c>
      <c r="N792" s="13" t="s">
        <v>95</v>
      </c>
      <c r="O792" s="10" t="str">
        <f>HYPERLINK("https://pbs.twimg.com/profile_images/704873222802636800/7aFEMOY5_normal.jpg","View")</f>
        <v>View</v>
      </c>
      <c r="P792" s="14"/>
    </row>
    <row r="793">
      <c r="A793" s="7">
        <v>42433.80359953704</v>
      </c>
      <c r="B793" s="8" t="str">
        <f>HYPERLINK("https://twitter.com/sheishistoric","@sheishistoric")</f>
        <v>@sheishistoric</v>
      </c>
      <c r="C793" s="9" t="s">
        <v>127</v>
      </c>
      <c r="D793" s="9" t="s">
        <v>891</v>
      </c>
      <c r="E793" s="10" t="str">
        <f>HYPERLINK("https://twitter.com/sheishistoric/status/705925091448717313","705925091448717313")</f>
        <v>705925091448717313</v>
      </c>
      <c r="F793" s="11" t="s">
        <v>26</v>
      </c>
      <c r="G793" s="12">
        <v>405.0</v>
      </c>
      <c r="H793" s="12">
        <v>882.0</v>
      </c>
      <c r="I793" s="12">
        <v>0.0</v>
      </c>
      <c r="J793" s="12">
        <v>1.0</v>
      </c>
      <c r="K793" s="11" t="s">
        <v>21</v>
      </c>
      <c r="L793" s="7">
        <v>41529.842094907406</v>
      </c>
      <c r="M793" s="13" t="s">
        <v>129</v>
      </c>
      <c r="N793" s="13" t="s">
        <v>130</v>
      </c>
      <c r="O793" s="10" t="str">
        <f>HYPERLINK("https://pbs.twimg.com/profile_images/650419150620377089/bJxBf---_normal.jpg","View")</f>
        <v>View</v>
      </c>
      <c r="P793" s="14"/>
    </row>
    <row r="794">
      <c r="A794" s="7">
        <v>42433.803761574076</v>
      </c>
      <c r="B794" s="8" t="str">
        <f>HYPERLINK("https://twitter.com/erfagen","@erfagen")</f>
        <v>@erfagen</v>
      </c>
      <c r="C794" s="9" t="s">
        <v>124</v>
      </c>
      <c r="D794" s="9" t="s">
        <v>892</v>
      </c>
      <c r="E794" s="10" t="str">
        <f>HYPERLINK("https://twitter.com/erfagen/status/705925149816659968","705925149816659968")</f>
        <v>705925149816659968</v>
      </c>
      <c r="F794" s="11" t="s">
        <v>26</v>
      </c>
      <c r="G794" s="12">
        <v>1055.0</v>
      </c>
      <c r="H794" s="12">
        <v>2055.0</v>
      </c>
      <c r="I794" s="12">
        <v>1.0</v>
      </c>
      <c r="J794" s="12">
        <v>1.0</v>
      </c>
      <c r="K794" s="11" t="s">
        <v>21</v>
      </c>
      <c r="L794" s="7">
        <v>40524.93576388889</v>
      </c>
      <c r="M794" s="13" t="s">
        <v>125</v>
      </c>
      <c r="N794" s="13" t="s">
        <v>126</v>
      </c>
      <c r="O794" s="10" t="str">
        <f>HYPERLINK("https://pbs.twimg.com/profile_images/638086945722249217/mid_S_BQ_normal.jpg","View")</f>
        <v>View</v>
      </c>
      <c r="P794" s="14"/>
    </row>
    <row r="795">
      <c r="A795" s="7">
        <v>42433.8037962963</v>
      </c>
      <c r="B795" s="8" t="str">
        <f>HYPERLINK("https://twitter.com/mackenzian","@mackenzian")</f>
        <v>@mackenzian</v>
      </c>
      <c r="C795" s="9" t="s">
        <v>893</v>
      </c>
      <c r="D795" s="9" t="s">
        <v>832</v>
      </c>
      <c r="E795" s="10" t="str">
        <f>HYPERLINK("https://twitter.com/mackenzian/status/705925159702679553","705925159702679553")</f>
        <v>705925159702679553</v>
      </c>
      <c r="F795" s="11" t="s">
        <v>148</v>
      </c>
      <c r="G795" s="12">
        <v>1397.0</v>
      </c>
      <c r="H795" s="12">
        <v>1233.0</v>
      </c>
      <c r="I795" s="12">
        <v>8.0</v>
      </c>
      <c r="J795" s="12">
        <v>0.0</v>
      </c>
      <c r="K795" s="11" t="s">
        <v>21</v>
      </c>
      <c r="L795" s="7">
        <v>40487.56260416667</v>
      </c>
      <c r="M795" s="13" t="s">
        <v>894</v>
      </c>
      <c r="N795" s="13" t="s">
        <v>895</v>
      </c>
      <c r="O795" s="10" t="str">
        <f>HYPERLINK("https://pbs.twimg.com/profile_images/1309296249/FYM_JpgDownload_HiRes_normal.jpg","View")</f>
        <v>View</v>
      </c>
      <c r="P795" s="14"/>
    </row>
    <row r="796">
      <c r="A796" s="7">
        <v>42433.80385416667</v>
      </c>
      <c r="B796" s="8" t="str">
        <f>HYPERLINK("https://twitter.com/lizl_genealogy","@lizl_genealogy")</f>
        <v>@lizl_genealogy</v>
      </c>
      <c r="C796" s="9" t="s">
        <v>89</v>
      </c>
      <c r="D796" s="9" t="s">
        <v>896</v>
      </c>
      <c r="E796" s="10" t="str">
        <f>HYPERLINK("https://twitter.com/lizl_genealogy/status/705925183438241793","705925183438241793")</f>
        <v>705925183438241793</v>
      </c>
      <c r="F796" s="11" t="s">
        <v>31</v>
      </c>
      <c r="G796" s="12">
        <v>1547.0</v>
      </c>
      <c r="H796" s="12">
        <v>615.0</v>
      </c>
      <c r="I796" s="12">
        <v>10.0</v>
      </c>
      <c r="J796" s="12">
        <v>0.0</v>
      </c>
      <c r="K796" s="11" t="s">
        <v>21</v>
      </c>
      <c r="L796" s="7">
        <v>40763.52722222223</v>
      </c>
      <c r="M796" s="13" t="s">
        <v>90</v>
      </c>
      <c r="N796" s="13" t="s">
        <v>91</v>
      </c>
      <c r="O796" s="10" t="str">
        <f>HYPERLINK("https://pbs.twimg.com/profile_images/2700002859/1f2d610ddaf1f03ac7d033dd83847b45_normal.jpeg","View")</f>
        <v>View</v>
      </c>
      <c r="P796" s="14"/>
    </row>
    <row r="797">
      <c r="A797" s="7">
        <v>42433.803935185184</v>
      </c>
      <c r="B797" s="8" t="str">
        <f>HYPERLINK("https://twitter.com/mackenzian","@mackenzian")</f>
        <v>@mackenzian</v>
      </c>
      <c r="C797" s="9" t="s">
        <v>893</v>
      </c>
      <c r="D797" s="9" t="s">
        <v>841</v>
      </c>
      <c r="E797" s="10" t="str">
        <f>HYPERLINK("https://twitter.com/mackenzian/status/705925211317772288","705925211317772288")</f>
        <v>705925211317772288</v>
      </c>
      <c r="F797" s="11" t="s">
        <v>148</v>
      </c>
      <c r="G797" s="12">
        <v>1397.0</v>
      </c>
      <c r="H797" s="12">
        <v>1233.0</v>
      </c>
      <c r="I797" s="12">
        <v>2.0</v>
      </c>
      <c r="J797" s="12">
        <v>0.0</v>
      </c>
      <c r="K797" s="11" t="s">
        <v>21</v>
      </c>
      <c r="L797" s="7">
        <v>40487.56260416667</v>
      </c>
      <c r="M797" s="13" t="s">
        <v>894</v>
      </c>
      <c r="N797" s="13" t="s">
        <v>895</v>
      </c>
      <c r="O797" s="10" t="str">
        <f>HYPERLINK("https://pbs.twimg.com/profile_images/1309296249/FYM_JpgDownload_HiRes_normal.jpg","View")</f>
        <v>View</v>
      </c>
      <c r="P797" s="14"/>
    </row>
    <row r="798">
      <c r="A798" s="7">
        <v>42433.80431712963</v>
      </c>
      <c r="B798" s="8" t="str">
        <f>HYPERLINK("https://twitter.com/juliegpeterson","@juliegpeterson")</f>
        <v>@juliegpeterson</v>
      </c>
      <c r="C798" s="9" t="s">
        <v>24</v>
      </c>
      <c r="D798" s="9" t="s">
        <v>897</v>
      </c>
      <c r="E798" s="10" t="str">
        <f>HYPERLINK("https://twitter.com/juliegpeterson/status/705925348068888576","705925348068888576")</f>
        <v>705925348068888576</v>
      </c>
      <c r="F798" s="11" t="s">
        <v>26</v>
      </c>
      <c r="G798" s="12">
        <v>239.0</v>
      </c>
      <c r="H798" s="12">
        <v>775.0</v>
      </c>
      <c r="I798" s="12">
        <v>2.0</v>
      </c>
      <c r="J798" s="12">
        <v>1.0</v>
      </c>
      <c r="K798" s="11" t="s">
        <v>21</v>
      </c>
      <c r="L798" s="7">
        <v>41208.65523148148</v>
      </c>
      <c r="M798" s="13" t="s">
        <v>22</v>
      </c>
      <c r="N798" s="13" t="s">
        <v>27</v>
      </c>
      <c r="O798" s="10" t="str">
        <f>HYPERLINK("https://pbs.twimg.com/profile_images/609765839051452416/GNW0wSt0_normal.jpg","View")</f>
        <v>View</v>
      </c>
      <c r="P798" s="14"/>
    </row>
    <row r="799">
      <c r="A799" s="7">
        <v>42433.804375</v>
      </c>
      <c r="B799" s="8" t="str">
        <f>HYPERLINK("https://twitter.com/pastpunditry","@pastpunditry")</f>
        <v>@pastpunditry</v>
      </c>
      <c r="C799" s="9" t="s">
        <v>92</v>
      </c>
      <c r="D799" s="9" t="s">
        <v>898</v>
      </c>
      <c r="E799" s="10" t="str">
        <f>HYPERLINK("https://twitter.com/pastpunditry/status/705925369199730688","705925369199730688")</f>
        <v>705925369199730688</v>
      </c>
      <c r="F799" s="11" t="s">
        <v>77</v>
      </c>
      <c r="G799" s="12">
        <v>890.0</v>
      </c>
      <c r="H799" s="12">
        <v>378.0</v>
      </c>
      <c r="I799" s="12">
        <v>1.0</v>
      </c>
      <c r="J799" s="12">
        <v>2.0</v>
      </c>
      <c r="K799" s="11" t="s">
        <v>21</v>
      </c>
      <c r="L799" s="7">
        <v>40283.384351851855</v>
      </c>
      <c r="M799" s="13" t="s">
        <v>94</v>
      </c>
      <c r="N799" s="13" t="s">
        <v>95</v>
      </c>
      <c r="O799" s="10" t="str">
        <f>HYPERLINK("https://pbs.twimg.com/profile_images/704873222802636800/7aFEMOY5_normal.jpg","View")</f>
        <v>View</v>
      </c>
      <c r="P799" s="14"/>
    </row>
    <row r="800">
      <c r="A800" s="7">
        <v>42433.80440972222</v>
      </c>
      <c r="B800" s="8" t="str">
        <f>HYPERLINK("https://twitter.com/rebekkahrubin","@rebekkahrubin")</f>
        <v>@rebekkahrubin</v>
      </c>
      <c r="C800" s="9" t="s">
        <v>141</v>
      </c>
      <c r="D800" s="9" t="s">
        <v>899</v>
      </c>
      <c r="E800" s="10" t="str">
        <f>HYPERLINK("https://twitter.com/rebekkahrubin/status/705925381833015297","705925381833015297")</f>
        <v>705925381833015297</v>
      </c>
      <c r="F800" s="11" t="s">
        <v>31</v>
      </c>
      <c r="G800" s="12">
        <v>492.0</v>
      </c>
      <c r="H800" s="12">
        <v>1224.0</v>
      </c>
      <c r="I800" s="12">
        <v>1.0</v>
      </c>
      <c r="J800" s="12">
        <v>1.0</v>
      </c>
      <c r="K800" s="11" t="s">
        <v>21</v>
      </c>
      <c r="L800" s="7">
        <v>40411.521527777775</v>
      </c>
      <c r="M800" s="13" t="s">
        <v>143</v>
      </c>
      <c r="N800" s="13" t="s">
        <v>144</v>
      </c>
      <c r="O800" s="10" t="str">
        <f>HYPERLINK("https://pbs.twimg.com/profile_images/700317732588408832/Ym_-neUi_normal.jpg","View")</f>
        <v>View</v>
      </c>
      <c r="P800" s="14"/>
    </row>
    <row r="801">
      <c r="A801" s="7">
        <v>42433.804444444446</v>
      </c>
      <c r="B801" s="8" t="str">
        <f>HYPERLINK("https://twitter.com/jamiaw","@jamiaw")</f>
        <v>@jamiaw</v>
      </c>
      <c r="C801" s="9" t="s">
        <v>324</v>
      </c>
      <c r="D801" s="9" t="s">
        <v>900</v>
      </c>
      <c r="E801" s="10" t="str">
        <f>HYPERLINK("https://twitter.com/jamiaw/status/705925397515526144","705925397515526144")</f>
        <v>705925397515526144</v>
      </c>
      <c r="F801" s="11" t="s">
        <v>26</v>
      </c>
      <c r="G801" s="12">
        <v>11336.0</v>
      </c>
      <c r="H801" s="12">
        <v>7815.0</v>
      </c>
      <c r="I801" s="12">
        <v>1.0</v>
      </c>
      <c r="J801" s="12">
        <v>0.0</v>
      </c>
      <c r="K801" s="11" t="s">
        <v>21</v>
      </c>
      <c r="L801" s="7">
        <v>39642.39741898148</v>
      </c>
      <c r="M801" s="13" t="s">
        <v>325</v>
      </c>
      <c r="N801" s="13" t="s">
        <v>326</v>
      </c>
      <c r="O801" s="10" t="str">
        <f>HYPERLINK("https://pbs.twimg.com/profile_images/701102020061753344/5zH70uem_normal.jpg","View")</f>
        <v>View</v>
      </c>
      <c r="P801" s="14"/>
    </row>
    <row r="802">
      <c r="A802" s="7">
        <v>42433.804606481484</v>
      </c>
      <c r="B802" s="8" t="str">
        <f>HYPERLINK("https://twitter.com/pastpunditry","@pastpunditry")</f>
        <v>@pastpunditry</v>
      </c>
      <c r="C802" s="9" t="s">
        <v>92</v>
      </c>
      <c r="D802" s="9" t="s">
        <v>901</v>
      </c>
      <c r="E802" s="10" t="str">
        <f>HYPERLINK("https://twitter.com/pastpunditry/status/705925456164491266","705925456164491266")</f>
        <v>705925456164491266</v>
      </c>
      <c r="F802" s="11" t="s">
        <v>77</v>
      </c>
      <c r="G802" s="12">
        <v>890.0</v>
      </c>
      <c r="H802" s="12">
        <v>378.0</v>
      </c>
      <c r="I802" s="12">
        <v>0.0</v>
      </c>
      <c r="J802" s="12">
        <v>1.0</v>
      </c>
      <c r="K802" s="11" t="s">
        <v>21</v>
      </c>
      <c r="L802" s="7">
        <v>40283.384351851855</v>
      </c>
      <c r="M802" s="13" t="s">
        <v>94</v>
      </c>
      <c r="N802" s="13" t="s">
        <v>95</v>
      </c>
      <c r="O802" s="10" t="str">
        <f>HYPERLINK("https://pbs.twimg.com/profile_images/704873222802636800/7aFEMOY5_normal.jpg","View")</f>
        <v>View</v>
      </c>
      <c r="P802" s="14"/>
    </row>
    <row r="803">
      <c r="A803" s="7">
        <v>42433.80464120371</v>
      </c>
      <c r="B803" s="8" t="str">
        <f t="shared" ref="B803:B804" si="181">HYPERLINK("https://twitter.com/GHAUmass","@GHAUmass")</f>
        <v>@GHAUmass</v>
      </c>
      <c r="C803" s="9" t="s">
        <v>30</v>
      </c>
      <c r="D803" s="9" t="s">
        <v>902</v>
      </c>
      <c r="E803" s="10" t="str">
        <f>HYPERLINK("https://twitter.com/GHAUmass/status/705925466604044288","705925466604044288")</f>
        <v>705925466604044288</v>
      </c>
      <c r="F803" s="11" t="s">
        <v>26</v>
      </c>
      <c r="G803" s="12">
        <v>68.0</v>
      </c>
      <c r="H803" s="12">
        <v>100.0</v>
      </c>
      <c r="I803" s="12">
        <v>1.0</v>
      </c>
      <c r="J803" s="12">
        <v>0.0</v>
      </c>
      <c r="K803" s="11" t="s">
        <v>21</v>
      </c>
      <c r="L803" s="7">
        <v>42152.65289351852</v>
      </c>
      <c r="M803" s="13" t="s">
        <v>22</v>
      </c>
      <c r="N803" s="13" t="s">
        <v>32</v>
      </c>
      <c r="O803" s="10" t="str">
        <f t="shared" ref="O803:O804" si="182">HYPERLINK("https://pbs.twimg.com/profile_images/604060333590855682/Fk6r1D7d_normal.jpg","View")</f>
        <v>View</v>
      </c>
      <c r="P803" s="14"/>
    </row>
    <row r="804">
      <c r="A804" s="7">
        <v>42433.80472222222</v>
      </c>
      <c r="B804" s="8" t="str">
        <f t="shared" si="181"/>
        <v>@GHAUmass</v>
      </c>
      <c r="C804" s="9" t="s">
        <v>30</v>
      </c>
      <c r="D804" s="9" t="s">
        <v>903</v>
      </c>
      <c r="E804" s="10" t="str">
        <f>HYPERLINK("https://twitter.com/GHAUmass/status/705925495611920384","705925495611920384")</f>
        <v>705925495611920384</v>
      </c>
      <c r="F804" s="11" t="s">
        <v>26</v>
      </c>
      <c r="G804" s="12">
        <v>68.0</v>
      </c>
      <c r="H804" s="12">
        <v>100.0</v>
      </c>
      <c r="I804" s="12">
        <v>2.0</v>
      </c>
      <c r="J804" s="12">
        <v>0.0</v>
      </c>
      <c r="K804" s="11" t="s">
        <v>21</v>
      </c>
      <c r="L804" s="7">
        <v>42152.65289351852</v>
      </c>
      <c r="M804" s="13" t="s">
        <v>22</v>
      </c>
      <c r="N804" s="13" t="s">
        <v>32</v>
      </c>
      <c r="O804" s="10" t="str">
        <f t="shared" si="182"/>
        <v>View</v>
      </c>
      <c r="P804" s="14"/>
    </row>
    <row r="805">
      <c r="A805" s="7">
        <v>42433.80482638889</v>
      </c>
      <c r="B805" s="8" t="str">
        <f>HYPERLINK("https://twitter.com/erfagen","@erfagen")</f>
        <v>@erfagen</v>
      </c>
      <c r="C805" s="9" t="s">
        <v>124</v>
      </c>
      <c r="D805" s="9" t="s">
        <v>904</v>
      </c>
      <c r="E805" s="10" t="str">
        <f>HYPERLINK("https://twitter.com/erfagen/status/705925535139033092","705925535139033092")</f>
        <v>705925535139033092</v>
      </c>
      <c r="F805" s="11" t="s">
        <v>26</v>
      </c>
      <c r="G805" s="12">
        <v>1055.0</v>
      </c>
      <c r="H805" s="12">
        <v>2055.0</v>
      </c>
      <c r="I805" s="12">
        <v>2.0</v>
      </c>
      <c r="J805" s="12">
        <v>2.0</v>
      </c>
      <c r="K805" s="11" t="s">
        <v>21</v>
      </c>
      <c r="L805" s="7">
        <v>40524.93576388889</v>
      </c>
      <c r="M805" s="13" t="s">
        <v>125</v>
      </c>
      <c r="N805" s="13" t="s">
        <v>126</v>
      </c>
      <c r="O805" s="10" t="str">
        <f>HYPERLINK("https://pbs.twimg.com/profile_images/638086945722249217/mid_S_BQ_normal.jpg","View")</f>
        <v>View</v>
      </c>
      <c r="P805" s="14"/>
    </row>
    <row r="806">
      <c r="A806" s="7">
        <v>42433.80489583334</v>
      </c>
      <c r="B806" s="8" t="str">
        <f t="shared" ref="B806:B807" si="183">HYPERLINK("https://twitter.com/jamiaw","@jamiaw")</f>
        <v>@jamiaw</v>
      </c>
      <c r="C806" s="9" t="s">
        <v>324</v>
      </c>
      <c r="D806" s="9" t="s">
        <v>905</v>
      </c>
      <c r="E806" s="10" t="str">
        <f>HYPERLINK("https://twitter.com/jamiaw/status/705925559335972864","705925559335972864")</f>
        <v>705925559335972864</v>
      </c>
      <c r="F806" s="11" t="s">
        <v>26</v>
      </c>
      <c r="G806" s="12">
        <v>11336.0</v>
      </c>
      <c r="H806" s="12">
        <v>7815.0</v>
      </c>
      <c r="I806" s="12">
        <v>2.0</v>
      </c>
      <c r="J806" s="12">
        <v>1.0</v>
      </c>
      <c r="K806" s="11" t="s">
        <v>21</v>
      </c>
      <c r="L806" s="7">
        <v>39642.39741898148</v>
      </c>
      <c r="M806" s="13" t="s">
        <v>325</v>
      </c>
      <c r="N806" s="13" t="s">
        <v>326</v>
      </c>
      <c r="O806" s="10" t="str">
        <f t="shared" ref="O806:O807" si="184">HYPERLINK("https://pbs.twimg.com/profile_images/701102020061753344/5zH70uem_normal.jpg","View")</f>
        <v>View</v>
      </c>
      <c r="P806" s="14"/>
    </row>
    <row r="807">
      <c r="A807" s="7">
        <v>42433.804976851854</v>
      </c>
      <c r="B807" s="8" t="str">
        <f t="shared" si="183"/>
        <v>@jamiaw</v>
      </c>
      <c r="C807" s="9" t="s">
        <v>324</v>
      </c>
      <c r="D807" s="9" t="s">
        <v>877</v>
      </c>
      <c r="E807" s="10" t="str">
        <f>HYPERLINK("https://twitter.com/jamiaw/status/705925588662538240","705925588662538240")</f>
        <v>705925588662538240</v>
      </c>
      <c r="F807" s="11" t="s">
        <v>26</v>
      </c>
      <c r="G807" s="12">
        <v>11336.0</v>
      </c>
      <c r="H807" s="12">
        <v>7815.0</v>
      </c>
      <c r="I807" s="12">
        <v>2.0</v>
      </c>
      <c r="J807" s="12">
        <v>0.0</v>
      </c>
      <c r="K807" s="11" t="s">
        <v>21</v>
      </c>
      <c r="L807" s="7">
        <v>39642.39741898148</v>
      </c>
      <c r="M807" s="13" t="s">
        <v>325</v>
      </c>
      <c r="N807" s="13" t="s">
        <v>326</v>
      </c>
      <c r="O807" s="10" t="str">
        <f t="shared" si="184"/>
        <v>View</v>
      </c>
      <c r="P807" s="14"/>
    </row>
    <row r="808">
      <c r="A808" s="7">
        <v>42433.805</v>
      </c>
      <c r="B808" s="8" t="str">
        <f>HYPERLINK("https://twitter.com/rebekkahrubin","@rebekkahrubin")</f>
        <v>@rebekkahrubin</v>
      </c>
      <c r="C808" s="9" t="s">
        <v>141</v>
      </c>
      <c r="D808" s="9" t="s">
        <v>906</v>
      </c>
      <c r="E808" s="10" t="str">
        <f>HYPERLINK("https://twitter.com/rebekkahrubin/status/705925597961265156","705925597961265156")</f>
        <v>705925597961265156</v>
      </c>
      <c r="F808" s="11" t="s">
        <v>31</v>
      </c>
      <c r="G808" s="12">
        <v>492.0</v>
      </c>
      <c r="H808" s="12">
        <v>1224.0</v>
      </c>
      <c r="I808" s="12">
        <v>2.0</v>
      </c>
      <c r="J808" s="12">
        <v>3.0</v>
      </c>
      <c r="K808" s="11" t="s">
        <v>21</v>
      </c>
      <c r="L808" s="7">
        <v>40411.521527777775</v>
      </c>
      <c r="M808" s="13" t="s">
        <v>143</v>
      </c>
      <c r="N808" s="13" t="s">
        <v>144</v>
      </c>
      <c r="O808" s="10" t="str">
        <f>HYPERLINK("https://pbs.twimg.com/profile_images/700317732588408832/Ym_-neUi_normal.jpg","View")</f>
        <v>View</v>
      </c>
      <c r="P808" s="14"/>
    </row>
    <row r="809">
      <c r="A809" s="7">
        <v>42433.80509259259</v>
      </c>
      <c r="B809" s="8" t="str">
        <f t="shared" ref="B809:B811" si="185">HYPERLINK("https://twitter.com/pastpunditry","@pastpunditry")</f>
        <v>@pastpunditry</v>
      </c>
      <c r="C809" s="9" t="s">
        <v>92</v>
      </c>
      <c r="D809" s="9" t="s">
        <v>907</v>
      </c>
      <c r="E809" s="10" t="str">
        <f>HYPERLINK("https://twitter.com/pastpunditry/status/705925632186826753","705925632186826753")</f>
        <v>705925632186826753</v>
      </c>
      <c r="F809" s="11" t="s">
        <v>77</v>
      </c>
      <c r="G809" s="12">
        <v>890.0</v>
      </c>
      <c r="H809" s="12">
        <v>378.0</v>
      </c>
      <c r="I809" s="12">
        <v>0.0</v>
      </c>
      <c r="J809" s="12">
        <v>1.0</v>
      </c>
      <c r="K809" s="11" t="s">
        <v>21</v>
      </c>
      <c r="L809" s="7">
        <v>40283.384351851855</v>
      </c>
      <c r="M809" s="13" t="s">
        <v>94</v>
      </c>
      <c r="N809" s="13" t="s">
        <v>95</v>
      </c>
      <c r="O809" s="10" t="str">
        <f t="shared" ref="O809:O811" si="186">HYPERLINK("https://pbs.twimg.com/profile_images/704873222802636800/7aFEMOY5_normal.jpg","View")</f>
        <v>View</v>
      </c>
      <c r="P809" s="14"/>
    </row>
    <row r="810">
      <c r="A810" s="7">
        <v>42433.80515046296</v>
      </c>
      <c r="B810" s="8" t="str">
        <f t="shared" si="185"/>
        <v>@pastpunditry</v>
      </c>
      <c r="C810" s="9" t="s">
        <v>92</v>
      </c>
      <c r="D810" s="9" t="s">
        <v>908</v>
      </c>
      <c r="E810" s="10" t="str">
        <f>HYPERLINK("https://twitter.com/pastpunditry/status/705925650629025793","705925650629025793")</f>
        <v>705925650629025793</v>
      </c>
      <c r="F810" s="11" t="s">
        <v>77</v>
      </c>
      <c r="G810" s="12">
        <v>890.0</v>
      </c>
      <c r="H810" s="12">
        <v>378.0</v>
      </c>
      <c r="I810" s="12">
        <v>2.0</v>
      </c>
      <c r="J810" s="12">
        <v>0.0</v>
      </c>
      <c r="K810" s="11" t="s">
        <v>21</v>
      </c>
      <c r="L810" s="7">
        <v>40283.384351851855</v>
      </c>
      <c r="M810" s="13" t="s">
        <v>94</v>
      </c>
      <c r="N810" s="13" t="s">
        <v>95</v>
      </c>
      <c r="O810" s="10" t="str">
        <f t="shared" si="186"/>
        <v>View</v>
      </c>
      <c r="P810" s="14"/>
    </row>
    <row r="811">
      <c r="A811" s="7">
        <v>42433.80521990741</v>
      </c>
      <c r="B811" s="8" t="str">
        <f t="shared" si="185"/>
        <v>@pastpunditry</v>
      </c>
      <c r="C811" s="9" t="s">
        <v>92</v>
      </c>
      <c r="D811" s="9" t="s">
        <v>909</v>
      </c>
      <c r="E811" s="10" t="str">
        <f>HYPERLINK("https://twitter.com/pastpunditry/status/705925675866320896","705925675866320896")</f>
        <v>705925675866320896</v>
      </c>
      <c r="F811" s="11" t="s">
        <v>77</v>
      </c>
      <c r="G811" s="12">
        <v>890.0</v>
      </c>
      <c r="H811" s="12">
        <v>378.0</v>
      </c>
      <c r="I811" s="12">
        <v>2.0</v>
      </c>
      <c r="J811" s="12">
        <v>0.0</v>
      </c>
      <c r="K811" s="11" t="s">
        <v>21</v>
      </c>
      <c r="L811" s="7">
        <v>40283.384351851855</v>
      </c>
      <c r="M811" s="13" t="s">
        <v>94</v>
      </c>
      <c r="N811" s="13" t="s">
        <v>95</v>
      </c>
      <c r="O811" s="10" t="str">
        <f t="shared" si="186"/>
        <v>View</v>
      </c>
      <c r="P811" s="14"/>
    </row>
    <row r="812">
      <c r="A812" s="7">
        <v>42433.80532407407</v>
      </c>
      <c r="B812" s="8" t="str">
        <f>HYPERLINK("https://twitter.com/sheishistoric","@sheishistoric")</f>
        <v>@sheishistoric</v>
      </c>
      <c r="C812" s="9" t="s">
        <v>127</v>
      </c>
      <c r="D812" s="9" t="s">
        <v>910</v>
      </c>
      <c r="E812" s="10" t="str">
        <f>HYPERLINK("https://twitter.com/sheishistoric/status/705925716169375744","705925716169375744")</f>
        <v>705925716169375744</v>
      </c>
      <c r="F812" s="11" t="s">
        <v>26</v>
      </c>
      <c r="G812" s="12">
        <v>405.0</v>
      </c>
      <c r="H812" s="12">
        <v>882.0</v>
      </c>
      <c r="I812" s="12">
        <v>1.0</v>
      </c>
      <c r="J812" s="12">
        <v>2.0</v>
      </c>
      <c r="K812" s="11" t="s">
        <v>21</v>
      </c>
      <c r="L812" s="7">
        <v>41529.842094907406</v>
      </c>
      <c r="M812" s="13" t="s">
        <v>129</v>
      </c>
      <c r="N812" s="13" t="s">
        <v>130</v>
      </c>
      <c r="O812" s="10" t="str">
        <f>HYPERLINK("https://pbs.twimg.com/profile_images/650419150620377089/bJxBf---_normal.jpg","View")</f>
        <v>View</v>
      </c>
      <c r="P812" s="14"/>
    </row>
    <row r="813">
      <c r="A813" s="7">
        <v>42433.80535879629</v>
      </c>
      <c r="B813" s="8" t="str">
        <f>HYPERLINK("https://twitter.com/juliegpeterson","@juliegpeterson")</f>
        <v>@juliegpeterson</v>
      </c>
      <c r="C813" s="9" t="s">
        <v>24</v>
      </c>
      <c r="D813" s="9" t="s">
        <v>911</v>
      </c>
      <c r="E813" s="10" t="str">
        <f>HYPERLINK("https://twitter.com/juliegpeterson/status/705925725572829184","705925725572829184")</f>
        <v>705925725572829184</v>
      </c>
      <c r="F813" s="11" t="s">
        <v>26</v>
      </c>
      <c r="G813" s="12">
        <v>239.0</v>
      </c>
      <c r="H813" s="12">
        <v>775.0</v>
      </c>
      <c r="I813" s="12">
        <v>2.0</v>
      </c>
      <c r="J813" s="12">
        <v>3.0</v>
      </c>
      <c r="K813" s="11" t="s">
        <v>21</v>
      </c>
      <c r="L813" s="7">
        <v>41208.65523148148</v>
      </c>
      <c r="M813" s="13" t="s">
        <v>22</v>
      </c>
      <c r="N813" s="13" t="s">
        <v>27</v>
      </c>
      <c r="O813" s="10" t="str">
        <f>HYPERLINK("https://pbs.twimg.com/profile_images/609765839051452416/GNW0wSt0_normal.jpg","View")</f>
        <v>View</v>
      </c>
      <c r="P813" s="14"/>
    </row>
    <row r="814">
      <c r="A814" s="7">
        <v>42433.80540509259</v>
      </c>
      <c r="B814" s="8" t="str">
        <f>HYPERLINK("https://twitter.com/JulieThePH","@JulieThePH")</f>
        <v>@JulieThePH</v>
      </c>
      <c r="C814" s="9" t="s">
        <v>211</v>
      </c>
      <c r="D814" s="9" t="s">
        <v>912</v>
      </c>
      <c r="E814" s="10" t="str">
        <f>HYPERLINK("https://twitter.com/JulieThePH/status/705925745667923968","705925745667923968")</f>
        <v>705925745667923968</v>
      </c>
      <c r="F814" s="11" t="s">
        <v>148</v>
      </c>
      <c r="G814" s="12">
        <v>1234.0</v>
      </c>
      <c r="H814" s="12">
        <v>1386.0</v>
      </c>
      <c r="I814" s="12">
        <v>2.0</v>
      </c>
      <c r="J814" s="12">
        <v>1.0</v>
      </c>
      <c r="K814" s="11" t="s">
        <v>21</v>
      </c>
      <c r="L814" s="7">
        <v>40718.66918981481</v>
      </c>
      <c r="M814" s="13" t="s">
        <v>213</v>
      </c>
      <c r="N814" s="13" t="s">
        <v>214</v>
      </c>
      <c r="O814" s="10" t="str">
        <f>HYPERLINK("https://pbs.twimg.com/profile_images/596509974005686273/AqBblwMR_normal.jpg","View")</f>
        <v>View</v>
      </c>
      <c r="P814" s="14"/>
    </row>
    <row r="815">
      <c r="A815" s="7">
        <v>42433.80546296296</v>
      </c>
      <c r="B815" s="8" t="str">
        <f>HYPERLINK("https://twitter.com/sheishistoric","@sheishistoric")</f>
        <v>@sheishistoric</v>
      </c>
      <c r="C815" s="9" t="s">
        <v>127</v>
      </c>
      <c r="D815" s="9" t="s">
        <v>913</v>
      </c>
      <c r="E815" s="10" t="str">
        <f>HYPERLINK("https://twitter.com/sheishistoric/status/705925764580044800","705925764580044800")</f>
        <v>705925764580044800</v>
      </c>
      <c r="F815" s="11" t="s">
        <v>26</v>
      </c>
      <c r="G815" s="12">
        <v>405.0</v>
      </c>
      <c r="H815" s="12">
        <v>882.0</v>
      </c>
      <c r="I815" s="12">
        <v>1.0</v>
      </c>
      <c r="J815" s="12">
        <v>0.0</v>
      </c>
      <c r="K815" s="11" t="s">
        <v>21</v>
      </c>
      <c r="L815" s="7">
        <v>41529.842094907406</v>
      </c>
      <c r="M815" s="13" t="s">
        <v>129</v>
      </c>
      <c r="N815" s="13" t="s">
        <v>130</v>
      </c>
      <c r="O815" s="10" t="str">
        <f>HYPERLINK("https://pbs.twimg.com/profile_images/650419150620377089/bJxBf---_normal.jpg","View")</f>
        <v>View</v>
      </c>
      <c r="P815" s="14"/>
    </row>
    <row r="816">
      <c r="A816" s="7">
        <v>42433.805555555555</v>
      </c>
      <c r="B816" s="8" t="str">
        <f>HYPERLINK("https://twitter.com/pastpunditry","@pastpunditry")</f>
        <v>@pastpunditry</v>
      </c>
      <c r="C816" s="9" t="s">
        <v>92</v>
      </c>
      <c r="D816" s="9" t="s">
        <v>914</v>
      </c>
      <c r="E816" s="10" t="str">
        <f>HYPERLINK("https://twitter.com/pastpunditry/status/705925799396909056","705925799396909056")</f>
        <v>705925799396909056</v>
      </c>
      <c r="F816" s="11" t="s">
        <v>77</v>
      </c>
      <c r="G816" s="12">
        <v>890.0</v>
      </c>
      <c r="H816" s="12">
        <v>378.0</v>
      </c>
      <c r="I816" s="12">
        <v>0.0</v>
      </c>
      <c r="J816" s="12">
        <v>3.0</v>
      </c>
      <c r="K816" s="11" t="s">
        <v>21</v>
      </c>
      <c r="L816" s="7">
        <v>40283.384351851855</v>
      </c>
      <c r="M816" s="13" t="s">
        <v>94</v>
      </c>
      <c r="N816" s="13" t="s">
        <v>95</v>
      </c>
      <c r="O816" s="10" t="str">
        <f>HYPERLINK("https://pbs.twimg.com/profile_images/704873222802636800/7aFEMOY5_normal.jpg","View")</f>
        <v>View</v>
      </c>
      <c r="P816" s="14"/>
    </row>
    <row r="817">
      <c r="A817" s="7">
        <v>42433.805601851855</v>
      </c>
      <c r="B817" s="8" t="str">
        <f>HYPERLINK("https://twitter.com/sheishistoric","@sheishistoric")</f>
        <v>@sheishistoric</v>
      </c>
      <c r="C817" s="9" t="s">
        <v>127</v>
      </c>
      <c r="D817" s="9" t="s">
        <v>908</v>
      </c>
      <c r="E817" s="10" t="str">
        <f>HYPERLINK("https://twitter.com/sheishistoric/status/705925816971083776","705925816971083776")</f>
        <v>705925816971083776</v>
      </c>
      <c r="F817" s="11" t="s">
        <v>26</v>
      </c>
      <c r="G817" s="12">
        <v>405.0</v>
      </c>
      <c r="H817" s="12">
        <v>882.0</v>
      </c>
      <c r="I817" s="12">
        <v>2.0</v>
      </c>
      <c r="J817" s="12">
        <v>0.0</v>
      </c>
      <c r="K817" s="11" t="s">
        <v>21</v>
      </c>
      <c r="L817" s="7">
        <v>41529.842094907406</v>
      </c>
      <c r="M817" s="13" t="s">
        <v>129</v>
      </c>
      <c r="N817" s="13" t="s">
        <v>130</v>
      </c>
      <c r="O817" s="10" t="str">
        <f>HYPERLINK("https://pbs.twimg.com/profile_images/650419150620377089/bJxBf---_normal.jpg","View")</f>
        <v>View</v>
      </c>
      <c r="P817" s="14"/>
    </row>
    <row r="818">
      <c r="A818" s="7">
        <v>42433.805625</v>
      </c>
      <c r="B818" s="8" t="str">
        <f>HYPERLINK("https://twitter.com/jamiaw","@jamiaw")</f>
        <v>@jamiaw</v>
      </c>
      <c r="C818" s="9" t="s">
        <v>324</v>
      </c>
      <c r="D818" s="9" t="s">
        <v>915</v>
      </c>
      <c r="E818" s="10" t="str">
        <f>HYPERLINK("https://twitter.com/jamiaw/status/705925823027617792","705925823027617792")</f>
        <v>705925823027617792</v>
      </c>
      <c r="F818" s="11" t="s">
        <v>26</v>
      </c>
      <c r="G818" s="12">
        <v>11336.0</v>
      </c>
      <c r="H818" s="12">
        <v>7815.0</v>
      </c>
      <c r="I818" s="12">
        <v>0.0</v>
      </c>
      <c r="J818" s="12">
        <v>3.0</v>
      </c>
      <c r="K818" s="11" t="s">
        <v>21</v>
      </c>
      <c r="L818" s="7">
        <v>39642.39741898148</v>
      </c>
      <c r="M818" s="13" t="s">
        <v>325</v>
      </c>
      <c r="N818" s="13" t="s">
        <v>326</v>
      </c>
      <c r="O818" s="10" t="str">
        <f>HYPERLINK("https://pbs.twimg.com/profile_images/701102020061753344/5zH70uem_normal.jpg","View")</f>
        <v>View</v>
      </c>
      <c r="P818" s="14"/>
    </row>
    <row r="819">
      <c r="A819" s="7">
        <v>42433.8056712963</v>
      </c>
      <c r="B819" s="8" t="str">
        <f>HYPERLINK("https://twitter.com/pastpunditry","@pastpunditry")</f>
        <v>@pastpunditry</v>
      </c>
      <c r="C819" s="9" t="s">
        <v>92</v>
      </c>
      <c r="D819" s="9" t="s">
        <v>916</v>
      </c>
      <c r="E819" s="10" t="str">
        <f>HYPERLINK("https://twitter.com/pastpunditry/status/705925839725191173","705925839725191173")</f>
        <v>705925839725191173</v>
      </c>
      <c r="F819" s="11" t="s">
        <v>77</v>
      </c>
      <c r="G819" s="12">
        <v>890.0</v>
      </c>
      <c r="H819" s="12">
        <v>378.0</v>
      </c>
      <c r="I819" s="12">
        <v>2.0</v>
      </c>
      <c r="J819" s="12">
        <v>0.0</v>
      </c>
      <c r="K819" s="11" t="s">
        <v>21</v>
      </c>
      <c r="L819" s="7">
        <v>40283.384351851855</v>
      </c>
      <c r="M819" s="13" t="s">
        <v>94</v>
      </c>
      <c r="N819" s="13" t="s">
        <v>95</v>
      </c>
      <c r="O819" s="10" t="str">
        <f>HYPERLINK("https://pbs.twimg.com/profile_images/704873222802636800/7aFEMOY5_normal.jpg","View")</f>
        <v>View</v>
      </c>
      <c r="P819" s="14"/>
    </row>
    <row r="820">
      <c r="A820" s="7">
        <v>42433.805763888886</v>
      </c>
      <c r="B820" s="8" t="str">
        <f>HYPERLINK("https://twitter.com/magmidd","@magmidd")</f>
        <v>@magmidd</v>
      </c>
      <c r="C820" s="9" t="s">
        <v>636</v>
      </c>
      <c r="D820" s="9" t="s">
        <v>903</v>
      </c>
      <c r="E820" s="10" t="str">
        <f>HYPERLINK("https://twitter.com/magmidd/status/705925873665347584","705925873665347584")</f>
        <v>705925873665347584</v>
      </c>
      <c r="F820" s="11" t="s">
        <v>148</v>
      </c>
      <c r="G820" s="12">
        <v>1385.0</v>
      </c>
      <c r="H820" s="12">
        <v>1353.0</v>
      </c>
      <c r="I820" s="12">
        <v>2.0</v>
      </c>
      <c r="J820" s="12">
        <v>0.0</v>
      </c>
      <c r="K820" s="11" t="s">
        <v>21</v>
      </c>
      <c r="L820" s="7">
        <v>41511.60082175926</v>
      </c>
      <c r="M820" s="13" t="s">
        <v>197</v>
      </c>
      <c r="N820" s="13" t="s">
        <v>638</v>
      </c>
      <c r="O820" s="10" t="str">
        <f>HYPERLINK("https://pbs.twimg.com/profile_images/378800000450415007/82bcc7d0cab85e8d5920dbf5ded6715e_normal.jpeg","View")</f>
        <v>View</v>
      </c>
      <c r="P820" s="14"/>
    </row>
    <row r="821">
      <c r="A821" s="7">
        <v>42433.805856481486</v>
      </c>
      <c r="B821" s="8" t="str">
        <f t="shared" ref="B821:B822" si="187">HYPERLINK("https://twitter.com/erfagen","@erfagen")</f>
        <v>@erfagen</v>
      </c>
      <c r="C821" s="9" t="s">
        <v>124</v>
      </c>
      <c r="D821" s="9" t="s">
        <v>917</v>
      </c>
      <c r="E821" s="10" t="str">
        <f>HYPERLINK("https://twitter.com/erfagen/status/705925906896969728","705925906896969728")</f>
        <v>705925906896969728</v>
      </c>
      <c r="F821" s="11" t="s">
        <v>26</v>
      </c>
      <c r="G821" s="12">
        <v>1055.0</v>
      </c>
      <c r="H821" s="12">
        <v>2055.0</v>
      </c>
      <c r="I821" s="12">
        <v>1.0</v>
      </c>
      <c r="J821" s="12">
        <v>5.0</v>
      </c>
      <c r="K821" s="11" t="s">
        <v>21</v>
      </c>
      <c r="L821" s="7">
        <v>40524.93576388889</v>
      </c>
      <c r="M821" s="13" t="s">
        <v>125</v>
      </c>
      <c r="N821" s="13" t="s">
        <v>126</v>
      </c>
      <c r="O821" s="10" t="str">
        <f t="shared" ref="O821:O822" si="188">HYPERLINK("https://pbs.twimg.com/profile_images/638086945722249217/mid_S_BQ_normal.jpg","View")</f>
        <v>View</v>
      </c>
      <c r="P821" s="14"/>
    </row>
    <row r="822">
      <c r="A822" s="7">
        <v>42433.80596064815</v>
      </c>
      <c r="B822" s="8" t="str">
        <f t="shared" si="187"/>
        <v>@erfagen</v>
      </c>
      <c r="C822" s="9" t="s">
        <v>124</v>
      </c>
      <c r="D822" s="9" t="s">
        <v>918</v>
      </c>
      <c r="E822" s="10" t="str">
        <f>HYPERLINK("https://twitter.com/erfagen/status/705925943999782912","705925943999782912")</f>
        <v>705925943999782912</v>
      </c>
      <c r="F822" s="11" t="s">
        <v>26</v>
      </c>
      <c r="G822" s="12">
        <v>1055.0</v>
      </c>
      <c r="H822" s="12">
        <v>2055.0</v>
      </c>
      <c r="I822" s="12">
        <v>1.0</v>
      </c>
      <c r="J822" s="12">
        <v>0.0</v>
      </c>
      <c r="K822" s="11" t="s">
        <v>21</v>
      </c>
      <c r="L822" s="7">
        <v>40524.93576388889</v>
      </c>
      <c r="M822" s="13" t="s">
        <v>125</v>
      </c>
      <c r="N822" s="13" t="s">
        <v>126</v>
      </c>
      <c r="O822" s="10" t="str">
        <f t="shared" si="188"/>
        <v>View</v>
      </c>
      <c r="P822" s="14"/>
    </row>
    <row r="823">
      <c r="A823" s="7">
        <v>42433.805983796294</v>
      </c>
      <c r="B823" s="8" t="str">
        <f t="shared" ref="B823:B824" si="189">HYPERLINK("https://twitter.com/GHAUmass","@GHAUmass")</f>
        <v>@GHAUmass</v>
      </c>
      <c r="C823" s="9" t="s">
        <v>30</v>
      </c>
      <c r="D823" s="9" t="s">
        <v>919</v>
      </c>
      <c r="E823" s="10" t="str">
        <f>HYPERLINK("https://twitter.com/GHAUmass/status/705925952300195840","705925952300195840")</f>
        <v>705925952300195840</v>
      </c>
      <c r="F823" s="11" t="s">
        <v>26</v>
      </c>
      <c r="G823" s="12">
        <v>68.0</v>
      </c>
      <c r="H823" s="12">
        <v>100.0</v>
      </c>
      <c r="I823" s="12">
        <v>0.0</v>
      </c>
      <c r="J823" s="12">
        <v>1.0</v>
      </c>
      <c r="K823" s="11" t="s">
        <v>21</v>
      </c>
      <c r="L823" s="7">
        <v>42152.65289351852</v>
      </c>
      <c r="M823" s="13" t="s">
        <v>22</v>
      </c>
      <c r="N823" s="13" t="s">
        <v>32</v>
      </c>
      <c r="O823" s="10" t="str">
        <f t="shared" ref="O823:O824" si="190">HYPERLINK("https://pbs.twimg.com/profile_images/604060333590855682/Fk6r1D7d_normal.jpg","View")</f>
        <v>View</v>
      </c>
      <c r="P823" s="14"/>
    </row>
    <row r="824">
      <c r="A824" s="7">
        <v>42433.80604166667</v>
      </c>
      <c r="B824" s="8" t="str">
        <f t="shared" si="189"/>
        <v>@GHAUmass</v>
      </c>
      <c r="C824" s="9" t="s">
        <v>30</v>
      </c>
      <c r="D824" s="9" t="s">
        <v>920</v>
      </c>
      <c r="E824" s="10" t="str">
        <f>HYPERLINK("https://twitter.com/GHAUmass/status/705925976434339841","705925976434339841")</f>
        <v>705925976434339841</v>
      </c>
      <c r="F824" s="11" t="s">
        <v>26</v>
      </c>
      <c r="G824" s="12">
        <v>68.0</v>
      </c>
      <c r="H824" s="12">
        <v>100.0</v>
      </c>
      <c r="I824" s="12">
        <v>1.0</v>
      </c>
      <c r="J824" s="12">
        <v>0.0</v>
      </c>
      <c r="K824" s="11" t="s">
        <v>21</v>
      </c>
      <c r="L824" s="7">
        <v>42152.65289351852</v>
      </c>
      <c r="M824" s="13" t="s">
        <v>22</v>
      </c>
      <c r="N824" s="13" t="s">
        <v>32</v>
      </c>
      <c r="O824" s="10" t="str">
        <f t="shared" si="190"/>
        <v>View</v>
      </c>
      <c r="P824" s="14"/>
    </row>
    <row r="825">
      <c r="A825" s="7">
        <v>42433.80605324074</v>
      </c>
      <c r="B825" s="8" t="str">
        <f>HYPERLINK("https://twitter.com/CitizenWald","@CitizenWald")</f>
        <v>@CitizenWald</v>
      </c>
      <c r="C825" s="9" t="s">
        <v>668</v>
      </c>
      <c r="D825" s="9" t="s">
        <v>921</v>
      </c>
      <c r="E825" s="10" t="str">
        <f>HYPERLINK("https://twitter.com/CitizenWald/status/705925978309193728","705925978309193728")</f>
        <v>705925978309193728</v>
      </c>
      <c r="F825" s="11" t="s">
        <v>26</v>
      </c>
      <c r="G825" s="12">
        <v>2335.0</v>
      </c>
      <c r="H825" s="12">
        <v>2535.0</v>
      </c>
      <c r="I825" s="12">
        <v>3.0</v>
      </c>
      <c r="J825" s="12">
        <v>3.0</v>
      </c>
      <c r="K825" s="11" t="s">
        <v>21</v>
      </c>
      <c r="L825" s="7">
        <v>39373.01613425926</v>
      </c>
      <c r="M825" s="13" t="s">
        <v>22</v>
      </c>
      <c r="N825" s="13" t="s">
        <v>669</v>
      </c>
      <c r="O825" s="10" t="str">
        <f>HYPERLINK("https://pbs.twimg.com/profile_images/661220280564486144/ZxUrdRVS_normal.jpg","View")</f>
        <v>View</v>
      </c>
      <c r="P825" s="14"/>
    </row>
    <row r="826">
      <c r="A826" s="7">
        <v>42433.80605324074</v>
      </c>
      <c r="B826" s="8" t="str">
        <f>HYPERLINK("https://twitter.com/MarlaAtUmass","@MarlaAtUmass")</f>
        <v>@MarlaAtUmass</v>
      </c>
      <c r="C826" s="9" t="s">
        <v>45</v>
      </c>
      <c r="D826" s="9" t="s">
        <v>922</v>
      </c>
      <c r="E826" s="10" t="str">
        <f>HYPERLINK("https://twitter.com/MarlaAtUmass/status/705925980674777088","705925980674777088")</f>
        <v>705925980674777088</v>
      </c>
      <c r="F826" s="11" t="s">
        <v>26</v>
      </c>
      <c r="G826" s="12">
        <v>1993.0</v>
      </c>
      <c r="H826" s="12">
        <v>1647.0</v>
      </c>
      <c r="I826" s="12">
        <v>2.0</v>
      </c>
      <c r="J826" s="12">
        <v>0.0</v>
      </c>
      <c r="K826" s="11" t="s">
        <v>21</v>
      </c>
      <c r="L826" s="7">
        <v>40125.78074074074</v>
      </c>
      <c r="M826" s="15"/>
      <c r="N826" s="13" t="s">
        <v>47</v>
      </c>
      <c r="O826" s="10" t="str">
        <f>HYPERLINK("https://pbs.twimg.com/profile_images/565429960/Betsy_Twitter_normal.jpg","View")</f>
        <v>View</v>
      </c>
      <c r="P826" s="14"/>
    </row>
    <row r="827">
      <c r="A827" s="7">
        <v>42433.80606481481</v>
      </c>
      <c r="B827" s="8" t="str">
        <f>HYPERLINK("https://twitter.com/allisonhorrocks","@allisonhorrocks")</f>
        <v>@allisonhorrocks</v>
      </c>
      <c r="C827" s="9" t="s">
        <v>105</v>
      </c>
      <c r="D827" s="9" t="s">
        <v>923</v>
      </c>
      <c r="E827" s="10" t="str">
        <f>HYPERLINK("https://twitter.com/allisonhorrocks/status/705925982264434688","705925982264434688")</f>
        <v>705925982264434688</v>
      </c>
      <c r="F827" s="11" t="s">
        <v>26</v>
      </c>
      <c r="G827" s="12">
        <v>122.0</v>
      </c>
      <c r="H827" s="12">
        <v>260.0</v>
      </c>
      <c r="I827" s="12">
        <v>3.0</v>
      </c>
      <c r="J827" s="12">
        <v>7.0</v>
      </c>
      <c r="K827" s="11" t="s">
        <v>21</v>
      </c>
      <c r="L827" s="7">
        <v>39874.8815625</v>
      </c>
      <c r="M827" s="13" t="s">
        <v>106</v>
      </c>
      <c r="N827" s="13" t="s">
        <v>107</v>
      </c>
      <c r="O827" s="10" t="str">
        <f>HYPERLINK("https://pbs.twimg.com/profile_images/562279222522032128/-phaZgxO_normal.jpeg","View")</f>
        <v>View</v>
      </c>
      <c r="P827" s="14"/>
    </row>
    <row r="828">
      <c r="A828" s="7">
        <v>42433.806122685186</v>
      </c>
      <c r="B828" s="8" t="str">
        <f>HYPERLINK("https://twitter.com/pastpunditry","@pastpunditry")</f>
        <v>@pastpunditry</v>
      </c>
      <c r="C828" s="9" t="s">
        <v>92</v>
      </c>
      <c r="D828" s="9" t="s">
        <v>924</v>
      </c>
      <c r="E828" s="10" t="str">
        <f>HYPERLINK("https://twitter.com/pastpunditry/status/705926003886006273","705926003886006273")</f>
        <v>705926003886006273</v>
      </c>
      <c r="F828" s="11" t="s">
        <v>77</v>
      </c>
      <c r="G828" s="12">
        <v>890.0</v>
      </c>
      <c r="H828" s="12">
        <v>378.0</v>
      </c>
      <c r="I828" s="12">
        <v>1.0</v>
      </c>
      <c r="J828" s="12">
        <v>2.0</v>
      </c>
      <c r="K828" s="11" t="s">
        <v>21</v>
      </c>
      <c r="L828" s="7">
        <v>40283.384351851855</v>
      </c>
      <c r="M828" s="13" t="s">
        <v>94</v>
      </c>
      <c r="N828" s="13" t="s">
        <v>95</v>
      </c>
      <c r="O828" s="10" t="str">
        <f>HYPERLINK("https://pbs.twimg.com/profile_images/704873222802636800/7aFEMOY5_normal.jpg","View")</f>
        <v>View</v>
      </c>
      <c r="P828" s="14"/>
    </row>
    <row r="829">
      <c r="A829" s="7">
        <v>42433.80616898148</v>
      </c>
      <c r="B829" s="8" t="str">
        <f>HYPERLINK("https://twitter.com/rebekkahrubin","@rebekkahrubin")</f>
        <v>@rebekkahrubin</v>
      </c>
      <c r="C829" s="9" t="s">
        <v>141</v>
      </c>
      <c r="D829" s="9" t="s">
        <v>925</v>
      </c>
      <c r="E829" s="10" t="str">
        <f>HYPERLINK("https://twitter.com/rebekkahrubin/status/705926018863927296","705926018863927296")</f>
        <v>705926018863927296</v>
      </c>
      <c r="F829" s="11" t="s">
        <v>31</v>
      </c>
      <c r="G829" s="12">
        <v>492.0</v>
      </c>
      <c r="H829" s="12">
        <v>1224.0</v>
      </c>
      <c r="I829" s="12">
        <v>2.0</v>
      </c>
      <c r="J829" s="12">
        <v>3.0</v>
      </c>
      <c r="K829" s="11" t="s">
        <v>21</v>
      </c>
      <c r="L829" s="7">
        <v>40411.521527777775</v>
      </c>
      <c r="M829" s="13" t="s">
        <v>143</v>
      </c>
      <c r="N829" s="13" t="s">
        <v>144</v>
      </c>
      <c r="O829" s="10" t="str">
        <f>HYPERLINK("https://pbs.twimg.com/profile_images/700317732588408832/Ym_-neUi_normal.jpg","View")</f>
        <v>View</v>
      </c>
      <c r="P829" s="14"/>
    </row>
    <row r="830">
      <c r="A830" s="7">
        <v>42433.80616898148</v>
      </c>
      <c r="B830" s="8" t="str">
        <f t="shared" ref="B830:B831" si="191">HYPERLINK("https://twitter.com/GHAUmass","@GHAUmass")</f>
        <v>@GHAUmass</v>
      </c>
      <c r="C830" s="9" t="s">
        <v>30</v>
      </c>
      <c r="D830" s="9" t="s">
        <v>909</v>
      </c>
      <c r="E830" s="10" t="str">
        <f>HYPERLINK("https://twitter.com/GHAUmass/status/705926019635658752","705926019635658752")</f>
        <v>705926019635658752</v>
      </c>
      <c r="F830" s="11" t="s">
        <v>26</v>
      </c>
      <c r="G830" s="12">
        <v>68.0</v>
      </c>
      <c r="H830" s="12">
        <v>100.0</v>
      </c>
      <c r="I830" s="12">
        <v>2.0</v>
      </c>
      <c r="J830" s="12">
        <v>0.0</v>
      </c>
      <c r="K830" s="11" t="s">
        <v>21</v>
      </c>
      <c r="L830" s="7">
        <v>42152.65289351852</v>
      </c>
      <c r="M830" s="13" t="s">
        <v>22</v>
      </c>
      <c r="N830" s="13" t="s">
        <v>32</v>
      </c>
      <c r="O830" s="10" t="str">
        <f t="shared" ref="O830:O831" si="192">HYPERLINK("https://pbs.twimg.com/profile_images/604060333590855682/Fk6r1D7d_normal.jpg","View")</f>
        <v>View</v>
      </c>
      <c r="P830" s="14"/>
    </row>
    <row r="831">
      <c r="A831" s="7">
        <v>42433.80625</v>
      </c>
      <c r="B831" s="8" t="str">
        <f t="shared" si="191"/>
        <v>@GHAUmass</v>
      </c>
      <c r="C831" s="9" t="s">
        <v>30</v>
      </c>
      <c r="D831" s="9" t="s">
        <v>926</v>
      </c>
      <c r="E831" s="10" t="str">
        <f>HYPERLINK("https://twitter.com/GHAUmass/status/705926050564476928","705926050564476928")</f>
        <v>705926050564476928</v>
      </c>
      <c r="F831" s="11" t="s">
        <v>26</v>
      </c>
      <c r="G831" s="12">
        <v>68.0</v>
      </c>
      <c r="H831" s="12">
        <v>100.0</v>
      </c>
      <c r="I831" s="12">
        <v>2.0</v>
      </c>
      <c r="J831" s="12">
        <v>0.0</v>
      </c>
      <c r="K831" s="11" t="s">
        <v>21</v>
      </c>
      <c r="L831" s="7">
        <v>42152.65289351852</v>
      </c>
      <c r="M831" s="13" t="s">
        <v>22</v>
      </c>
      <c r="N831" s="13" t="s">
        <v>32</v>
      </c>
      <c r="O831" s="10" t="str">
        <f t="shared" si="192"/>
        <v>View</v>
      </c>
      <c r="P831" s="14"/>
    </row>
    <row r="832">
      <c r="A832" s="7">
        <v>42433.80626157408</v>
      </c>
      <c r="B832" s="8" t="str">
        <f>HYPERLINK("https://twitter.com/MarlaAtUmass","@MarlaAtUmass")</f>
        <v>@MarlaAtUmass</v>
      </c>
      <c r="C832" s="9" t="s">
        <v>45</v>
      </c>
      <c r="D832" s="9" t="s">
        <v>926</v>
      </c>
      <c r="E832" s="10" t="str">
        <f>HYPERLINK("https://twitter.com/MarlaAtUmass/status/705926053856940032","705926053856940032")</f>
        <v>705926053856940032</v>
      </c>
      <c r="F832" s="11" t="s">
        <v>26</v>
      </c>
      <c r="G832" s="12">
        <v>1993.0</v>
      </c>
      <c r="H832" s="12">
        <v>1647.0</v>
      </c>
      <c r="I832" s="12">
        <v>2.0</v>
      </c>
      <c r="J832" s="12">
        <v>0.0</v>
      </c>
      <c r="K832" s="11" t="s">
        <v>21</v>
      </c>
      <c r="L832" s="7">
        <v>40125.78074074074</v>
      </c>
      <c r="M832" s="15"/>
      <c r="N832" s="13" t="s">
        <v>47</v>
      </c>
      <c r="O832" s="10" t="str">
        <f>HYPERLINK("https://pbs.twimg.com/profile_images/565429960/Betsy_Twitter_normal.jpg","View")</f>
        <v>View</v>
      </c>
      <c r="P832" s="14"/>
    </row>
    <row r="833">
      <c r="A833" s="7">
        <v>42433.80636574074</v>
      </c>
      <c r="B833" s="8" t="str">
        <f>HYPERLINK("https://twitter.com/GHAUmass","@GHAUmass")</f>
        <v>@GHAUmass</v>
      </c>
      <c r="C833" s="9" t="s">
        <v>30</v>
      </c>
      <c r="D833" s="9" t="s">
        <v>922</v>
      </c>
      <c r="E833" s="10" t="str">
        <f>HYPERLINK("https://twitter.com/GHAUmass/status/705926091295346688","705926091295346688")</f>
        <v>705926091295346688</v>
      </c>
      <c r="F833" s="11" t="s">
        <v>26</v>
      </c>
      <c r="G833" s="12">
        <v>68.0</v>
      </c>
      <c r="H833" s="12">
        <v>100.0</v>
      </c>
      <c r="I833" s="12">
        <v>2.0</v>
      </c>
      <c r="J833" s="12">
        <v>0.0</v>
      </c>
      <c r="K833" s="11" t="s">
        <v>21</v>
      </c>
      <c r="L833" s="7">
        <v>42152.65289351852</v>
      </c>
      <c r="M833" s="13" t="s">
        <v>22</v>
      </c>
      <c r="N833" s="13" t="s">
        <v>32</v>
      </c>
      <c r="O833" s="10" t="str">
        <f>HYPERLINK("https://pbs.twimg.com/profile_images/604060333590855682/Fk6r1D7d_normal.jpg","View")</f>
        <v>View</v>
      </c>
      <c r="P833" s="14"/>
    </row>
    <row r="834">
      <c r="A834" s="7">
        <v>42433.80641203704</v>
      </c>
      <c r="B834" s="8" t="str">
        <f>HYPERLINK("https://twitter.com/JulieThePH","@JulieThePH")</f>
        <v>@JulieThePH</v>
      </c>
      <c r="C834" s="9" t="s">
        <v>211</v>
      </c>
      <c r="D834" s="9" t="s">
        <v>927</v>
      </c>
      <c r="E834" s="10" t="str">
        <f>HYPERLINK("https://twitter.com/JulieThePH/status/705926107116249088","705926107116249088")</f>
        <v>705926107116249088</v>
      </c>
      <c r="F834" s="11" t="s">
        <v>148</v>
      </c>
      <c r="G834" s="12">
        <v>1234.0</v>
      </c>
      <c r="H834" s="12">
        <v>1386.0</v>
      </c>
      <c r="I834" s="12">
        <v>5.0</v>
      </c>
      <c r="J834" s="12">
        <v>11.0</v>
      </c>
      <c r="K834" s="11" t="s">
        <v>21</v>
      </c>
      <c r="L834" s="7">
        <v>40718.66918981481</v>
      </c>
      <c r="M834" s="13" t="s">
        <v>213</v>
      </c>
      <c r="N834" s="13" t="s">
        <v>214</v>
      </c>
      <c r="O834" s="10" t="str">
        <f>HYPERLINK("https://pbs.twimg.com/profile_images/596509974005686273/AqBblwMR_normal.jpg","View")</f>
        <v>View</v>
      </c>
      <c r="P834" s="14"/>
    </row>
    <row r="835">
      <c r="A835" s="7">
        <v>42433.80641203704</v>
      </c>
      <c r="B835" s="8" t="str">
        <f>HYPERLINK("https://twitter.com/historein","@historein")</f>
        <v>@historein</v>
      </c>
      <c r="C835" s="9" t="s">
        <v>172</v>
      </c>
      <c r="D835" s="9" t="s">
        <v>896</v>
      </c>
      <c r="E835" s="10" t="str">
        <f>HYPERLINK("https://twitter.com/historein/status/705926108672184320","705926108672184320")</f>
        <v>705926108672184320</v>
      </c>
      <c r="F835" s="11" t="s">
        <v>31</v>
      </c>
      <c r="G835" s="12">
        <v>641.0</v>
      </c>
      <c r="H835" s="12">
        <v>753.0</v>
      </c>
      <c r="I835" s="12">
        <v>10.0</v>
      </c>
      <c r="J835" s="12">
        <v>0.0</v>
      </c>
      <c r="K835" s="11" t="s">
        <v>21</v>
      </c>
      <c r="L835" s="7">
        <v>40416.68083333333</v>
      </c>
      <c r="M835" s="13" t="s">
        <v>35</v>
      </c>
      <c r="N835" s="13" t="s">
        <v>174</v>
      </c>
      <c r="O835" s="10" t="str">
        <f>HYPERLINK("https://pbs.twimg.com/profile_images/636901483401904128/cxbavncr_normal.jpg","View")</f>
        <v>View</v>
      </c>
      <c r="P835" s="14"/>
    </row>
    <row r="836">
      <c r="A836" s="7">
        <v>42433.8065162037</v>
      </c>
      <c r="B836" s="8" t="str">
        <f>HYPERLINK("https://twitter.com/juliegpeterson","@juliegpeterson")</f>
        <v>@juliegpeterson</v>
      </c>
      <c r="C836" s="9" t="s">
        <v>24</v>
      </c>
      <c r="D836" s="9" t="s">
        <v>928</v>
      </c>
      <c r="E836" s="10" t="str">
        <f>HYPERLINK("https://twitter.com/juliegpeterson/status/705926144953032704","705926144953032704")</f>
        <v>705926144953032704</v>
      </c>
      <c r="F836" s="11" t="s">
        <v>26</v>
      </c>
      <c r="G836" s="12">
        <v>239.0</v>
      </c>
      <c r="H836" s="12">
        <v>775.0</v>
      </c>
      <c r="I836" s="12">
        <v>2.0</v>
      </c>
      <c r="J836" s="12">
        <v>0.0</v>
      </c>
      <c r="K836" s="11" t="s">
        <v>21</v>
      </c>
      <c r="L836" s="7">
        <v>41208.65523148148</v>
      </c>
      <c r="M836" s="13" t="s">
        <v>22</v>
      </c>
      <c r="N836" s="13" t="s">
        <v>27</v>
      </c>
      <c r="O836" s="10" t="str">
        <f>HYPERLINK("https://pbs.twimg.com/profile_images/609765839051452416/GNW0wSt0_normal.jpg","View")</f>
        <v>View</v>
      </c>
      <c r="P836" s="14"/>
    </row>
    <row r="837">
      <c r="A837" s="7">
        <v>42433.80652777778</v>
      </c>
      <c r="B837" s="8" t="str">
        <f>HYPERLINK("https://twitter.com/GHAUmass","@GHAUmass")</f>
        <v>@GHAUmass</v>
      </c>
      <c r="C837" s="9" t="s">
        <v>30</v>
      </c>
      <c r="D837" s="9" t="s">
        <v>916</v>
      </c>
      <c r="E837" s="10" t="str">
        <f>HYPERLINK("https://twitter.com/GHAUmass/status/705926152058249216","705926152058249216")</f>
        <v>705926152058249216</v>
      </c>
      <c r="F837" s="11" t="s">
        <v>26</v>
      </c>
      <c r="G837" s="12">
        <v>68.0</v>
      </c>
      <c r="H837" s="12">
        <v>100.0</v>
      </c>
      <c r="I837" s="12">
        <v>2.0</v>
      </c>
      <c r="J837" s="12">
        <v>0.0</v>
      </c>
      <c r="K837" s="11" t="s">
        <v>21</v>
      </c>
      <c r="L837" s="7">
        <v>42152.65289351852</v>
      </c>
      <c r="M837" s="13" t="s">
        <v>22</v>
      </c>
      <c r="N837" s="13" t="s">
        <v>32</v>
      </c>
      <c r="O837" s="10" t="str">
        <f>HYPERLINK("https://pbs.twimg.com/profile_images/604060333590855682/Fk6r1D7d_normal.jpg","View")</f>
        <v>View</v>
      </c>
      <c r="P837" s="14"/>
    </row>
    <row r="838">
      <c r="A838" s="7">
        <v>42433.806608796294</v>
      </c>
      <c r="B838" s="8" t="str">
        <f>HYPERLINK("https://twitter.com/MarlaAtUmass","@MarlaAtUmass")</f>
        <v>@MarlaAtUmass</v>
      </c>
      <c r="C838" s="9" t="s">
        <v>45</v>
      </c>
      <c r="D838" s="9" t="s">
        <v>896</v>
      </c>
      <c r="E838" s="10" t="str">
        <f>HYPERLINK("https://twitter.com/MarlaAtUmass/status/705926181170913281","705926181170913281")</f>
        <v>705926181170913281</v>
      </c>
      <c r="F838" s="11" t="s">
        <v>26</v>
      </c>
      <c r="G838" s="12">
        <v>1993.0</v>
      </c>
      <c r="H838" s="12">
        <v>1647.0</v>
      </c>
      <c r="I838" s="12">
        <v>10.0</v>
      </c>
      <c r="J838" s="12">
        <v>0.0</v>
      </c>
      <c r="K838" s="11" t="s">
        <v>21</v>
      </c>
      <c r="L838" s="7">
        <v>40125.78074074074</v>
      </c>
      <c r="M838" s="15"/>
      <c r="N838" s="13" t="s">
        <v>47</v>
      </c>
      <c r="O838" s="10" t="str">
        <f>HYPERLINK("https://pbs.twimg.com/profile_images/565429960/Betsy_Twitter_normal.jpg","View")</f>
        <v>View</v>
      </c>
      <c r="P838" s="14"/>
    </row>
    <row r="839">
      <c r="A839" s="7">
        <v>42433.806655092594</v>
      </c>
      <c r="B839" s="8" t="str">
        <f>HYPERLINK("https://twitter.com/GHAUmass","@GHAUmass")</f>
        <v>@GHAUmass</v>
      </c>
      <c r="C839" s="9" t="s">
        <v>30</v>
      </c>
      <c r="D839" s="9" t="s">
        <v>929</v>
      </c>
      <c r="E839" s="10" t="str">
        <f>HYPERLINK("https://twitter.com/GHAUmass/status/705926196912119808","705926196912119808")</f>
        <v>705926196912119808</v>
      </c>
      <c r="F839" s="11" t="s">
        <v>26</v>
      </c>
      <c r="G839" s="12">
        <v>68.0</v>
      </c>
      <c r="H839" s="12">
        <v>100.0</v>
      </c>
      <c r="I839" s="12">
        <v>1.0</v>
      </c>
      <c r="J839" s="12">
        <v>0.0</v>
      </c>
      <c r="K839" s="11" t="s">
        <v>21</v>
      </c>
      <c r="L839" s="7">
        <v>42152.65289351852</v>
      </c>
      <c r="M839" s="13" t="s">
        <v>22</v>
      </c>
      <c r="N839" s="13" t="s">
        <v>32</v>
      </c>
      <c r="O839" s="10" t="str">
        <f>HYPERLINK("https://pbs.twimg.com/profile_images/604060333590855682/Fk6r1D7d_normal.jpg","View")</f>
        <v>View</v>
      </c>
      <c r="P839" s="14"/>
    </row>
    <row r="840">
      <c r="A840" s="7">
        <v>42433.806759259256</v>
      </c>
      <c r="B840" s="8" t="str">
        <f>HYPERLINK("https://twitter.com/pastpunditry","@pastpunditry")</f>
        <v>@pastpunditry</v>
      </c>
      <c r="C840" s="9" t="s">
        <v>92</v>
      </c>
      <c r="D840" s="9" t="s">
        <v>930</v>
      </c>
      <c r="E840" s="10" t="str">
        <f>HYPERLINK("https://twitter.com/pastpunditry/status/705926233431920641","705926233431920641")</f>
        <v>705926233431920641</v>
      </c>
      <c r="F840" s="11" t="s">
        <v>77</v>
      </c>
      <c r="G840" s="12">
        <v>890.0</v>
      </c>
      <c r="H840" s="12">
        <v>378.0</v>
      </c>
      <c r="I840" s="12">
        <v>1.0</v>
      </c>
      <c r="J840" s="12">
        <v>2.0</v>
      </c>
      <c r="K840" s="11" t="s">
        <v>21</v>
      </c>
      <c r="L840" s="7">
        <v>40283.384351851855</v>
      </c>
      <c r="M840" s="13" t="s">
        <v>94</v>
      </c>
      <c r="N840" s="13" t="s">
        <v>95</v>
      </c>
      <c r="O840" s="10" t="str">
        <f>HYPERLINK("https://pbs.twimg.com/profile_images/704873222802636800/7aFEMOY5_normal.jpg","View")</f>
        <v>View</v>
      </c>
      <c r="P840" s="14"/>
    </row>
    <row r="841">
      <c r="A841" s="7">
        <v>42433.80677083333</v>
      </c>
      <c r="B841" s="8" t="str">
        <f>HYPERLINK("https://twitter.com/ProfRankin","@ProfRankin")</f>
        <v>@ProfRankin</v>
      </c>
      <c r="C841" s="9" t="s">
        <v>931</v>
      </c>
      <c r="D841" s="9" t="s">
        <v>544</v>
      </c>
      <c r="E841" s="10" t="str">
        <f>HYPERLINK("https://twitter.com/ProfRankin/status/705926237827538944","705926237827538944")</f>
        <v>705926237827538944</v>
      </c>
      <c r="F841" s="11" t="s">
        <v>26</v>
      </c>
      <c r="G841" s="12">
        <v>130.0</v>
      </c>
      <c r="H841" s="12">
        <v>130.0</v>
      </c>
      <c r="I841" s="12">
        <v>4.0</v>
      </c>
      <c r="J841" s="12">
        <v>0.0</v>
      </c>
      <c r="K841" s="11" t="s">
        <v>21</v>
      </c>
      <c r="L841" s="7">
        <v>41128.36083333333</v>
      </c>
      <c r="M841" s="15"/>
      <c r="N841" s="13" t="s">
        <v>932</v>
      </c>
      <c r="O841" s="10" t="str">
        <f>HYPERLINK("https://pbs.twimg.com/profile_images/2478717806/dragon_distilling_oven_normal.jpg","View")</f>
        <v>View</v>
      </c>
      <c r="P841" s="14"/>
    </row>
    <row r="842">
      <c r="A842" s="7">
        <v>42433.80684027778</v>
      </c>
      <c r="B842" s="8" t="str">
        <f>HYPERLINK("https://twitter.com/pastpunditry","@pastpunditry")</f>
        <v>@pastpunditry</v>
      </c>
      <c r="C842" s="9" t="s">
        <v>92</v>
      </c>
      <c r="D842" s="9" t="s">
        <v>933</v>
      </c>
      <c r="E842" s="10" t="str">
        <f>HYPERLINK("https://twitter.com/pastpunditry/status/705926263769341952","705926263769341952")</f>
        <v>705926263769341952</v>
      </c>
      <c r="F842" s="11" t="s">
        <v>77</v>
      </c>
      <c r="G842" s="12">
        <v>890.0</v>
      </c>
      <c r="H842" s="12">
        <v>378.0</v>
      </c>
      <c r="I842" s="12">
        <v>5.0</v>
      </c>
      <c r="J842" s="12">
        <v>0.0</v>
      </c>
      <c r="K842" s="11" t="s">
        <v>21</v>
      </c>
      <c r="L842" s="7">
        <v>40283.384351851855</v>
      </c>
      <c r="M842" s="13" t="s">
        <v>94</v>
      </c>
      <c r="N842" s="13" t="s">
        <v>95</v>
      </c>
      <c r="O842" s="10" t="str">
        <f>HYPERLINK("https://pbs.twimg.com/profile_images/704873222802636800/7aFEMOY5_normal.jpg","View")</f>
        <v>View</v>
      </c>
      <c r="P842" s="14"/>
    </row>
    <row r="843">
      <c r="A843" s="7">
        <v>42433.806863425925</v>
      </c>
      <c r="B843" s="8" t="str">
        <f>HYPERLINK("https://twitter.com/GHAUmass","@GHAUmass")</f>
        <v>@GHAUmass</v>
      </c>
      <c r="C843" s="9" t="s">
        <v>30</v>
      </c>
      <c r="D843" s="9" t="s">
        <v>934</v>
      </c>
      <c r="E843" s="10" t="str">
        <f>HYPERLINK("https://twitter.com/GHAUmass/status/705926271965007872","705926271965007872")</f>
        <v>705926271965007872</v>
      </c>
      <c r="F843" s="11" t="s">
        <v>26</v>
      </c>
      <c r="G843" s="12">
        <v>68.0</v>
      </c>
      <c r="H843" s="12">
        <v>100.0</v>
      </c>
      <c r="I843" s="12">
        <v>3.0</v>
      </c>
      <c r="J843" s="12">
        <v>0.0</v>
      </c>
      <c r="K843" s="11" t="s">
        <v>21</v>
      </c>
      <c r="L843" s="7">
        <v>42152.65289351852</v>
      </c>
      <c r="M843" s="13" t="s">
        <v>22</v>
      </c>
      <c r="N843" s="13" t="s">
        <v>32</v>
      </c>
      <c r="O843" s="10" t="str">
        <f>HYPERLINK("https://pbs.twimg.com/profile_images/604060333590855682/Fk6r1D7d_normal.jpg","View")</f>
        <v>View</v>
      </c>
      <c r="P843" s="14"/>
    </row>
    <row r="844">
      <c r="A844" s="7">
        <v>42433.80690972222</v>
      </c>
      <c r="B844" s="8" t="str">
        <f t="shared" ref="B844:B845" si="193">HYPERLINK("https://twitter.com/pastpunditry","@pastpunditry")</f>
        <v>@pastpunditry</v>
      </c>
      <c r="C844" s="9" t="s">
        <v>92</v>
      </c>
      <c r="D844" s="9" t="s">
        <v>935</v>
      </c>
      <c r="E844" s="10" t="str">
        <f>HYPERLINK("https://twitter.com/pastpunditry/status/705926290533171200","705926290533171200")</f>
        <v>705926290533171200</v>
      </c>
      <c r="F844" s="11" t="s">
        <v>77</v>
      </c>
      <c r="G844" s="12">
        <v>890.0</v>
      </c>
      <c r="H844" s="12">
        <v>378.0</v>
      </c>
      <c r="I844" s="12">
        <v>3.0</v>
      </c>
      <c r="J844" s="12">
        <v>0.0</v>
      </c>
      <c r="K844" s="11" t="s">
        <v>21</v>
      </c>
      <c r="L844" s="7">
        <v>40283.384351851855</v>
      </c>
      <c r="M844" s="13" t="s">
        <v>94</v>
      </c>
      <c r="N844" s="13" t="s">
        <v>95</v>
      </c>
      <c r="O844" s="10" t="str">
        <f t="shared" ref="O844:O845" si="194">HYPERLINK("https://pbs.twimg.com/profile_images/704873222802636800/7aFEMOY5_normal.jpg","View")</f>
        <v>View</v>
      </c>
      <c r="P844" s="14"/>
    </row>
    <row r="845">
      <c r="A845" s="7">
        <v>42433.806967592594</v>
      </c>
      <c r="B845" s="8" t="str">
        <f t="shared" si="193"/>
        <v>@pastpunditry</v>
      </c>
      <c r="C845" s="9" t="s">
        <v>92</v>
      </c>
      <c r="D845" s="9" t="s">
        <v>934</v>
      </c>
      <c r="E845" s="10" t="str">
        <f>HYPERLINK("https://twitter.com/pastpunditry/status/705926311953485825","705926311953485825")</f>
        <v>705926311953485825</v>
      </c>
      <c r="F845" s="11" t="s">
        <v>77</v>
      </c>
      <c r="G845" s="12">
        <v>890.0</v>
      </c>
      <c r="H845" s="12">
        <v>378.0</v>
      </c>
      <c r="I845" s="12">
        <v>3.0</v>
      </c>
      <c r="J845" s="12">
        <v>0.0</v>
      </c>
      <c r="K845" s="11" t="s">
        <v>21</v>
      </c>
      <c r="L845" s="7">
        <v>40283.384351851855</v>
      </c>
      <c r="M845" s="13" t="s">
        <v>94</v>
      </c>
      <c r="N845" s="13" t="s">
        <v>95</v>
      </c>
      <c r="O845" s="10" t="str">
        <f t="shared" si="194"/>
        <v>View</v>
      </c>
      <c r="P845" s="14"/>
    </row>
    <row r="846">
      <c r="A846" s="7">
        <v>42433.806979166664</v>
      </c>
      <c r="B846" s="8" t="str">
        <f>HYPERLINK("https://twitter.com/JimGrossmanAHA","@JimGrossmanAHA")</f>
        <v>@JimGrossmanAHA</v>
      </c>
      <c r="C846" s="9" t="s">
        <v>278</v>
      </c>
      <c r="D846" s="9" t="s">
        <v>936</v>
      </c>
      <c r="E846" s="10" t="str">
        <f>HYPERLINK("https://twitter.com/JimGrossmanAHA/status/705926315023720448","705926315023720448")</f>
        <v>705926315023720448</v>
      </c>
      <c r="F846" s="11" t="s">
        <v>31</v>
      </c>
      <c r="G846" s="12">
        <v>2241.0</v>
      </c>
      <c r="H846" s="12">
        <v>368.0</v>
      </c>
      <c r="I846" s="12">
        <v>1.0</v>
      </c>
      <c r="J846" s="12">
        <v>1.0</v>
      </c>
      <c r="K846" s="11" t="s">
        <v>21</v>
      </c>
      <c r="L846" s="7">
        <v>41576.36603009259</v>
      </c>
      <c r="M846" s="13" t="s">
        <v>279</v>
      </c>
      <c r="N846" s="13" t="s">
        <v>280</v>
      </c>
      <c r="O846" s="10" t="str">
        <f>HYPERLINK("https://pbs.twimg.com/profile_images/378800000667891782/44d7b181c077bf16ab07b242f7ad81b9_normal.png","View")</f>
        <v>View</v>
      </c>
      <c r="P846" s="14"/>
    </row>
    <row r="847">
      <c r="A847" s="7">
        <v>42433.80699074074</v>
      </c>
      <c r="B847" s="8" t="str">
        <f t="shared" ref="B847:B848" si="195">HYPERLINK("https://twitter.com/GHAUmass","@GHAUmass")</f>
        <v>@GHAUmass</v>
      </c>
      <c r="C847" s="9" t="s">
        <v>30</v>
      </c>
      <c r="D847" s="9" t="s">
        <v>937</v>
      </c>
      <c r="E847" s="10" t="str">
        <f>HYPERLINK("https://twitter.com/GHAUmass/status/705926316844048384","705926316844048384")</f>
        <v>705926316844048384</v>
      </c>
      <c r="F847" s="11" t="s">
        <v>26</v>
      </c>
      <c r="G847" s="12">
        <v>68.0</v>
      </c>
      <c r="H847" s="12">
        <v>100.0</v>
      </c>
      <c r="I847" s="12">
        <v>1.0</v>
      </c>
      <c r="J847" s="12">
        <v>0.0</v>
      </c>
      <c r="K847" s="11" t="s">
        <v>21</v>
      </c>
      <c r="L847" s="7">
        <v>42152.65289351852</v>
      </c>
      <c r="M847" s="13" t="s">
        <v>22</v>
      </c>
      <c r="N847" s="13" t="s">
        <v>32</v>
      </c>
      <c r="O847" s="10" t="str">
        <f t="shared" ref="O847:O848" si="196">HYPERLINK("https://pbs.twimg.com/profile_images/604060333590855682/Fk6r1D7d_normal.jpg","View")</f>
        <v>View</v>
      </c>
      <c r="P847" s="14"/>
    </row>
    <row r="848">
      <c r="A848" s="7">
        <v>42433.807129629626</v>
      </c>
      <c r="B848" s="8" t="str">
        <f t="shared" si="195"/>
        <v>@GHAUmass</v>
      </c>
      <c r="C848" s="9" t="s">
        <v>30</v>
      </c>
      <c r="D848" s="9" t="s">
        <v>928</v>
      </c>
      <c r="E848" s="10" t="str">
        <f>HYPERLINK("https://twitter.com/GHAUmass/status/705926366890500097","705926366890500097")</f>
        <v>705926366890500097</v>
      </c>
      <c r="F848" s="11" t="s">
        <v>26</v>
      </c>
      <c r="G848" s="12">
        <v>68.0</v>
      </c>
      <c r="H848" s="12">
        <v>100.0</v>
      </c>
      <c r="I848" s="12">
        <v>2.0</v>
      </c>
      <c r="J848" s="12">
        <v>0.0</v>
      </c>
      <c r="K848" s="11" t="s">
        <v>21</v>
      </c>
      <c r="L848" s="7">
        <v>42152.65289351852</v>
      </c>
      <c r="M848" s="13" t="s">
        <v>22</v>
      </c>
      <c r="N848" s="13" t="s">
        <v>32</v>
      </c>
      <c r="O848" s="10" t="str">
        <f t="shared" si="196"/>
        <v>View</v>
      </c>
      <c r="P848" s="14"/>
    </row>
    <row r="849">
      <c r="A849" s="7">
        <v>42433.80715277778</v>
      </c>
      <c r="B849" s="8" t="str">
        <f>HYPERLINK("https://twitter.com/erfagen","@erfagen")</f>
        <v>@erfagen</v>
      </c>
      <c r="C849" s="9" t="s">
        <v>124</v>
      </c>
      <c r="D849" s="9" t="s">
        <v>938</v>
      </c>
      <c r="E849" s="10" t="str">
        <f>HYPERLINK("https://twitter.com/erfagen/status/705926375643938817","705926375643938817")</f>
        <v>705926375643938817</v>
      </c>
      <c r="F849" s="11" t="s">
        <v>26</v>
      </c>
      <c r="G849" s="12">
        <v>1055.0</v>
      </c>
      <c r="H849" s="12">
        <v>2055.0</v>
      </c>
      <c r="I849" s="12">
        <v>2.0</v>
      </c>
      <c r="J849" s="12">
        <v>1.0</v>
      </c>
      <c r="K849" s="11" t="s">
        <v>21</v>
      </c>
      <c r="L849" s="7">
        <v>40524.93576388889</v>
      </c>
      <c r="M849" s="13" t="s">
        <v>125</v>
      </c>
      <c r="N849" s="13" t="s">
        <v>126</v>
      </c>
      <c r="O849" s="10" t="str">
        <f>HYPERLINK("https://pbs.twimg.com/profile_images/638086945722249217/mid_S_BQ_normal.jpg","View")</f>
        <v>View</v>
      </c>
      <c r="P849" s="14"/>
    </row>
    <row r="850">
      <c r="A850" s="7">
        <v>42433.80721064815</v>
      </c>
      <c r="B850" s="8" t="str">
        <f>HYPERLINK("https://twitter.com/umassph","@umassph")</f>
        <v>@umassph</v>
      </c>
      <c r="C850" s="9" t="s">
        <v>121</v>
      </c>
      <c r="D850" s="9" t="s">
        <v>896</v>
      </c>
      <c r="E850" s="10" t="str">
        <f>HYPERLINK("https://twitter.com/umassph/status/705926397928316929","705926397928316929")</f>
        <v>705926397928316929</v>
      </c>
      <c r="F850" s="11" t="s">
        <v>26</v>
      </c>
      <c r="G850" s="12">
        <v>693.0</v>
      </c>
      <c r="H850" s="12">
        <v>242.0</v>
      </c>
      <c r="I850" s="12">
        <v>10.0</v>
      </c>
      <c r="J850" s="12">
        <v>0.0</v>
      </c>
      <c r="K850" s="11" t="s">
        <v>21</v>
      </c>
      <c r="L850" s="7">
        <v>40242.52853009259</v>
      </c>
      <c r="M850" s="13" t="s">
        <v>22</v>
      </c>
      <c r="N850" s="13" t="s">
        <v>123</v>
      </c>
      <c r="O850" s="10" t="str">
        <f>HYPERLINK("https://pbs.twimg.com/profile_images/3583165575/54f0bc87a29b2ae8587193829ce07299_normal.jpeg","View")</f>
        <v>View</v>
      </c>
      <c r="P850" s="14"/>
    </row>
    <row r="851">
      <c r="A851" s="7">
        <v>42433.80724537037</v>
      </c>
      <c r="B851" s="8" t="str">
        <f>HYPERLINK("https://twitter.com/pastpunditry","@pastpunditry")</f>
        <v>@pastpunditry</v>
      </c>
      <c r="C851" s="9" t="s">
        <v>92</v>
      </c>
      <c r="D851" s="9" t="s">
        <v>939</v>
      </c>
      <c r="E851" s="10" t="str">
        <f>HYPERLINK("https://twitter.com/pastpunditry/status/705926409768845312","705926409768845312")</f>
        <v>705926409768845312</v>
      </c>
      <c r="F851" s="11" t="s">
        <v>77</v>
      </c>
      <c r="G851" s="12">
        <v>890.0</v>
      </c>
      <c r="H851" s="12">
        <v>378.0</v>
      </c>
      <c r="I851" s="12">
        <v>2.0</v>
      </c>
      <c r="J851" s="12">
        <v>0.0</v>
      </c>
      <c r="K851" s="11" t="s">
        <v>21</v>
      </c>
      <c r="L851" s="7">
        <v>40283.384351851855</v>
      </c>
      <c r="M851" s="13" t="s">
        <v>94</v>
      </c>
      <c r="N851" s="13" t="s">
        <v>95</v>
      </c>
      <c r="O851" s="10" t="str">
        <f>HYPERLINK("https://pbs.twimg.com/profile_images/704873222802636800/7aFEMOY5_normal.jpg","View")</f>
        <v>View</v>
      </c>
      <c r="P851" s="14"/>
    </row>
    <row r="852">
      <c r="A852" s="7">
        <v>42433.80724537037</v>
      </c>
      <c r="B852" s="8" t="str">
        <f>HYPERLINK("https://twitter.com/sheishistoric","@sheishistoric")</f>
        <v>@sheishistoric</v>
      </c>
      <c r="C852" s="9" t="s">
        <v>127</v>
      </c>
      <c r="D852" s="9" t="s">
        <v>940</v>
      </c>
      <c r="E852" s="10" t="str">
        <f>HYPERLINK("https://twitter.com/sheishistoric/status/705926412050558976","705926412050558976")</f>
        <v>705926412050558976</v>
      </c>
      <c r="F852" s="11" t="s">
        <v>26</v>
      </c>
      <c r="G852" s="12">
        <v>405.0</v>
      </c>
      <c r="H852" s="12">
        <v>882.0</v>
      </c>
      <c r="I852" s="12">
        <v>0.0</v>
      </c>
      <c r="J852" s="12">
        <v>1.0</v>
      </c>
      <c r="K852" s="11" t="s">
        <v>21</v>
      </c>
      <c r="L852" s="7">
        <v>41529.842094907406</v>
      </c>
      <c r="M852" s="13" t="s">
        <v>129</v>
      </c>
      <c r="N852" s="13" t="s">
        <v>130</v>
      </c>
      <c r="O852" s="10" t="str">
        <f>HYPERLINK("https://pbs.twimg.com/profile_images/650419150620377089/bJxBf---_normal.jpg","View")</f>
        <v>View</v>
      </c>
      <c r="P852" s="14"/>
    </row>
    <row r="853">
      <c r="A853" s="7">
        <v>42433.80729166667</v>
      </c>
      <c r="B853" s="8" t="str">
        <f>HYPERLINK("https://twitter.com/umassph","@umassph")</f>
        <v>@umassph</v>
      </c>
      <c r="C853" s="9" t="s">
        <v>121</v>
      </c>
      <c r="D853" s="9" t="s">
        <v>933</v>
      </c>
      <c r="E853" s="10" t="str">
        <f>HYPERLINK("https://twitter.com/umassph/status/705926428999749632","705926428999749632")</f>
        <v>705926428999749632</v>
      </c>
      <c r="F853" s="11" t="s">
        <v>26</v>
      </c>
      <c r="G853" s="12">
        <v>693.0</v>
      </c>
      <c r="H853" s="12">
        <v>242.0</v>
      </c>
      <c r="I853" s="12">
        <v>5.0</v>
      </c>
      <c r="J853" s="12">
        <v>0.0</v>
      </c>
      <c r="K853" s="11" t="s">
        <v>21</v>
      </c>
      <c r="L853" s="7">
        <v>40242.52853009259</v>
      </c>
      <c r="M853" s="13" t="s">
        <v>22</v>
      </c>
      <c r="N853" s="13" t="s">
        <v>123</v>
      </c>
      <c r="O853" s="10" t="str">
        <f>HYPERLINK("https://pbs.twimg.com/profile_images/3583165575/54f0bc87a29b2ae8587193829ce07299_normal.jpeg","View")</f>
        <v>View</v>
      </c>
      <c r="P853" s="14"/>
    </row>
    <row r="854">
      <c r="A854" s="7">
        <v>42433.807488425926</v>
      </c>
      <c r="B854" s="8" t="str">
        <f>HYPERLINK("https://twitter.com/sheishistoric","@sheishistoric")</f>
        <v>@sheishistoric</v>
      </c>
      <c r="C854" s="9" t="s">
        <v>127</v>
      </c>
      <c r="D854" s="9" t="s">
        <v>941</v>
      </c>
      <c r="E854" s="10" t="str">
        <f>HYPERLINK("https://twitter.com/sheishistoric/status/705926497064886273","705926497064886273")</f>
        <v>705926497064886273</v>
      </c>
      <c r="F854" s="11" t="s">
        <v>26</v>
      </c>
      <c r="G854" s="12">
        <v>405.0</v>
      </c>
      <c r="H854" s="12">
        <v>882.0</v>
      </c>
      <c r="I854" s="12">
        <v>0.0</v>
      </c>
      <c r="J854" s="12">
        <v>1.0</v>
      </c>
      <c r="K854" s="11" t="s">
        <v>21</v>
      </c>
      <c r="L854" s="7">
        <v>41529.842094907406</v>
      </c>
      <c r="M854" s="13" t="s">
        <v>129</v>
      </c>
      <c r="N854" s="13" t="s">
        <v>130</v>
      </c>
      <c r="O854" s="10" t="str">
        <f>HYPERLINK("https://pbs.twimg.com/profile_images/650419150620377089/bJxBf---_normal.jpg","View")</f>
        <v>View</v>
      </c>
      <c r="P854" s="14"/>
    </row>
    <row r="855">
      <c r="A855" s="7">
        <v>42433.80762731482</v>
      </c>
      <c r="B855" s="8" t="str">
        <f>HYPERLINK("https://twitter.com/JulieThePH","@JulieThePH")</f>
        <v>@JulieThePH</v>
      </c>
      <c r="C855" s="9" t="s">
        <v>211</v>
      </c>
      <c r="D855" s="9" t="s">
        <v>942</v>
      </c>
      <c r="E855" s="10" t="str">
        <f>HYPERLINK("https://twitter.com/JulieThePH/status/705926551066558464","705926551066558464")</f>
        <v>705926551066558464</v>
      </c>
      <c r="F855" s="11" t="s">
        <v>148</v>
      </c>
      <c r="G855" s="12">
        <v>1234.0</v>
      </c>
      <c r="H855" s="12">
        <v>1386.0</v>
      </c>
      <c r="I855" s="12">
        <v>3.0</v>
      </c>
      <c r="J855" s="12">
        <v>5.0</v>
      </c>
      <c r="K855" s="11" t="s">
        <v>21</v>
      </c>
      <c r="L855" s="7">
        <v>40718.66918981481</v>
      </c>
      <c r="M855" s="13" t="s">
        <v>213</v>
      </c>
      <c r="N855" s="13" t="s">
        <v>214</v>
      </c>
      <c r="O855" s="10" t="str">
        <f>HYPERLINK("https://pbs.twimg.com/profile_images/596509974005686273/AqBblwMR_normal.jpg","View")</f>
        <v>View</v>
      </c>
      <c r="P855" s="14"/>
    </row>
    <row r="856">
      <c r="A856" s="7">
        <v>42433.807696759264</v>
      </c>
      <c r="B856" s="8" t="str">
        <f t="shared" ref="B856:B857" si="197">HYPERLINK("https://twitter.com/pastpunditry","@pastpunditry")</f>
        <v>@pastpunditry</v>
      </c>
      <c r="C856" s="9" t="s">
        <v>92</v>
      </c>
      <c r="D856" s="9" t="s">
        <v>943</v>
      </c>
      <c r="E856" s="10" t="str">
        <f>HYPERLINK("https://twitter.com/pastpunditry/status/705926575309590528","705926575309590528")</f>
        <v>705926575309590528</v>
      </c>
      <c r="F856" s="11" t="s">
        <v>77</v>
      </c>
      <c r="G856" s="12">
        <v>890.0</v>
      </c>
      <c r="H856" s="12">
        <v>378.0</v>
      </c>
      <c r="I856" s="12">
        <v>2.0</v>
      </c>
      <c r="J856" s="12">
        <v>3.0</v>
      </c>
      <c r="K856" s="11" t="s">
        <v>21</v>
      </c>
      <c r="L856" s="7">
        <v>40283.384351851855</v>
      </c>
      <c r="M856" s="13" t="s">
        <v>94</v>
      </c>
      <c r="N856" s="13" t="s">
        <v>95</v>
      </c>
      <c r="O856" s="10" t="str">
        <f t="shared" ref="O856:O857" si="198">HYPERLINK("https://pbs.twimg.com/profile_images/704873222802636800/7aFEMOY5_normal.jpg","View")</f>
        <v>View</v>
      </c>
      <c r="P856" s="14"/>
    </row>
    <row r="857">
      <c r="A857" s="7">
        <v>42433.807754629626</v>
      </c>
      <c r="B857" s="8" t="str">
        <f t="shared" si="197"/>
        <v>@pastpunditry</v>
      </c>
      <c r="C857" s="9" t="s">
        <v>92</v>
      </c>
      <c r="D857" s="9" t="s">
        <v>944</v>
      </c>
      <c r="E857" s="10" t="str">
        <f>HYPERLINK("https://twitter.com/pastpunditry/status/705926596469911552","705926596469911552")</f>
        <v>705926596469911552</v>
      </c>
      <c r="F857" s="11" t="s">
        <v>77</v>
      </c>
      <c r="G857" s="12">
        <v>890.0</v>
      </c>
      <c r="H857" s="12">
        <v>378.0</v>
      </c>
      <c r="I857" s="12">
        <v>3.0</v>
      </c>
      <c r="J857" s="12">
        <v>0.0</v>
      </c>
      <c r="K857" s="11" t="s">
        <v>21</v>
      </c>
      <c r="L857" s="7">
        <v>40283.384351851855</v>
      </c>
      <c r="M857" s="13" t="s">
        <v>94</v>
      </c>
      <c r="N857" s="13" t="s">
        <v>95</v>
      </c>
      <c r="O857" s="10" t="str">
        <f t="shared" si="198"/>
        <v>View</v>
      </c>
      <c r="P857" s="14"/>
    </row>
    <row r="858">
      <c r="A858" s="7">
        <v>42433.80783564815</v>
      </c>
      <c r="B858" s="8" t="str">
        <f>HYPERLINK("https://twitter.com/maggieyancey","@maggieyancey")</f>
        <v>@maggieyancey</v>
      </c>
      <c r="C858" s="9" t="s">
        <v>945</v>
      </c>
      <c r="D858" s="9" t="s">
        <v>946</v>
      </c>
      <c r="E858" s="10" t="str">
        <f>HYPERLINK("https://twitter.com/maggieyancey/status/705926624223502336","705926624223502336")</f>
        <v>705926624223502336</v>
      </c>
      <c r="F858" s="11" t="s">
        <v>26</v>
      </c>
      <c r="G858" s="12">
        <v>2714.0</v>
      </c>
      <c r="H858" s="12">
        <v>1862.0</v>
      </c>
      <c r="I858" s="12">
        <v>1.0</v>
      </c>
      <c r="J858" s="12">
        <v>0.0</v>
      </c>
      <c r="K858" s="11" t="s">
        <v>21</v>
      </c>
      <c r="L858" s="7">
        <v>39972.86714120371</v>
      </c>
      <c r="M858" s="13" t="s">
        <v>947</v>
      </c>
      <c r="N858" s="13" t="s">
        <v>948</v>
      </c>
      <c r="O858" s="10" t="str">
        <f>HYPERLINK("https://pbs.twimg.com/profile_images/640729706988376064/DpVJupDX_normal.jpg","View")</f>
        <v>View</v>
      </c>
      <c r="P858" s="14"/>
    </row>
    <row r="859">
      <c r="A859" s="7">
        <v>42433.80783564815</v>
      </c>
      <c r="B859" s="8" t="str">
        <f>HYPERLINK("https://twitter.com/JimGrossmanAHA","@JimGrossmanAHA")</f>
        <v>@JimGrossmanAHA</v>
      </c>
      <c r="C859" s="9" t="s">
        <v>278</v>
      </c>
      <c r="D859" s="9" t="s">
        <v>949</v>
      </c>
      <c r="E859" s="10" t="str">
        <f>HYPERLINK("https://twitter.com/JimGrossmanAHA/status/705926624647225346","705926624647225346")</f>
        <v>705926624647225346</v>
      </c>
      <c r="F859" s="11" t="s">
        <v>31</v>
      </c>
      <c r="G859" s="12">
        <v>2241.0</v>
      </c>
      <c r="H859" s="12">
        <v>368.0</v>
      </c>
      <c r="I859" s="12">
        <v>3.0</v>
      </c>
      <c r="J859" s="12">
        <v>5.0</v>
      </c>
      <c r="K859" s="11" t="s">
        <v>21</v>
      </c>
      <c r="L859" s="7">
        <v>41576.36603009259</v>
      </c>
      <c r="M859" s="13" t="s">
        <v>279</v>
      </c>
      <c r="N859" s="13" t="s">
        <v>280</v>
      </c>
      <c r="O859" s="10" t="str">
        <f>HYPERLINK("https://pbs.twimg.com/profile_images/378800000667891782/44d7b181c077bf16ab07b242f7ad81b9_normal.png","View")</f>
        <v>View</v>
      </c>
      <c r="P859" s="14"/>
    </row>
    <row r="860">
      <c r="A860" s="7">
        <v>42433.80789351852</v>
      </c>
      <c r="B860" s="8" t="str">
        <f>HYPERLINK("https://twitter.com/maggieyancey","@maggieyancey")</f>
        <v>@maggieyancey</v>
      </c>
      <c r="C860" s="9" t="s">
        <v>945</v>
      </c>
      <c r="D860" s="9" t="s">
        <v>933</v>
      </c>
      <c r="E860" s="10" t="str">
        <f>HYPERLINK("https://twitter.com/maggieyancey/status/705926646889451520","705926646889451520")</f>
        <v>705926646889451520</v>
      </c>
      <c r="F860" s="11" t="s">
        <v>26</v>
      </c>
      <c r="G860" s="12">
        <v>2714.0</v>
      </c>
      <c r="H860" s="12">
        <v>1862.0</v>
      </c>
      <c r="I860" s="12">
        <v>5.0</v>
      </c>
      <c r="J860" s="12">
        <v>0.0</v>
      </c>
      <c r="K860" s="11" t="s">
        <v>21</v>
      </c>
      <c r="L860" s="7">
        <v>39972.86714120371</v>
      </c>
      <c r="M860" s="13" t="s">
        <v>947</v>
      </c>
      <c r="N860" s="13" t="s">
        <v>948</v>
      </c>
      <c r="O860" s="10" t="str">
        <f>HYPERLINK("https://pbs.twimg.com/profile_images/640729706988376064/DpVJupDX_normal.jpg","View")</f>
        <v>View</v>
      </c>
      <c r="P860" s="14"/>
    </row>
    <row r="861">
      <c r="A861" s="7">
        <v>42433.80790509259</v>
      </c>
      <c r="B861" s="8" t="str">
        <f>HYPERLINK("https://twitter.com/pastpunditry","@pastpunditry")</f>
        <v>@pastpunditry</v>
      </c>
      <c r="C861" s="9" t="s">
        <v>92</v>
      </c>
      <c r="D861" s="9" t="s">
        <v>950</v>
      </c>
      <c r="E861" s="10" t="str">
        <f>HYPERLINK("https://twitter.com/pastpunditry/status/705926648475095040","705926648475095040")</f>
        <v>705926648475095040</v>
      </c>
      <c r="F861" s="11" t="s">
        <v>77</v>
      </c>
      <c r="G861" s="12">
        <v>890.0</v>
      </c>
      <c r="H861" s="12">
        <v>378.0</v>
      </c>
      <c r="I861" s="12">
        <v>3.0</v>
      </c>
      <c r="J861" s="12">
        <v>0.0</v>
      </c>
      <c r="K861" s="11" t="s">
        <v>21</v>
      </c>
      <c r="L861" s="7">
        <v>40283.384351851855</v>
      </c>
      <c r="M861" s="13" t="s">
        <v>94</v>
      </c>
      <c r="N861" s="13" t="s">
        <v>95</v>
      </c>
      <c r="O861" s="10" t="str">
        <f>HYPERLINK("https://pbs.twimg.com/profile_images/704873222802636800/7aFEMOY5_normal.jpg","View")</f>
        <v>View</v>
      </c>
      <c r="P861" s="14"/>
    </row>
    <row r="862">
      <c r="A862" s="7">
        <v>42433.80790509259</v>
      </c>
      <c r="B862" s="8" t="str">
        <f>HYPERLINK("https://twitter.com/rebekkahrubin","@rebekkahrubin")</f>
        <v>@rebekkahrubin</v>
      </c>
      <c r="C862" s="9" t="s">
        <v>141</v>
      </c>
      <c r="D862" s="9" t="s">
        <v>951</v>
      </c>
      <c r="E862" s="10" t="str">
        <f>HYPERLINK("https://twitter.com/rebekkahrubin/status/705926651360710657","705926651360710657")</f>
        <v>705926651360710657</v>
      </c>
      <c r="F862" s="11" t="s">
        <v>31</v>
      </c>
      <c r="G862" s="12">
        <v>492.0</v>
      </c>
      <c r="H862" s="12">
        <v>1224.0</v>
      </c>
      <c r="I862" s="12">
        <v>1.0</v>
      </c>
      <c r="J862" s="12">
        <v>1.0</v>
      </c>
      <c r="K862" s="11" t="s">
        <v>21</v>
      </c>
      <c r="L862" s="7">
        <v>40411.521527777775</v>
      </c>
      <c r="M862" s="13" t="s">
        <v>143</v>
      </c>
      <c r="N862" s="13" t="s">
        <v>144</v>
      </c>
      <c r="O862" s="10" t="str">
        <f>HYPERLINK("https://pbs.twimg.com/profile_images/700317732588408832/Ym_-neUi_normal.jpg","View")</f>
        <v>View</v>
      </c>
      <c r="P862" s="14"/>
    </row>
    <row r="863">
      <c r="A863" s="7">
        <v>42433.80798611111</v>
      </c>
      <c r="B863" s="8" t="str">
        <f>HYPERLINK("https://twitter.com/maggieyancey","@maggieyancey")</f>
        <v>@maggieyancey</v>
      </c>
      <c r="C863" s="9" t="s">
        <v>945</v>
      </c>
      <c r="D863" s="9" t="s">
        <v>934</v>
      </c>
      <c r="E863" s="10" t="str">
        <f>HYPERLINK("https://twitter.com/maggieyancey/status/705926677277253632","705926677277253632")</f>
        <v>705926677277253632</v>
      </c>
      <c r="F863" s="11" t="s">
        <v>26</v>
      </c>
      <c r="G863" s="12">
        <v>2714.0</v>
      </c>
      <c r="H863" s="12">
        <v>1862.0</v>
      </c>
      <c r="I863" s="12">
        <v>3.0</v>
      </c>
      <c r="J863" s="12">
        <v>0.0</v>
      </c>
      <c r="K863" s="11" t="s">
        <v>21</v>
      </c>
      <c r="L863" s="7">
        <v>39972.86714120371</v>
      </c>
      <c r="M863" s="13" t="s">
        <v>947</v>
      </c>
      <c r="N863" s="13" t="s">
        <v>948</v>
      </c>
      <c r="O863" s="10" t="str">
        <f>HYPERLINK("https://pbs.twimg.com/profile_images/640729706988376064/DpVJupDX_normal.jpg","View")</f>
        <v>View</v>
      </c>
      <c r="P863" s="14"/>
    </row>
    <row r="864">
      <c r="A864" s="7">
        <v>42433.808333333334</v>
      </c>
      <c r="B864" s="8" t="str">
        <f>HYPERLINK("https://twitter.com/jaheppler","@jaheppler")</f>
        <v>@jaheppler</v>
      </c>
      <c r="C864" s="9" t="s">
        <v>460</v>
      </c>
      <c r="D864" s="9" t="s">
        <v>952</v>
      </c>
      <c r="E864" s="10" t="str">
        <f>HYPERLINK("https://twitter.com/jaheppler/status/705926804985360384","705926804985360384")</f>
        <v>705926804985360384</v>
      </c>
      <c r="F864" s="11" t="s">
        <v>26</v>
      </c>
      <c r="G864" s="12">
        <v>1933.0</v>
      </c>
      <c r="H864" s="12">
        <v>480.0</v>
      </c>
      <c r="I864" s="12">
        <v>1.0</v>
      </c>
      <c r="J864" s="12">
        <v>0.0</v>
      </c>
      <c r="K864" s="11" t="s">
        <v>21</v>
      </c>
      <c r="L864" s="7">
        <v>39702.3484375</v>
      </c>
      <c r="M864" s="13" t="s">
        <v>463</v>
      </c>
      <c r="N864" s="13" t="s">
        <v>464</v>
      </c>
      <c r="O864" s="10" t="str">
        <f>HYPERLINK("https://pbs.twimg.com/profile_images/436607137188290560/UM-U3wT1_normal.jpeg","View")</f>
        <v>View</v>
      </c>
      <c r="P864" s="14"/>
    </row>
    <row r="865">
      <c r="A865" s="7">
        <v>42433.80877314815</v>
      </c>
      <c r="B865" s="8" t="str">
        <f>HYPERLINK("https://twitter.com/erfagen","@erfagen")</f>
        <v>@erfagen</v>
      </c>
      <c r="C865" s="9" t="s">
        <v>124</v>
      </c>
      <c r="D865" s="9" t="s">
        <v>953</v>
      </c>
      <c r="E865" s="10" t="str">
        <f>HYPERLINK("https://twitter.com/erfagen/status/705926964947902464","705926964947902464")</f>
        <v>705926964947902464</v>
      </c>
      <c r="F865" s="11" t="s">
        <v>26</v>
      </c>
      <c r="G865" s="12">
        <v>1055.0</v>
      </c>
      <c r="H865" s="12">
        <v>2055.0</v>
      </c>
      <c r="I865" s="12">
        <v>1.0</v>
      </c>
      <c r="J865" s="12">
        <v>2.0</v>
      </c>
      <c r="K865" s="11" t="s">
        <v>21</v>
      </c>
      <c r="L865" s="7">
        <v>40524.93576388889</v>
      </c>
      <c r="M865" s="13" t="s">
        <v>125</v>
      </c>
      <c r="N865" s="13" t="s">
        <v>126</v>
      </c>
      <c r="O865" s="10" t="str">
        <f>HYPERLINK("https://pbs.twimg.com/profile_images/638086945722249217/mid_S_BQ_normal.jpg","View")</f>
        <v>View</v>
      </c>
      <c r="P865" s="14"/>
    </row>
    <row r="866">
      <c r="A866" s="7">
        <v>42433.80880787037</v>
      </c>
      <c r="B866" s="8" t="str">
        <f>HYPERLINK("https://twitter.com/sheishistoric","@sheishistoric")</f>
        <v>@sheishistoric</v>
      </c>
      <c r="C866" s="9" t="s">
        <v>127</v>
      </c>
      <c r="D866" s="9" t="s">
        <v>954</v>
      </c>
      <c r="E866" s="10" t="str">
        <f>HYPERLINK("https://twitter.com/sheishistoric/status/705926977568559105","705926977568559105")</f>
        <v>705926977568559105</v>
      </c>
      <c r="F866" s="11" t="s">
        <v>26</v>
      </c>
      <c r="G866" s="12">
        <v>405.0</v>
      </c>
      <c r="H866" s="12">
        <v>882.0</v>
      </c>
      <c r="I866" s="12">
        <v>3.0</v>
      </c>
      <c r="J866" s="12">
        <v>3.0</v>
      </c>
      <c r="K866" s="11" t="s">
        <v>21</v>
      </c>
      <c r="L866" s="7">
        <v>41529.842094907406</v>
      </c>
      <c r="M866" s="13" t="s">
        <v>129</v>
      </c>
      <c r="N866" s="13" t="s">
        <v>130</v>
      </c>
      <c r="O866" s="10" t="str">
        <f>HYPERLINK("https://pbs.twimg.com/profile_images/650419150620377089/bJxBf---_normal.jpg","View")</f>
        <v>View</v>
      </c>
      <c r="P866" s="14"/>
    </row>
    <row r="867">
      <c r="A867" s="7">
        <v>42433.808969907404</v>
      </c>
      <c r="B867" s="8" t="str">
        <f>HYPERLINK("https://twitter.com/JulieThePH","@JulieThePH")</f>
        <v>@JulieThePH</v>
      </c>
      <c r="C867" s="9" t="s">
        <v>211</v>
      </c>
      <c r="D867" s="9" t="s">
        <v>955</v>
      </c>
      <c r="E867" s="10" t="str">
        <f>HYPERLINK("https://twitter.com/JulieThePH/status/705927036452397060","705927036452397060")</f>
        <v>705927036452397060</v>
      </c>
      <c r="F867" s="11" t="s">
        <v>148</v>
      </c>
      <c r="G867" s="12">
        <v>1234.0</v>
      </c>
      <c r="H867" s="12">
        <v>1386.0</v>
      </c>
      <c r="I867" s="12">
        <v>0.0</v>
      </c>
      <c r="J867" s="12">
        <v>1.0</v>
      </c>
      <c r="K867" s="11" t="s">
        <v>21</v>
      </c>
      <c r="L867" s="7">
        <v>40718.66918981481</v>
      </c>
      <c r="M867" s="13" t="s">
        <v>213</v>
      </c>
      <c r="N867" s="13" t="s">
        <v>214</v>
      </c>
      <c r="O867" s="10" t="str">
        <f>HYPERLINK("https://pbs.twimg.com/profile_images/596509974005686273/AqBblwMR_normal.jpg","View")</f>
        <v>View</v>
      </c>
      <c r="P867" s="14"/>
    </row>
    <row r="868">
      <c r="A868" s="7">
        <v>42433.80915509259</v>
      </c>
      <c r="B868" s="8" t="str">
        <f>HYPERLINK("https://twitter.com/pastpunditry","@pastpunditry")</f>
        <v>@pastpunditry</v>
      </c>
      <c r="C868" s="9" t="s">
        <v>92</v>
      </c>
      <c r="D868" s="9" t="s">
        <v>956</v>
      </c>
      <c r="E868" s="10" t="str">
        <f>HYPERLINK("https://twitter.com/pastpunditry/status/705927101208203264","705927101208203264")</f>
        <v>705927101208203264</v>
      </c>
      <c r="F868" s="11" t="s">
        <v>77</v>
      </c>
      <c r="G868" s="12">
        <v>890.0</v>
      </c>
      <c r="H868" s="12">
        <v>378.0</v>
      </c>
      <c r="I868" s="12">
        <v>3.0</v>
      </c>
      <c r="J868" s="12">
        <v>0.0</v>
      </c>
      <c r="K868" s="11" t="s">
        <v>21</v>
      </c>
      <c r="L868" s="7">
        <v>40283.384351851855</v>
      </c>
      <c r="M868" s="13" t="s">
        <v>94</v>
      </c>
      <c r="N868" s="13" t="s">
        <v>95</v>
      </c>
      <c r="O868" s="10" t="str">
        <f>HYPERLINK("https://pbs.twimg.com/profile_images/704873222802636800/7aFEMOY5_normal.jpg","View")</f>
        <v>View</v>
      </c>
      <c r="P868" s="14"/>
    </row>
    <row r="869">
      <c r="A869" s="7">
        <v>42433.80920138889</v>
      </c>
      <c r="B869" s="8" t="str">
        <f>HYPERLINK("https://twitter.com/erfagen","@erfagen")</f>
        <v>@erfagen</v>
      </c>
      <c r="C869" s="9" t="s">
        <v>124</v>
      </c>
      <c r="D869" s="9" t="s">
        <v>957</v>
      </c>
      <c r="E869" s="10" t="str">
        <f>HYPERLINK("https://twitter.com/erfagen/status/705927119570870273","705927119570870273")</f>
        <v>705927119570870273</v>
      </c>
      <c r="F869" s="11" t="s">
        <v>26</v>
      </c>
      <c r="G869" s="12">
        <v>1055.0</v>
      </c>
      <c r="H869" s="12">
        <v>2055.0</v>
      </c>
      <c r="I869" s="12">
        <v>0.0</v>
      </c>
      <c r="J869" s="12">
        <v>2.0</v>
      </c>
      <c r="K869" s="11" t="s">
        <v>21</v>
      </c>
      <c r="L869" s="7">
        <v>40524.93576388889</v>
      </c>
      <c r="M869" s="13" t="s">
        <v>125</v>
      </c>
      <c r="N869" s="13" t="s">
        <v>126</v>
      </c>
      <c r="O869" s="10" t="str">
        <f>HYPERLINK("https://pbs.twimg.com/profile_images/638086945722249217/mid_S_BQ_normal.jpg","View")</f>
        <v>View</v>
      </c>
      <c r="P869" s="14"/>
    </row>
    <row r="870">
      <c r="A870" s="7">
        <v>42433.80965277778</v>
      </c>
      <c r="B870" s="8" t="str">
        <f>HYPERLINK("https://twitter.com/JulieThePH","@JulieThePH")</f>
        <v>@JulieThePH</v>
      </c>
      <c r="C870" s="9" t="s">
        <v>211</v>
      </c>
      <c r="D870" s="9" t="s">
        <v>958</v>
      </c>
      <c r="E870" s="10" t="str">
        <f>HYPERLINK("https://twitter.com/JulieThePH/status/705927282712551424","705927282712551424")</f>
        <v>705927282712551424</v>
      </c>
      <c r="F870" s="11" t="s">
        <v>148</v>
      </c>
      <c r="G870" s="12">
        <v>1234.0</v>
      </c>
      <c r="H870" s="12">
        <v>1386.0</v>
      </c>
      <c r="I870" s="12">
        <v>2.0</v>
      </c>
      <c r="J870" s="12">
        <v>1.0</v>
      </c>
      <c r="K870" s="11" t="s">
        <v>21</v>
      </c>
      <c r="L870" s="7">
        <v>40718.66918981481</v>
      </c>
      <c r="M870" s="13" t="s">
        <v>213</v>
      </c>
      <c r="N870" s="13" t="s">
        <v>214</v>
      </c>
      <c r="O870" s="10" t="str">
        <f>HYPERLINK("https://pbs.twimg.com/profile_images/596509974005686273/AqBblwMR_normal.jpg","View")</f>
        <v>View</v>
      </c>
      <c r="P870" s="14"/>
    </row>
    <row r="871">
      <c r="A871" s="7">
        <v>42433.809687500005</v>
      </c>
      <c r="B871" s="8" t="str">
        <f t="shared" ref="B871:B872" si="199">HYPERLINK("https://twitter.com/pastpunditry","@pastpunditry")</f>
        <v>@pastpunditry</v>
      </c>
      <c r="C871" s="9" t="s">
        <v>92</v>
      </c>
      <c r="D871" s="9" t="s">
        <v>959</v>
      </c>
      <c r="E871" s="10" t="str">
        <f>HYPERLINK("https://twitter.com/pastpunditry/status/705927294783758336","705927294783758336")</f>
        <v>705927294783758336</v>
      </c>
      <c r="F871" s="11" t="s">
        <v>77</v>
      </c>
      <c r="G871" s="12">
        <v>890.0</v>
      </c>
      <c r="H871" s="12">
        <v>378.0</v>
      </c>
      <c r="I871" s="12">
        <v>1.0</v>
      </c>
      <c r="J871" s="12">
        <v>2.0</v>
      </c>
      <c r="K871" s="11" t="s">
        <v>21</v>
      </c>
      <c r="L871" s="7">
        <v>40283.384351851855</v>
      </c>
      <c r="M871" s="13" t="s">
        <v>94</v>
      </c>
      <c r="N871" s="13" t="s">
        <v>95</v>
      </c>
      <c r="O871" s="10" t="str">
        <f t="shared" ref="O871:O872" si="200">HYPERLINK("https://pbs.twimg.com/profile_images/704873222802636800/7aFEMOY5_normal.jpg","View")</f>
        <v>View</v>
      </c>
      <c r="P871" s="14"/>
    </row>
    <row r="872">
      <c r="A872" s="7">
        <v>42433.80972222222</v>
      </c>
      <c r="B872" s="8" t="str">
        <f t="shared" si="199"/>
        <v>@pastpunditry</v>
      </c>
      <c r="C872" s="9" t="s">
        <v>92</v>
      </c>
      <c r="D872" s="9" t="s">
        <v>960</v>
      </c>
      <c r="E872" s="10" t="str">
        <f>HYPERLINK("https://twitter.com/pastpunditry/status/705927310030065664","705927310030065664")</f>
        <v>705927310030065664</v>
      </c>
      <c r="F872" s="11" t="s">
        <v>77</v>
      </c>
      <c r="G872" s="12">
        <v>890.0</v>
      </c>
      <c r="H872" s="12">
        <v>378.0</v>
      </c>
      <c r="I872" s="12">
        <v>2.0</v>
      </c>
      <c r="J872" s="12">
        <v>0.0</v>
      </c>
      <c r="K872" s="11" t="s">
        <v>21</v>
      </c>
      <c r="L872" s="7">
        <v>40283.384351851855</v>
      </c>
      <c r="M872" s="13" t="s">
        <v>94</v>
      </c>
      <c r="N872" s="13" t="s">
        <v>95</v>
      </c>
      <c r="O872" s="10" t="str">
        <f t="shared" si="200"/>
        <v>View</v>
      </c>
      <c r="P872" s="14"/>
    </row>
    <row r="873">
      <c r="A873" s="7">
        <v>42433.80980324074</v>
      </c>
      <c r="B873" s="8" t="str">
        <f>HYPERLINK("https://twitter.com/juliegpeterson","@juliegpeterson")</f>
        <v>@juliegpeterson</v>
      </c>
      <c r="C873" s="9" t="s">
        <v>24</v>
      </c>
      <c r="D873" s="9" t="s">
        <v>961</v>
      </c>
      <c r="E873" s="10" t="str">
        <f>HYPERLINK("https://twitter.com/juliegpeterson/status/705927339708915712","705927339708915712")</f>
        <v>705927339708915712</v>
      </c>
      <c r="F873" s="11" t="s">
        <v>26</v>
      </c>
      <c r="G873" s="12">
        <v>239.0</v>
      </c>
      <c r="H873" s="12">
        <v>775.0</v>
      </c>
      <c r="I873" s="12">
        <v>1.0</v>
      </c>
      <c r="J873" s="12">
        <v>1.0</v>
      </c>
      <c r="K873" s="11" t="s">
        <v>21</v>
      </c>
      <c r="L873" s="7">
        <v>41208.65523148148</v>
      </c>
      <c r="M873" s="13" t="s">
        <v>22</v>
      </c>
      <c r="N873" s="13" t="s">
        <v>27</v>
      </c>
      <c r="O873" s="10" t="str">
        <f>HYPERLINK("https://pbs.twimg.com/profile_images/609765839051452416/GNW0wSt0_normal.jpg","View")</f>
        <v>View</v>
      </c>
      <c r="P873" s="14"/>
    </row>
    <row r="874">
      <c r="A874" s="7">
        <v>42433.80993055555</v>
      </c>
      <c r="B874" s="8" t="str">
        <f>HYPERLINK("https://twitter.com/erfagen","@erfagen")</f>
        <v>@erfagen</v>
      </c>
      <c r="C874" s="9" t="s">
        <v>124</v>
      </c>
      <c r="D874" s="9" t="s">
        <v>962</v>
      </c>
      <c r="E874" s="10" t="str">
        <f>HYPERLINK("https://twitter.com/erfagen/status/705927382327238656","705927382327238656")</f>
        <v>705927382327238656</v>
      </c>
      <c r="F874" s="11" t="s">
        <v>26</v>
      </c>
      <c r="G874" s="12">
        <v>1055.0</v>
      </c>
      <c r="H874" s="12">
        <v>2055.0</v>
      </c>
      <c r="I874" s="12">
        <v>0.0</v>
      </c>
      <c r="J874" s="12">
        <v>2.0</v>
      </c>
      <c r="K874" s="11" t="s">
        <v>21</v>
      </c>
      <c r="L874" s="7">
        <v>40524.93576388889</v>
      </c>
      <c r="M874" s="13" t="s">
        <v>125</v>
      </c>
      <c r="N874" s="13" t="s">
        <v>126</v>
      </c>
      <c r="O874" s="10" t="str">
        <f>HYPERLINK("https://pbs.twimg.com/profile_images/638086945722249217/mid_S_BQ_normal.jpg","View")</f>
        <v>View</v>
      </c>
      <c r="P874" s="14"/>
    </row>
    <row r="875">
      <c r="A875" s="7">
        <v>42433.81003472222</v>
      </c>
      <c r="B875" s="8" t="str">
        <f>HYPERLINK("https://twitter.com/GHAUmass","@GHAUmass")</f>
        <v>@GHAUmass</v>
      </c>
      <c r="C875" s="9" t="s">
        <v>30</v>
      </c>
      <c r="D875" s="9" t="s">
        <v>935</v>
      </c>
      <c r="E875" s="10" t="str">
        <f>HYPERLINK("https://twitter.com/GHAUmass/status/705927423343378433","705927423343378433")</f>
        <v>705927423343378433</v>
      </c>
      <c r="F875" s="11" t="s">
        <v>26</v>
      </c>
      <c r="G875" s="12">
        <v>68.0</v>
      </c>
      <c r="H875" s="12">
        <v>100.0</v>
      </c>
      <c r="I875" s="12">
        <v>3.0</v>
      </c>
      <c r="J875" s="12">
        <v>0.0</v>
      </c>
      <c r="K875" s="11" t="s">
        <v>21</v>
      </c>
      <c r="L875" s="7">
        <v>42152.65289351852</v>
      </c>
      <c r="M875" s="13" t="s">
        <v>22</v>
      </c>
      <c r="N875" s="13" t="s">
        <v>32</v>
      </c>
      <c r="O875" s="10" t="str">
        <f>HYPERLINK("https://pbs.twimg.com/profile_images/604060333590855682/Fk6r1D7d_normal.jpg","View")</f>
        <v>View</v>
      </c>
      <c r="P875" s="14"/>
    </row>
    <row r="876">
      <c r="A876" s="7">
        <v>42433.8100925926</v>
      </c>
      <c r="B876" s="8" t="str">
        <f>HYPERLINK("https://twitter.com/CitizenWald","@CitizenWald")</f>
        <v>@CitizenWald</v>
      </c>
      <c r="C876" s="9" t="s">
        <v>668</v>
      </c>
      <c r="D876" s="9" t="s">
        <v>963</v>
      </c>
      <c r="E876" s="10" t="str">
        <f>HYPERLINK("https://twitter.com/CitizenWald/status/705927442662367232","705927442662367232")</f>
        <v>705927442662367232</v>
      </c>
      <c r="F876" s="11" t="s">
        <v>26</v>
      </c>
      <c r="G876" s="12">
        <v>2335.0</v>
      </c>
      <c r="H876" s="12">
        <v>2535.0</v>
      </c>
      <c r="I876" s="12">
        <v>3.0</v>
      </c>
      <c r="J876" s="12">
        <v>4.0</v>
      </c>
      <c r="K876" s="11" t="s">
        <v>21</v>
      </c>
      <c r="L876" s="7">
        <v>39373.01613425926</v>
      </c>
      <c r="M876" s="13" t="s">
        <v>22</v>
      </c>
      <c r="N876" s="13" t="s">
        <v>669</v>
      </c>
      <c r="O876" s="10" t="str">
        <f>HYPERLINK("https://pbs.twimg.com/profile_images/661220280564486144/ZxUrdRVS_normal.jpg","View")</f>
        <v>View</v>
      </c>
      <c r="P876" s="14"/>
    </row>
    <row r="877">
      <c r="A877" s="7">
        <v>42433.81015046296</v>
      </c>
      <c r="B877" s="8" t="str">
        <f>HYPERLINK("https://twitter.com/CLMcWhirter","@CLMcWhirter")</f>
        <v>@CLMcWhirter</v>
      </c>
      <c r="C877" s="9" t="s">
        <v>964</v>
      </c>
      <c r="D877" s="9" t="s">
        <v>698</v>
      </c>
      <c r="E877" s="10" t="str">
        <f>HYPERLINK("https://twitter.com/CLMcWhirter/status/705927463281553408","705927463281553408")</f>
        <v>705927463281553408</v>
      </c>
      <c r="F877" s="11" t="s">
        <v>148</v>
      </c>
      <c r="G877" s="12">
        <v>353.0</v>
      </c>
      <c r="H877" s="12">
        <v>308.0</v>
      </c>
      <c r="I877" s="12">
        <v>3.0</v>
      </c>
      <c r="J877" s="12">
        <v>0.0</v>
      </c>
      <c r="K877" s="11" t="s">
        <v>21</v>
      </c>
      <c r="L877" s="7">
        <v>41973.610185185185</v>
      </c>
      <c r="M877" s="15"/>
      <c r="N877" s="13" t="s">
        <v>965</v>
      </c>
      <c r="O877" s="10" t="str">
        <f>HYPERLINK("https://pbs.twimg.com/profile_images/539158065589678080/_JOBYuna_normal.jpeg","View")</f>
        <v>View</v>
      </c>
      <c r="P877" s="14"/>
    </row>
    <row r="878">
      <c r="A878" s="7">
        <v>42433.81015046296</v>
      </c>
      <c r="B878" s="8" t="str">
        <f>HYPERLINK("https://twitter.com/jamiaw","@jamiaw")</f>
        <v>@jamiaw</v>
      </c>
      <c r="C878" s="9" t="s">
        <v>324</v>
      </c>
      <c r="D878" s="9" t="s">
        <v>950</v>
      </c>
      <c r="E878" s="10" t="str">
        <f>HYPERLINK("https://twitter.com/jamiaw/status/705927465118601217","705927465118601217")</f>
        <v>705927465118601217</v>
      </c>
      <c r="F878" s="11" t="s">
        <v>26</v>
      </c>
      <c r="G878" s="12">
        <v>11336.0</v>
      </c>
      <c r="H878" s="12">
        <v>7815.0</v>
      </c>
      <c r="I878" s="12">
        <v>3.0</v>
      </c>
      <c r="J878" s="12">
        <v>0.0</v>
      </c>
      <c r="K878" s="11" t="s">
        <v>21</v>
      </c>
      <c r="L878" s="7">
        <v>39642.39741898148</v>
      </c>
      <c r="M878" s="13" t="s">
        <v>325</v>
      </c>
      <c r="N878" s="13" t="s">
        <v>326</v>
      </c>
      <c r="O878" s="10" t="str">
        <f>HYPERLINK("https://pbs.twimg.com/profile_images/701102020061753344/5zH70uem_normal.jpg","View")</f>
        <v>View</v>
      </c>
      <c r="P878" s="14"/>
    </row>
    <row r="879">
      <c r="A879" s="7">
        <v>42433.81019675926</v>
      </c>
      <c r="B879" s="8" t="str">
        <f>HYPERLINK("https://twitter.com/pastpunditry","@pastpunditry")</f>
        <v>@pastpunditry</v>
      </c>
      <c r="C879" s="9" t="s">
        <v>92</v>
      </c>
      <c r="D879" s="9" t="s">
        <v>966</v>
      </c>
      <c r="E879" s="10" t="str">
        <f>HYPERLINK("https://twitter.com/pastpunditry/status/705927481136644096","705927481136644096")</f>
        <v>705927481136644096</v>
      </c>
      <c r="F879" s="11" t="s">
        <v>77</v>
      </c>
      <c r="G879" s="12">
        <v>890.0</v>
      </c>
      <c r="H879" s="12">
        <v>378.0</v>
      </c>
      <c r="I879" s="12">
        <v>3.0</v>
      </c>
      <c r="J879" s="12">
        <v>0.0</v>
      </c>
      <c r="K879" s="11" t="s">
        <v>21</v>
      </c>
      <c r="L879" s="7">
        <v>40283.384351851855</v>
      </c>
      <c r="M879" s="13" t="s">
        <v>94</v>
      </c>
      <c r="N879" s="13" t="s">
        <v>95</v>
      </c>
      <c r="O879" s="10" t="str">
        <f>HYPERLINK("https://pbs.twimg.com/profile_images/704873222802636800/7aFEMOY5_normal.jpg","View")</f>
        <v>View</v>
      </c>
      <c r="P879" s="14"/>
    </row>
    <row r="880">
      <c r="A880" s="7">
        <v>42433.810208333336</v>
      </c>
      <c r="B880" s="8" t="str">
        <f>HYPERLINK("https://twitter.com/jamiaw","@jamiaw")</f>
        <v>@jamiaw</v>
      </c>
      <c r="C880" s="9" t="s">
        <v>324</v>
      </c>
      <c r="D880" s="9" t="s">
        <v>967</v>
      </c>
      <c r="E880" s="10" t="str">
        <f>HYPERLINK("https://twitter.com/jamiaw/status/705927486027251713","705927486027251713")</f>
        <v>705927486027251713</v>
      </c>
      <c r="F880" s="11" t="s">
        <v>26</v>
      </c>
      <c r="G880" s="12">
        <v>11336.0</v>
      </c>
      <c r="H880" s="12">
        <v>7815.0</v>
      </c>
      <c r="I880" s="12">
        <v>2.0</v>
      </c>
      <c r="J880" s="12">
        <v>0.0</v>
      </c>
      <c r="K880" s="11" t="s">
        <v>21</v>
      </c>
      <c r="L880" s="7">
        <v>39642.39741898148</v>
      </c>
      <c r="M880" s="13" t="s">
        <v>325</v>
      </c>
      <c r="N880" s="13" t="s">
        <v>326</v>
      </c>
      <c r="O880" s="10" t="str">
        <f>HYPERLINK("https://pbs.twimg.com/profile_images/701102020061753344/5zH70uem_normal.jpg","View")</f>
        <v>View</v>
      </c>
      <c r="P880" s="14"/>
    </row>
    <row r="881">
      <c r="A881" s="7">
        <v>42433.81025462963</v>
      </c>
      <c r="B881" s="8" t="str">
        <f>HYPERLINK("https://twitter.com/GHAUmass","@GHAUmass")</f>
        <v>@GHAUmass</v>
      </c>
      <c r="C881" s="9" t="s">
        <v>30</v>
      </c>
      <c r="D881" s="9" t="s">
        <v>939</v>
      </c>
      <c r="E881" s="10" t="str">
        <f>HYPERLINK("https://twitter.com/GHAUmass/status/705927500803735552","705927500803735552")</f>
        <v>705927500803735552</v>
      </c>
      <c r="F881" s="11" t="s">
        <v>26</v>
      </c>
      <c r="G881" s="12">
        <v>68.0</v>
      </c>
      <c r="H881" s="12">
        <v>100.0</v>
      </c>
      <c r="I881" s="12">
        <v>2.0</v>
      </c>
      <c r="J881" s="12">
        <v>0.0</v>
      </c>
      <c r="K881" s="11" t="s">
        <v>21</v>
      </c>
      <c r="L881" s="7">
        <v>42152.65289351852</v>
      </c>
      <c r="M881" s="13" t="s">
        <v>22</v>
      </c>
      <c r="N881" s="13" t="s">
        <v>32</v>
      </c>
      <c r="O881" s="10" t="str">
        <f>HYPERLINK("https://pbs.twimg.com/profile_images/604060333590855682/Fk6r1D7d_normal.jpg","View")</f>
        <v>View</v>
      </c>
      <c r="P881" s="14"/>
    </row>
    <row r="882">
      <c r="A882" s="7">
        <v>42433.810312500005</v>
      </c>
      <c r="B882" s="8" t="str">
        <f>HYPERLINK("https://twitter.com/jamiaw","@jamiaw")</f>
        <v>@jamiaw</v>
      </c>
      <c r="C882" s="9" t="s">
        <v>324</v>
      </c>
      <c r="D882" s="9" t="s">
        <v>944</v>
      </c>
      <c r="E882" s="10" t="str">
        <f>HYPERLINK("https://twitter.com/jamiaw/status/705927523960537089","705927523960537089")</f>
        <v>705927523960537089</v>
      </c>
      <c r="F882" s="11" t="s">
        <v>26</v>
      </c>
      <c r="G882" s="12">
        <v>11336.0</v>
      </c>
      <c r="H882" s="12">
        <v>7815.0</v>
      </c>
      <c r="I882" s="12">
        <v>3.0</v>
      </c>
      <c r="J882" s="12">
        <v>0.0</v>
      </c>
      <c r="K882" s="11" t="s">
        <v>21</v>
      </c>
      <c r="L882" s="7">
        <v>39642.39741898148</v>
      </c>
      <c r="M882" s="13" t="s">
        <v>325</v>
      </c>
      <c r="N882" s="13" t="s">
        <v>326</v>
      </c>
      <c r="O882" s="10" t="str">
        <f>HYPERLINK("https://pbs.twimg.com/profile_images/701102020061753344/5zH70uem_normal.jpg","View")</f>
        <v>View</v>
      </c>
      <c r="P882" s="14"/>
    </row>
    <row r="883">
      <c r="A883" s="7">
        <v>42433.810428240744</v>
      </c>
      <c r="B883" s="8" t="str">
        <f>HYPERLINK("https://twitter.com/GHAUmass","@GHAUmass")</f>
        <v>@GHAUmass</v>
      </c>
      <c r="C883" s="9" t="s">
        <v>30</v>
      </c>
      <c r="D883" s="9" t="s">
        <v>967</v>
      </c>
      <c r="E883" s="10" t="str">
        <f>HYPERLINK("https://twitter.com/GHAUmass/status/705927564506828803","705927564506828803")</f>
        <v>705927564506828803</v>
      </c>
      <c r="F883" s="11" t="s">
        <v>26</v>
      </c>
      <c r="G883" s="12">
        <v>68.0</v>
      </c>
      <c r="H883" s="12">
        <v>100.0</v>
      </c>
      <c r="I883" s="12">
        <v>2.0</v>
      </c>
      <c r="J883" s="12">
        <v>0.0</v>
      </c>
      <c r="K883" s="11" t="s">
        <v>21</v>
      </c>
      <c r="L883" s="7">
        <v>42152.65289351852</v>
      </c>
      <c r="M883" s="13" t="s">
        <v>22</v>
      </c>
      <c r="N883" s="13" t="s">
        <v>32</v>
      </c>
      <c r="O883" s="10" t="str">
        <f>HYPERLINK("https://pbs.twimg.com/profile_images/604060333590855682/Fk6r1D7d_normal.jpg","View")</f>
        <v>View</v>
      </c>
      <c r="P883" s="14"/>
    </row>
    <row r="884">
      <c r="A884" s="7">
        <v>42433.81043981481</v>
      </c>
      <c r="B884" s="8" t="str">
        <f>HYPERLINK("https://twitter.com/erfagen","@erfagen")</f>
        <v>@erfagen</v>
      </c>
      <c r="C884" s="9" t="s">
        <v>124</v>
      </c>
      <c r="D884" s="9" t="s">
        <v>966</v>
      </c>
      <c r="E884" s="10" t="str">
        <f>HYPERLINK("https://twitter.com/erfagen/status/705927569498087425","705927569498087425")</f>
        <v>705927569498087425</v>
      </c>
      <c r="F884" s="11" t="s">
        <v>26</v>
      </c>
      <c r="G884" s="12">
        <v>1055.0</v>
      </c>
      <c r="H884" s="12">
        <v>2055.0</v>
      </c>
      <c r="I884" s="12">
        <v>3.0</v>
      </c>
      <c r="J884" s="12">
        <v>0.0</v>
      </c>
      <c r="K884" s="11" t="s">
        <v>21</v>
      </c>
      <c r="L884" s="7">
        <v>40524.93576388889</v>
      </c>
      <c r="M884" s="13" t="s">
        <v>125</v>
      </c>
      <c r="N884" s="13" t="s">
        <v>126</v>
      </c>
      <c r="O884" s="10" t="str">
        <f>HYPERLINK("https://pbs.twimg.com/profile_images/638086945722249217/mid_S_BQ_normal.jpg","View")</f>
        <v>View</v>
      </c>
      <c r="P884" s="14"/>
    </row>
    <row r="885">
      <c r="A885" s="7">
        <v>42433.810486111106</v>
      </c>
      <c r="B885" s="8" t="str">
        <f>HYPERLINK("https://twitter.com/GHAUmass","@GHAUmass")</f>
        <v>@GHAUmass</v>
      </c>
      <c r="C885" s="9" t="s">
        <v>30</v>
      </c>
      <c r="D885" s="9" t="s">
        <v>950</v>
      </c>
      <c r="E885" s="10" t="str">
        <f>HYPERLINK("https://twitter.com/GHAUmass/status/705927585247711232","705927585247711232")</f>
        <v>705927585247711232</v>
      </c>
      <c r="F885" s="11" t="s">
        <v>26</v>
      </c>
      <c r="G885" s="12">
        <v>68.0</v>
      </c>
      <c r="H885" s="12">
        <v>100.0</v>
      </c>
      <c r="I885" s="12">
        <v>3.0</v>
      </c>
      <c r="J885" s="12">
        <v>0.0</v>
      </c>
      <c r="K885" s="11" t="s">
        <v>21</v>
      </c>
      <c r="L885" s="7">
        <v>42152.65289351852</v>
      </c>
      <c r="M885" s="13" t="s">
        <v>22</v>
      </c>
      <c r="N885" s="13" t="s">
        <v>32</v>
      </c>
      <c r="O885" s="10" t="str">
        <f>HYPERLINK("https://pbs.twimg.com/profile_images/604060333590855682/Fk6r1D7d_normal.jpg","View")</f>
        <v>View</v>
      </c>
      <c r="P885" s="14"/>
    </row>
    <row r="886">
      <c r="A886" s="7">
        <v>42433.81065972222</v>
      </c>
      <c r="B886" s="8" t="str">
        <f t="shared" ref="B886:B887" si="201">HYPERLINK("https://twitter.com/sheishistoric","@sheishistoric")</f>
        <v>@sheishistoric</v>
      </c>
      <c r="C886" s="9" t="s">
        <v>127</v>
      </c>
      <c r="D886" s="9" t="s">
        <v>968</v>
      </c>
      <c r="E886" s="10" t="str">
        <f>HYPERLINK("https://twitter.com/sheishistoric/status/705927648841699332","705927648841699332")</f>
        <v>705927648841699332</v>
      </c>
      <c r="F886" s="11" t="s">
        <v>26</v>
      </c>
      <c r="G886" s="12">
        <v>405.0</v>
      </c>
      <c r="H886" s="12">
        <v>882.0</v>
      </c>
      <c r="I886" s="12">
        <v>1.0</v>
      </c>
      <c r="J886" s="12">
        <v>0.0</v>
      </c>
      <c r="K886" s="11" t="s">
        <v>21</v>
      </c>
      <c r="L886" s="7">
        <v>41529.842094907406</v>
      </c>
      <c r="M886" s="13" t="s">
        <v>129</v>
      </c>
      <c r="N886" s="13" t="s">
        <v>130</v>
      </c>
      <c r="O886" s="10" t="str">
        <f t="shared" ref="O886:O887" si="202">HYPERLINK("https://pbs.twimg.com/profile_images/650419150620377089/bJxBf---_normal.jpg","View")</f>
        <v>View</v>
      </c>
      <c r="P886" s="14"/>
    </row>
    <row r="887">
      <c r="A887" s="7">
        <v>42433.8106712963</v>
      </c>
      <c r="B887" s="8" t="str">
        <f t="shared" si="201"/>
        <v>@sheishistoric</v>
      </c>
      <c r="C887" s="9" t="s">
        <v>127</v>
      </c>
      <c r="D887" s="9" t="s">
        <v>960</v>
      </c>
      <c r="E887" s="10" t="str">
        <f>HYPERLINK("https://twitter.com/sheishistoric/status/705927654424375297","705927654424375297")</f>
        <v>705927654424375297</v>
      </c>
      <c r="F887" s="11" t="s">
        <v>26</v>
      </c>
      <c r="G887" s="12">
        <v>405.0</v>
      </c>
      <c r="H887" s="12">
        <v>882.0</v>
      </c>
      <c r="I887" s="12">
        <v>2.0</v>
      </c>
      <c r="J887" s="12">
        <v>0.0</v>
      </c>
      <c r="K887" s="11" t="s">
        <v>21</v>
      </c>
      <c r="L887" s="7">
        <v>41529.842094907406</v>
      </c>
      <c r="M887" s="13" t="s">
        <v>129</v>
      </c>
      <c r="N887" s="13" t="s">
        <v>130</v>
      </c>
      <c r="O887" s="10" t="str">
        <f t="shared" si="202"/>
        <v>View</v>
      </c>
      <c r="P887" s="14"/>
    </row>
    <row r="888">
      <c r="A888" s="7">
        <v>42433.8107175926</v>
      </c>
      <c r="B888" s="8" t="str">
        <f>HYPERLINK("https://twitter.com/GHAUmass","@GHAUmass")</f>
        <v>@GHAUmass</v>
      </c>
      <c r="C888" s="9" t="s">
        <v>30</v>
      </c>
      <c r="D888" s="9" t="s">
        <v>969</v>
      </c>
      <c r="E888" s="10" t="str">
        <f>HYPERLINK("https://twitter.com/GHAUmass/status/705927668567515136","705927668567515136")</f>
        <v>705927668567515136</v>
      </c>
      <c r="F888" s="11" t="s">
        <v>26</v>
      </c>
      <c r="G888" s="12">
        <v>68.0</v>
      </c>
      <c r="H888" s="12">
        <v>100.0</v>
      </c>
      <c r="I888" s="12">
        <v>1.0</v>
      </c>
      <c r="J888" s="12">
        <v>0.0</v>
      </c>
      <c r="K888" s="11" t="s">
        <v>21</v>
      </c>
      <c r="L888" s="7">
        <v>42152.65289351852</v>
      </c>
      <c r="M888" s="13" t="s">
        <v>22</v>
      </c>
      <c r="N888" s="13" t="s">
        <v>32</v>
      </c>
      <c r="O888" s="10" t="str">
        <f>HYPERLINK("https://pbs.twimg.com/profile_images/604060333590855682/Fk6r1D7d_normal.jpg","View")</f>
        <v>View</v>
      </c>
      <c r="P888" s="14"/>
    </row>
    <row r="889">
      <c r="A889" s="7">
        <v>42433.81077546296</v>
      </c>
      <c r="B889" s="8" t="str">
        <f>HYPERLINK("https://twitter.com/pastpunditry","@pastpunditry")</f>
        <v>@pastpunditry</v>
      </c>
      <c r="C889" s="9" t="s">
        <v>92</v>
      </c>
      <c r="D889" s="9" t="s">
        <v>970</v>
      </c>
      <c r="E889" s="10" t="str">
        <f>HYPERLINK("https://twitter.com/pastpunditry/status/705927688582729728","705927688582729728")</f>
        <v>705927688582729728</v>
      </c>
      <c r="F889" s="11" t="s">
        <v>77</v>
      </c>
      <c r="G889" s="12">
        <v>890.0</v>
      </c>
      <c r="H889" s="12">
        <v>378.0</v>
      </c>
      <c r="I889" s="12">
        <v>0.0</v>
      </c>
      <c r="J889" s="12">
        <v>2.0</v>
      </c>
      <c r="K889" s="11" t="s">
        <v>21</v>
      </c>
      <c r="L889" s="7">
        <v>40283.384351851855</v>
      </c>
      <c r="M889" s="13" t="s">
        <v>94</v>
      </c>
      <c r="N889" s="13" t="s">
        <v>95</v>
      </c>
      <c r="O889" s="10" t="str">
        <f>HYPERLINK("https://pbs.twimg.com/profile_images/704873222802636800/7aFEMOY5_normal.jpg","View")</f>
        <v>View</v>
      </c>
      <c r="P889" s="14"/>
    </row>
    <row r="890">
      <c r="A890" s="7">
        <v>42433.81077546296</v>
      </c>
      <c r="B890" s="8" t="str">
        <f>HYPERLINK("https://twitter.com/GHAUmass","@GHAUmass")</f>
        <v>@GHAUmass</v>
      </c>
      <c r="C890" s="9" t="s">
        <v>30</v>
      </c>
      <c r="D890" s="9" t="s">
        <v>971</v>
      </c>
      <c r="E890" s="10" t="str">
        <f>HYPERLINK("https://twitter.com/GHAUmass/status/705927689627111424","705927689627111424")</f>
        <v>705927689627111424</v>
      </c>
      <c r="F890" s="11" t="s">
        <v>26</v>
      </c>
      <c r="G890" s="12">
        <v>68.0</v>
      </c>
      <c r="H890" s="12">
        <v>100.0</v>
      </c>
      <c r="I890" s="12">
        <v>1.0</v>
      </c>
      <c r="J890" s="12">
        <v>0.0</v>
      </c>
      <c r="K890" s="11" t="s">
        <v>21</v>
      </c>
      <c r="L890" s="7">
        <v>42152.65289351852</v>
      </c>
      <c r="M890" s="13" t="s">
        <v>22</v>
      </c>
      <c r="N890" s="13" t="s">
        <v>32</v>
      </c>
      <c r="O890" s="10" t="str">
        <f>HYPERLINK("https://pbs.twimg.com/profile_images/604060333590855682/Fk6r1D7d_normal.jpg","View")</f>
        <v>View</v>
      </c>
      <c r="P890" s="14"/>
    </row>
    <row r="891">
      <c r="A891" s="7">
        <v>42433.81079861111</v>
      </c>
      <c r="B891" s="8" t="str">
        <f>HYPERLINK("https://twitter.com/sheishistoric","@sheishistoric")</f>
        <v>@sheishistoric</v>
      </c>
      <c r="C891" s="9" t="s">
        <v>127</v>
      </c>
      <c r="D891" s="9" t="s">
        <v>966</v>
      </c>
      <c r="E891" s="10" t="str">
        <f>HYPERLINK("https://twitter.com/sheishistoric/status/705927696694558720","705927696694558720")</f>
        <v>705927696694558720</v>
      </c>
      <c r="F891" s="11" t="s">
        <v>26</v>
      </c>
      <c r="G891" s="12">
        <v>405.0</v>
      </c>
      <c r="H891" s="12">
        <v>882.0</v>
      </c>
      <c r="I891" s="12">
        <v>3.0</v>
      </c>
      <c r="J891" s="12">
        <v>0.0</v>
      </c>
      <c r="K891" s="11" t="s">
        <v>21</v>
      </c>
      <c r="L891" s="7">
        <v>41529.842094907406</v>
      </c>
      <c r="M891" s="13" t="s">
        <v>129</v>
      </c>
      <c r="N891" s="13" t="s">
        <v>130</v>
      </c>
      <c r="O891" s="10" t="str">
        <f>HYPERLINK("https://pbs.twimg.com/profile_images/650419150620377089/bJxBf---_normal.jpg","View")</f>
        <v>View</v>
      </c>
      <c r="P891" s="14"/>
    </row>
    <row r="892">
      <c r="A892" s="7">
        <v>42433.81081018518</v>
      </c>
      <c r="B892" s="8" t="str">
        <f>HYPERLINK("https://twitter.com/GHAUmass","@GHAUmass")</f>
        <v>@GHAUmass</v>
      </c>
      <c r="C892" s="9" t="s">
        <v>30</v>
      </c>
      <c r="D892" s="9" t="s">
        <v>956</v>
      </c>
      <c r="E892" s="10" t="str">
        <f>HYPERLINK("https://twitter.com/GHAUmass/status/705927704022028288","705927704022028288")</f>
        <v>705927704022028288</v>
      </c>
      <c r="F892" s="11" t="s">
        <v>26</v>
      </c>
      <c r="G892" s="12">
        <v>68.0</v>
      </c>
      <c r="H892" s="12">
        <v>100.0</v>
      </c>
      <c r="I892" s="12">
        <v>3.0</v>
      </c>
      <c r="J892" s="12">
        <v>0.0</v>
      </c>
      <c r="K892" s="11" t="s">
        <v>21</v>
      </c>
      <c r="L892" s="7">
        <v>42152.65289351852</v>
      </c>
      <c r="M892" s="13" t="s">
        <v>22</v>
      </c>
      <c r="N892" s="13" t="s">
        <v>32</v>
      </c>
      <c r="O892" s="10" t="str">
        <f>HYPERLINK("https://pbs.twimg.com/profile_images/604060333590855682/Fk6r1D7d_normal.jpg","View")</f>
        <v>View</v>
      </c>
      <c r="P892" s="14"/>
    </row>
    <row r="893">
      <c r="A893" s="7">
        <v>42433.81128472222</v>
      </c>
      <c r="B893" s="8" t="str">
        <f>HYPERLINK("https://twitter.com/allisonhorrocks","@allisonhorrocks")</f>
        <v>@allisonhorrocks</v>
      </c>
      <c r="C893" s="9" t="s">
        <v>105</v>
      </c>
      <c r="D893" s="9" t="s">
        <v>972</v>
      </c>
      <c r="E893" s="10" t="str">
        <f>HYPERLINK("https://twitter.com/allisonhorrocks/status/705927872846950400","705927872846950400")</f>
        <v>705927872846950400</v>
      </c>
      <c r="F893" s="11" t="s">
        <v>26</v>
      </c>
      <c r="G893" s="12">
        <v>122.0</v>
      </c>
      <c r="H893" s="12">
        <v>260.0</v>
      </c>
      <c r="I893" s="12">
        <v>0.0</v>
      </c>
      <c r="J893" s="12">
        <v>2.0</v>
      </c>
      <c r="K893" s="11" t="s">
        <v>21</v>
      </c>
      <c r="L893" s="7">
        <v>39874.8815625</v>
      </c>
      <c r="M893" s="13" t="s">
        <v>106</v>
      </c>
      <c r="N893" s="13" t="s">
        <v>107</v>
      </c>
      <c r="O893" s="10" t="str">
        <f>HYPERLINK("https://pbs.twimg.com/profile_images/562279222522032128/-phaZgxO_normal.jpeg","View")</f>
        <v>View</v>
      </c>
      <c r="P893" s="14"/>
    </row>
    <row r="894">
      <c r="A894" s="7">
        <v>42433.81128472222</v>
      </c>
      <c r="B894" s="8" t="str">
        <f>HYPERLINK("https://twitter.com/pastpunditry","@pastpunditry")</f>
        <v>@pastpunditry</v>
      </c>
      <c r="C894" s="9" t="s">
        <v>92</v>
      </c>
      <c r="D894" s="9" t="s">
        <v>973</v>
      </c>
      <c r="E894" s="10" t="str">
        <f>HYPERLINK("https://twitter.com/pastpunditry/status/705927876328214530","705927876328214530")</f>
        <v>705927876328214530</v>
      </c>
      <c r="F894" s="11" t="s">
        <v>77</v>
      </c>
      <c r="G894" s="12">
        <v>890.0</v>
      </c>
      <c r="H894" s="12">
        <v>378.0</v>
      </c>
      <c r="I894" s="12">
        <v>1.0</v>
      </c>
      <c r="J894" s="12">
        <v>2.0</v>
      </c>
      <c r="K894" s="11" t="s">
        <v>21</v>
      </c>
      <c r="L894" s="7">
        <v>40283.384351851855</v>
      </c>
      <c r="M894" s="13" t="s">
        <v>94</v>
      </c>
      <c r="N894" s="13" t="s">
        <v>95</v>
      </c>
      <c r="O894" s="10" t="str">
        <f>HYPERLINK("https://pbs.twimg.com/profile_images/704873222802636800/7aFEMOY5_normal.jpg","View")</f>
        <v>View</v>
      </c>
      <c r="P894" s="14"/>
    </row>
    <row r="895">
      <c r="A895" s="7">
        <v>42433.81138888889</v>
      </c>
      <c r="B895" s="8" t="str">
        <f>HYPERLINK("https://twitter.com/rebekkahrubin","@rebekkahrubin")</f>
        <v>@rebekkahrubin</v>
      </c>
      <c r="C895" s="9" t="s">
        <v>141</v>
      </c>
      <c r="D895" s="9" t="s">
        <v>974</v>
      </c>
      <c r="E895" s="10" t="str">
        <f>HYPERLINK("https://twitter.com/rebekkahrubin/status/705927913280049153","705927913280049153")</f>
        <v>705927913280049153</v>
      </c>
      <c r="F895" s="11" t="s">
        <v>31</v>
      </c>
      <c r="G895" s="12">
        <v>492.0</v>
      </c>
      <c r="H895" s="12">
        <v>1224.0</v>
      </c>
      <c r="I895" s="12">
        <v>1.0</v>
      </c>
      <c r="J895" s="12">
        <v>0.0</v>
      </c>
      <c r="K895" s="11" t="s">
        <v>21</v>
      </c>
      <c r="L895" s="7">
        <v>40411.521527777775</v>
      </c>
      <c r="M895" s="13" t="s">
        <v>143</v>
      </c>
      <c r="N895" s="13" t="s">
        <v>144</v>
      </c>
      <c r="O895" s="10" t="str">
        <f>HYPERLINK("https://pbs.twimg.com/profile_images/700317732588408832/Ym_-neUi_normal.jpg","View")</f>
        <v>View</v>
      </c>
      <c r="P895" s="14"/>
    </row>
    <row r="896">
      <c r="A896" s="7">
        <v>42433.81138888889</v>
      </c>
      <c r="B896" s="8" t="str">
        <f>HYPERLINK("https://twitter.com/TheHistoryList","@TheHistoryList")</f>
        <v>@TheHistoryList</v>
      </c>
      <c r="C896" s="9" t="s">
        <v>975</v>
      </c>
      <c r="D896" s="9" t="s">
        <v>956</v>
      </c>
      <c r="E896" s="10" t="str">
        <f>HYPERLINK("https://twitter.com/TheHistoryList/status/705927913346969600","705927913346969600")</f>
        <v>705927913346969600</v>
      </c>
      <c r="F896" s="11" t="s">
        <v>77</v>
      </c>
      <c r="G896" s="12">
        <v>1901.0</v>
      </c>
      <c r="H896" s="12">
        <v>1117.0</v>
      </c>
      <c r="I896" s="12">
        <v>3.0</v>
      </c>
      <c r="J896" s="12">
        <v>0.0</v>
      </c>
      <c r="K896" s="11" t="s">
        <v>21</v>
      </c>
      <c r="L896" s="7">
        <v>40279.92034722222</v>
      </c>
      <c r="M896" s="13" t="s">
        <v>976</v>
      </c>
      <c r="N896" s="13" t="s">
        <v>977</v>
      </c>
      <c r="O896" s="10" t="str">
        <f>HYPERLINK("https://pbs.twimg.com/profile_images/2232523539/Screen_Shot_2012-05-19_at_1.51.23_PM_normal.png","View")</f>
        <v>View</v>
      </c>
      <c r="P896" s="14"/>
    </row>
    <row r="897">
      <c r="A897" s="7">
        <v>42433.81159722222</v>
      </c>
      <c r="B897" s="8" t="str">
        <f>HYPERLINK("https://twitter.com/erfagen","@erfagen")</f>
        <v>@erfagen</v>
      </c>
      <c r="C897" s="9" t="s">
        <v>124</v>
      </c>
      <c r="D897" s="9" t="s">
        <v>978</v>
      </c>
      <c r="E897" s="10" t="str">
        <f>HYPERLINK("https://twitter.com/erfagen/status/705927989041750017","705927989041750017")</f>
        <v>705927989041750017</v>
      </c>
      <c r="F897" s="11" t="s">
        <v>26</v>
      </c>
      <c r="G897" s="12">
        <v>1055.0</v>
      </c>
      <c r="H897" s="12">
        <v>2055.0</v>
      </c>
      <c r="I897" s="12">
        <v>1.0</v>
      </c>
      <c r="J897" s="12">
        <v>2.0</v>
      </c>
      <c r="K897" s="11" t="s">
        <v>21</v>
      </c>
      <c r="L897" s="7">
        <v>40524.93576388889</v>
      </c>
      <c r="M897" s="13" t="s">
        <v>125</v>
      </c>
      <c r="N897" s="13" t="s">
        <v>126</v>
      </c>
      <c r="O897" s="10" t="str">
        <f>HYPERLINK("https://pbs.twimg.com/profile_images/638086945722249217/mid_S_BQ_normal.jpg","View")</f>
        <v>View</v>
      </c>
      <c r="P897" s="14"/>
    </row>
    <row r="898">
      <c r="A898" s="7">
        <v>42433.811701388884</v>
      </c>
      <c r="B898" s="8" t="str">
        <f>HYPERLINK("https://twitter.com/pastpunditry","@pastpunditry")</f>
        <v>@pastpunditry</v>
      </c>
      <c r="C898" s="9" t="s">
        <v>92</v>
      </c>
      <c r="D898" s="9" t="s">
        <v>979</v>
      </c>
      <c r="E898" s="10" t="str">
        <f>HYPERLINK("https://twitter.com/pastpunditry/status/705928026656260096","705928026656260096")</f>
        <v>705928026656260096</v>
      </c>
      <c r="F898" s="11" t="s">
        <v>77</v>
      </c>
      <c r="G898" s="12">
        <v>890.0</v>
      </c>
      <c r="H898" s="12">
        <v>378.0</v>
      </c>
      <c r="I898" s="12">
        <v>0.0</v>
      </c>
      <c r="J898" s="12">
        <v>3.0</v>
      </c>
      <c r="K898" s="11" t="s">
        <v>21</v>
      </c>
      <c r="L898" s="7">
        <v>40283.384351851855</v>
      </c>
      <c r="M898" s="13" t="s">
        <v>94</v>
      </c>
      <c r="N898" s="13" t="s">
        <v>95</v>
      </c>
      <c r="O898" s="10" t="str">
        <f>HYPERLINK("https://pbs.twimg.com/profile_images/704873222802636800/7aFEMOY5_normal.jpg","View")</f>
        <v>View</v>
      </c>
      <c r="P898" s="14"/>
    </row>
    <row r="899">
      <c r="A899" s="7">
        <v>42433.81171296297</v>
      </c>
      <c r="B899" s="8" t="str">
        <f>HYPERLINK("https://twitter.com/juliegpeterson","@juliegpeterson")</f>
        <v>@juliegpeterson</v>
      </c>
      <c r="C899" s="9" t="s">
        <v>24</v>
      </c>
      <c r="D899" s="9" t="s">
        <v>980</v>
      </c>
      <c r="E899" s="10" t="str">
        <f>HYPERLINK("https://twitter.com/juliegpeterson/status/705928030921875456","705928030921875456")</f>
        <v>705928030921875456</v>
      </c>
      <c r="F899" s="11" t="s">
        <v>26</v>
      </c>
      <c r="G899" s="12">
        <v>239.0</v>
      </c>
      <c r="H899" s="12">
        <v>775.0</v>
      </c>
      <c r="I899" s="12">
        <v>2.0</v>
      </c>
      <c r="J899" s="12">
        <v>1.0</v>
      </c>
      <c r="K899" s="11" t="s">
        <v>21</v>
      </c>
      <c r="L899" s="7">
        <v>41208.65523148148</v>
      </c>
      <c r="M899" s="13" t="s">
        <v>22</v>
      </c>
      <c r="N899" s="13" t="s">
        <v>27</v>
      </c>
      <c r="O899" s="10" t="str">
        <f>HYPERLINK("https://pbs.twimg.com/profile_images/609765839051452416/GNW0wSt0_normal.jpg","View")</f>
        <v>View</v>
      </c>
      <c r="P899" s="14"/>
    </row>
    <row r="900">
      <c r="A900" s="7">
        <v>42433.81178240741</v>
      </c>
      <c r="B900" s="8" t="str">
        <f>HYPERLINK("https://twitter.com/rebekkahrubin","@rebekkahrubin")</f>
        <v>@rebekkahrubin</v>
      </c>
      <c r="C900" s="9" t="s">
        <v>141</v>
      </c>
      <c r="D900" s="9" t="s">
        <v>981</v>
      </c>
      <c r="E900" s="10" t="str">
        <f>HYPERLINK("https://twitter.com/rebekkahrubin/status/705928054376415236","705928054376415236")</f>
        <v>705928054376415236</v>
      </c>
      <c r="F900" s="11" t="s">
        <v>31</v>
      </c>
      <c r="G900" s="12">
        <v>492.0</v>
      </c>
      <c r="H900" s="12">
        <v>1224.0</v>
      </c>
      <c r="I900" s="12">
        <v>0.0</v>
      </c>
      <c r="J900" s="12">
        <v>1.0</v>
      </c>
      <c r="K900" s="11" t="s">
        <v>21</v>
      </c>
      <c r="L900" s="7">
        <v>40411.521527777775</v>
      </c>
      <c r="M900" s="13" t="s">
        <v>143</v>
      </c>
      <c r="N900" s="13" t="s">
        <v>144</v>
      </c>
      <c r="O900" s="10" t="str">
        <f>HYPERLINK("https://pbs.twimg.com/profile_images/700317732588408832/Ym_-neUi_normal.jpg","View")</f>
        <v>View</v>
      </c>
      <c r="P900" s="14"/>
    </row>
    <row r="901">
      <c r="A901" s="7">
        <v>42433.81180555555</v>
      </c>
      <c r="B901" s="8" t="str">
        <f t="shared" ref="B901:B902" si="203">HYPERLINK("https://twitter.com/GHAUmass","@GHAUmass")</f>
        <v>@GHAUmass</v>
      </c>
      <c r="C901" s="9" t="s">
        <v>30</v>
      </c>
      <c r="D901" s="9" t="s">
        <v>982</v>
      </c>
      <c r="E901" s="10" t="str">
        <f>HYPERLINK("https://twitter.com/GHAUmass/status/705928064912515072","705928064912515072")</f>
        <v>705928064912515072</v>
      </c>
      <c r="F901" s="11" t="s">
        <v>26</v>
      </c>
      <c r="G901" s="12">
        <v>68.0</v>
      </c>
      <c r="H901" s="12">
        <v>100.0</v>
      </c>
      <c r="I901" s="12">
        <v>1.0</v>
      </c>
      <c r="J901" s="12">
        <v>0.0</v>
      </c>
      <c r="K901" s="11" t="s">
        <v>21</v>
      </c>
      <c r="L901" s="7">
        <v>42152.65289351852</v>
      </c>
      <c r="M901" s="13" t="s">
        <v>22</v>
      </c>
      <c r="N901" s="13" t="s">
        <v>32</v>
      </c>
      <c r="O901" s="10" t="str">
        <f t="shared" ref="O901:O902" si="204">HYPERLINK("https://pbs.twimg.com/profile_images/604060333590855682/Fk6r1D7d_normal.jpg","View")</f>
        <v>View</v>
      </c>
      <c r="P901" s="14"/>
    </row>
    <row r="902">
      <c r="A902" s="7">
        <v>42433.811840277776</v>
      </c>
      <c r="B902" s="8" t="str">
        <f t="shared" si="203"/>
        <v>@GHAUmass</v>
      </c>
      <c r="C902" s="9" t="s">
        <v>30</v>
      </c>
      <c r="D902" s="9" t="s">
        <v>983</v>
      </c>
      <c r="E902" s="10" t="str">
        <f>HYPERLINK("https://twitter.com/GHAUmass/status/705928074869792768","705928074869792768")</f>
        <v>705928074869792768</v>
      </c>
      <c r="F902" s="11" t="s">
        <v>26</v>
      </c>
      <c r="G902" s="12">
        <v>68.0</v>
      </c>
      <c r="H902" s="12">
        <v>100.0</v>
      </c>
      <c r="I902" s="12">
        <v>1.0</v>
      </c>
      <c r="J902" s="12">
        <v>0.0</v>
      </c>
      <c r="K902" s="11" t="s">
        <v>21</v>
      </c>
      <c r="L902" s="7">
        <v>42152.65289351852</v>
      </c>
      <c r="M902" s="13" t="s">
        <v>22</v>
      </c>
      <c r="N902" s="13" t="s">
        <v>32</v>
      </c>
      <c r="O902" s="10" t="str">
        <f t="shared" si="204"/>
        <v>View</v>
      </c>
      <c r="P902" s="14"/>
    </row>
    <row r="903">
      <c r="A903" s="7">
        <v>42433.811944444446</v>
      </c>
      <c r="B903" s="8" t="str">
        <f>HYPERLINK("https://twitter.com/magmidd","@magmidd")</f>
        <v>@magmidd</v>
      </c>
      <c r="C903" s="9" t="s">
        <v>636</v>
      </c>
      <c r="D903" s="9" t="s">
        <v>984</v>
      </c>
      <c r="E903" s="10" t="str">
        <f>HYPERLINK("https://twitter.com/magmidd/status/705928115323670529","705928115323670529")</f>
        <v>705928115323670529</v>
      </c>
      <c r="F903" s="11" t="s">
        <v>148</v>
      </c>
      <c r="G903" s="12">
        <v>1385.0</v>
      </c>
      <c r="H903" s="12">
        <v>1353.0</v>
      </c>
      <c r="I903" s="12">
        <v>3.0</v>
      </c>
      <c r="J903" s="12">
        <v>5.0</v>
      </c>
      <c r="K903" s="11" t="s">
        <v>21</v>
      </c>
      <c r="L903" s="7">
        <v>41511.60082175926</v>
      </c>
      <c r="M903" s="13" t="s">
        <v>197</v>
      </c>
      <c r="N903" s="13" t="s">
        <v>638</v>
      </c>
      <c r="O903" s="10" t="str">
        <f>HYPERLINK("https://pbs.twimg.com/profile_images/378800000450415007/82bcc7d0cab85e8d5920dbf5ded6715e_normal.jpeg","View")</f>
        <v>View</v>
      </c>
      <c r="P903" s="14"/>
    </row>
    <row r="904">
      <c r="A904" s="7">
        <v>42433.81217592592</v>
      </c>
      <c r="B904" s="8" t="str">
        <f>HYPERLINK("https://twitter.com/JulieThePH","@JulieThePH")</f>
        <v>@JulieThePH</v>
      </c>
      <c r="C904" s="9" t="s">
        <v>211</v>
      </c>
      <c r="D904" s="9" t="s">
        <v>985</v>
      </c>
      <c r="E904" s="10" t="str">
        <f>HYPERLINK("https://twitter.com/JulieThePH/status/705928198001917952","705928198001917952")</f>
        <v>705928198001917952</v>
      </c>
      <c r="F904" s="11" t="s">
        <v>148</v>
      </c>
      <c r="G904" s="12">
        <v>1234.0</v>
      </c>
      <c r="H904" s="12">
        <v>1386.0</v>
      </c>
      <c r="I904" s="12">
        <v>0.0</v>
      </c>
      <c r="J904" s="12">
        <v>1.0</v>
      </c>
      <c r="K904" s="11" t="s">
        <v>21</v>
      </c>
      <c r="L904" s="7">
        <v>40718.66918981481</v>
      </c>
      <c r="M904" s="13" t="s">
        <v>213</v>
      </c>
      <c r="N904" s="13" t="s">
        <v>214</v>
      </c>
      <c r="O904" s="10" t="str">
        <f>HYPERLINK("https://pbs.twimg.com/profile_images/596509974005686273/AqBblwMR_normal.jpg","View")</f>
        <v>View</v>
      </c>
      <c r="P904" s="14"/>
    </row>
    <row r="905">
      <c r="A905" s="7">
        <v>42433.8121875</v>
      </c>
      <c r="B905" s="8" t="str">
        <f>HYPERLINK("https://twitter.com/sheishistoric","@sheishistoric")</f>
        <v>@sheishistoric</v>
      </c>
      <c r="C905" s="9" t="s">
        <v>127</v>
      </c>
      <c r="D905" s="9" t="s">
        <v>986</v>
      </c>
      <c r="E905" s="10" t="str">
        <f>HYPERLINK("https://twitter.com/sheishistoric/status/705928201579667456","705928201579667456")</f>
        <v>705928201579667456</v>
      </c>
      <c r="F905" s="11" t="s">
        <v>26</v>
      </c>
      <c r="G905" s="12">
        <v>405.0</v>
      </c>
      <c r="H905" s="12">
        <v>882.0</v>
      </c>
      <c r="I905" s="12">
        <v>2.0</v>
      </c>
      <c r="J905" s="12">
        <v>0.0</v>
      </c>
      <c r="K905" s="11" t="s">
        <v>21</v>
      </c>
      <c r="L905" s="7">
        <v>41529.842094907406</v>
      </c>
      <c r="M905" s="13" t="s">
        <v>129</v>
      </c>
      <c r="N905" s="13" t="s">
        <v>130</v>
      </c>
      <c r="O905" s="10" t="str">
        <f>HYPERLINK("https://pbs.twimg.com/profile_images/650419150620377089/bJxBf---_normal.jpg","View")</f>
        <v>View</v>
      </c>
      <c r="P905" s="14"/>
    </row>
    <row r="906">
      <c r="A906" s="7">
        <v>42433.81228009259</v>
      </c>
      <c r="B906" s="8" t="str">
        <f>HYPERLINK("https://twitter.com/pastpunditry","@pastpunditry")</f>
        <v>@pastpunditry</v>
      </c>
      <c r="C906" s="9" t="s">
        <v>92</v>
      </c>
      <c r="D906" s="9" t="s">
        <v>987</v>
      </c>
      <c r="E906" s="10" t="str">
        <f>HYPERLINK("https://twitter.com/pastpunditry/status/705928235880730624","705928235880730624")</f>
        <v>705928235880730624</v>
      </c>
      <c r="F906" s="11" t="s">
        <v>77</v>
      </c>
      <c r="G906" s="12">
        <v>890.0</v>
      </c>
      <c r="H906" s="12">
        <v>378.0</v>
      </c>
      <c r="I906" s="12">
        <v>1.0</v>
      </c>
      <c r="J906" s="12">
        <v>3.0</v>
      </c>
      <c r="K906" s="11" t="s">
        <v>21</v>
      </c>
      <c r="L906" s="7">
        <v>40283.384351851855</v>
      </c>
      <c r="M906" s="13" t="s">
        <v>94</v>
      </c>
      <c r="N906" s="13" t="s">
        <v>95</v>
      </c>
      <c r="O906" s="10" t="str">
        <f>HYPERLINK("https://pbs.twimg.com/profile_images/704873222802636800/7aFEMOY5_normal.jpg","View")</f>
        <v>View</v>
      </c>
      <c r="P906" s="14"/>
    </row>
    <row r="907">
      <c r="A907" s="7">
        <v>42433.81234953704</v>
      </c>
      <c r="B907" s="8" t="str">
        <f>HYPERLINK("https://twitter.com/rebekkahrubin","@rebekkahrubin")</f>
        <v>@rebekkahrubin</v>
      </c>
      <c r="C907" s="9" t="s">
        <v>141</v>
      </c>
      <c r="D907" s="9" t="s">
        <v>988</v>
      </c>
      <c r="E907" s="10" t="str">
        <f>HYPERLINK("https://twitter.com/rebekkahrubin/status/705928261323395072","705928261323395072")</f>
        <v>705928261323395072</v>
      </c>
      <c r="F907" s="11" t="s">
        <v>31</v>
      </c>
      <c r="G907" s="12">
        <v>492.0</v>
      </c>
      <c r="H907" s="12">
        <v>1224.0</v>
      </c>
      <c r="I907" s="12">
        <v>1.0</v>
      </c>
      <c r="J907" s="12">
        <v>1.0</v>
      </c>
      <c r="K907" s="11" t="s">
        <v>21</v>
      </c>
      <c r="L907" s="7">
        <v>40411.521527777775</v>
      </c>
      <c r="M907" s="13" t="s">
        <v>143</v>
      </c>
      <c r="N907" s="13" t="s">
        <v>144</v>
      </c>
      <c r="O907" s="10" t="str">
        <f>HYPERLINK("https://pbs.twimg.com/profile_images/700317732588408832/Ym_-neUi_normal.jpg","View")</f>
        <v>View</v>
      </c>
      <c r="P907" s="14"/>
    </row>
    <row r="908">
      <c r="A908" s="7">
        <v>42433.812430555554</v>
      </c>
      <c r="B908" s="8" t="str">
        <f>HYPERLINK("https://twitter.com/pastpunditry","@pastpunditry")</f>
        <v>@pastpunditry</v>
      </c>
      <c r="C908" s="9" t="s">
        <v>92</v>
      </c>
      <c r="D908" s="9" t="s">
        <v>989</v>
      </c>
      <c r="E908" s="10" t="str">
        <f>HYPERLINK("https://twitter.com/pastpunditry/status/705928290020827136","705928290020827136")</f>
        <v>705928290020827136</v>
      </c>
      <c r="F908" s="11" t="s">
        <v>77</v>
      </c>
      <c r="G908" s="12">
        <v>890.0</v>
      </c>
      <c r="H908" s="12">
        <v>378.0</v>
      </c>
      <c r="I908" s="12">
        <v>1.0</v>
      </c>
      <c r="J908" s="12">
        <v>0.0</v>
      </c>
      <c r="K908" s="11" t="s">
        <v>21</v>
      </c>
      <c r="L908" s="7">
        <v>40283.384351851855</v>
      </c>
      <c r="M908" s="13" t="s">
        <v>94</v>
      </c>
      <c r="N908" s="13" t="s">
        <v>95</v>
      </c>
      <c r="O908" s="10" t="str">
        <f>HYPERLINK("https://pbs.twimg.com/profile_images/704873222802636800/7aFEMOY5_normal.jpg","View")</f>
        <v>View</v>
      </c>
      <c r="P908" s="14"/>
    </row>
    <row r="909">
      <c r="A909" s="7">
        <v>42433.81253472222</v>
      </c>
      <c r="B909" s="8" t="str">
        <f>HYPERLINK("https://twitter.com/rebekkahrubin","@rebekkahrubin")</f>
        <v>@rebekkahrubin</v>
      </c>
      <c r="C909" s="9" t="s">
        <v>141</v>
      </c>
      <c r="D909" s="9" t="s">
        <v>990</v>
      </c>
      <c r="E909" s="10" t="str">
        <f>HYPERLINK("https://twitter.com/rebekkahrubin/status/705928325848498177","705928325848498177")</f>
        <v>705928325848498177</v>
      </c>
      <c r="F909" s="11" t="s">
        <v>31</v>
      </c>
      <c r="G909" s="12">
        <v>492.0</v>
      </c>
      <c r="H909" s="12">
        <v>1224.0</v>
      </c>
      <c r="I909" s="12">
        <v>3.0</v>
      </c>
      <c r="J909" s="12">
        <v>0.0</v>
      </c>
      <c r="K909" s="11" t="s">
        <v>21</v>
      </c>
      <c r="L909" s="7">
        <v>40411.521527777775</v>
      </c>
      <c r="M909" s="13" t="s">
        <v>143</v>
      </c>
      <c r="N909" s="13" t="s">
        <v>144</v>
      </c>
      <c r="O909" s="10" t="str">
        <f>HYPERLINK("https://pbs.twimg.com/profile_images/700317732588408832/Ym_-neUi_normal.jpg","View")</f>
        <v>View</v>
      </c>
      <c r="P909" s="14"/>
    </row>
    <row r="910">
      <c r="A910" s="7">
        <v>42433.812569444446</v>
      </c>
      <c r="B910" s="8" t="str">
        <f>HYPERLINK("https://twitter.com/juliegpeterson","@juliegpeterson")</f>
        <v>@juliegpeterson</v>
      </c>
      <c r="C910" s="9" t="s">
        <v>24</v>
      </c>
      <c r="D910" s="9" t="s">
        <v>991</v>
      </c>
      <c r="E910" s="10" t="str">
        <f>HYPERLINK("https://twitter.com/juliegpeterson/status/705928339652005888","705928339652005888")</f>
        <v>705928339652005888</v>
      </c>
      <c r="F910" s="11" t="s">
        <v>26</v>
      </c>
      <c r="G910" s="12">
        <v>239.0</v>
      </c>
      <c r="H910" s="12">
        <v>775.0</v>
      </c>
      <c r="I910" s="12">
        <v>0.0</v>
      </c>
      <c r="J910" s="12">
        <v>4.0</v>
      </c>
      <c r="K910" s="11" t="s">
        <v>21</v>
      </c>
      <c r="L910" s="7">
        <v>41208.65523148148</v>
      </c>
      <c r="M910" s="13" t="s">
        <v>22</v>
      </c>
      <c r="N910" s="13" t="s">
        <v>27</v>
      </c>
      <c r="O910" s="10" t="str">
        <f>HYPERLINK("https://pbs.twimg.com/profile_images/609765839051452416/GNW0wSt0_normal.jpg","View")</f>
        <v>View</v>
      </c>
      <c r="P910" s="14"/>
    </row>
    <row r="911">
      <c r="A911" s="7">
        <v>42433.81259259259</v>
      </c>
      <c r="B911" s="8" t="str">
        <f>HYPERLINK("https://twitter.com/erfagen","@erfagen")</f>
        <v>@erfagen</v>
      </c>
      <c r="C911" s="9" t="s">
        <v>124</v>
      </c>
      <c r="D911" s="9" t="s">
        <v>986</v>
      </c>
      <c r="E911" s="10" t="str">
        <f>HYPERLINK("https://twitter.com/erfagen/status/705928348363522048","705928348363522048")</f>
        <v>705928348363522048</v>
      </c>
      <c r="F911" s="11" t="s">
        <v>26</v>
      </c>
      <c r="G911" s="12">
        <v>1055.0</v>
      </c>
      <c r="H911" s="12">
        <v>2055.0</v>
      </c>
      <c r="I911" s="12">
        <v>2.0</v>
      </c>
      <c r="J911" s="12">
        <v>0.0</v>
      </c>
      <c r="K911" s="11" t="s">
        <v>21</v>
      </c>
      <c r="L911" s="7">
        <v>40524.93576388889</v>
      </c>
      <c r="M911" s="13" t="s">
        <v>125</v>
      </c>
      <c r="N911" s="13" t="s">
        <v>126</v>
      </c>
      <c r="O911" s="10" t="str">
        <f>HYPERLINK("https://pbs.twimg.com/profile_images/638086945722249217/mid_S_BQ_normal.jpg","View")</f>
        <v>View</v>
      </c>
      <c r="P911" s="14"/>
    </row>
    <row r="912">
      <c r="A912" s="7">
        <v>42433.81259259259</v>
      </c>
      <c r="B912" s="8" t="str">
        <f>HYPERLINK("https://twitter.com/GIS_Sharer","@GIS_Sharer")</f>
        <v>@GIS_Sharer</v>
      </c>
      <c r="C912" s="9" t="s">
        <v>992</v>
      </c>
      <c r="D912" s="9" t="s">
        <v>944</v>
      </c>
      <c r="E912" s="10" t="str">
        <f>HYPERLINK("https://twitter.com/GIS_Sharer/status/705928348564738048","705928348564738048")</f>
        <v>705928348564738048</v>
      </c>
      <c r="F912" s="11" t="s">
        <v>992</v>
      </c>
      <c r="G912" s="12">
        <v>1466.0</v>
      </c>
      <c r="H912" s="12">
        <v>11.0</v>
      </c>
      <c r="I912" s="12">
        <v>3.0</v>
      </c>
      <c r="J912" s="12">
        <v>0.0</v>
      </c>
      <c r="K912" s="11" t="s">
        <v>21</v>
      </c>
      <c r="L912" s="7">
        <v>42346.29890046296</v>
      </c>
      <c r="M912" s="13" t="s">
        <v>993</v>
      </c>
      <c r="N912" s="13" t="s">
        <v>994</v>
      </c>
      <c r="O912" s="10" t="str">
        <f>HYPERLINK("https://pbs.twimg.com/profile_images/674226896880582656/DhIYJPm-_normal.png","View")</f>
        <v>View</v>
      </c>
      <c r="P912" s="14"/>
    </row>
    <row r="913">
      <c r="A913" s="7">
        <v>42433.81270833334</v>
      </c>
      <c r="B913" s="8" t="str">
        <f>HYPERLINK("https://twitter.com/CitizenWald","@CitizenWald")</f>
        <v>@CitizenWald</v>
      </c>
      <c r="C913" s="9" t="s">
        <v>668</v>
      </c>
      <c r="D913" s="9" t="s">
        <v>995</v>
      </c>
      <c r="E913" s="10" t="str">
        <f>HYPERLINK("https://twitter.com/CitizenWald/status/705928390604427264","705928390604427264")</f>
        <v>705928390604427264</v>
      </c>
      <c r="F913" s="11" t="s">
        <v>26</v>
      </c>
      <c r="G913" s="12">
        <v>2335.0</v>
      </c>
      <c r="H913" s="12">
        <v>2535.0</v>
      </c>
      <c r="I913" s="12">
        <v>1.0</v>
      </c>
      <c r="J913" s="12">
        <v>2.0</v>
      </c>
      <c r="K913" s="11" t="s">
        <v>21</v>
      </c>
      <c r="L913" s="7">
        <v>39373.01613425926</v>
      </c>
      <c r="M913" s="13" t="s">
        <v>22</v>
      </c>
      <c r="N913" s="13" t="s">
        <v>669</v>
      </c>
      <c r="O913" s="10" t="str">
        <f>HYPERLINK("https://pbs.twimg.com/profile_images/661220280564486144/ZxUrdRVS_normal.jpg","View")</f>
        <v>View</v>
      </c>
      <c r="P913" s="14"/>
    </row>
    <row r="914">
      <c r="A914" s="7">
        <v>42433.812743055554</v>
      </c>
      <c r="B914" s="8" t="str">
        <f>HYPERLINK("https://twitter.com/GHAUmass","@GHAUmass")</f>
        <v>@GHAUmass</v>
      </c>
      <c r="C914" s="9" t="s">
        <v>30</v>
      </c>
      <c r="D914" s="9" t="s">
        <v>996</v>
      </c>
      <c r="E914" s="10" t="str">
        <f>HYPERLINK("https://twitter.com/GHAUmass/status/705928401882845184","705928401882845184")</f>
        <v>705928401882845184</v>
      </c>
      <c r="F914" s="11" t="s">
        <v>26</v>
      </c>
      <c r="G914" s="12">
        <v>68.0</v>
      </c>
      <c r="H914" s="12">
        <v>100.0</v>
      </c>
      <c r="I914" s="12">
        <v>1.0</v>
      </c>
      <c r="J914" s="12">
        <v>0.0</v>
      </c>
      <c r="K914" s="11" t="s">
        <v>21</v>
      </c>
      <c r="L914" s="7">
        <v>42152.65289351852</v>
      </c>
      <c r="M914" s="13" t="s">
        <v>22</v>
      </c>
      <c r="N914" s="13" t="s">
        <v>32</v>
      </c>
      <c r="O914" s="10" t="str">
        <f>HYPERLINK("https://pbs.twimg.com/profile_images/604060333590855682/Fk6r1D7d_normal.jpg","View")</f>
        <v>View</v>
      </c>
      <c r="P914" s="14"/>
    </row>
    <row r="915">
      <c r="A915" s="7">
        <v>42433.8128587963</v>
      </c>
      <c r="B915" s="8" t="str">
        <f>HYPERLINK("https://twitter.com/MedeaCulpa","@MedeaCulpa")</f>
        <v>@MedeaCulpa</v>
      </c>
      <c r="C915" s="9" t="s">
        <v>811</v>
      </c>
      <c r="D915" s="9" t="s">
        <v>997</v>
      </c>
      <c r="E915" s="10" t="str">
        <f>HYPERLINK("https://twitter.com/MedeaCulpa/status/705928447089049600","705928447089049600")</f>
        <v>705928447089049600</v>
      </c>
      <c r="F915" s="11" t="s">
        <v>148</v>
      </c>
      <c r="G915" s="12">
        <v>971.0</v>
      </c>
      <c r="H915" s="12">
        <v>424.0</v>
      </c>
      <c r="I915" s="12">
        <v>1.0</v>
      </c>
      <c r="J915" s="12">
        <v>2.0</v>
      </c>
      <c r="K915" s="11" t="s">
        <v>21</v>
      </c>
      <c r="L915" s="7">
        <v>39894.5790625</v>
      </c>
      <c r="M915" s="13" t="s">
        <v>813</v>
      </c>
      <c r="N915" s="13" t="s">
        <v>814</v>
      </c>
      <c r="O915" s="10" t="str">
        <f>HYPERLINK("https://pbs.twimg.com/profile_images/702272676837068800/xO5D7apz_normal.jpg","View")</f>
        <v>View</v>
      </c>
      <c r="P915" s="14"/>
    </row>
    <row r="916">
      <c r="A916" s="7">
        <v>42433.812997685185</v>
      </c>
      <c r="B916" s="8" t="str">
        <f>HYPERLINK("https://twitter.com/JimGrossmanAHA","@JimGrossmanAHA")</f>
        <v>@JimGrossmanAHA</v>
      </c>
      <c r="C916" s="9" t="s">
        <v>278</v>
      </c>
      <c r="D916" s="9" t="s">
        <v>998</v>
      </c>
      <c r="E916" s="10" t="str">
        <f>HYPERLINK("https://twitter.com/JimGrossmanAHA/status/705928497492058112","705928497492058112")</f>
        <v>705928497492058112</v>
      </c>
      <c r="F916" s="11" t="s">
        <v>31</v>
      </c>
      <c r="G916" s="12">
        <v>2241.0</v>
      </c>
      <c r="H916" s="12">
        <v>368.0</v>
      </c>
      <c r="I916" s="12">
        <v>2.0</v>
      </c>
      <c r="J916" s="12">
        <v>1.0</v>
      </c>
      <c r="K916" s="11" t="s">
        <v>21</v>
      </c>
      <c r="L916" s="7">
        <v>41576.36603009259</v>
      </c>
      <c r="M916" s="13" t="s">
        <v>279</v>
      </c>
      <c r="N916" s="13" t="s">
        <v>280</v>
      </c>
      <c r="O916" s="10" t="str">
        <f>HYPERLINK("https://pbs.twimg.com/profile_images/378800000667891782/44d7b181c077bf16ab07b242f7ad81b9_normal.png","View")</f>
        <v>View</v>
      </c>
      <c r="P916" s="14"/>
    </row>
    <row r="917">
      <c r="A917" s="7">
        <v>42433.81307870371</v>
      </c>
      <c r="B917" s="8" t="str">
        <f t="shared" ref="B917:B918" si="205">HYPERLINK("https://twitter.com/GHAUmass","@GHAUmass")</f>
        <v>@GHAUmass</v>
      </c>
      <c r="C917" s="9" t="s">
        <v>30</v>
      </c>
      <c r="D917" s="9" t="s">
        <v>999</v>
      </c>
      <c r="E917" s="10" t="str">
        <f>HYPERLINK("https://twitter.com/GHAUmass/status/705928524205596672","705928524205596672")</f>
        <v>705928524205596672</v>
      </c>
      <c r="F917" s="11" t="s">
        <v>26</v>
      </c>
      <c r="G917" s="12">
        <v>68.0</v>
      </c>
      <c r="H917" s="12">
        <v>100.0</v>
      </c>
      <c r="I917" s="12">
        <v>1.0</v>
      </c>
      <c r="J917" s="12">
        <v>0.0</v>
      </c>
      <c r="K917" s="11" t="s">
        <v>21</v>
      </c>
      <c r="L917" s="7">
        <v>42152.65289351852</v>
      </c>
      <c r="M917" s="13" t="s">
        <v>22</v>
      </c>
      <c r="N917" s="13" t="s">
        <v>32</v>
      </c>
      <c r="O917" s="10" t="str">
        <f t="shared" ref="O917:O918" si="206">HYPERLINK("https://pbs.twimg.com/profile_images/604060333590855682/Fk6r1D7d_normal.jpg","View")</f>
        <v>View</v>
      </c>
      <c r="P917" s="14"/>
    </row>
    <row r="918">
      <c r="A918" s="7">
        <v>42433.81326388889</v>
      </c>
      <c r="B918" s="8" t="str">
        <f t="shared" si="205"/>
        <v>@GHAUmass</v>
      </c>
      <c r="C918" s="9" t="s">
        <v>30</v>
      </c>
      <c r="D918" s="9" t="s">
        <v>1000</v>
      </c>
      <c r="E918" s="10" t="str">
        <f>HYPERLINK("https://twitter.com/GHAUmass/status/705928590517473280","705928590517473280")</f>
        <v>705928590517473280</v>
      </c>
      <c r="F918" s="11" t="s">
        <v>26</v>
      </c>
      <c r="G918" s="12">
        <v>68.0</v>
      </c>
      <c r="H918" s="12">
        <v>100.0</v>
      </c>
      <c r="I918" s="12">
        <v>1.0</v>
      </c>
      <c r="J918" s="12">
        <v>0.0</v>
      </c>
      <c r="K918" s="11" t="s">
        <v>21</v>
      </c>
      <c r="L918" s="7">
        <v>42152.65289351852</v>
      </c>
      <c r="M918" s="13" t="s">
        <v>22</v>
      </c>
      <c r="N918" s="13" t="s">
        <v>32</v>
      </c>
      <c r="O918" s="10" t="str">
        <f t="shared" si="206"/>
        <v>View</v>
      </c>
      <c r="P918" s="14"/>
    </row>
    <row r="919">
      <c r="A919" s="7">
        <v>42433.813310185185</v>
      </c>
      <c r="B919" s="8" t="str">
        <f>HYPERLINK("https://twitter.com/pastpunditry","@pastpunditry")</f>
        <v>@pastpunditry</v>
      </c>
      <c r="C919" s="9" t="s">
        <v>92</v>
      </c>
      <c r="D919" s="9" t="s">
        <v>1001</v>
      </c>
      <c r="E919" s="10" t="str">
        <f>HYPERLINK("https://twitter.com/pastpunditry/status/705928609412857856","705928609412857856")</f>
        <v>705928609412857856</v>
      </c>
      <c r="F919" s="11" t="s">
        <v>77</v>
      </c>
      <c r="G919" s="12">
        <v>890.0</v>
      </c>
      <c r="H919" s="12">
        <v>378.0</v>
      </c>
      <c r="I919" s="12">
        <v>3.0</v>
      </c>
      <c r="J919" s="12">
        <v>3.0</v>
      </c>
      <c r="K919" s="11" t="s">
        <v>21</v>
      </c>
      <c r="L919" s="7">
        <v>40283.384351851855</v>
      </c>
      <c r="M919" s="13" t="s">
        <v>94</v>
      </c>
      <c r="N919" s="13" t="s">
        <v>95</v>
      </c>
      <c r="O919" s="10" t="str">
        <f>HYPERLINK("https://pbs.twimg.com/profile_images/704873222802636800/7aFEMOY5_normal.jpg","View")</f>
        <v>View</v>
      </c>
      <c r="P919" s="14"/>
    </row>
    <row r="920">
      <c r="A920" s="7">
        <v>42433.813414351855</v>
      </c>
      <c r="B920" s="8" t="str">
        <f>HYPERLINK("https://twitter.com/sheishistoric","@sheishistoric")</f>
        <v>@sheishistoric</v>
      </c>
      <c r="C920" s="9" t="s">
        <v>127</v>
      </c>
      <c r="D920" s="9" t="s">
        <v>1002</v>
      </c>
      <c r="E920" s="10" t="str">
        <f>HYPERLINK("https://twitter.com/sheishistoric/status/705928646079455233","705928646079455233")</f>
        <v>705928646079455233</v>
      </c>
      <c r="F920" s="11" t="s">
        <v>26</v>
      </c>
      <c r="G920" s="12">
        <v>405.0</v>
      </c>
      <c r="H920" s="12">
        <v>882.0</v>
      </c>
      <c r="I920" s="12">
        <v>2.0</v>
      </c>
      <c r="J920" s="12">
        <v>0.0</v>
      </c>
      <c r="K920" s="11" t="s">
        <v>21</v>
      </c>
      <c r="L920" s="7">
        <v>41529.842094907406</v>
      </c>
      <c r="M920" s="13" t="s">
        <v>129</v>
      </c>
      <c r="N920" s="13" t="s">
        <v>130</v>
      </c>
      <c r="O920" s="10" t="str">
        <f>HYPERLINK("https://pbs.twimg.com/profile_images/650419150620377089/bJxBf---_normal.jpg","View")</f>
        <v>View</v>
      </c>
      <c r="P920" s="14"/>
    </row>
    <row r="921">
      <c r="A921" s="7">
        <v>42433.813425925924</v>
      </c>
      <c r="B921" s="8" t="str">
        <f t="shared" ref="B921:B922" si="207">HYPERLINK("https://twitter.com/GHAUmass","@GHAUmass")</f>
        <v>@GHAUmass</v>
      </c>
      <c r="C921" s="9" t="s">
        <v>30</v>
      </c>
      <c r="D921" s="9" t="s">
        <v>1002</v>
      </c>
      <c r="E921" s="10" t="str">
        <f>HYPERLINK("https://twitter.com/GHAUmass/status/705928648986140672","705928648986140672")</f>
        <v>705928648986140672</v>
      </c>
      <c r="F921" s="11" t="s">
        <v>26</v>
      </c>
      <c r="G921" s="12">
        <v>68.0</v>
      </c>
      <c r="H921" s="12">
        <v>100.0</v>
      </c>
      <c r="I921" s="12">
        <v>2.0</v>
      </c>
      <c r="J921" s="12">
        <v>0.0</v>
      </c>
      <c r="K921" s="11" t="s">
        <v>21</v>
      </c>
      <c r="L921" s="7">
        <v>42152.65289351852</v>
      </c>
      <c r="M921" s="13" t="s">
        <v>22</v>
      </c>
      <c r="N921" s="13" t="s">
        <v>32</v>
      </c>
      <c r="O921" s="10" t="str">
        <f t="shared" ref="O921:O922" si="208">HYPERLINK("https://pbs.twimg.com/profile_images/604060333590855682/Fk6r1D7d_normal.jpg","View")</f>
        <v>View</v>
      </c>
      <c r="P921" s="14"/>
    </row>
    <row r="922">
      <c r="A922" s="7">
        <v>42433.81344907408</v>
      </c>
      <c r="B922" s="8" t="str">
        <f t="shared" si="207"/>
        <v>@GHAUmass</v>
      </c>
      <c r="C922" s="9" t="s">
        <v>30</v>
      </c>
      <c r="D922" s="9" t="s">
        <v>1003</v>
      </c>
      <c r="E922" s="10" t="str">
        <f>HYPERLINK("https://twitter.com/GHAUmass/status/705928660864344064","705928660864344064")</f>
        <v>705928660864344064</v>
      </c>
      <c r="F922" s="11" t="s">
        <v>26</v>
      </c>
      <c r="G922" s="12">
        <v>68.0</v>
      </c>
      <c r="H922" s="12">
        <v>100.0</v>
      </c>
      <c r="I922" s="12">
        <v>3.0</v>
      </c>
      <c r="J922" s="12">
        <v>0.0</v>
      </c>
      <c r="K922" s="11" t="s">
        <v>21</v>
      </c>
      <c r="L922" s="7">
        <v>42152.65289351852</v>
      </c>
      <c r="M922" s="13" t="s">
        <v>22</v>
      </c>
      <c r="N922" s="13" t="s">
        <v>32</v>
      </c>
      <c r="O922" s="10" t="str">
        <f t="shared" si="208"/>
        <v>View</v>
      </c>
      <c r="P922" s="14"/>
    </row>
    <row r="923">
      <c r="A923" s="7">
        <v>42433.81355324074</v>
      </c>
      <c r="B923" s="8" t="str">
        <f>HYPERLINK("https://twitter.com/JulieThePH","@JulieThePH")</f>
        <v>@JulieThePH</v>
      </c>
      <c r="C923" s="9" t="s">
        <v>211</v>
      </c>
      <c r="D923" s="9" t="s">
        <v>1004</v>
      </c>
      <c r="E923" s="10" t="str">
        <f>HYPERLINK("https://twitter.com/JulieThePH/status/705928695479980033","705928695479980033")</f>
        <v>705928695479980033</v>
      </c>
      <c r="F923" s="11" t="s">
        <v>148</v>
      </c>
      <c r="G923" s="12">
        <v>1234.0</v>
      </c>
      <c r="H923" s="12">
        <v>1386.0</v>
      </c>
      <c r="I923" s="12">
        <v>1.0</v>
      </c>
      <c r="J923" s="12">
        <v>1.0</v>
      </c>
      <c r="K923" s="11" t="s">
        <v>21</v>
      </c>
      <c r="L923" s="7">
        <v>40718.66918981481</v>
      </c>
      <c r="M923" s="13" t="s">
        <v>213</v>
      </c>
      <c r="N923" s="13" t="s">
        <v>214</v>
      </c>
      <c r="O923" s="10" t="str">
        <f>HYPERLINK("https://pbs.twimg.com/profile_images/596509974005686273/AqBblwMR_normal.jpg","View")</f>
        <v>View</v>
      </c>
      <c r="P923" s="14"/>
    </row>
    <row r="924">
      <c r="A924" s="7">
        <v>42433.81363425926</v>
      </c>
      <c r="B924" s="8" t="str">
        <f>HYPERLINK("https://twitter.com/JimGrossmanAHA","@JimGrossmanAHA")</f>
        <v>@JimGrossmanAHA</v>
      </c>
      <c r="C924" s="9" t="s">
        <v>278</v>
      </c>
      <c r="D924" s="9" t="s">
        <v>1005</v>
      </c>
      <c r="E924" s="10" t="str">
        <f>HYPERLINK("https://twitter.com/JimGrossmanAHA/status/705928726480089088","705928726480089088")</f>
        <v>705928726480089088</v>
      </c>
      <c r="F924" s="11" t="s">
        <v>31</v>
      </c>
      <c r="G924" s="12">
        <v>2241.0</v>
      </c>
      <c r="H924" s="12">
        <v>368.0</v>
      </c>
      <c r="I924" s="12">
        <v>1.0</v>
      </c>
      <c r="J924" s="12">
        <v>3.0</v>
      </c>
      <c r="K924" s="11" t="s">
        <v>21</v>
      </c>
      <c r="L924" s="7">
        <v>41576.36603009259</v>
      </c>
      <c r="M924" s="13" t="s">
        <v>279</v>
      </c>
      <c r="N924" s="13" t="s">
        <v>280</v>
      </c>
      <c r="O924" s="10" t="str">
        <f>HYPERLINK("https://pbs.twimg.com/profile_images/378800000667891782/44d7b181c077bf16ab07b242f7ad81b9_normal.png","View")</f>
        <v>View</v>
      </c>
      <c r="P924" s="14"/>
    </row>
    <row r="925">
      <c r="A925" s="7">
        <v>42433.81372685185</v>
      </c>
      <c r="B925" s="8" t="str">
        <f>HYPERLINK("https://twitter.com/pastpunditry","@pastpunditry")</f>
        <v>@pastpunditry</v>
      </c>
      <c r="C925" s="9" t="s">
        <v>92</v>
      </c>
      <c r="D925" s="9" t="s">
        <v>1006</v>
      </c>
      <c r="E925" s="10" t="str">
        <f>HYPERLINK("https://twitter.com/pastpunditry/status/705928761309589504","705928761309589504")</f>
        <v>705928761309589504</v>
      </c>
      <c r="F925" s="11" t="s">
        <v>77</v>
      </c>
      <c r="G925" s="12">
        <v>890.0</v>
      </c>
      <c r="H925" s="12">
        <v>378.0</v>
      </c>
      <c r="I925" s="12">
        <v>0.0</v>
      </c>
      <c r="J925" s="12">
        <v>1.0</v>
      </c>
      <c r="K925" s="11" t="s">
        <v>21</v>
      </c>
      <c r="L925" s="7">
        <v>40283.384351851855</v>
      </c>
      <c r="M925" s="13" t="s">
        <v>94</v>
      </c>
      <c r="N925" s="13" t="s">
        <v>95</v>
      </c>
      <c r="O925" s="10" t="str">
        <f>HYPERLINK("https://pbs.twimg.com/profile_images/704873222802636800/7aFEMOY5_normal.jpg","View")</f>
        <v>View</v>
      </c>
      <c r="P925" s="14"/>
    </row>
    <row r="926">
      <c r="A926" s="7">
        <v>42433.81375</v>
      </c>
      <c r="B926" s="8" t="str">
        <f>HYPERLINK("https://twitter.com/juliegpeterson","@juliegpeterson")</f>
        <v>@juliegpeterson</v>
      </c>
      <c r="C926" s="9" t="s">
        <v>24</v>
      </c>
      <c r="D926" s="9" t="s">
        <v>1007</v>
      </c>
      <c r="E926" s="10" t="str">
        <f>HYPERLINK("https://twitter.com/juliegpeterson/status/705928768418914304","705928768418914304")</f>
        <v>705928768418914304</v>
      </c>
      <c r="F926" s="11" t="s">
        <v>26</v>
      </c>
      <c r="G926" s="12">
        <v>239.0</v>
      </c>
      <c r="H926" s="12">
        <v>775.0</v>
      </c>
      <c r="I926" s="12">
        <v>4.0</v>
      </c>
      <c r="J926" s="12">
        <v>5.0</v>
      </c>
      <c r="K926" s="11" t="s">
        <v>21</v>
      </c>
      <c r="L926" s="7">
        <v>41208.65523148148</v>
      </c>
      <c r="M926" s="13" t="s">
        <v>22</v>
      </c>
      <c r="N926" s="13" t="s">
        <v>27</v>
      </c>
      <c r="O926" s="10" t="str">
        <f>HYPERLINK("https://pbs.twimg.com/profile_images/609765839051452416/GNW0wSt0_normal.jpg","View")</f>
        <v>View</v>
      </c>
      <c r="P926" s="14"/>
    </row>
    <row r="927">
      <c r="A927" s="7">
        <v>42433.813796296294</v>
      </c>
      <c r="B927" s="8" t="str">
        <f>HYPERLINK("https://twitter.com/sheishistoric","@sheishistoric")</f>
        <v>@sheishistoric</v>
      </c>
      <c r="C927" s="9" t="s">
        <v>127</v>
      </c>
      <c r="D927" s="9" t="s">
        <v>1003</v>
      </c>
      <c r="E927" s="10" t="str">
        <f>HYPERLINK("https://twitter.com/sheishistoric/status/705928785300996096","705928785300996096")</f>
        <v>705928785300996096</v>
      </c>
      <c r="F927" s="11" t="s">
        <v>26</v>
      </c>
      <c r="G927" s="12">
        <v>405.0</v>
      </c>
      <c r="H927" s="12">
        <v>882.0</v>
      </c>
      <c r="I927" s="12">
        <v>3.0</v>
      </c>
      <c r="J927" s="12">
        <v>0.0</v>
      </c>
      <c r="K927" s="11" t="s">
        <v>21</v>
      </c>
      <c r="L927" s="7">
        <v>41529.842094907406</v>
      </c>
      <c r="M927" s="13" t="s">
        <v>129</v>
      </c>
      <c r="N927" s="13" t="s">
        <v>130</v>
      </c>
      <c r="O927" s="10" t="str">
        <f>HYPERLINK("https://pbs.twimg.com/profile_images/650419150620377089/bJxBf---_normal.jpg","View")</f>
        <v>View</v>
      </c>
      <c r="P927" s="14"/>
    </row>
    <row r="928">
      <c r="A928" s="7">
        <v>42433.813796296294</v>
      </c>
      <c r="B928" s="8" t="str">
        <f>HYPERLINK("https://twitter.com/defactofecteau","@defactofecteau")</f>
        <v>@defactofecteau</v>
      </c>
      <c r="C928" s="9" t="s">
        <v>665</v>
      </c>
      <c r="D928" s="9" t="s">
        <v>990</v>
      </c>
      <c r="E928" s="10" t="str">
        <f>HYPERLINK("https://twitter.com/defactofecteau/status/705928785850458113","705928785850458113")</f>
        <v>705928785850458113</v>
      </c>
      <c r="F928" s="11" t="s">
        <v>148</v>
      </c>
      <c r="G928" s="12">
        <v>46.0</v>
      </c>
      <c r="H928" s="12">
        <v>104.0</v>
      </c>
      <c r="I928" s="12">
        <v>3.0</v>
      </c>
      <c r="J928" s="12">
        <v>0.0</v>
      </c>
      <c r="K928" s="11" t="s">
        <v>21</v>
      </c>
      <c r="L928" s="7">
        <v>41684.53481481482</v>
      </c>
      <c r="M928" s="15"/>
      <c r="N928" s="13" t="s">
        <v>667</v>
      </c>
      <c r="O928" s="10" t="str">
        <f>HYPERLINK("https://pbs.twimg.com/profile_images/434404729263648768/vsAZLFtj_normal.jpeg","View")</f>
        <v>View</v>
      </c>
      <c r="P928" s="14"/>
    </row>
    <row r="929">
      <c r="A929" s="7">
        <v>42433.81412037037</v>
      </c>
      <c r="B929" s="8" t="str">
        <f>HYPERLINK("https://twitter.com/JulieThePH","@JulieThePH")</f>
        <v>@JulieThePH</v>
      </c>
      <c r="C929" s="9" t="s">
        <v>211</v>
      </c>
      <c r="D929" s="9" t="s">
        <v>1008</v>
      </c>
      <c r="E929" s="10" t="str">
        <f>HYPERLINK("https://twitter.com/JulieThePH/status/705928902863167490","705928902863167490")</f>
        <v>705928902863167490</v>
      </c>
      <c r="F929" s="11" t="s">
        <v>148</v>
      </c>
      <c r="G929" s="12">
        <v>1234.0</v>
      </c>
      <c r="H929" s="12">
        <v>1386.0</v>
      </c>
      <c r="I929" s="12">
        <v>4.0</v>
      </c>
      <c r="J929" s="12">
        <v>0.0</v>
      </c>
      <c r="K929" s="11" t="s">
        <v>21</v>
      </c>
      <c r="L929" s="7">
        <v>40718.66918981481</v>
      </c>
      <c r="M929" s="13" t="s">
        <v>213</v>
      </c>
      <c r="N929" s="13" t="s">
        <v>214</v>
      </c>
      <c r="O929" s="10" t="str">
        <f>HYPERLINK("https://pbs.twimg.com/profile_images/596509974005686273/AqBblwMR_normal.jpg","View")</f>
        <v>View</v>
      </c>
      <c r="P929" s="14"/>
    </row>
    <row r="930">
      <c r="A930" s="7">
        <v>42433.81413194444</v>
      </c>
      <c r="B930" s="8" t="str">
        <f>HYPERLINK("https://twitter.com/erfagen","@erfagen")</f>
        <v>@erfagen</v>
      </c>
      <c r="C930" s="9" t="s">
        <v>124</v>
      </c>
      <c r="D930" s="9" t="s">
        <v>1009</v>
      </c>
      <c r="E930" s="10" t="str">
        <f>HYPERLINK("https://twitter.com/erfagen/status/705928908173086722","705928908173086722")</f>
        <v>705928908173086722</v>
      </c>
      <c r="F930" s="11" t="s">
        <v>26</v>
      </c>
      <c r="G930" s="12">
        <v>1055.0</v>
      </c>
      <c r="H930" s="12">
        <v>2055.0</v>
      </c>
      <c r="I930" s="12">
        <v>2.0</v>
      </c>
      <c r="J930" s="12">
        <v>5.0</v>
      </c>
      <c r="K930" s="11" t="s">
        <v>21</v>
      </c>
      <c r="L930" s="7">
        <v>40524.93576388889</v>
      </c>
      <c r="M930" s="13" t="s">
        <v>125</v>
      </c>
      <c r="N930" s="13" t="s">
        <v>126</v>
      </c>
      <c r="O930" s="10" t="str">
        <f>HYPERLINK("https://pbs.twimg.com/profile_images/638086945722249217/mid_S_BQ_normal.jpg","View")</f>
        <v>View</v>
      </c>
      <c r="P930" s="14"/>
    </row>
    <row r="931">
      <c r="A931" s="7">
        <v>42433.81417824074</v>
      </c>
      <c r="B931" s="8" t="str">
        <f>HYPERLINK("https://twitter.com/pastpunditry","@pastpunditry")</f>
        <v>@pastpunditry</v>
      </c>
      <c r="C931" s="9" t="s">
        <v>92</v>
      </c>
      <c r="D931" s="9" t="s">
        <v>1010</v>
      </c>
      <c r="E931" s="10" t="str">
        <f>HYPERLINK("https://twitter.com/pastpunditry/status/705928921968222212","705928921968222212")</f>
        <v>705928921968222212</v>
      </c>
      <c r="F931" s="11" t="s">
        <v>77</v>
      </c>
      <c r="G931" s="12">
        <v>890.0</v>
      </c>
      <c r="H931" s="12">
        <v>378.0</v>
      </c>
      <c r="I931" s="12">
        <v>0.0</v>
      </c>
      <c r="J931" s="12">
        <v>2.0</v>
      </c>
      <c r="K931" s="11" t="s">
        <v>21</v>
      </c>
      <c r="L931" s="7">
        <v>40283.384351851855</v>
      </c>
      <c r="M931" s="13" t="s">
        <v>94</v>
      </c>
      <c r="N931" s="13" t="s">
        <v>95</v>
      </c>
      <c r="O931" s="10" t="str">
        <f>HYPERLINK("https://pbs.twimg.com/profile_images/704873222802636800/7aFEMOY5_normal.jpg","View")</f>
        <v>View</v>
      </c>
      <c r="P931" s="14"/>
    </row>
    <row r="932">
      <c r="A932" s="7">
        <v>42433.81423611111</v>
      </c>
      <c r="B932" s="8" t="str">
        <f>HYPERLINK("https://twitter.com/rebekkahrubin","@rebekkahrubin")</f>
        <v>@rebekkahrubin</v>
      </c>
      <c r="C932" s="9" t="s">
        <v>141</v>
      </c>
      <c r="D932" s="9" t="s">
        <v>1011</v>
      </c>
      <c r="E932" s="10" t="str">
        <f>HYPERLINK("https://twitter.com/rebekkahrubin/status/705928942226706432","705928942226706432")</f>
        <v>705928942226706432</v>
      </c>
      <c r="F932" s="11" t="s">
        <v>31</v>
      </c>
      <c r="G932" s="12">
        <v>492.0</v>
      </c>
      <c r="H932" s="12">
        <v>1224.0</v>
      </c>
      <c r="I932" s="12">
        <v>1.0</v>
      </c>
      <c r="J932" s="12">
        <v>3.0</v>
      </c>
      <c r="K932" s="11" t="s">
        <v>21</v>
      </c>
      <c r="L932" s="7">
        <v>40411.521527777775</v>
      </c>
      <c r="M932" s="13" t="s">
        <v>143</v>
      </c>
      <c r="N932" s="13" t="s">
        <v>144</v>
      </c>
      <c r="O932" s="10" t="str">
        <f>HYPERLINK("https://pbs.twimg.com/profile_images/700317732588408832/Ym_-neUi_normal.jpg","View")</f>
        <v>View</v>
      </c>
      <c r="P932" s="14"/>
    </row>
    <row r="933">
      <c r="A933" s="7">
        <v>42433.81427083333</v>
      </c>
      <c r="B933" s="8" t="str">
        <f>HYPERLINK("https://twitter.com/erfagen","@erfagen")</f>
        <v>@erfagen</v>
      </c>
      <c r="C933" s="9" t="s">
        <v>124</v>
      </c>
      <c r="D933" s="9" t="s">
        <v>1008</v>
      </c>
      <c r="E933" s="10" t="str">
        <f>HYPERLINK("https://twitter.com/erfagen/status/705928957875585024","705928957875585024")</f>
        <v>705928957875585024</v>
      </c>
      <c r="F933" s="11" t="s">
        <v>26</v>
      </c>
      <c r="G933" s="12">
        <v>1055.0</v>
      </c>
      <c r="H933" s="12">
        <v>2055.0</v>
      </c>
      <c r="I933" s="12">
        <v>4.0</v>
      </c>
      <c r="J933" s="12">
        <v>0.0</v>
      </c>
      <c r="K933" s="11" t="s">
        <v>21</v>
      </c>
      <c r="L933" s="7">
        <v>40524.93576388889</v>
      </c>
      <c r="M933" s="13" t="s">
        <v>125</v>
      </c>
      <c r="N933" s="13" t="s">
        <v>126</v>
      </c>
      <c r="O933" s="10" t="str">
        <f>HYPERLINK("https://pbs.twimg.com/profile_images/638086945722249217/mid_S_BQ_normal.jpg","View")</f>
        <v>View</v>
      </c>
      <c r="P933" s="14"/>
    </row>
    <row r="934">
      <c r="A934" s="7">
        <v>42433.814375</v>
      </c>
      <c r="B934" s="8" t="str">
        <f t="shared" ref="B934:B935" si="209">HYPERLINK("https://twitter.com/GHAUmass","@GHAUmass")</f>
        <v>@GHAUmass</v>
      </c>
      <c r="C934" s="9" t="s">
        <v>30</v>
      </c>
      <c r="D934" s="9" t="s">
        <v>1008</v>
      </c>
      <c r="E934" s="10" t="str">
        <f>HYPERLINK("https://twitter.com/GHAUmass/status/705928992927436800","705928992927436800")</f>
        <v>705928992927436800</v>
      </c>
      <c r="F934" s="11" t="s">
        <v>26</v>
      </c>
      <c r="G934" s="12">
        <v>68.0</v>
      </c>
      <c r="H934" s="12">
        <v>100.0</v>
      </c>
      <c r="I934" s="12">
        <v>4.0</v>
      </c>
      <c r="J934" s="12">
        <v>0.0</v>
      </c>
      <c r="K934" s="11" t="s">
        <v>21</v>
      </c>
      <c r="L934" s="7">
        <v>42152.65289351852</v>
      </c>
      <c r="M934" s="13" t="s">
        <v>22</v>
      </c>
      <c r="N934" s="13" t="s">
        <v>32</v>
      </c>
      <c r="O934" s="10" t="str">
        <f t="shared" ref="O934:O935" si="210">HYPERLINK("https://pbs.twimg.com/profile_images/604060333590855682/Fk6r1D7d_normal.jpg","View")</f>
        <v>View</v>
      </c>
      <c r="P934" s="14"/>
    </row>
    <row r="935">
      <c r="A935" s="7">
        <v>42433.814467592594</v>
      </c>
      <c r="B935" s="8" t="str">
        <f t="shared" si="209"/>
        <v>@GHAUmass</v>
      </c>
      <c r="C935" s="9" t="s">
        <v>30</v>
      </c>
      <c r="D935" s="9" t="s">
        <v>1012</v>
      </c>
      <c r="E935" s="10" t="str">
        <f>HYPERLINK("https://twitter.com/GHAUmass/status/705929028063109120","705929028063109120")</f>
        <v>705929028063109120</v>
      </c>
      <c r="F935" s="11" t="s">
        <v>26</v>
      </c>
      <c r="G935" s="12">
        <v>68.0</v>
      </c>
      <c r="H935" s="12">
        <v>100.0</v>
      </c>
      <c r="I935" s="12">
        <v>2.0</v>
      </c>
      <c r="J935" s="12">
        <v>0.0</v>
      </c>
      <c r="K935" s="11" t="s">
        <v>21</v>
      </c>
      <c r="L935" s="7">
        <v>42152.65289351852</v>
      </c>
      <c r="M935" s="13" t="s">
        <v>22</v>
      </c>
      <c r="N935" s="13" t="s">
        <v>32</v>
      </c>
      <c r="O935" s="10" t="str">
        <f t="shared" si="210"/>
        <v>View</v>
      </c>
      <c r="P935" s="14"/>
    </row>
    <row r="936">
      <c r="A936" s="7">
        <v>42433.814675925925</v>
      </c>
      <c r="B936" s="8" t="str">
        <f>HYPERLINK("https://twitter.com/sheishistoric","@sheishistoric")</f>
        <v>@sheishistoric</v>
      </c>
      <c r="C936" s="9" t="s">
        <v>127</v>
      </c>
      <c r="D936" s="9" t="s">
        <v>1013</v>
      </c>
      <c r="E936" s="10" t="str">
        <f>HYPERLINK("https://twitter.com/sheishistoric/status/705929104089083904","705929104089083904")</f>
        <v>705929104089083904</v>
      </c>
      <c r="F936" s="11" t="s">
        <v>26</v>
      </c>
      <c r="G936" s="12">
        <v>405.0</v>
      </c>
      <c r="H936" s="12">
        <v>882.0</v>
      </c>
      <c r="I936" s="12">
        <v>0.0</v>
      </c>
      <c r="J936" s="12">
        <v>1.0</v>
      </c>
      <c r="K936" s="11" t="s">
        <v>21</v>
      </c>
      <c r="L936" s="7">
        <v>41529.842094907406</v>
      </c>
      <c r="M936" s="13" t="s">
        <v>129</v>
      </c>
      <c r="N936" s="13" t="s">
        <v>130</v>
      </c>
      <c r="O936" s="10" t="str">
        <f>HYPERLINK("https://pbs.twimg.com/profile_images/650419150620377089/bJxBf---_normal.jpg","View")</f>
        <v>View</v>
      </c>
      <c r="P936" s="14"/>
    </row>
    <row r="937">
      <c r="A937" s="7">
        <v>42433.81475694444</v>
      </c>
      <c r="B937" s="8" t="str">
        <f>HYPERLINK("https://twitter.com/pastpunditry","@pastpunditry")</f>
        <v>@pastpunditry</v>
      </c>
      <c r="C937" s="9" t="s">
        <v>92</v>
      </c>
      <c r="D937" s="9" t="s">
        <v>1014</v>
      </c>
      <c r="E937" s="10" t="str">
        <f>HYPERLINK("https://twitter.com/pastpunditry/status/705929131977019392","705929131977019392")</f>
        <v>705929131977019392</v>
      </c>
      <c r="F937" s="11" t="s">
        <v>77</v>
      </c>
      <c r="G937" s="12">
        <v>890.0</v>
      </c>
      <c r="H937" s="12">
        <v>378.0</v>
      </c>
      <c r="I937" s="12">
        <v>1.0</v>
      </c>
      <c r="J937" s="12">
        <v>3.0</v>
      </c>
      <c r="K937" s="11" t="s">
        <v>21</v>
      </c>
      <c r="L937" s="7">
        <v>40283.384351851855</v>
      </c>
      <c r="M937" s="13" t="s">
        <v>94</v>
      </c>
      <c r="N937" s="13" t="s">
        <v>95</v>
      </c>
      <c r="O937" s="10" t="str">
        <f>HYPERLINK("https://pbs.twimg.com/profile_images/704873222802636800/7aFEMOY5_normal.jpg","View")</f>
        <v>View</v>
      </c>
      <c r="P937" s="14"/>
    </row>
    <row r="938">
      <c r="A938" s="7">
        <v>42433.81480324074</v>
      </c>
      <c r="B938" s="8" t="str">
        <f>HYPERLINK("https://twitter.com/JimGrossmanAHA","@JimGrossmanAHA")</f>
        <v>@JimGrossmanAHA</v>
      </c>
      <c r="C938" s="9" t="s">
        <v>278</v>
      </c>
      <c r="D938" s="9" t="s">
        <v>1015</v>
      </c>
      <c r="E938" s="10" t="str">
        <f>HYPERLINK("https://twitter.com/JimGrossmanAHA/status/705929149609852928","705929149609852928")</f>
        <v>705929149609852928</v>
      </c>
      <c r="F938" s="11" t="s">
        <v>31</v>
      </c>
      <c r="G938" s="12">
        <v>2241.0</v>
      </c>
      <c r="H938" s="12">
        <v>368.0</v>
      </c>
      <c r="I938" s="12">
        <v>2.0</v>
      </c>
      <c r="J938" s="12">
        <v>5.0</v>
      </c>
      <c r="K938" s="11" t="s">
        <v>21</v>
      </c>
      <c r="L938" s="7">
        <v>41576.36603009259</v>
      </c>
      <c r="M938" s="13" t="s">
        <v>279</v>
      </c>
      <c r="N938" s="13" t="s">
        <v>280</v>
      </c>
      <c r="O938" s="10" t="str">
        <f>HYPERLINK("https://pbs.twimg.com/profile_images/378800000667891782/44d7b181c077bf16ab07b242f7ad81b9_normal.png","View")</f>
        <v>View</v>
      </c>
      <c r="P938" s="14"/>
    </row>
    <row r="939">
      <c r="A939" s="7">
        <v>42433.81489583333</v>
      </c>
      <c r="B939" s="8" t="str">
        <f>HYPERLINK("https://twitter.com/pastpunditry","@pastpunditry")</f>
        <v>@pastpunditry</v>
      </c>
      <c r="C939" s="9" t="s">
        <v>92</v>
      </c>
      <c r="D939" s="9" t="s">
        <v>1012</v>
      </c>
      <c r="E939" s="10" t="str">
        <f>HYPERLINK("https://twitter.com/pastpunditry/status/705929183139139584","705929183139139584")</f>
        <v>705929183139139584</v>
      </c>
      <c r="F939" s="11" t="s">
        <v>77</v>
      </c>
      <c r="G939" s="12">
        <v>890.0</v>
      </c>
      <c r="H939" s="12">
        <v>378.0</v>
      </c>
      <c r="I939" s="12">
        <v>2.0</v>
      </c>
      <c r="J939" s="12">
        <v>0.0</v>
      </c>
      <c r="K939" s="11" t="s">
        <v>21</v>
      </c>
      <c r="L939" s="7">
        <v>40283.384351851855</v>
      </c>
      <c r="M939" s="13" t="s">
        <v>94</v>
      </c>
      <c r="N939" s="13" t="s">
        <v>95</v>
      </c>
      <c r="O939" s="10" t="str">
        <f>HYPERLINK("https://pbs.twimg.com/profile_images/704873222802636800/7aFEMOY5_normal.jpg","View")</f>
        <v>View</v>
      </c>
      <c r="P939" s="14"/>
    </row>
    <row r="940">
      <c r="A940" s="7">
        <v>42433.81491898149</v>
      </c>
      <c r="B940" s="8" t="str">
        <f>HYPERLINK("https://twitter.com/erfagen","@erfagen")</f>
        <v>@erfagen</v>
      </c>
      <c r="C940" s="9" t="s">
        <v>124</v>
      </c>
      <c r="D940" s="9" t="s">
        <v>1016</v>
      </c>
      <c r="E940" s="10" t="str">
        <f>HYPERLINK("https://twitter.com/erfagen/status/705929189950627842","705929189950627842")</f>
        <v>705929189950627842</v>
      </c>
      <c r="F940" s="11" t="s">
        <v>26</v>
      </c>
      <c r="G940" s="12">
        <v>1055.0</v>
      </c>
      <c r="H940" s="12">
        <v>2055.0</v>
      </c>
      <c r="I940" s="12">
        <v>0.0</v>
      </c>
      <c r="J940" s="12">
        <v>2.0</v>
      </c>
      <c r="K940" s="11" t="s">
        <v>21</v>
      </c>
      <c r="L940" s="7">
        <v>40524.93576388889</v>
      </c>
      <c r="M940" s="13" t="s">
        <v>125</v>
      </c>
      <c r="N940" s="13" t="s">
        <v>126</v>
      </c>
      <c r="O940" s="10" t="str">
        <f>HYPERLINK("https://pbs.twimg.com/profile_images/638086945722249217/mid_S_BQ_normal.jpg","View")</f>
        <v>View</v>
      </c>
      <c r="P940" s="14"/>
    </row>
    <row r="941">
      <c r="A941" s="7">
        <v>42433.81518518519</v>
      </c>
      <c r="B941" s="8" t="str">
        <f>HYPERLINK("https://twitter.com/tpstigers","@tpstigers")</f>
        <v>@tpstigers</v>
      </c>
      <c r="C941" s="9" t="s">
        <v>517</v>
      </c>
      <c r="D941" s="9" t="s">
        <v>896</v>
      </c>
      <c r="E941" s="10" t="str">
        <f>HYPERLINK("https://twitter.com/tpstigers/status/705929286583197697","705929286583197697")</f>
        <v>705929286583197697</v>
      </c>
      <c r="F941" s="11" t="s">
        <v>148</v>
      </c>
      <c r="G941" s="12">
        <v>562.0</v>
      </c>
      <c r="H941" s="12">
        <v>608.0</v>
      </c>
      <c r="I941" s="12">
        <v>10.0</v>
      </c>
      <c r="J941" s="12">
        <v>0.0</v>
      </c>
      <c r="K941" s="11" t="s">
        <v>21</v>
      </c>
      <c r="L941" s="7">
        <v>39805.42422453704</v>
      </c>
      <c r="M941" s="13" t="s">
        <v>518</v>
      </c>
      <c r="N941" s="13" t="s">
        <v>519</v>
      </c>
      <c r="O941" s="10" t="str">
        <f>HYPERLINK("https://pbs.twimg.com/profile_images/614942025306230784/OLnwlWIy_normal.png","View")</f>
        <v>View</v>
      </c>
      <c r="P941" s="14"/>
    </row>
    <row r="942">
      <c r="A942" s="7">
        <v>42433.815300925926</v>
      </c>
      <c r="B942" s="8" t="str">
        <f>HYPERLINK("https://twitter.com/juliegpeterson","@juliegpeterson")</f>
        <v>@juliegpeterson</v>
      </c>
      <c r="C942" s="9" t="s">
        <v>24</v>
      </c>
      <c r="D942" s="9" t="s">
        <v>1017</v>
      </c>
      <c r="E942" s="10" t="str">
        <f>HYPERLINK("https://twitter.com/juliegpeterson/status/705929331349037056","705929331349037056")</f>
        <v>705929331349037056</v>
      </c>
      <c r="F942" s="11" t="s">
        <v>26</v>
      </c>
      <c r="G942" s="12">
        <v>239.0</v>
      </c>
      <c r="H942" s="12">
        <v>775.0</v>
      </c>
      <c r="I942" s="12">
        <v>2.0</v>
      </c>
      <c r="J942" s="12">
        <v>2.0</v>
      </c>
      <c r="K942" s="11" t="s">
        <v>21</v>
      </c>
      <c r="L942" s="7">
        <v>41208.65523148148</v>
      </c>
      <c r="M942" s="13" t="s">
        <v>22</v>
      </c>
      <c r="N942" s="13" t="s">
        <v>27</v>
      </c>
      <c r="O942" s="10" t="str">
        <f>HYPERLINK("https://pbs.twimg.com/profile_images/609765839051452416/GNW0wSt0_normal.jpg","View")</f>
        <v>View</v>
      </c>
      <c r="P942" s="14"/>
    </row>
    <row r="943">
      <c r="A943" s="7">
        <v>42433.815312499995</v>
      </c>
      <c r="B943" s="8" t="str">
        <f>HYPERLINK("https://twitter.com/rgfeal","@rgfeal")</f>
        <v>@rgfeal</v>
      </c>
      <c r="C943" s="9" t="s">
        <v>1018</v>
      </c>
      <c r="D943" s="9" t="s">
        <v>1019</v>
      </c>
      <c r="E943" s="10" t="str">
        <f>HYPERLINK("https://twitter.com/rgfeal/status/705929335644004353","705929335644004353")</f>
        <v>705929335644004353</v>
      </c>
      <c r="F943" s="11" t="s">
        <v>26</v>
      </c>
      <c r="G943" s="12">
        <v>3319.0</v>
      </c>
      <c r="H943" s="12">
        <v>578.0</v>
      </c>
      <c r="I943" s="12">
        <v>2.0</v>
      </c>
      <c r="J943" s="12">
        <v>0.0</v>
      </c>
      <c r="K943" s="11" t="s">
        <v>21</v>
      </c>
      <c r="L943" s="7">
        <v>39680.365023148144</v>
      </c>
      <c r="M943" s="13" t="s">
        <v>73</v>
      </c>
      <c r="N943" s="13" t="s">
        <v>1020</v>
      </c>
      <c r="O943" s="10" t="str">
        <f>HYPERLINK("https://pbs.twimg.com/profile_images/509375203793571840/xwsd1hxX_normal.jpeg","View")</f>
        <v>View</v>
      </c>
      <c r="P943" s="14"/>
    </row>
    <row r="944">
      <c r="A944" s="7">
        <v>42433.81534722222</v>
      </c>
      <c r="B944" s="8" t="str">
        <f>HYPERLINK("https://twitter.com/MedeaCulpa","@MedeaCulpa")</f>
        <v>@MedeaCulpa</v>
      </c>
      <c r="C944" s="9" t="s">
        <v>811</v>
      </c>
      <c r="D944" s="9" t="s">
        <v>1021</v>
      </c>
      <c r="E944" s="10" t="str">
        <f>HYPERLINK("https://twitter.com/MedeaCulpa/status/705929346515652609","705929346515652609")</f>
        <v>705929346515652609</v>
      </c>
      <c r="F944" s="11" t="s">
        <v>148</v>
      </c>
      <c r="G944" s="12">
        <v>971.0</v>
      </c>
      <c r="H944" s="12">
        <v>424.0</v>
      </c>
      <c r="I944" s="12">
        <v>1.0</v>
      </c>
      <c r="J944" s="12">
        <v>0.0</v>
      </c>
      <c r="K944" s="11" t="s">
        <v>21</v>
      </c>
      <c r="L944" s="7">
        <v>39894.5790625</v>
      </c>
      <c r="M944" s="13" t="s">
        <v>813</v>
      </c>
      <c r="N944" s="13" t="s">
        <v>814</v>
      </c>
      <c r="O944" s="10" t="str">
        <f>HYPERLINK("https://pbs.twimg.com/profile_images/702272676837068800/xO5D7apz_normal.jpg","View")</f>
        <v>View</v>
      </c>
      <c r="P944" s="14"/>
    </row>
    <row r="945">
      <c r="A945" s="7">
        <v>42433.81539351852</v>
      </c>
      <c r="B945" s="8" t="str">
        <f>HYPERLINK("https://twitter.com/objectsrock","@objectsrock")</f>
        <v>@objectsrock</v>
      </c>
      <c r="C945" s="9" t="s">
        <v>1022</v>
      </c>
      <c r="D945" s="9" t="s">
        <v>834</v>
      </c>
      <c r="E945" s="10" t="str">
        <f>HYPERLINK("https://twitter.com/objectsrock/status/705929364433547264","705929364433547264")</f>
        <v>705929364433547264</v>
      </c>
      <c r="F945" s="11" t="s">
        <v>26</v>
      </c>
      <c r="G945" s="12">
        <v>40.0</v>
      </c>
      <c r="H945" s="12">
        <v>119.0</v>
      </c>
      <c r="I945" s="12">
        <v>2.0</v>
      </c>
      <c r="J945" s="12">
        <v>0.0</v>
      </c>
      <c r="K945" s="11" t="s">
        <v>21</v>
      </c>
      <c r="L945" s="7">
        <v>42268.29180555556</v>
      </c>
      <c r="M945" s="13" t="s">
        <v>252</v>
      </c>
      <c r="N945" s="13" t="s">
        <v>1023</v>
      </c>
      <c r="O945" s="10" t="str">
        <f>HYPERLINK("https://pbs.twimg.com/profile_images/701609876116606977/I3A2fl3A_normal.jpg","View")</f>
        <v>View</v>
      </c>
      <c r="P945" s="14"/>
    </row>
    <row r="946">
      <c r="A946" s="7">
        <v>42433.81542824074</v>
      </c>
      <c r="B946" s="8" t="str">
        <f>HYPERLINK("https://twitter.com/JimGrossmanAHA","@JimGrossmanAHA")</f>
        <v>@JimGrossmanAHA</v>
      </c>
      <c r="C946" s="9" t="s">
        <v>278</v>
      </c>
      <c r="D946" s="9" t="s">
        <v>1024</v>
      </c>
      <c r="E946" s="10" t="str">
        <f>HYPERLINK("https://twitter.com/JimGrossmanAHA/status/705929376358141952","705929376358141952")</f>
        <v>705929376358141952</v>
      </c>
      <c r="F946" s="11" t="s">
        <v>31</v>
      </c>
      <c r="G946" s="12">
        <v>2241.0</v>
      </c>
      <c r="H946" s="12">
        <v>368.0</v>
      </c>
      <c r="I946" s="12">
        <v>3.0</v>
      </c>
      <c r="J946" s="12">
        <v>6.0</v>
      </c>
      <c r="K946" s="11" t="s">
        <v>21</v>
      </c>
      <c r="L946" s="7">
        <v>41576.36603009259</v>
      </c>
      <c r="M946" s="13" t="s">
        <v>279</v>
      </c>
      <c r="N946" s="13" t="s">
        <v>280</v>
      </c>
      <c r="O946" s="10" t="str">
        <f>HYPERLINK("https://pbs.twimg.com/profile_images/378800000667891782/44d7b181c077bf16ab07b242f7ad81b9_normal.png","View")</f>
        <v>View</v>
      </c>
      <c r="P946" s="14"/>
    </row>
    <row r="947">
      <c r="A947" s="7">
        <v>42433.81545138889</v>
      </c>
      <c r="B947" s="8" t="str">
        <f>HYPERLINK("https://twitter.com/pastpunditry","@pastpunditry")</f>
        <v>@pastpunditry</v>
      </c>
      <c r="C947" s="9" t="s">
        <v>92</v>
      </c>
      <c r="D947" s="9" t="s">
        <v>1025</v>
      </c>
      <c r="E947" s="10" t="str">
        <f>HYPERLINK("https://twitter.com/pastpunditry/status/705929383496830977","705929383496830977")</f>
        <v>705929383496830977</v>
      </c>
      <c r="F947" s="11" t="s">
        <v>77</v>
      </c>
      <c r="G947" s="12">
        <v>890.0</v>
      </c>
      <c r="H947" s="12">
        <v>378.0</v>
      </c>
      <c r="I947" s="12">
        <v>0.0</v>
      </c>
      <c r="J947" s="12">
        <v>2.0</v>
      </c>
      <c r="K947" s="11" t="s">
        <v>21</v>
      </c>
      <c r="L947" s="7">
        <v>40283.384351851855</v>
      </c>
      <c r="M947" s="13" t="s">
        <v>94</v>
      </c>
      <c r="N947" s="13" t="s">
        <v>95</v>
      </c>
      <c r="O947" s="10" t="str">
        <f>HYPERLINK("https://pbs.twimg.com/profile_images/704873222802636800/7aFEMOY5_normal.jpg","View")</f>
        <v>View</v>
      </c>
      <c r="P947" s="14"/>
    </row>
    <row r="948">
      <c r="A948" s="7">
        <v>42433.815462962964</v>
      </c>
      <c r="B948" s="8" t="str">
        <f>HYPERLINK("https://twitter.com/rebekkahrubin","@rebekkahrubin")</f>
        <v>@rebekkahrubin</v>
      </c>
      <c r="C948" s="9" t="s">
        <v>141</v>
      </c>
      <c r="D948" s="9" t="s">
        <v>1026</v>
      </c>
      <c r="E948" s="10" t="str">
        <f>HYPERLINK("https://twitter.com/rebekkahrubin/status/705929390266392578","705929390266392578")</f>
        <v>705929390266392578</v>
      </c>
      <c r="F948" s="11" t="s">
        <v>31</v>
      </c>
      <c r="G948" s="12">
        <v>492.0</v>
      </c>
      <c r="H948" s="12">
        <v>1224.0</v>
      </c>
      <c r="I948" s="12">
        <v>1.0</v>
      </c>
      <c r="J948" s="12">
        <v>2.0</v>
      </c>
      <c r="K948" s="11" t="s">
        <v>21</v>
      </c>
      <c r="L948" s="7">
        <v>40411.521527777775</v>
      </c>
      <c r="M948" s="13" t="s">
        <v>143</v>
      </c>
      <c r="N948" s="13" t="s">
        <v>144</v>
      </c>
      <c r="O948" s="10" t="str">
        <f>HYPERLINK("https://pbs.twimg.com/profile_images/700317732588408832/Ym_-neUi_normal.jpg","View")</f>
        <v>View</v>
      </c>
      <c r="P948" s="14"/>
    </row>
    <row r="949">
      <c r="A949" s="7">
        <v>42433.815509259264</v>
      </c>
      <c r="B949" s="8" t="str">
        <f t="shared" ref="B949:B951" si="211">HYPERLINK("https://twitter.com/pastpunditry","@pastpunditry")</f>
        <v>@pastpunditry</v>
      </c>
      <c r="C949" s="9" t="s">
        <v>92</v>
      </c>
      <c r="D949" s="9" t="s">
        <v>1027</v>
      </c>
      <c r="E949" s="10" t="str">
        <f>HYPERLINK("https://twitter.com/pastpunditry/status/705929404648701952","705929404648701952")</f>
        <v>705929404648701952</v>
      </c>
      <c r="F949" s="11" t="s">
        <v>77</v>
      </c>
      <c r="G949" s="12">
        <v>890.0</v>
      </c>
      <c r="H949" s="12">
        <v>378.0</v>
      </c>
      <c r="I949" s="12">
        <v>3.0</v>
      </c>
      <c r="J949" s="12">
        <v>0.0</v>
      </c>
      <c r="K949" s="11" t="s">
        <v>21</v>
      </c>
      <c r="L949" s="7">
        <v>40283.384351851855</v>
      </c>
      <c r="M949" s="13" t="s">
        <v>94</v>
      </c>
      <c r="N949" s="13" t="s">
        <v>95</v>
      </c>
      <c r="O949" s="10" t="str">
        <f t="shared" ref="O949:O951" si="212">HYPERLINK("https://pbs.twimg.com/profile_images/704873222802636800/7aFEMOY5_normal.jpg","View")</f>
        <v>View</v>
      </c>
      <c r="P949" s="14"/>
    </row>
    <row r="950">
      <c r="A950" s="7">
        <v>42433.81554398148</v>
      </c>
      <c r="B950" s="8" t="str">
        <f t="shared" si="211"/>
        <v>@pastpunditry</v>
      </c>
      <c r="C950" s="9" t="s">
        <v>92</v>
      </c>
      <c r="D950" s="9" t="s">
        <v>1028</v>
      </c>
      <c r="E950" s="10" t="str">
        <f>HYPERLINK("https://twitter.com/pastpunditry/status/705929418875772928","705929418875772928")</f>
        <v>705929418875772928</v>
      </c>
      <c r="F950" s="11" t="s">
        <v>77</v>
      </c>
      <c r="G950" s="12">
        <v>890.0</v>
      </c>
      <c r="H950" s="12">
        <v>378.0</v>
      </c>
      <c r="I950" s="12">
        <v>2.0</v>
      </c>
      <c r="J950" s="12">
        <v>0.0</v>
      </c>
      <c r="K950" s="11" t="s">
        <v>21</v>
      </c>
      <c r="L950" s="7">
        <v>40283.384351851855</v>
      </c>
      <c r="M950" s="13" t="s">
        <v>94</v>
      </c>
      <c r="N950" s="13" t="s">
        <v>95</v>
      </c>
      <c r="O950" s="10" t="str">
        <f t="shared" si="212"/>
        <v>View</v>
      </c>
      <c r="P950" s="14"/>
    </row>
    <row r="951">
      <c r="A951" s="7">
        <v>42433.815659722226</v>
      </c>
      <c r="B951" s="8" t="str">
        <f t="shared" si="211"/>
        <v>@pastpunditry</v>
      </c>
      <c r="C951" s="9" t="s">
        <v>92</v>
      </c>
      <c r="D951" s="9" t="s">
        <v>1029</v>
      </c>
      <c r="E951" s="10" t="str">
        <f>HYPERLINK("https://twitter.com/pastpunditry/status/705929459317211140","705929459317211140")</f>
        <v>705929459317211140</v>
      </c>
      <c r="F951" s="11" t="s">
        <v>77</v>
      </c>
      <c r="G951" s="12">
        <v>890.0</v>
      </c>
      <c r="H951" s="12">
        <v>378.0</v>
      </c>
      <c r="I951" s="12">
        <v>1.0</v>
      </c>
      <c r="J951" s="12">
        <v>0.0</v>
      </c>
      <c r="K951" s="11" t="s">
        <v>21</v>
      </c>
      <c r="L951" s="7">
        <v>40283.384351851855</v>
      </c>
      <c r="M951" s="13" t="s">
        <v>94</v>
      </c>
      <c r="N951" s="13" t="s">
        <v>95</v>
      </c>
      <c r="O951" s="10" t="str">
        <f t="shared" si="212"/>
        <v>View</v>
      </c>
      <c r="P951" s="14"/>
    </row>
    <row r="952">
      <c r="A952" s="7">
        <v>42433.815671296295</v>
      </c>
      <c r="B952" s="8" t="str">
        <f>HYPERLINK("https://twitter.com/defactofecteau","@defactofecteau")</f>
        <v>@defactofecteau</v>
      </c>
      <c r="C952" s="9" t="s">
        <v>665</v>
      </c>
      <c r="D952" s="9" t="s">
        <v>1030</v>
      </c>
      <c r="E952" s="10" t="str">
        <f>HYPERLINK("https://twitter.com/defactofecteau/status/705929464967008256","705929464967008256")</f>
        <v>705929464967008256</v>
      </c>
      <c r="F952" s="11" t="s">
        <v>148</v>
      </c>
      <c r="G952" s="12">
        <v>46.0</v>
      </c>
      <c r="H952" s="12">
        <v>104.0</v>
      </c>
      <c r="I952" s="12">
        <v>2.0</v>
      </c>
      <c r="J952" s="12">
        <v>2.0</v>
      </c>
      <c r="K952" s="11" t="s">
        <v>21</v>
      </c>
      <c r="L952" s="7">
        <v>41684.53481481482</v>
      </c>
      <c r="M952" s="15"/>
      <c r="N952" s="13" t="s">
        <v>667</v>
      </c>
      <c r="O952" s="10" t="str">
        <f>HYPERLINK("https://pbs.twimg.com/profile_images/434404729263648768/vsAZLFtj_normal.jpeg","View")</f>
        <v>View</v>
      </c>
      <c r="P952" s="14"/>
    </row>
    <row r="953">
      <c r="A953" s="7">
        <v>42433.81581018519</v>
      </c>
      <c r="B953" s="8" t="str">
        <f>HYPERLINK("https://twitter.com/Indicaworld","@Indicaworld")</f>
        <v>@Indicaworld</v>
      </c>
      <c r="C953" s="9" t="s">
        <v>1031</v>
      </c>
      <c r="D953" s="9" t="s">
        <v>799</v>
      </c>
      <c r="E953" s="10" t="str">
        <f>HYPERLINK("https://twitter.com/Indicaworld/status/705929515726409729","705929515726409729")</f>
        <v>705929515726409729</v>
      </c>
      <c r="F953" s="11" t="s">
        <v>26</v>
      </c>
      <c r="G953" s="12">
        <v>266.0</v>
      </c>
      <c r="H953" s="12">
        <v>244.0</v>
      </c>
      <c r="I953" s="12">
        <v>2.0</v>
      </c>
      <c r="J953" s="12">
        <v>0.0</v>
      </c>
      <c r="K953" s="11" t="s">
        <v>21</v>
      </c>
      <c r="L953" s="7">
        <v>41588.60021990741</v>
      </c>
      <c r="M953" s="13" t="s">
        <v>1032</v>
      </c>
      <c r="N953" s="13" t="s">
        <v>1033</v>
      </c>
      <c r="O953" s="10" t="str">
        <f>HYPERLINK("https://pbs.twimg.com/profile_images/378800000735123774/e2ecc33272eaed1ad26c5b77d773f70b_normal.jpeg","View")</f>
        <v>View</v>
      </c>
      <c r="P953" s="14"/>
    </row>
    <row r="954">
      <c r="A954" s="7">
        <v>42433.815937499996</v>
      </c>
      <c r="B954" s="8" t="str">
        <f>HYPERLINK("https://twitter.com/pastpunditry","@pastpunditry")</f>
        <v>@pastpunditry</v>
      </c>
      <c r="C954" s="9" t="s">
        <v>92</v>
      </c>
      <c r="D954" s="9" t="s">
        <v>1034</v>
      </c>
      <c r="E954" s="10" t="str">
        <f>HYPERLINK("https://twitter.com/pastpunditry/status/705929562174197765","705929562174197765")</f>
        <v>705929562174197765</v>
      </c>
      <c r="F954" s="11" t="s">
        <v>77</v>
      </c>
      <c r="G954" s="12">
        <v>890.0</v>
      </c>
      <c r="H954" s="12">
        <v>378.0</v>
      </c>
      <c r="I954" s="12">
        <v>3.0</v>
      </c>
      <c r="J954" s="12">
        <v>3.0</v>
      </c>
      <c r="K954" s="11" t="s">
        <v>21</v>
      </c>
      <c r="L954" s="7">
        <v>40283.384351851855</v>
      </c>
      <c r="M954" s="13" t="s">
        <v>94</v>
      </c>
      <c r="N954" s="13" t="s">
        <v>95</v>
      </c>
      <c r="O954" s="10" t="str">
        <f>HYPERLINK("https://pbs.twimg.com/profile_images/704873222802636800/7aFEMOY5_normal.jpg","View")</f>
        <v>View</v>
      </c>
      <c r="P954" s="14"/>
    </row>
    <row r="955">
      <c r="A955" s="7">
        <v>42433.815983796296</v>
      </c>
      <c r="B955" s="8" t="str">
        <f>HYPERLINK("https://twitter.com/MedeaCulpa","@MedeaCulpa")</f>
        <v>@MedeaCulpa</v>
      </c>
      <c r="C955" s="9" t="s">
        <v>811</v>
      </c>
      <c r="D955" s="9" t="s">
        <v>1035</v>
      </c>
      <c r="E955" s="10" t="str">
        <f>HYPERLINK("https://twitter.com/MedeaCulpa/status/705929577248530432","705929577248530432")</f>
        <v>705929577248530432</v>
      </c>
      <c r="F955" s="11" t="s">
        <v>148</v>
      </c>
      <c r="G955" s="12">
        <v>971.0</v>
      </c>
      <c r="H955" s="12">
        <v>424.0</v>
      </c>
      <c r="I955" s="12">
        <v>4.0</v>
      </c>
      <c r="J955" s="12">
        <v>4.0</v>
      </c>
      <c r="K955" s="11" t="s">
        <v>21</v>
      </c>
      <c r="L955" s="7">
        <v>39894.5790625</v>
      </c>
      <c r="M955" s="13" t="s">
        <v>813</v>
      </c>
      <c r="N955" s="13" t="s">
        <v>814</v>
      </c>
      <c r="O955" s="10" t="str">
        <f>HYPERLINK("https://pbs.twimg.com/profile_images/702272676837068800/xO5D7apz_normal.jpg","View")</f>
        <v>View</v>
      </c>
      <c r="P955" s="14"/>
    </row>
    <row r="956">
      <c r="A956" s="7">
        <v>42433.81601851852</v>
      </c>
      <c r="B956" s="8" t="str">
        <f>HYPERLINK("https://twitter.com/juliegpeterson","@juliegpeterson")</f>
        <v>@juliegpeterson</v>
      </c>
      <c r="C956" s="9" t="s">
        <v>24</v>
      </c>
      <c r="D956" s="9" t="s">
        <v>1036</v>
      </c>
      <c r="E956" s="10" t="str">
        <f>HYPERLINK("https://twitter.com/juliegpeterson/status/705929589185445888","705929589185445888")</f>
        <v>705929589185445888</v>
      </c>
      <c r="F956" s="11" t="s">
        <v>26</v>
      </c>
      <c r="G956" s="12">
        <v>239.0</v>
      </c>
      <c r="H956" s="12">
        <v>775.0</v>
      </c>
      <c r="I956" s="12">
        <v>1.0</v>
      </c>
      <c r="J956" s="12">
        <v>2.0</v>
      </c>
      <c r="K956" s="11" t="s">
        <v>21</v>
      </c>
      <c r="L956" s="7">
        <v>41208.65523148148</v>
      </c>
      <c r="M956" s="13" t="s">
        <v>22</v>
      </c>
      <c r="N956" s="13" t="s">
        <v>27</v>
      </c>
      <c r="O956" s="10" t="str">
        <f>HYPERLINK("https://pbs.twimg.com/profile_images/609765839051452416/GNW0wSt0_normal.jpg","View")</f>
        <v>View</v>
      </c>
      <c r="P956" s="14"/>
    </row>
    <row r="957">
      <c r="A957" s="7">
        <v>42433.81609953704</v>
      </c>
      <c r="B957" s="8" t="str">
        <f t="shared" ref="B957:B958" si="213">HYPERLINK("https://twitter.com/pastpunditry","@pastpunditry")</f>
        <v>@pastpunditry</v>
      </c>
      <c r="C957" s="9" t="s">
        <v>92</v>
      </c>
      <c r="D957" s="9" t="s">
        <v>1037</v>
      </c>
      <c r="E957" s="10" t="str">
        <f>HYPERLINK("https://twitter.com/pastpunditry/status/705929620181393409","705929620181393409")</f>
        <v>705929620181393409</v>
      </c>
      <c r="F957" s="11" t="s">
        <v>77</v>
      </c>
      <c r="G957" s="12">
        <v>890.0</v>
      </c>
      <c r="H957" s="12">
        <v>378.0</v>
      </c>
      <c r="I957" s="12">
        <v>4.0</v>
      </c>
      <c r="J957" s="12">
        <v>0.0</v>
      </c>
      <c r="K957" s="11" t="s">
        <v>21</v>
      </c>
      <c r="L957" s="7">
        <v>40283.384351851855</v>
      </c>
      <c r="M957" s="13" t="s">
        <v>94</v>
      </c>
      <c r="N957" s="13" t="s">
        <v>95</v>
      </c>
      <c r="O957" s="10" t="str">
        <f t="shared" ref="O957:O958" si="214">HYPERLINK("https://pbs.twimg.com/profile_images/704873222802636800/7aFEMOY5_normal.jpg","View")</f>
        <v>View</v>
      </c>
      <c r="P957" s="14"/>
    </row>
    <row r="958">
      <c r="A958" s="7">
        <v>42433.816145833334</v>
      </c>
      <c r="B958" s="8" t="str">
        <f t="shared" si="213"/>
        <v>@pastpunditry</v>
      </c>
      <c r="C958" s="9" t="s">
        <v>92</v>
      </c>
      <c r="D958" s="9" t="s">
        <v>1038</v>
      </c>
      <c r="E958" s="10" t="str">
        <f>HYPERLINK("https://twitter.com/pastpunditry/status/705929636811767809","705929636811767809")</f>
        <v>705929636811767809</v>
      </c>
      <c r="F958" s="11" t="s">
        <v>77</v>
      </c>
      <c r="G958" s="12">
        <v>890.0</v>
      </c>
      <c r="H958" s="12">
        <v>378.0</v>
      </c>
      <c r="I958" s="12">
        <v>1.0</v>
      </c>
      <c r="J958" s="12">
        <v>0.0</v>
      </c>
      <c r="K958" s="11" t="s">
        <v>21</v>
      </c>
      <c r="L958" s="7">
        <v>40283.384351851855</v>
      </c>
      <c r="M958" s="13" t="s">
        <v>94</v>
      </c>
      <c r="N958" s="13" t="s">
        <v>95</v>
      </c>
      <c r="O958" s="10" t="str">
        <f t="shared" si="214"/>
        <v>View</v>
      </c>
      <c r="P958" s="14"/>
    </row>
    <row r="959">
      <c r="A959" s="7">
        <v>42433.81623842593</v>
      </c>
      <c r="B959" s="8" t="str">
        <f>HYPERLINK("https://twitter.com/juliegpeterson","@juliegpeterson")</f>
        <v>@juliegpeterson</v>
      </c>
      <c r="C959" s="9" t="s">
        <v>24</v>
      </c>
      <c r="D959" s="9" t="s">
        <v>1039</v>
      </c>
      <c r="E959" s="10" t="str">
        <f>HYPERLINK("https://twitter.com/juliegpeterson/status/705929669401571328","705929669401571328")</f>
        <v>705929669401571328</v>
      </c>
      <c r="F959" s="11" t="s">
        <v>26</v>
      </c>
      <c r="G959" s="12">
        <v>239.0</v>
      </c>
      <c r="H959" s="12">
        <v>775.0</v>
      </c>
      <c r="I959" s="12">
        <v>3.0</v>
      </c>
      <c r="J959" s="12">
        <v>0.0</v>
      </c>
      <c r="K959" s="11" t="s">
        <v>21</v>
      </c>
      <c r="L959" s="7">
        <v>41208.65523148148</v>
      </c>
      <c r="M959" s="13" t="s">
        <v>22</v>
      </c>
      <c r="N959" s="13" t="s">
        <v>27</v>
      </c>
      <c r="O959" s="10" t="str">
        <f>HYPERLINK("https://pbs.twimg.com/profile_images/609765839051452416/GNW0wSt0_normal.jpg","View")</f>
        <v>View</v>
      </c>
      <c r="P959" s="14"/>
    </row>
    <row r="960">
      <c r="A960" s="7">
        <v>42433.81634259259</v>
      </c>
      <c r="B960" s="8" t="str">
        <f t="shared" ref="B960:B962" si="215">HYPERLINK("https://twitter.com/GHAUmass","@GHAUmass")</f>
        <v>@GHAUmass</v>
      </c>
      <c r="C960" s="9" t="s">
        <v>30</v>
      </c>
      <c r="D960" s="9" t="s">
        <v>1027</v>
      </c>
      <c r="E960" s="10" t="str">
        <f>HYPERLINK("https://twitter.com/GHAUmass/status/705929707422932994","705929707422932994")</f>
        <v>705929707422932994</v>
      </c>
      <c r="F960" s="11" t="s">
        <v>26</v>
      </c>
      <c r="G960" s="12">
        <v>68.0</v>
      </c>
      <c r="H960" s="12">
        <v>100.0</v>
      </c>
      <c r="I960" s="12">
        <v>3.0</v>
      </c>
      <c r="J960" s="12">
        <v>0.0</v>
      </c>
      <c r="K960" s="11" t="s">
        <v>21</v>
      </c>
      <c r="L960" s="7">
        <v>42152.65289351852</v>
      </c>
      <c r="M960" s="13" t="s">
        <v>22</v>
      </c>
      <c r="N960" s="13" t="s">
        <v>32</v>
      </c>
      <c r="O960" s="10" t="str">
        <f t="shared" ref="O960:O962" si="216">HYPERLINK("https://pbs.twimg.com/profile_images/604060333590855682/Fk6r1D7d_normal.jpg","View")</f>
        <v>View</v>
      </c>
      <c r="P960" s="14"/>
    </row>
    <row r="961">
      <c r="A961" s="7">
        <v>42433.81649305555</v>
      </c>
      <c r="B961" s="8" t="str">
        <f t="shared" si="215"/>
        <v>@GHAUmass</v>
      </c>
      <c r="C961" s="9" t="s">
        <v>30</v>
      </c>
      <c r="D961" s="9" t="s">
        <v>1040</v>
      </c>
      <c r="E961" s="10" t="str">
        <f>HYPERLINK("https://twitter.com/GHAUmass/status/705929762854871040","705929762854871040")</f>
        <v>705929762854871040</v>
      </c>
      <c r="F961" s="11" t="s">
        <v>26</v>
      </c>
      <c r="G961" s="12">
        <v>68.0</v>
      </c>
      <c r="H961" s="12">
        <v>100.0</v>
      </c>
      <c r="I961" s="12">
        <v>2.0</v>
      </c>
      <c r="J961" s="12">
        <v>0.0</v>
      </c>
      <c r="K961" s="11" t="s">
        <v>21</v>
      </c>
      <c r="L961" s="7">
        <v>42152.65289351852</v>
      </c>
      <c r="M961" s="13" t="s">
        <v>22</v>
      </c>
      <c r="N961" s="13" t="s">
        <v>32</v>
      </c>
      <c r="O961" s="10" t="str">
        <f t="shared" si="216"/>
        <v>View</v>
      </c>
      <c r="P961" s="14"/>
    </row>
    <row r="962">
      <c r="A962" s="7">
        <v>42433.816655092596</v>
      </c>
      <c r="B962" s="8" t="str">
        <f t="shared" si="215"/>
        <v>@GHAUmass</v>
      </c>
      <c r="C962" s="9" t="s">
        <v>30</v>
      </c>
      <c r="D962" s="9" t="s">
        <v>1037</v>
      </c>
      <c r="E962" s="10" t="str">
        <f>HYPERLINK("https://twitter.com/GHAUmass/status/705929820924829697","705929820924829697")</f>
        <v>705929820924829697</v>
      </c>
      <c r="F962" s="11" t="s">
        <v>26</v>
      </c>
      <c r="G962" s="12">
        <v>68.0</v>
      </c>
      <c r="H962" s="12">
        <v>100.0</v>
      </c>
      <c r="I962" s="12">
        <v>4.0</v>
      </c>
      <c r="J962" s="12">
        <v>0.0</v>
      </c>
      <c r="K962" s="11" t="s">
        <v>21</v>
      </c>
      <c r="L962" s="7">
        <v>42152.65289351852</v>
      </c>
      <c r="M962" s="13" t="s">
        <v>22</v>
      </c>
      <c r="N962" s="13" t="s">
        <v>32</v>
      </c>
      <c r="O962" s="10" t="str">
        <f t="shared" si="216"/>
        <v>View</v>
      </c>
      <c r="P962" s="14"/>
    </row>
    <row r="963">
      <c r="A963" s="7">
        <v>42433.81679398148</v>
      </c>
      <c r="B963" s="8" t="str">
        <f>HYPERLINK("https://twitter.com/erfagen","@erfagen")</f>
        <v>@erfagen</v>
      </c>
      <c r="C963" s="9" t="s">
        <v>124</v>
      </c>
      <c r="D963" s="9" t="s">
        <v>1037</v>
      </c>
      <c r="E963" s="10" t="str">
        <f>HYPERLINK("https://twitter.com/erfagen/status/705929872066125824","705929872066125824")</f>
        <v>705929872066125824</v>
      </c>
      <c r="F963" s="11" t="s">
        <v>26</v>
      </c>
      <c r="G963" s="12">
        <v>1055.0</v>
      </c>
      <c r="H963" s="12">
        <v>2055.0</v>
      </c>
      <c r="I963" s="12">
        <v>4.0</v>
      </c>
      <c r="J963" s="12">
        <v>0.0</v>
      </c>
      <c r="K963" s="11" t="s">
        <v>21</v>
      </c>
      <c r="L963" s="7">
        <v>40524.93576388889</v>
      </c>
      <c r="M963" s="13" t="s">
        <v>125</v>
      </c>
      <c r="N963" s="13" t="s">
        <v>126</v>
      </c>
      <c r="O963" s="10" t="str">
        <f>HYPERLINK("https://pbs.twimg.com/profile_images/638086945722249217/mid_S_BQ_normal.jpg","View")</f>
        <v>View</v>
      </c>
      <c r="P963" s="14"/>
    </row>
    <row r="964">
      <c r="A964" s="7">
        <v>42433.81688657407</v>
      </c>
      <c r="B964" s="8" t="str">
        <f>HYPERLINK("https://twitter.com/pastpunditry","@pastpunditry")</f>
        <v>@pastpunditry</v>
      </c>
      <c r="C964" s="9" t="s">
        <v>92</v>
      </c>
      <c r="D964" s="9" t="s">
        <v>1041</v>
      </c>
      <c r="E964" s="10" t="str">
        <f>HYPERLINK("https://twitter.com/pastpunditry/status/705929903942701056","705929903942701056")</f>
        <v>705929903942701056</v>
      </c>
      <c r="F964" s="11" t="s">
        <v>77</v>
      </c>
      <c r="G964" s="12">
        <v>890.0</v>
      </c>
      <c r="H964" s="12">
        <v>378.0</v>
      </c>
      <c r="I964" s="12">
        <v>1.0</v>
      </c>
      <c r="J964" s="12">
        <v>3.0</v>
      </c>
      <c r="K964" s="11" t="s">
        <v>21</v>
      </c>
      <c r="L964" s="7">
        <v>40283.384351851855</v>
      </c>
      <c r="M964" s="13" t="s">
        <v>94</v>
      </c>
      <c r="N964" s="13" t="s">
        <v>95</v>
      </c>
      <c r="O964" s="10" t="str">
        <f>HYPERLINK("https://pbs.twimg.com/profile_images/704873222802636800/7aFEMOY5_normal.jpg","View")</f>
        <v>View</v>
      </c>
      <c r="P964" s="14"/>
    </row>
    <row r="965">
      <c r="A965" s="7">
        <v>42433.81688657407</v>
      </c>
      <c r="B965" s="8" t="str">
        <f>HYPERLINK("https://twitter.com/sheishistoric","@sheishistoric")</f>
        <v>@sheishistoric</v>
      </c>
      <c r="C965" s="9" t="s">
        <v>127</v>
      </c>
      <c r="D965" s="9" t="s">
        <v>1039</v>
      </c>
      <c r="E965" s="10" t="str">
        <f>HYPERLINK("https://twitter.com/sheishistoric/status/705929904320356352","705929904320356352")</f>
        <v>705929904320356352</v>
      </c>
      <c r="F965" s="11" t="s">
        <v>26</v>
      </c>
      <c r="G965" s="12">
        <v>405.0</v>
      </c>
      <c r="H965" s="12">
        <v>882.0</v>
      </c>
      <c r="I965" s="12">
        <v>3.0</v>
      </c>
      <c r="J965" s="12">
        <v>0.0</v>
      </c>
      <c r="K965" s="11" t="s">
        <v>21</v>
      </c>
      <c r="L965" s="7">
        <v>41529.842094907406</v>
      </c>
      <c r="M965" s="13" t="s">
        <v>129</v>
      </c>
      <c r="N965" s="13" t="s">
        <v>130</v>
      </c>
      <c r="O965" s="10" t="str">
        <f>HYPERLINK("https://pbs.twimg.com/profile_images/650419150620377089/bJxBf---_normal.jpg","View")</f>
        <v>View</v>
      </c>
      <c r="P965" s="14"/>
    </row>
    <row r="966">
      <c r="A966" s="7">
        <v>42433.8169212963</v>
      </c>
      <c r="B966" s="8" t="str">
        <f>HYPERLINK("https://twitter.com/juliegpeterson","@juliegpeterson")</f>
        <v>@juliegpeterson</v>
      </c>
      <c r="C966" s="9" t="s">
        <v>24</v>
      </c>
      <c r="D966" s="9" t="s">
        <v>1042</v>
      </c>
      <c r="E966" s="10" t="str">
        <f>HYPERLINK("https://twitter.com/juliegpeterson/status/705929918669000704","705929918669000704")</f>
        <v>705929918669000704</v>
      </c>
      <c r="F966" s="11" t="s">
        <v>26</v>
      </c>
      <c r="G966" s="12">
        <v>239.0</v>
      </c>
      <c r="H966" s="12">
        <v>775.0</v>
      </c>
      <c r="I966" s="12">
        <v>1.0</v>
      </c>
      <c r="J966" s="12">
        <v>1.0</v>
      </c>
      <c r="K966" s="11" t="s">
        <v>21</v>
      </c>
      <c r="L966" s="7">
        <v>41208.65523148148</v>
      </c>
      <c r="M966" s="13" t="s">
        <v>22</v>
      </c>
      <c r="N966" s="13" t="s">
        <v>27</v>
      </c>
      <c r="O966" s="10" t="str">
        <f>HYPERLINK("https://pbs.twimg.com/profile_images/609765839051452416/GNW0wSt0_normal.jpg","View")</f>
        <v>View</v>
      </c>
      <c r="P966" s="14"/>
    </row>
    <row r="967">
      <c r="A967" s="7">
        <v>42433.8172800926</v>
      </c>
      <c r="B967" s="8" t="str">
        <f t="shared" ref="B967:B968" si="217">HYPERLINK("https://twitter.com/jamiaw","@jamiaw")</f>
        <v>@jamiaw</v>
      </c>
      <c r="C967" s="9" t="s">
        <v>324</v>
      </c>
      <c r="D967" s="9" t="s">
        <v>1043</v>
      </c>
      <c r="E967" s="10" t="str">
        <f>HYPERLINK("https://twitter.com/jamiaw/status/705930047706808320","705930047706808320")</f>
        <v>705930047706808320</v>
      </c>
      <c r="F967" s="11" t="s">
        <v>26</v>
      </c>
      <c r="G967" s="12">
        <v>11336.0</v>
      </c>
      <c r="H967" s="12">
        <v>7815.0</v>
      </c>
      <c r="I967" s="12">
        <v>2.0</v>
      </c>
      <c r="J967" s="12">
        <v>2.0</v>
      </c>
      <c r="K967" s="11" t="s">
        <v>21</v>
      </c>
      <c r="L967" s="7">
        <v>39642.39741898148</v>
      </c>
      <c r="M967" s="13" t="s">
        <v>325</v>
      </c>
      <c r="N967" s="13" t="s">
        <v>326</v>
      </c>
      <c r="O967" s="10" t="str">
        <f t="shared" ref="O967:O968" si="218">HYPERLINK("https://pbs.twimg.com/profile_images/701102020061753344/5zH70uem_normal.jpg","View")</f>
        <v>View</v>
      </c>
      <c r="P967" s="14"/>
    </row>
    <row r="968">
      <c r="A968" s="7">
        <v>42433.81741898148</v>
      </c>
      <c r="B968" s="8" t="str">
        <f t="shared" si="217"/>
        <v>@jamiaw</v>
      </c>
      <c r="C968" s="9" t="s">
        <v>324</v>
      </c>
      <c r="D968" s="9" t="s">
        <v>1037</v>
      </c>
      <c r="E968" s="10" t="str">
        <f>HYPERLINK("https://twitter.com/jamiaw/status/705930097346420737","705930097346420737")</f>
        <v>705930097346420737</v>
      </c>
      <c r="F968" s="11" t="s">
        <v>26</v>
      </c>
      <c r="G968" s="12">
        <v>11336.0</v>
      </c>
      <c r="H968" s="12">
        <v>7815.0</v>
      </c>
      <c r="I968" s="12">
        <v>4.0</v>
      </c>
      <c r="J968" s="12">
        <v>0.0</v>
      </c>
      <c r="K968" s="11" t="s">
        <v>21</v>
      </c>
      <c r="L968" s="7">
        <v>39642.39741898148</v>
      </c>
      <c r="M968" s="13" t="s">
        <v>325</v>
      </c>
      <c r="N968" s="13" t="s">
        <v>326</v>
      </c>
      <c r="O968" s="10" t="str">
        <f t="shared" si="218"/>
        <v>View</v>
      </c>
      <c r="P968" s="14"/>
    </row>
    <row r="969">
      <c r="A969" s="7">
        <v>42433.817453703705</v>
      </c>
      <c r="B969" s="8" t="str">
        <f>HYPERLINK("https://twitter.com/CitizenWald","@CitizenWald")</f>
        <v>@CitizenWald</v>
      </c>
      <c r="C969" s="9" t="s">
        <v>668</v>
      </c>
      <c r="D969" s="9" t="s">
        <v>1044</v>
      </c>
      <c r="E969" s="10" t="str">
        <f>HYPERLINK("https://twitter.com/CitizenWald/status/705930109165899780","705930109165899780")</f>
        <v>705930109165899780</v>
      </c>
      <c r="F969" s="11" t="s">
        <v>26</v>
      </c>
      <c r="G969" s="12">
        <v>2335.0</v>
      </c>
      <c r="H969" s="12">
        <v>2535.0</v>
      </c>
      <c r="I969" s="12">
        <v>3.0</v>
      </c>
      <c r="J969" s="12">
        <v>3.0</v>
      </c>
      <c r="K969" s="11" t="s">
        <v>21</v>
      </c>
      <c r="L969" s="7">
        <v>39373.01613425926</v>
      </c>
      <c r="M969" s="13" t="s">
        <v>22</v>
      </c>
      <c r="N969" s="13" t="s">
        <v>669</v>
      </c>
      <c r="O969" s="10" t="str">
        <f>HYPERLINK("https://pbs.twimg.com/profile_images/661220280564486144/ZxUrdRVS_normal.jpg","View")</f>
        <v>View</v>
      </c>
      <c r="P969" s="14"/>
    </row>
    <row r="970">
      <c r="A970" s="7">
        <v>42433.81748842592</v>
      </c>
      <c r="B970" s="8" t="str">
        <f>HYPERLINK("https://twitter.com/jamiaw","@jamiaw")</f>
        <v>@jamiaw</v>
      </c>
      <c r="C970" s="9" t="s">
        <v>324</v>
      </c>
      <c r="D970" s="9" t="s">
        <v>1045</v>
      </c>
      <c r="E970" s="10" t="str">
        <f>HYPERLINK("https://twitter.com/jamiaw/status/705930123309096960","705930123309096960")</f>
        <v>705930123309096960</v>
      </c>
      <c r="F970" s="11" t="s">
        <v>26</v>
      </c>
      <c r="G970" s="12">
        <v>11336.0</v>
      </c>
      <c r="H970" s="12">
        <v>7815.0</v>
      </c>
      <c r="I970" s="12">
        <v>1.0</v>
      </c>
      <c r="J970" s="12">
        <v>0.0</v>
      </c>
      <c r="K970" s="11" t="s">
        <v>21</v>
      </c>
      <c r="L970" s="7">
        <v>39642.39741898148</v>
      </c>
      <c r="M970" s="13" t="s">
        <v>325</v>
      </c>
      <c r="N970" s="13" t="s">
        <v>326</v>
      </c>
      <c r="O970" s="10" t="str">
        <f>HYPERLINK("https://pbs.twimg.com/profile_images/701102020061753344/5zH70uem_normal.jpg","View")</f>
        <v>View</v>
      </c>
      <c r="P970" s="14"/>
    </row>
    <row r="971">
      <c r="A971" s="7">
        <v>42433.817511574074</v>
      </c>
      <c r="B971" s="8" t="str">
        <f>HYPERLINK("https://twitter.com/pastpunditry","@pastpunditry")</f>
        <v>@pastpunditry</v>
      </c>
      <c r="C971" s="9" t="s">
        <v>92</v>
      </c>
      <c r="D971" s="9" t="s">
        <v>1046</v>
      </c>
      <c r="E971" s="10" t="str">
        <f>HYPERLINK("https://twitter.com/pastpunditry/status/705930132377223168","705930132377223168")</f>
        <v>705930132377223168</v>
      </c>
      <c r="F971" s="11" t="s">
        <v>77</v>
      </c>
      <c r="G971" s="12">
        <v>890.0</v>
      </c>
      <c r="H971" s="12">
        <v>378.0</v>
      </c>
      <c r="I971" s="12">
        <v>3.0</v>
      </c>
      <c r="J971" s="12">
        <v>0.0</v>
      </c>
      <c r="K971" s="11" t="s">
        <v>21</v>
      </c>
      <c r="L971" s="7">
        <v>40283.384351851855</v>
      </c>
      <c r="M971" s="13" t="s">
        <v>94</v>
      </c>
      <c r="N971" s="13" t="s">
        <v>95</v>
      </c>
      <c r="O971" s="10" t="str">
        <f>HYPERLINK("https://pbs.twimg.com/profile_images/704873222802636800/7aFEMOY5_normal.jpg","View")</f>
        <v>View</v>
      </c>
      <c r="P971" s="14"/>
    </row>
    <row r="972">
      <c r="A972" s="7">
        <v>42433.81755787037</v>
      </c>
      <c r="B972" s="8" t="str">
        <f>HYPERLINK("https://twitter.com/jamiaw","@jamiaw")</f>
        <v>@jamiaw</v>
      </c>
      <c r="C972" s="9" t="s">
        <v>324</v>
      </c>
      <c r="D972" s="9" t="s">
        <v>1039</v>
      </c>
      <c r="E972" s="10" t="str">
        <f>HYPERLINK("https://twitter.com/jamiaw/status/705930147808022528","705930147808022528")</f>
        <v>705930147808022528</v>
      </c>
      <c r="F972" s="11" t="s">
        <v>26</v>
      </c>
      <c r="G972" s="12">
        <v>11336.0</v>
      </c>
      <c r="H972" s="12">
        <v>7815.0</v>
      </c>
      <c r="I972" s="12">
        <v>3.0</v>
      </c>
      <c r="J972" s="12">
        <v>0.0</v>
      </c>
      <c r="K972" s="11" t="s">
        <v>21</v>
      </c>
      <c r="L972" s="7">
        <v>39642.39741898148</v>
      </c>
      <c r="M972" s="13" t="s">
        <v>325</v>
      </c>
      <c r="N972" s="13" t="s">
        <v>326</v>
      </c>
      <c r="O972" s="10" t="str">
        <f>HYPERLINK("https://pbs.twimg.com/profile_images/701102020061753344/5zH70uem_normal.jpg","View")</f>
        <v>View</v>
      </c>
      <c r="P972" s="14"/>
    </row>
    <row r="973">
      <c r="A973" s="7">
        <v>42433.81763888889</v>
      </c>
      <c r="B973" s="8" t="str">
        <f>HYPERLINK("https://twitter.com/GHAUmass","@GHAUmass")</f>
        <v>@GHAUmass</v>
      </c>
      <c r="C973" s="9" t="s">
        <v>30</v>
      </c>
      <c r="D973" s="9" t="s">
        <v>1047</v>
      </c>
      <c r="E973" s="10" t="str">
        <f>HYPERLINK("https://twitter.com/GHAUmass/status/705930175754735616","705930175754735616")</f>
        <v>705930175754735616</v>
      </c>
      <c r="F973" s="11" t="s">
        <v>26</v>
      </c>
      <c r="G973" s="12">
        <v>68.0</v>
      </c>
      <c r="H973" s="12">
        <v>100.0</v>
      </c>
      <c r="I973" s="12">
        <v>1.0</v>
      </c>
      <c r="J973" s="12">
        <v>0.0</v>
      </c>
      <c r="K973" s="11" t="s">
        <v>21</v>
      </c>
      <c r="L973" s="7">
        <v>42152.65289351852</v>
      </c>
      <c r="M973" s="13" t="s">
        <v>22</v>
      </c>
      <c r="N973" s="13" t="s">
        <v>32</v>
      </c>
      <c r="O973" s="10" t="str">
        <f>HYPERLINK("https://pbs.twimg.com/profile_images/604060333590855682/Fk6r1D7d_normal.jpg","View")</f>
        <v>View</v>
      </c>
      <c r="P973" s="14"/>
    </row>
    <row r="974">
      <c r="A974" s="7">
        <v>42433.81768518519</v>
      </c>
      <c r="B974" s="8" t="str">
        <f>HYPERLINK("https://twitter.com/jamiaw","@jamiaw")</f>
        <v>@jamiaw</v>
      </c>
      <c r="C974" s="9" t="s">
        <v>324</v>
      </c>
      <c r="D974" s="9" t="s">
        <v>1028</v>
      </c>
      <c r="E974" s="10" t="str">
        <f>HYPERLINK("https://twitter.com/jamiaw/status/705930193207218176","705930193207218176")</f>
        <v>705930193207218176</v>
      </c>
      <c r="F974" s="11" t="s">
        <v>26</v>
      </c>
      <c r="G974" s="12">
        <v>11336.0</v>
      </c>
      <c r="H974" s="12">
        <v>7815.0</v>
      </c>
      <c r="I974" s="12">
        <v>2.0</v>
      </c>
      <c r="J974" s="12">
        <v>0.0</v>
      </c>
      <c r="K974" s="11" t="s">
        <v>21</v>
      </c>
      <c r="L974" s="7">
        <v>39642.39741898148</v>
      </c>
      <c r="M974" s="13" t="s">
        <v>325</v>
      </c>
      <c r="N974" s="13" t="s">
        <v>326</v>
      </c>
      <c r="O974" s="10" t="str">
        <f>HYPERLINK("https://pbs.twimg.com/profile_images/701102020061753344/5zH70uem_normal.jpg","View")</f>
        <v>View</v>
      </c>
      <c r="P974" s="14"/>
    </row>
    <row r="975">
      <c r="A975" s="7">
        <v>42433.81771990741</v>
      </c>
      <c r="B975" s="8" t="str">
        <f>HYPERLINK("https://twitter.com/rebekkahrubin","@rebekkahrubin")</f>
        <v>@rebekkahrubin</v>
      </c>
      <c r="C975" s="9" t="s">
        <v>141</v>
      </c>
      <c r="D975" s="9" t="s">
        <v>1048</v>
      </c>
      <c r="E975" s="10" t="str">
        <f>HYPERLINK("https://twitter.com/rebekkahrubin/status/705930205676830720","705930205676830720")</f>
        <v>705930205676830720</v>
      </c>
      <c r="F975" s="11" t="s">
        <v>31</v>
      </c>
      <c r="G975" s="12">
        <v>492.0</v>
      </c>
      <c r="H975" s="12">
        <v>1224.0</v>
      </c>
      <c r="I975" s="12">
        <v>1.0</v>
      </c>
      <c r="J975" s="12">
        <v>2.0</v>
      </c>
      <c r="K975" s="11" t="s">
        <v>21</v>
      </c>
      <c r="L975" s="7">
        <v>40411.521527777775</v>
      </c>
      <c r="M975" s="13" t="s">
        <v>143</v>
      </c>
      <c r="N975" s="13" t="s">
        <v>144</v>
      </c>
      <c r="O975" s="10" t="str">
        <f>HYPERLINK("https://pbs.twimg.com/profile_images/700317732588408832/Ym_-neUi_normal.jpg","View")</f>
        <v>View</v>
      </c>
      <c r="P975" s="14"/>
    </row>
    <row r="976">
      <c r="A976" s="7">
        <v>42433.81771990741</v>
      </c>
      <c r="B976" s="8" t="str">
        <f>HYPERLINK("https://twitter.com/pastpunditry","@pastpunditry")</f>
        <v>@pastpunditry</v>
      </c>
      <c r="C976" s="9" t="s">
        <v>92</v>
      </c>
      <c r="D976" s="9" t="s">
        <v>1049</v>
      </c>
      <c r="E976" s="10" t="str">
        <f>HYPERLINK("https://twitter.com/pastpunditry/status/705930208830951424","705930208830951424")</f>
        <v>705930208830951424</v>
      </c>
      <c r="F976" s="11" t="s">
        <v>77</v>
      </c>
      <c r="G976" s="12">
        <v>890.0</v>
      </c>
      <c r="H976" s="12">
        <v>378.0</v>
      </c>
      <c r="I976" s="12">
        <v>0.0</v>
      </c>
      <c r="J976" s="12">
        <v>1.0</v>
      </c>
      <c r="K976" s="11" t="s">
        <v>21</v>
      </c>
      <c r="L976" s="7">
        <v>40283.384351851855</v>
      </c>
      <c r="M976" s="13" t="s">
        <v>94</v>
      </c>
      <c r="N976" s="13" t="s">
        <v>95</v>
      </c>
      <c r="O976" s="10" t="str">
        <f>HYPERLINK("https://pbs.twimg.com/profile_images/704873222802636800/7aFEMOY5_normal.jpg","View")</f>
        <v>View</v>
      </c>
      <c r="P976" s="14"/>
    </row>
    <row r="977">
      <c r="A977" s="7">
        <v>42433.817824074074</v>
      </c>
      <c r="B977" s="8" t="str">
        <f>HYPERLINK("https://twitter.com/sensorymuse","@sensorymuse")</f>
        <v>@sensorymuse</v>
      </c>
      <c r="C977" s="9" t="s">
        <v>1050</v>
      </c>
      <c r="D977" s="9" t="s">
        <v>896</v>
      </c>
      <c r="E977" s="10" t="str">
        <f>HYPERLINK("https://twitter.com/sensorymuse/status/705930244989984769","705930244989984769")</f>
        <v>705930244989984769</v>
      </c>
      <c r="F977" s="11" t="s">
        <v>26</v>
      </c>
      <c r="G977" s="12">
        <v>16.0</v>
      </c>
      <c r="H977" s="12">
        <v>76.0</v>
      </c>
      <c r="I977" s="12">
        <v>10.0</v>
      </c>
      <c r="J977" s="12">
        <v>0.0</v>
      </c>
      <c r="K977" s="11" t="s">
        <v>21</v>
      </c>
      <c r="L977" s="7">
        <v>42425.45930555556</v>
      </c>
      <c r="M977" s="15"/>
      <c r="N977" s="13" t="s">
        <v>1051</v>
      </c>
      <c r="O977" s="10" t="str">
        <f>HYPERLINK("https://pbs.twimg.com/profile_images/703563251607429120/Y5FZhY-P_normal.jpg","View")</f>
        <v>View</v>
      </c>
      <c r="P977" s="14"/>
    </row>
    <row r="978">
      <c r="A978" s="7">
        <v>42433.81805555556</v>
      </c>
      <c r="B978" s="8" t="str">
        <f t="shared" ref="B978:B980" si="219">HYPERLINK("https://twitter.com/umassph","@umassph")</f>
        <v>@umassph</v>
      </c>
      <c r="C978" s="9" t="s">
        <v>121</v>
      </c>
      <c r="D978" s="9" t="s">
        <v>1003</v>
      </c>
      <c r="E978" s="10" t="str">
        <f>HYPERLINK("https://twitter.com/umassph/status/705930327907237888","705930327907237888")</f>
        <v>705930327907237888</v>
      </c>
      <c r="F978" s="11" t="s">
        <v>26</v>
      </c>
      <c r="G978" s="12">
        <v>693.0</v>
      </c>
      <c r="H978" s="12">
        <v>242.0</v>
      </c>
      <c r="I978" s="12">
        <v>3.0</v>
      </c>
      <c r="J978" s="12">
        <v>0.0</v>
      </c>
      <c r="K978" s="11" t="s">
        <v>21</v>
      </c>
      <c r="L978" s="7">
        <v>40242.52853009259</v>
      </c>
      <c r="M978" s="13" t="s">
        <v>22</v>
      </c>
      <c r="N978" s="13" t="s">
        <v>123</v>
      </c>
      <c r="O978" s="10" t="str">
        <f t="shared" ref="O978:O980" si="220">HYPERLINK("https://pbs.twimg.com/profile_images/3583165575/54f0bc87a29b2ae8587193829ce07299_normal.jpeg","View")</f>
        <v>View</v>
      </c>
      <c r="P978" s="14"/>
    </row>
    <row r="979">
      <c r="A979" s="7">
        <v>42433.81827546297</v>
      </c>
      <c r="B979" s="8" t="str">
        <f t="shared" si="219"/>
        <v>@umassph</v>
      </c>
      <c r="C979" s="9" t="s">
        <v>121</v>
      </c>
      <c r="D979" s="9" t="s">
        <v>990</v>
      </c>
      <c r="E979" s="10" t="str">
        <f>HYPERLINK("https://twitter.com/umassph/status/705930406596579329","705930406596579329")</f>
        <v>705930406596579329</v>
      </c>
      <c r="F979" s="11" t="s">
        <v>26</v>
      </c>
      <c r="G979" s="12">
        <v>693.0</v>
      </c>
      <c r="H979" s="12">
        <v>242.0</v>
      </c>
      <c r="I979" s="12">
        <v>3.0</v>
      </c>
      <c r="J979" s="12">
        <v>0.0</v>
      </c>
      <c r="K979" s="11" t="s">
        <v>21</v>
      </c>
      <c r="L979" s="7">
        <v>40242.52853009259</v>
      </c>
      <c r="M979" s="13" t="s">
        <v>22</v>
      </c>
      <c r="N979" s="13" t="s">
        <v>123</v>
      </c>
      <c r="O979" s="10" t="str">
        <f t="shared" si="220"/>
        <v>View</v>
      </c>
      <c r="P979" s="14"/>
    </row>
    <row r="980">
      <c r="A980" s="7">
        <v>42433.81836805555</v>
      </c>
      <c r="B980" s="8" t="str">
        <f t="shared" si="219"/>
        <v>@umassph</v>
      </c>
      <c r="C980" s="9" t="s">
        <v>121</v>
      </c>
      <c r="D980" s="9" t="s">
        <v>1052</v>
      </c>
      <c r="E980" s="10" t="str">
        <f>HYPERLINK("https://twitter.com/umassph/status/705930440763375616","705930440763375616")</f>
        <v>705930440763375616</v>
      </c>
      <c r="F980" s="11" t="s">
        <v>26</v>
      </c>
      <c r="G980" s="12">
        <v>693.0</v>
      </c>
      <c r="H980" s="12">
        <v>242.0</v>
      </c>
      <c r="I980" s="12">
        <v>1.0</v>
      </c>
      <c r="J980" s="12">
        <v>0.0</v>
      </c>
      <c r="K980" s="11" t="s">
        <v>21</v>
      </c>
      <c r="L980" s="7">
        <v>40242.52853009259</v>
      </c>
      <c r="M980" s="13" t="s">
        <v>22</v>
      </c>
      <c r="N980" s="13" t="s">
        <v>123</v>
      </c>
      <c r="O980" s="10" t="str">
        <f t="shared" si="220"/>
        <v>View</v>
      </c>
      <c r="P980" s="14"/>
    </row>
    <row r="981">
      <c r="A981" s="7">
        <v>42433.81841435185</v>
      </c>
      <c r="B981" s="8" t="str">
        <f>HYPERLINK("https://twitter.com/erfagen","@erfagen")</f>
        <v>@erfagen</v>
      </c>
      <c r="C981" s="9" t="s">
        <v>124</v>
      </c>
      <c r="D981" s="9" t="s">
        <v>1046</v>
      </c>
      <c r="E981" s="10" t="str">
        <f>HYPERLINK("https://twitter.com/erfagen/status/705930457532256257","705930457532256257")</f>
        <v>705930457532256257</v>
      </c>
      <c r="F981" s="11" t="s">
        <v>26</v>
      </c>
      <c r="G981" s="12">
        <v>1055.0</v>
      </c>
      <c r="H981" s="12">
        <v>2055.0</v>
      </c>
      <c r="I981" s="12">
        <v>3.0</v>
      </c>
      <c r="J981" s="12">
        <v>0.0</v>
      </c>
      <c r="K981" s="11" t="s">
        <v>21</v>
      </c>
      <c r="L981" s="7">
        <v>40524.93576388889</v>
      </c>
      <c r="M981" s="13" t="s">
        <v>125</v>
      </c>
      <c r="N981" s="13" t="s">
        <v>126</v>
      </c>
      <c r="O981" s="10" t="str">
        <f>HYPERLINK("https://pbs.twimg.com/profile_images/638086945722249217/mid_S_BQ_normal.jpg","View")</f>
        <v>View</v>
      </c>
      <c r="P981" s="14"/>
    </row>
    <row r="982">
      <c r="A982" s="7">
        <v>42433.81858796296</v>
      </c>
      <c r="B982" s="8" t="str">
        <f>HYPERLINK("https://twitter.com/pastpunditry","@pastpunditry")</f>
        <v>@pastpunditry</v>
      </c>
      <c r="C982" s="9" t="s">
        <v>92</v>
      </c>
      <c r="D982" s="9" t="s">
        <v>1053</v>
      </c>
      <c r="E982" s="10" t="str">
        <f>HYPERLINK("https://twitter.com/pastpunditry/status/705930520018948098","705930520018948098")</f>
        <v>705930520018948098</v>
      </c>
      <c r="F982" s="11" t="s">
        <v>77</v>
      </c>
      <c r="G982" s="12">
        <v>890.0</v>
      </c>
      <c r="H982" s="12">
        <v>378.0</v>
      </c>
      <c r="I982" s="12">
        <v>1.0</v>
      </c>
      <c r="J982" s="12">
        <v>1.0</v>
      </c>
      <c r="K982" s="11" t="s">
        <v>21</v>
      </c>
      <c r="L982" s="7">
        <v>40283.384351851855</v>
      </c>
      <c r="M982" s="13" t="s">
        <v>94</v>
      </c>
      <c r="N982" s="13" t="s">
        <v>95</v>
      </c>
      <c r="O982" s="10" t="str">
        <f>HYPERLINK("https://pbs.twimg.com/profile_images/704873222802636800/7aFEMOY5_normal.jpg","View")</f>
        <v>View</v>
      </c>
      <c r="P982" s="14"/>
    </row>
    <row r="983">
      <c r="A983" s="7">
        <v>42433.818761574075</v>
      </c>
      <c r="B983" s="8" t="str">
        <f>HYPERLINK("https://twitter.com/MedeaCulpa","@MedeaCulpa")</f>
        <v>@MedeaCulpa</v>
      </c>
      <c r="C983" s="9" t="s">
        <v>811</v>
      </c>
      <c r="D983" s="9" t="s">
        <v>1054</v>
      </c>
      <c r="E983" s="10" t="str">
        <f>HYPERLINK("https://twitter.com/MedeaCulpa/status/705930584246325248","705930584246325248")</f>
        <v>705930584246325248</v>
      </c>
      <c r="F983" s="11" t="s">
        <v>148</v>
      </c>
      <c r="G983" s="12">
        <v>971.0</v>
      </c>
      <c r="H983" s="12">
        <v>424.0</v>
      </c>
      <c r="I983" s="12">
        <v>2.0</v>
      </c>
      <c r="J983" s="12">
        <v>0.0</v>
      </c>
      <c r="K983" s="11" t="s">
        <v>21</v>
      </c>
      <c r="L983" s="7">
        <v>39894.5790625</v>
      </c>
      <c r="M983" s="13" t="s">
        <v>813</v>
      </c>
      <c r="N983" s="13" t="s">
        <v>814</v>
      </c>
      <c r="O983" s="10" t="str">
        <f>HYPERLINK("https://pbs.twimg.com/profile_images/702272676837068800/xO5D7apz_normal.jpg","View")</f>
        <v>View</v>
      </c>
      <c r="P983" s="14"/>
    </row>
    <row r="984">
      <c r="A984" s="7">
        <v>42433.81884259259</v>
      </c>
      <c r="B984" s="8" t="str">
        <f>HYPERLINK("https://twitter.com/lizl_genealogy","@lizl_genealogy")</f>
        <v>@lizl_genealogy</v>
      </c>
      <c r="C984" s="9" t="s">
        <v>89</v>
      </c>
      <c r="D984" s="9" t="s">
        <v>1008</v>
      </c>
      <c r="E984" s="10" t="str">
        <f>HYPERLINK("https://twitter.com/lizl_genealogy/status/705930612394168320","705930612394168320")</f>
        <v>705930612394168320</v>
      </c>
      <c r="F984" s="11" t="s">
        <v>31</v>
      </c>
      <c r="G984" s="12">
        <v>1547.0</v>
      </c>
      <c r="H984" s="12">
        <v>615.0</v>
      </c>
      <c r="I984" s="12">
        <v>4.0</v>
      </c>
      <c r="J984" s="12">
        <v>0.0</v>
      </c>
      <c r="K984" s="11" t="s">
        <v>21</v>
      </c>
      <c r="L984" s="7">
        <v>40763.52722222223</v>
      </c>
      <c r="M984" s="13" t="s">
        <v>90</v>
      </c>
      <c r="N984" s="13" t="s">
        <v>91</v>
      </c>
      <c r="O984" s="10" t="str">
        <f>HYPERLINK("https://pbs.twimg.com/profile_images/2700002859/1f2d610ddaf1f03ac7d033dd83847b45_normal.jpeg","View")</f>
        <v>View</v>
      </c>
      <c r="P984" s="14"/>
    </row>
    <row r="985">
      <c r="A985" s="7">
        <v>42433.81896990741</v>
      </c>
      <c r="B985" s="8" t="str">
        <f>HYPERLINK("https://twitter.com/erfagen","@erfagen")</f>
        <v>@erfagen</v>
      </c>
      <c r="C985" s="9" t="s">
        <v>124</v>
      </c>
      <c r="D985" s="9" t="s">
        <v>1055</v>
      </c>
      <c r="E985" s="10" t="str">
        <f>HYPERLINK("https://twitter.com/erfagen/status/705930658208677888","705930658208677888")</f>
        <v>705930658208677888</v>
      </c>
      <c r="F985" s="11" t="s">
        <v>26</v>
      </c>
      <c r="G985" s="12">
        <v>1055.0</v>
      </c>
      <c r="H985" s="12">
        <v>2055.0</v>
      </c>
      <c r="I985" s="12">
        <v>1.0</v>
      </c>
      <c r="J985" s="12">
        <v>0.0</v>
      </c>
      <c r="K985" s="11" t="s">
        <v>21</v>
      </c>
      <c r="L985" s="7">
        <v>40524.93576388889</v>
      </c>
      <c r="M985" s="13" t="s">
        <v>125</v>
      </c>
      <c r="N985" s="13" t="s">
        <v>126</v>
      </c>
      <c r="O985" s="10" t="str">
        <f>HYPERLINK("https://pbs.twimg.com/profile_images/638086945722249217/mid_S_BQ_normal.jpg","View")</f>
        <v>View</v>
      </c>
      <c r="P985" s="14"/>
    </row>
    <row r="986">
      <c r="A986" s="7">
        <v>42433.819131944445</v>
      </c>
      <c r="B986" s="8" t="str">
        <f>HYPERLINK("https://twitter.com/sheishistoric","@sheishistoric")</f>
        <v>@sheishistoric</v>
      </c>
      <c r="C986" s="9" t="s">
        <v>127</v>
      </c>
      <c r="D986" s="9" t="s">
        <v>1056</v>
      </c>
      <c r="E986" s="10" t="str">
        <f>HYPERLINK("https://twitter.com/sheishistoric/status/705930719013511169","705930719013511169")</f>
        <v>705930719013511169</v>
      </c>
      <c r="F986" s="11" t="s">
        <v>26</v>
      </c>
      <c r="G986" s="12">
        <v>405.0</v>
      </c>
      <c r="H986" s="12">
        <v>882.0</v>
      </c>
      <c r="I986" s="12">
        <v>1.0</v>
      </c>
      <c r="J986" s="12">
        <v>0.0</v>
      </c>
      <c r="K986" s="11" t="s">
        <v>21</v>
      </c>
      <c r="L986" s="7">
        <v>41529.842094907406</v>
      </c>
      <c r="M986" s="13" t="s">
        <v>129</v>
      </c>
      <c r="N986" s="13" t="s">
        <v>130</v>
      </c>
      <c r="O986" s="10" t="str">
        <f>HYPERLINK("https://pbs.twimg.com/profile_images/650419150620377089/bJxBf---_normal.jpg","View")</f>
        <v>View</v>
      </c>
      <c r="P986" s="14"/>
    </row>
    <row r="987">
      <c r="A987" s="7">
        <v>42433.819375</v>
      </c>
      <c r="B987" s="8" t="str">
        <f>HYPERLINK("https://twitter.com/juliegpeterson","@juliegpeterson")</f>
        <v>@juliegpeterson</v>
      </c>
      <c r="C987" s="9" t="s">
        <v>24</v>
      </c>
      <c r="D987" s="9" t="s">
        <v>1057</v>
      </c>
      <c r="E987" s="10" t="str">
        <f>HYPERLINK("https://twitter.com/juliegpeterson/status/705930805953044480","705930805953044480")</f>
        <v>705930805953044480</v>
      </c>
      <c r="F987" s="11" t="s">
        <v>26</v>
      </c>
      <c r="G987" s="12">
        <v>239.0</v>
      </c>
      <c r="H987" s="12">
        <v>775.0</v>
      </c>
      <c r="I987" s="12">
        <v>1.0</v>
      </c>
      <c r="J987" s="12">
        <v>1.0</v>
      </c>
      <c r="K987" s="11" t="s">
        <v>21</v>
      </c>
      <c r="L987" s="7">
        <v>41208.65523148148</v>
      </c>
      <c r="M987" s="13" t="s">
        <v>22</v>
      </c>
      <c r="N987" s="13" t="s">
        <v>27</v>
      </c>
      <c r="O987" s="10" t="str">
        <f>HYPERLINK("https://pbs.twimg.com/profile_images/609765839051452416/GNW0wSt0_normal.jpg","View")</f>
        <v>View</v>
      </c>
      <c r="P987" s="14"/>
    </row>
    <row r="988">
      <c r="A988" s="7">
        <v>42433.819375</v>
      </c>
      <c r="B988" s="8" t="str">
        <f>HYPERLINK("https://twitter.com/pastpunditry","@pastpunditry")</f>
        <v>@pastpunditry</v>
      </c>
      <c r="C988" s="9" t="s">
        <v>92</v>
      </c>
      <c r="D988" s="9" t="s">
        <v>1058</v>
      </c>
      <c r="E988" s="10" t="str">
        <f>HYPERLINK("https://twitter.com/pastpunditry/status/705930808050241536","705930808050241536")</f>
        <v>705930808050241536</v>
      </c>
      <c r="F988" s="11" t="s">
        <v>77</v>
      </c>
      <c r="G988" s="12">
        <v>890.0</v>
      </c>
      <c r="H988" s="12">
        <v>378.0</v>
      </c>
      <c r="I988" s="12">
        <v>2.0</v>
      </c>
      <c r="J988" s="12">
        <v>1.0</v>
      </c>
      <c r="K988" s="11" t="s">
        <v>21</v>
      </c>
      <c r="L988" s="7">
        <v>40283.384351851855</v>
      </c>
      <c r="M988" s="13" t="s">
        <v>94</v>
      </c>
      <c r="N988" s="13" t="s">
        <v>95</v>
      </c>
      <c r="O988" s="10" t="str">
        <f>HYPERLINK("https://pbs.twimg.com/profile_images/704873222802636800/7aFEMOY5_normal.jpg","View")</f>
        <v>View</v>
      </c>
      <c r="P988" s="14"/>
    </row>
    <row r="989">
      <c r="A989" s="7">
        <v>42433.81952546297</v>
      </c>
      <c r="B989" s="8" t="str">
        <f>HYPERLINK("https://twitter.com/magmidd","@magmidd")</f>
        <v>@magmidd</v>
      </c>
      <c r="C989" s="9" t="s">
        <v>636</v>
      </c>
      <c r="D989" s="9" t="s">
        <v>1059</v>
      </c>
      <c r="E989" s="10" t="str">
        <f>HYPERLINK("https://twitter.com/magmidd/status/705930859774238720","705930859774238720")</f>
        <v>705930859774238720</v>
      </c>
      <c r="F989" s="11" t="s">
        <v>148</v>
      </c>
      <c r="G989" s="12">
        <v>1385.0</v>
      </c>
      <c r="H989" s="12">
        <v>1353.0</v>
      </c>
      <c r="I989" s="12">
        <v>0.0</v>
      </c>
      <c r="J989" s="12">
        <v>5.0</v>
      </c>
      <c r="K989" s="11" t="s">
        <v>21</v>
      </c>
      <c r="L989" s="7">
        <v>41511.60082175926</v>
      </c>
      <c r="M989" s="13" t="s">
        <v>197</v>
      </c>
      <c r="N989" s="13" t="s">
        <v>638</v>
      </c>
      <c r="O989" s="10" t="str">
        <f>HYPERLINK("https://pbs.twimg.com/profile_images/378800000450415007/82bcc7d0cab85e8d5920dbf5ded6715e_normal.jpeg","View")</f>
        <v>View</v>
      </c>
      <c r="P989" s="14"/>
    </row>
    <row r="990">
      <c r="A990" s="7">
        <v>42433.81957175926</v>
      </c>
      <c r="B990" s="8" t="str">
        <f>HYPERLINK("https://twitter.com/Red_Shirt_no2","@Red_Shirt_no2")</f>
        <v>@Red_Shirt_no2</v>
      </c>
      <c r="C990" s="9" t="s">
        <v>1060</v>
      </c>
      <c r="D990" s="9" t="s">
        <v>871</v>
      </c>
      <c r="E990" s="10" t="str">
        <f>HYPERLINK("https://twitter.com/Red_Shirt_no2/status/705930877050744832","705930877050744832")</f>
        <v>705930877050744832</v>
      </c>
      <c r="F990" s="11" t="s">
        <v>26</v>
      </c>
      <c r="G990" s="12">
        <v>184.0</v>
      </c>
      <c r="H990" s="12">
        <v>231.0</v>
      </c>
      <c r="I990" s="12">
        <v>4.0</v>
      </c>
      <c r="J990" s="12">
        <v>0.0</v>
      </c>
      <c r="K990" s="11" t="s">
        <v>21</v>
      </c>
      <c r="L990" s="7">
        <v>41768.91646990741</v>
      </c>
      <c r="M990" s="13" t="s">
        <v>1061</v>
      </c>
      <c r="N990" s="13" t="s">
        <v>1062</v>
      </c>
      <c r="O990" s="10" t="str">
        <f>HYPERLINK("https://pbs.twimg.com/profile_images/550495191849644032/qEniLfQu_normal.png","View")</f>
        <v>View</v>
      </c>
      <c r="P990" s="14"/>
    </row>
    <row r="991">
      <c r="A991" s="7">
        <v>42433.81991898148</v>
      </c>
      <c r="B991" s="8" t="str">
        <f>HYPERLINK("https://twitter.com/sheishistoric","@sheishistoric")</f>
        <v>@sheishistoric</v>
      </c>
      <c r="C991" s="9" t="s">
        <v>127</v>
      </c>
      <c r="D991" s="9" t="s">
        <v>1063</v>
      </c>
      <c r="E991" s="10" t="str">
        <f>HYPERLINK("https://twitter.com/sheishistoric/status/705931004721156098","705931004721156098")</f>
        <v>705931004721156098</v>
      </c>
      <c r="F991" s="11" t="s">
        <v>26</v>
      </c>
      <c r="G991" s="12">
        <v>405.0</v>
      </c>
      <c r="H991" s="12">
        <v>882.0</v>
      </c>
      <c r="I991" s="12">
        <v>2.0</v>
      </c>
      <c r="J991" s="12">
        <v>0.0</v>
      </c>
      <c r="K991" s="11" t="s">
        <v>21</v>
      </c>
      <c r="L991" s="7">
        <v>41529.842094907406</v>
      </c>
      <c r="M991" s="13" t="s">
        <v>129</v>
      </c>
      <c r="N991" s="13" t="s">
        <v>130</v>
      </c>
      <c r="O991" s="10" t="str">
        <f>HYPERLINK("https://pbs.twimg.com/profile_images/650419150620377089/bJxBf---_normal.jpg","View")</f>
        <v>View</v>
      </c>
      <c r="P991" s="14"/>
    </row>
    <row r="992">
      <c r="A992" s="7">
        <v>42433.81997685185</v>
      </c>
      <c r="B992" s="8" t="str">
        <f>HYPERLINK("https://twitter.com/pastpunditry","@pastpunditry")</f>
        <v>@pastpunditry</v>
      </c>
      <c r="C992" s="9" t="s">
        <v>92</v>
      </c>
      <c r="D992" s="9" t="s">
        <v>1064</v>
      </c>
      <c r="E992" s="10" t="str">
        <f>HYPERLINK("https://twitter.com/pastpunditry/status/705931024971210752","705931024971210752")</f>
        <v>705931024971210752</v>
      </c>
      <c r="F992" s="11" t="s">
        <v>77</v>
      </c>
      <c r="G992" s="12">
        <v>890.0</v>
      </c>
      <c r="H992" s="12">
        <v>378.0</v>
      </c>
      <c r="I992" s="12">
        <v>1.0</v>
      </c>
      <c r="J992" s="12">
        <v>1.0</v>
      </c>
      <c r="K992" s="11" t="s">
        <v>21</v>
      </c>
      <c r="L992" s="7">
        <v>40283.384351851855</v>
      </c>
      <c r="M992" s="13" t="s">
        <v>94</v>
      </c>
      <c r="N992" s="13" t="s">
        <v>95</v>
      </c>
      <c r="O992" s="10" t="str">
        <f>HYPERLINK("https://pbs.twimg.com/profile_images/704873222802636800/7aFEMOY5_normal.jpg","View")</f>
        <v>View</v>
      </c>
      <c r="P992" s="14"/>
    </row>
    <row r="993">
      <c r="A993" s="7">
        <v>42433.82015046296</v>
      </c>
      <c r="B993" s="8" t="str">
        <f>HYPERLINK("https://twitter.com/Red_Shirt_no2","@Red_Shirt_no2")</f>
        <v>@Red_Shirt_no2</v>
      </c>
      <c r="C993" s="9" t="s">
        <v>1060</v>
      </c>
      <c r="D993" s="9" t="s">
        <v>832</v>
      </c>
      <c r="E993" s="10" t="str">
        <f>HYPERLINK("https://twitter.com/Red_Shirt_no2/status/705931087868985345","705931087868985345")</f>
        <v>705931087868985345</v>
      </c>
      <c r="F993" s="11" t="s">
        <v>26</v>
      </c>
      <c r="G993" s="12">
        <v>184.0</v>
      </c>
      <c r="H993" s="12">
        <v>231.0</v>
      </c>
      <c r="I993" s="12">
        <v>8.0</v>
      </c>
      <c r="J993" s="12">
        <v>0.0</v>
      </c>
      <c r="K993" s="11" t="s">
        <v>21</v>
      </c>
      <c r="L993" s="7">
        <v>41768.91646990741</v>
      </c>
      <c r="M993" s="13" t="s">
        <v>1061</v>
      </c>
      <c r="N993" s="13" t="s">
        <v>1062</v>
      </c>
      <c r="O993" s="10" t="str">
        <f>HYPERLINK("https://pbs.twimg.com/profile_images/550495191849644032/qEniLfQu_normal.png","View")</f>
        <v>View</v>
      </c>
      <c r="P993" s="14"/>
    </row>
    <row r="994">
      <c r="A994" s="7">
        <v>42433.820185185185</v>
      </c>
      <c r="B994" s="8" t="str">
        <f>HYPERLINK("https://twitter.com/JulieThePH","@JulieThePH")</f>
        <v>@JulieThePH</v>
      </c>
      <c r="C994" s="9" t="s">
        <v>211</v>
      </c>
      <c r="D994" s="9" t="s">
        <v>1065</v>
      </c>
      <c r="E994" s="10" t="str">
        <f>HYPERLINK("https://twitter.com/JulieThePH/status/705931101710262272","705931101710262272")</f>
        <v>705931101710262272</v>
      </c>
      <c r="F994" s="11" t="s">
        <v>148</v>
      </c>
      <c r="G994" s="12">
        <v>1234.0</v>
      </c>
      <c r="H994" s="12">
        <v>1386.0</v>
      </c>
      <c r="I994" s="12">
        <v>0.0</v>
      </c>
      <c r="J994" s="12">
        <v>1.0</v>
      </c>
      <c r="K994" s="11" t="s">
        <v>21</v>
      </c>
      <c r="L994" s="7">
        <v>40718.66918981481</v>
      </c>
      <c r="M994" s="13" t="s">
        <v>213</v>
      </c>
      <c r="N994" s="13" t="s">
        <v>214</v>
      </c>
      <c r="O994" s="10" t="str">
        <f>HYPERLINK("https://pbs.twimg.com/profile_images/596509974005686273/AqBblwMR_normal.jpg","View")</f>
        <v>View</v>
      </c>
      <c r="P994" s="14"/>
    </row>
    <row r="995">
      <c r="A995" s="7">
        <v>42433.82021990741</v>
      </c>
      <c r="B995" s="8" t="str">
        <f>HYPERLINK("https://twitter.com/GHAUmass","@GHAUmass")</f>
        <v>@GHAUmass</v>
      </c>
      <c r="C995" s="9" t="s">
        <v>30</v>
      </c>
      <c r="D995" s="9" t="s">
        <v>1066</v>
      </c>
      <c r="E995" s="10" t="str">
        <f>HYPERLINK("https://twitter.com/GHAUmass/status/705931112795803648","705931112795803648")</f>
        <v>705931112795803648</v>
      </c>
      <c r="F995" s="11" t="s">
        <v>26</v>
      </c>
      <c r="G995" s="12">
        <v>68.0</v>
      </c>
      <c r="H995" s="12">
        <v>100.0</v>
      </c>
      <c r="I995" s="12">
        <v>1.0</v>
      </c>
      <c r="J995" s="12">
        <v>0.0</v>
      </c>
      <c r="K995" s="11" t="s">
        <v>21</v>
      </c>
      <c r="L995" s="7">
        <v>42152.65289351852</v>
      </c>
      <c r="M995" s="13" t="s">
        <v>22</v>
      </c>
      <c r="N995" s="13" t="s">
        <v>32</v>
      </c>
      <c r="O995" s="10" t="str">
        <f>HYPERLINK("https://pbs.twimg.com/profile_images/604060333590855682/Fk6r1D7d_normal.jpg","View")</f>
        <v>View</v>
      </c>
      <c r="P995" s="14"/>
    </row>
    <row r="996">
      <c r="A996" s="7">
        <v>42433.82026620371</v>
      </c>
      <c r="B996" s="8" t="str">
        <f>HYPERLINK("https://twitter.com/allisonhorrocks","@allisonhorrocks")</f>
        <v>@allisonhorrocks</v>
      </c>
      <c r="C996" s="9" t="s">
        <v>105</v>
      </c>
      <c r="D996" s="9" t="s">
        <v>1067</v>
      </c>
      <c r="E996" s="10" t="str">
        <f>HYPERLINK("https://twitter.com/allisonhorrocks/status/705931128448925696","705931128448925696")</f>
        <v>705931128448925696</v>
      </c>
      <c r="F996" s="11" t="s">
        <v>26</v>
      </c>
      <c r="G996" s="12">
        <v>122.0</v>
      </c>
      <c r="H996" s="12">
        <v>260.0</v>
      </c>
      <c r="I996" s="12">
        <v>1.0</v>
      </c>
      <c r="J996" s="12">
        <v>2.0</v>
      </c>
      <c r="K996" s="11" t="s">
        <v>21</v>
      </c>
      <c r="L996" s="7">
        <v>39874.8815625</v>
      </c>
      <c r="M996" s="13" t="s">
        <v>106</v>
      </c>
      <c r="N996" s="13" t="s">
        <v>107</v>
      </c>
      <c r="O996" s="10" t="str">
        <f>HYPERLINK("https://pbs.twimg.com/profile_images/562279222522032128/-phaZgxO_normal.jpeg","View")</f>
        <v>View</v>
      </c>
      <c r="P996" s="14"/>
    </row>
    <row r="997">
      <c r="A997" s="7">
        <v>42433.82033564815</v>
      </c>
      <c r="B997" s="8" t="str">
        <f>HYPERLINK("https://twitter.com/sheishistoric","@sheishistoric")</f>
        <v>@sheishistoric</v>
      </c>
      <c r="C997" s="9" t="s">
        <v>127</v>
      </c>
      <c r="D997" s="9" t="s">
        <v>1068</v>
      </c>
      <c r="E997" s="10" t="str">
        <f>HYPERLINK("https://twitter.com/sheishistoric/status/705931154810130433","705931154810130433")</f>
        <v>705931154810130433</v>
      </c>
      <c r="F997" s="11" t="s">
        <v>26</v>
      </c>
      <c r="G997" s="12">
        <v>405.0</v>
      </c>
      <c r="H997" s="12">
        <v>882.0</v>
      </c>
      <c r="I997" s="12">
        <v>0.0</v>
      </c>
      <c r="J997" s="12">
        <v>1.0</v>
      </c>
      <c r="K997" s="11" t="s">
        <v>21</v>
      </c>
      <c r="L997" s="7">
        <v>41529.842094907406</v>
      </c>
      <c r="M997" s="13" t="s">
        <v>129</v>
      </c>
      <c r="N997" s="13" t="s">
        <v>130</v>
      </c>
      <c r="O997" s="10" t="str">
        <f>HYPERLINK("https://pbs.twimg.com/profile_images/650419150620377089/bJxBf---_normal.jpg","View")</f>
        <v>View</v>
      </c>
      <c r="P997" s="14"/>
    </row>
    <row r="998">
      <c r="A998" s="7">
        <v>42433.82035879629</v>
      </c>
      <c r="B998" s="8" t="str">
        <f>HYPERLINK("https://twitter.com/pastpunditry","@pastpunditry")</f>
        <v>@pastpunditry</v>
      </c>
      <c r="C998" s="9" t="s">
        <v>92</v>
      </c>
      <c r="D998" s="9" t="s">
        <v>1069</v>
      </c>
      <c r="E998" s="10" t="str">
        <f>HYPERLINK("https://twitter.com/pastpunditry/status/705931163081252864","705931163081252864")</f>
        <v>705931163081252864</v>
      </c>
      <c r="F998" s="11" t="s">
        <v>77</v>
      </c>
      <c r="G998" s="12">
        <v>890.0</v>
      </c>
      <c r="H998" s="12">
        <v>378.0</v>
      </c>
      <c r="I998" s="12">
        <v>0.0</v>
      </c>
      <c r="J998" s="12">
        <v>1.0</v>
      </c>
      <c r="K998" s="11" t="s">
        <v>21</v>
      </c>
      <c r="L998" s="7">
        <v>40283.384351851855</v>
      </c>
      <c r="M998" s="13" t="s">
        <v>94</v>
      </c>
      <c r="N998" s="13" t="s">
        <v>95</v>
      </c>
      <c r="O998" s="10" t="str">
        <f>HYPERLINK("https://pbs.twimg.com/profile_images/704873222802636800/7aFEMOY5_normal.jpg","View")</f>
        <v>View</v>
      </c>
      <c r="P998" s="14"/>
    </row>
    <row r="999">
      <c r="A999" s="7">
        <v>42433.82037037037</v>
      </c>
      <c r="B999" s="8" t="str">
        <f>HYPERLINK("https://twitter.com/erfagen","@erfagen")</f>
        <v>@erfagen</v>
      </c>
      <c r="C999" s="9" t="s">
        <v>124</v>
      </c>
      <c r="D999" s="9" t="s">
        <v>1070</v>
      </c>
      <c r="E999" s="10" t="str">
        <f>HYPERLINK("https://twitter.com/erfagen/status/705931166973612037","705931166973612037")</f>
        <v>705931166973612037</v>
      </c>
      <c r="F999" s="11" t="s">
        <v>26</v>
      </c>
      <c r="G999" s="12">
        <v>1055.0</v>
      </c>
      <c r="H999" s="12">
        <v>2055.0</v>
      </c>
      <c r="I999" s="12">
        <v>0.0</v>
      </c>
      <c r="J999" s="12">
        <v>1.0</v>
      </c>
      <c r="K999" s="11" t="s">
        <v>21</v>
      </c>
      <c r="L999" s="7">
        <v>40524.93576388889</v>
      </c>
      <c r="M999" s="13" t="s">
        <v>125</v>
      </c>
      <c r="N999" s="13" t="s">
        <v>126</v>
      </c>
      <c r="O999" s="10" t="str">
        <f>HYPERLINK("https://pbs.twimg.com/profile_images/638086945722249217/mid_S_BQ_normal.jpg","View")</f>
        <v>View</v>
      </c>
      <c r="P999" s="14"/>
    </row>
    <row r="1000">
      <c r="A1000" s="7">
        <v>42433.82052083334</v>
      </c>
      <c r="B1000" s="8" t="str">
        <f>HYPERLINK("https://twitter.com/rebekkahrubin","@rebekkahrubin")</f>
        <v>@rebekkahrubin</v>
      </c>
      <c r="C1000" s="9" t="s">
        <v>141</v>
      </c>
      <c r="D1000" s="9" t="s">
        <v>1063</v>
      </c>
      <c r="E1000" s="10" t="str">
        <f>HYPERLINK("https://twitter.com/rebekkahrubin/status/705931222820773888","705931222820773888")</f>
        <v>705931222820773888</v>
      </c>
      <c r="F1000" s="11" t="s">
        <v>31</v>
      </c>
      <c r="G1000" s="12">
        <v>492.0</v>
      </c>
      <c r="H1000" s="12">
        <v>1224.0</v>
      </c>
      <c r="I1000" s="12">
        <v>2.0</v>
      </c>
      <c r="J1000" s="12">
        <v>0.0</v>
      </c>
      <c r="K1000" s="11" t="s">
        <v>21</v>
      </c>
      <c r="L1000" s="7">
        <v>40411.521527777775</v>
      </c>
      <c r="M1000" s="13" t="s">
        <v>143</v>
      </c>
      <c r="N1000" s="13" t="s">
        <v>144</v>
      </c>
      <c r="O1000" s="10" t="str">
        <f>HYPERLINK("https://pbs.twimg.com/profile_images/700317732588408832/Ym_-neUi_normal.jpg","View")</f>
        <v>View</v>
      </c>
      <c r="P1000" s="14"/>
    </row>
    <row r="1001">
      <c r="A1001" s="7">
        <v>42433.82069444444</v>
      </c>
      <c r="B1001" s="8" t="str">
        <f>HYPERLINK("https://twitter.com/pastpunditry","@pastpunditry")</f>
        <v>@pastpunditry</v>
      </c>
      <c r="C1001" s="9" t="s">
        <v>92</v>
      </c>
      <c r="D1001" s="9" t="s">
        <v>1071</v>
      </c>
      <c r="E1001" s="10" t="str">
        <f>HYPERLINK("https://twitter.com/pastpunditry/status/705931286435729409","705931286435729409")</f>
        <v>705931286435729409</v>
      </c>
      <c r="F1001" s="11" t="s">
        <v>77</v>
      </c>
      <c r="G1001" s="12">
        <v>890.0</v>
      </c>
      <c r="H1001" s="12">
        <v>378.0</v>
      </c>
      <c r="I1001" s="12">
        <v>1.0</v>
      </c>
      <c r="J1001" s="12">
        <v>2.0</v>
      </c>
      <c r="K1001" s="11" t="s">
        <v>21</v>
      </c>
      <c r="L1001" s="7">
        <v>40283.384351851855</v>
      </c>
      <c r="M1001" s="13" t="s">
        <v>94</v>
      </c>
      <c r="N1001" s="13" t="s">
        <v>95</v>
      </c>
      <c r="O1001" s="10" t="str">
        <f>HYPERLINK("https://pbs.twimg.com/profile_images/704873222802636800/7aFEMOY5_normal.jpg","View")</f>
        <v>View</v>
      </c>
      <c r="P1001" s="14"/>
    </row>
    <row r="1002">
      <c r="A1002" s="7">
        <v>42433.82074074074</v>
      </c>
      <c r="B1002" s="8" t="str">
        <f>HYPERLINK("https://twitter.com/GHAUmass","@GHAUmass")</f>
        <v>@GHAUmass</v>
      </c>
      <c r="C1002" s="9" t="s">
        <v>30</v>
      </c>
      <c r="D1002" s="9" t="s">
        <v>1072</v>
      </c>
      <c r="E1002" s="10" t="str">
        <f>HYPERLINK("https://twitter.com/GHAUmass/status/705931300495101953","705931300495101953")</f>
        <v>705931300495101953</v>
      </c>
      <c r="F1002" s="11" t="s">
        <v>26</v>
      </c>
      <c r="G1002" s="12">
        <v>68.0</v>
      </c>
      <c r="H1002" s="12">
        <v>100.0</v>
      </c>
      <c r="I1002" s="12">
        <v>1.0</v>
      </c>
      <c r="J1002" s="12">
        <v>0.0</v>
      </c>
      <c r="K1002" s="11" t="s">
        <v>21</v>
      </c>
      <c r="L1002" s="7">
        <v>42152.65289351852</v>
      </c>
      <c r="M1002" s="13" t="s">
        <v>22</v>
      </c>
      <c r="N1002" s="13" t="s">
        <v>32</v>
      </c>
      <c r="O1002" s="10" t="str">
        <f>HYPERLINK("https://pbs.twimg.com/profile_images/604060333590855682/Fk6r1D7d_normal.jpg","View")</f>
        <v>View</v>
      </c>
      <c r="P1002" s="14"/>
    </row>
    <row r="1003">
      <c r="A1003" s="7">
        <v>42433.820810185185</v>
      </c>
      <c r="B1003" s="8" t="str">
        <f>HYPERLINK("https://twitter.com/JulieThePH","@JulieThePH")</f>
        <v>@JulieThePH</v>
      </c>
      <c r="C1003" s="9" t="s">
        <v>211</v>
      </c>
      <c r="D1003" s="9" t="s">
        <v>1073</v>
      </c>
      <c r="E1003" s="10" t="str">
        <f>HYPERLINK("https://twitter.com/JulieThePH/status/705931324612349952","705931324612349952")</f>
        <v>705931324612349952</v>
      </c>
      <c r="F1003" s="11" t="s">
        <v>148</v>
      </c>
      <c r="G1003" s="12">
        <v>1234.0</v>
      </c>
      <c r="H1003" s="12">
        <v>1386.0</v>
      </c>
      <c r="I1003" s="12">
        <v>4.0</v>
      </c>
      <c r="J1003" s="12">
        <v>2.0</v>
      </c>
      <c r="K1003" s="11" t="s">
        <v>21</v>
      </c>
      <c r="L1003" s="7">
        <v>40718.66918981481</v>
      </c>
      <c r="M1003" s="13" t="s">
        <v>213</v>
      </c>
      <c r="N1003" s="13" t="s">
        <v>214</v>
      </c>
      <c r="O1003" s="10" t="str">
        <f>HYPERLINK("https://pbs.twimg.com/profile_images/596509974005686273/AqBblwMR_normal.jpg","View")</f>
        <v>View</v>
      </c>
      <c r="P1003" s="14"/>
    </row>
    <row r="1004">
      <c r="A1004" s="7">
        <v>42433.820868055554</v>
      </c>
      <c r="B1004" s="8" t="str">
        <f>HYPERLINK("https://twitter.com/pastpunditry","@pastpunditry")</f>
        <v>@pastpunditry</v>
      </c>
      <c r="C1004" s="9" t="s">
        <v>92</v>
      </c>
      <c r="D1004" s="9" t="s">
        <v>1074</v>
      </c>
      <c r="E1004" s="10" t="str">
        <f>HYPERLINK("https://twitter.com/pastpunditry/status/705931348536598529","705931348536598529")</f>
        <v>705931348536598529</v>
      </c>
      <c r="F1004" s="11" t="s">
        <v>77</v>
      </c>
      <c r="G1004" s="12">
        <v>890.0</v>
      </c>
      <c r="H1004" s="12">
        <v>378.0</v>
      </c>
      <c r="I1004" s="12">
        <v>4.0</v>
      </c>
      <c r="J1004" s="12">
        <v>0.0</v>
      </c>
      <c r="K1004" s="11" t="s">
        <v>21</v>
      </c>
      <c r="L1004" s="7">
        <v>40283.384351851855</v>
      </c>
      <c r="M1004" s="13" t="s">
        <v>94</v>
      </c>
      <c r="N1004" s="13" t="s">
        <v>95</v>
      </c>
      <c r="O1004" s="10" t="str">
        <f>HYPERLINK("https://pbs.twimg.com/profile_images/704873222802636800/7aFEMOY5_normal.jpg","View")</f>
        <v>View</v>
      </c>
      <c r="P1004" s="14"/>
    </row>
    <row r="1005">
      <c r="A1005" s="7">
        <v>42433.82114583333</v>
      </c>
      <c r="B1005" s="8" t="str">
        <f>HYPERLINK("https://twitter.com/erfagen","@erfagen")</f>
        <v>@erfagen</v>
      </c>
      <c r="C1005" s="9" t="s">
        <v>124</v>
      </c>
      <c r="D1005" s="9" t="s">
        <v>1075</v>
      </c>
      <c r="E1005" s="10" t="str">
        <f>HYPERLINK("https://twitter.com/erfagen/status/705931448130387968","705931448130387968")</f>
        <v>705931448130387968</v>
      </c>
      <c r="F1005" s="11" t="s">
        <v>26</v>
      </c>
      <c r="G1005" s="12">
        <v>1055.0</v>
      </c>
      <c r="H1005" s="12">
        <v>2055.0</v>
      </c>
      <c r="I1005" s="12">
        <v>1.0</v>
      </c>
      <c r="J1005" s="12">
        <v>3.0</v>
      </c>
      <c r="K1005" s="11" t="s">
        <v>21</v>
      </c>
      <c r="L1005" s="7">
        <v>40524.93576388889</v>
      </c>
      <c r="M1005" s="13" t="s">
        <v>125</v>
      </c>
      <c r="N1005" s="13" t="s">
        <v>126</v>
      </c>
      <c r="O1005" s="10" t="str">
        <f>HYPERLINK("https://pbs.twimg.com/profile_images/638086945722249217/mid_S_BQ_normal.jpg","View")</f>
        <v>View</v>
      </c>
      <c r="P1005" s="14"/>
    </row>
    <row r="1006">
      <c r="A1006" s="7">
        <v>42433.82114583333</v>
      </c>
      <c r="B1006" s="8" t="str">
        <f>HYPERLINK("https://twitter.com/AmandaMoniz1","@AmandaMoniz1")</f>
        <v>@AmandaMoniz1</v>
      </c>
      <c r="C1006" s="9" t="s">
        <v>66</v>
      </c>
      <c r="D1006" s="9" t="s">
        <v>1076</v>
      </c>
      <c r="E1006" s="10" t="str">
        <f>HYPERLINK("https://twitter.com/AmandaMoniz1/status/705931448574988288","705931448574988288")</f>
        <v>705931448574988288</v>
      </c>
      <c r="F1006" s="11" t="s">
        <v>26</v>
      </c>
      <c r="G1006" s="12">
        <v>622.0</v>
      </c>
      <c r="H1006" s="12">
        <v>607.0</v>
      </c>
      <c r="I1006" s="12">
        <v>1.0</v>
      </c>
      <c r="J1006" s="12">
        <v>2.0</v>
      </c>
      <c r="K1006" s="11" t="s">
        <v>21</v>
      </c>
      <c r="L1006" s="7">
        <v>40766.33971064815</v>
      </c>
      <c r="M1006" s="15"/>
      <c r="N1006" s="13" t="s">
        <v>68</v>
      </c>
      <c r="O1006" s="10" t="str">
        <f>HYPERLINK("https://pbs.twimg.com/profile_images/378800000149111881/7969acf9cec4197748b502a6a6c3d921_normal.jpeg","View")</f>
        <v>View</v>
      </c>
      <c r="P1006" s="14"/>
    </row>
    <row r="1007">
      <c r="A1007" s="7">
        <v>42433.82130787037</v>
      </c>
      <c r="B1007" s="8" t="str">
        <f>HYPERLINK("https://twitter.com/rebekkahrubin","@rebekkahrubin")</f>
        <v>@rebekkahrubin</v>
      </c>
      <c r="C1007" s="9" t="s">
        <v>141</v>
      </c>
      <c r="D1007" s="9" t="s">
        <v>1077</v>
      </c>
      <c r="E1007" s="10" t="str">
        <f>HYPERLINK("https://twitter.com/rebekkahrubin/status/705931507832131584","705931507832131584")</f>
        <v>705931507832131584</v>
      </c>
      <c r="F1007" s="11" t="s">
        <v>31</v>
      </c>
      <c r="G1007" s="12">
        <v>492.0</v>
      </c>
      <c r="H1007" s="12">
        <v>1224.0</v>
      </c>
      <c r="I1007" s="12">
        <v>0.0</v>
      </c>
      <c r="J1007" s="12">
        <v>2.0</v>
      </c>
      <c r="K1007" s="11" t="s">
        <v>21</v>
      </c>
      <c r="L1007" s="7">
        <v>40411.521527777775</v>
      </c>
      <c r="M1007" s="13" t="s">
        <v>143</v>
      </c>
      <c r="N1007" s="13" t="s">
        <v>144</v>
      </c>
      <c r="O1007" s="10" t="str">
        <f>HYPERLINK("https://pbs.twimg.com/profile_images/700317732588408832/Ym_-neUi_normal.jpg","View")</f>
        <v>View</v>
      </c>
      <c r="P1007" s="14"/>
    </row>
    <row r="1008">
      <c r="A1008" s="7">
        <v>42433.82135416666</v>
      </c>
      <c r="B1008" s="8" t="str">
        <f>HYPERLINK("https://twitter.com/GHAUmass","@GHAUmass")</f>
        <v>@GHAUmass</v>
      </c>
      <c r="C1008" s="9" t="s">
        <v>30</v>
      </c>
      <c r="D1008" s="9" t="s">
        <v>1078</v>
      </c>
      <c r="E1008" s="10" t="str">
        <f>HYPERLINK("https://twitter.com/GHAUmass/status/705931523107766272","705931523107766272")</f>
        <v>705931523107766272</v>
      </c>
      <c r="F1008" s="11" t="s">
        <v>26</v>
      </c>
      <c r="G1008" s="12">
        <v>68.0</v>
      </c>
      <c r="H1008" s="12">
        <v>100.0</v>
      </c>
      <c r="I1008" s="12">
        <v>1.0</v>
      </c>
      <c r="J1008" s="12">
        <v>0.0</v>
      </c>
      <c r="K1008" s="11" t="s">
        <v>21</v>
      </c>
      <c r="L1008" s="7">
        <v>42152.65289351852</v>
      </c>
      <c r="M1008" s="13" t="s">
        <v>22</v>
      </c>
      <c r="N1008" s="13" t="s">
        <v>32</v>
      </c>
      <c r="O1008" s="10" t="str">
        <f>HYPERLINK("https://pbs.twimg.com/profile_images/604060333590855682/Fk6r1D7d_normal.jpg","View")</f>
        <v>View</v>
      </c>
      <c r="P1008" s="14"/>
    </row>
    <row r="1009">
      <c r="A1009" s="7">
        <v>42433.82142361111</v>
      </c>
      <c r="B1009" s="8" t="str">
        <f>HYPERLINK("https://twitter.com/pastpunditry","@pastpunditry")</f>
        <v>@pastpunditry</v>
      </c>
      <c r="C1009" s="9" t="s">
        <v>92</v>
      </c>
      <c r="D1009" s="9" t="s">
        <v>1079</v>
      </c>
      <c r="E1009" s="10" t="str">
        <f>HYPERLINK("https://twitter.com/pastpunditry/status/705931547745058817","705931547745058817")</f>
        <v>705931547745058817</v>
      </c>
      <c r="F1009" s="11" t="s">
        <v>77</v>
      </c>
      <c r="G1009" s="12">
        <v>890.0</v>
      </c>
      <c r="H1009" s="12">
        <v>378.0</v>
      </c>
      <c r="I1009" s="12">
        <v>0.0</v>
      </c>
      <c r="J1009" s="12">
        <v>1.0</v>
      </c>
      <c r="K1009" s="11" t="s">
        <v>21</v>
      </c>
      <c r="L1009" s="7">
        <v>40283.384351851855</v>
      </c>
      <c r="M1009" s="13" t="s">
        <v>94</v>
      </c>
      <c r="N1009" s="13" t="s">
        <v>95</v>
      </c>
      <c r="O1009" s="10" t="str">
        <f>HYPERLINK("https://pbs.twimg.com/profile_images/704873222802636800/7aFEMOY5_normal.jpg","View")</f>
        <v>View</v>
      </c>
      <c r="P1009" s="14"/>
    </row>
    <row r="1010">
      <c r="A1010" s="7">
        <v>42433.82146990741</v>
      </c>
      <c r="B1010" s="8" t="str">
        <f>HYPERLINK("https://twitter.com/Red_Shirt_no2","@Red_Shirt_no2")</f>
        <v>@Red_Shirt_no2</v>
      </c>
      <c r="C1010" s="9" t="s">
        <v>1060</v>
      </c>
      <c r="D1010" s="9" t="s">
        <v>771</v>
      </c>
      <c r="E1010" s="10" t="str">
        <f>HYPERLINK("https://twitter.com/Red_Shirt_no2/status/705931564744642560","705931564744642560")</f>
        <v>705931564744642560</v>
      </c>
      <c r="F1010" s="11" t="s">
        <v>26</v>
      </c>
      <c r="G1010" s="12">
        <v>184.0</v>
      </c>
      <c r="H1010" s="12">
        <v>231.0</v>
      </c>
      <c r="I1010" s="12">
        <v>3.0</v>
      </c>
      <c r="J1010" s="12">
        <v>0.0</v>
      </c>
      <c r="K1010" s="11" t="s">
        <v>21</v>
      </c>
      <c r="L1010" s="7">
        <v>41768.91646990741</v>
      </c>
      <c r="M1010" s="13" t="s">
        <v>1061</v>
      </c>
      <c r="N1010" s="13" t="s">
        <v>1062</v>
      </c>
      <c r="O1010" s="10" t="str">
        <f>HYPERLINK("https://pbs.twimg.com/profile_images/550495191849644032/qEniLfQu_normal.png","View")</f>
        <v>View</v>
      </c>
      <c r="P1010" s="14"/>
    </row>
    <row r="1011">
      <c r="A1011" s="7">
        <v>42433.82151620371</v>
      </c>
      <c r="B1011" s="8" t="str">
        <f>HYPERLINK("https://twitter.com/GHAUmass","@GHAUmass")</f>
        <v>@GHAUmass</v>
      </c>
      <c r="C1011" s="9" t="s">
        <v>30</v>
      </c>
      <c r="D1011" s="9" t="s">
        <v>1080</v>
      </c>
      <c r="E1011" s="10" t="str">
        <f>HYPERLINK("https://twitter.com/GHAUmass/status/705931580607500288","705931580607500288")</f>
        <v>705931580607500288</v>
      </c>
      <c r="F1011" s="11" t="s">
        <v>26</v>
      </c>
      <c r="G1011" s="12">
        <v>68.0</v>
      </c>
      <c r="H1011" s="12">
        <v>100.0</v>
      </c>
      <c r="I1011" s="12">
        <v>1.0</v>
      </c>
      <c r="J1011" s="12">
        <v>0.0</v>
      </c>
      <c r="K1011" s="11" t="s">
        <v>21</v>
      </c>
      <c r="L1011" s="7">
        <v>42152.65289351852</v>
      </c>
      <c r="M1011" s="13" t="s">
        <v>22</v>
      </c>
      <c r="N1011" s="13" t="s">
        <v>32</v>
      </c>
      <c r="O1011" s="10" t="str">
        <f>HYPERLINK("https://pbs.twimg.com/profile_images/604060333590855682/Fk6r1D7d_normal.jpg","View")</f>
        <v>View</v>
      </c>
      <c r="P1011" s="14"/>
    </row>
    <row r="1012">
      <c r="A1012" s="7">
        <v>42433.821550925924</v>
      </c>
      <c r="B1012" s="8" t="str">
        <f>HYPERLINK("https://twitter.com/erfagen","@erfagen")</f>
        <v>@erfagen</v>
      </c>
      <c r="C1012" s="9" t="s">
        <v>124</v>
      </c>
      <c r="D1012" s="9" t="s">
        <v>1081</v>
      </c>
      <c r="E1012" s="10" t="str">
        <f>HYPERLINK("https://twitter.com/erfagen/status/705931595123990528","705931595123990528")</f>
        <v>705931595123990528</v>
      </c>
      <c r="F1012" s="11" t="s">
        <v>26</v>
      </c>
      <c r="G1012" s="12">
        <v>1055.0</v>
      </c>
      <c r="H1012" s="12">
        <v>2055.0</v>
      </c>
      <c r="I1012" s="12">
        <v>1.0</v>
      </c>
      <c r="J1012" s="12">
        <v>2.0</v>
      </c>
      <c r="K1012" s="11" t="s">
        <v>21</v>
      </c>
      <c r="L1012" s="7">
        <v>40524.93576388889</v>
      </c>
      <c r="M1012" s="13" t="s">
        <v>125</v>
      </c>
      <c r="N1012" s="13" t="s">
        <v>126</v>
      </c>
      <c r="O1012" s="10" t="str">
        <f>HYPERLINK("https://pbs.twimg.com/profile_images/638086945722249217/mid_S_BQ_normal.jpg","View")</f>
        <v>View</v>
      </c>
      <c r="P1012" s="14"/>
    </row>
    <row r="1013">
      <c r="A1013" s="7">
        <v>42433.821608796294</v>
      </c>
      <c r="B1013" s="8" t="str">
        <f t="shared" ref="B1013:B1014" si="221">HYPERLINK("https://twitter.com/GHAUmass","@GHAUmass")</f>
        <v>@GHAUmass</v>
      </c>
      <c r="C1013" s="9" t="s">
        <v>30</v>
      </c>
      <c r="D1013" s="9" t="s">
        <v>1074</v>
      </c>
      <c r="E1013" s="10" t="str">
        <f>HYPERLINK("https://twitter.com/GHAUmass/status/705931616510742530","705931616510742530")</f>
        <v>705931616510742530</v>
      </c>
      <c r="F1013" s="11" t="s">
        <v>26</v>
      </c>
      <c r="G1013" s="12">
        <v>68.0</v>
      </c>
      <c r="H1013" s="12">
        <v>100.0</v>
      </c>
      <c r="I1013" s="12">
        <v>4.0</v>
      </c>
      <c r="J1013" s="12">
        <v>0.0</v>
      </c>
      <c r="K1013" s="11" t="s">
        <v>21</v>
      </c>
      <c r="L1013" s="7">
        <v>42152.65289351852</v>
      </c>
      <c r="M1013" s="13" t="s">
        <v>22</v>
      </c>
      <c r="N1013" s="13" t="s">
        <v>32</v>
      </c>
      <c r="O1013" s="10" t="str">
        <f t="shared" ref="O1013:O1014" si="222">HYPERLINK("https://pbs.twimg.com/profile_images/604060333590855682/Fk6r1D7d_normal.jpg","View")</f>
        <v>View</v>
      </c>
      <c r="P1013" s="14"/>
    </row>
    <row r="1014">
      <c r="A1014" s="7">
        <v>42433.82166666667</v>
      </c>
      <c r="B1014" s="8" t="str">
        <f t="shared" si="221"/>
        <v>@GHAUmass</v>
      </c>
      <c r="C1014" s="9" t="s">
        <v>30</v>
      </c>
      <c r="D1014" s="9" t="s">
        <v>1082</v>
      </c>
      <c r="E1014" s="10" t="str">
        <f>HYPERLINK("https://twitter.com/GHAUmass/status/705931638874775552","705931638874775552")</f>
        <v>705931638874775552</v>
      </c>
      <c r="F1014" s="11" t="s">
        <v>26</v>
      </c>
      <c r="G1014" s="12">
        <v>68.0</v>
      </c>
      <c r="H1014" s="12">
        <v>100.0</v>
      </c>
      <c r="I1014" s="12">
        <v>1.0</v>
      </c>
      <c r="J1014" s="12">
        <v>0.0</v>
      </c>
      <c r="K1014" s="11" t="s">
        <v>21</v>
      </c>
      <c r="L1014" s="7">
        <v>42152.65289351852</v>
      </c>
      <c r="M1014" s="13" t="s">
        <v>22</v>
      </c>
      <c r="N1014" s="13" t="s">
        <v>32</v>
      </c>
      <c r="O1014" s="10" t="str">
        <f t="shared" si="222"/>
        <v>View</v>
      </c>
      <c r="P1014" s="14"/>
    </row>
    <row r="1015">
      <c r="A1015" s="7">
        <v>42433.82179398148</v>
      </c>
      <c r="B1015" s="8" t="str">
        <f>HYPERLINK("https://twitter.com/JulieThePH","@JulieThePH")</f>
        <v>@JulieThePH</v>
      </c>
      <c r="C1015" s="9" t="s">
        <v>211</v>
      </c>
      <c r="D1015" s="9" t="s">
        <v>1083</v>
      </c>
      <c r="E1015" s="10" t="str">
        <f>HYPERLINK("https://twitter.com/JulieThePH/status/705931683393118208","705931683393118208")</f>
        <v>705931683393118208</v>
      </c>
      <c r="F1015" s="11" t="s">
        <v>148</v>
      </c>
      <c r="G1015" s="12">
        <v>1234.0</v>
      </c>
      <c r="H1015" s="12">
        <v>1386.0</v>
      </c>
      <c r="I1015" s="12">
        <v>2.0</v>
      </c>
      <c r="J1015" s="12">
        <v>1.0</v>
      </c>
      <c r="K1015" s="11" t="s">
        <v>21</v>
      </c>
      <c r="L1015" s="7">
        <v>40718.66918981481</v>
      </c>
      <c r="M1015" s="13" t="s">
        <v>213</v>
      </c>
      <c r="N1015" s="13" t="s">
        <v>214</v>
      </c>
      <c r="O1015" s="10" t="str">
        <f>HYPERLINK("https://pbs.twimg.com/profile_images/596509974005686273/AqBblwMR_normal.jpg","View")</f>
        <v>View</v>
      </c>
      <c r="P1015" s="14"/>
    </row>
    <row r="1016">
      <c r="A1016" s="7">
        <v>42433.8218287037</v>
      </c>
      <c r="B1016" s="8" t="str">
        <f>HYPERLINK("https://twitter.com/defactofecteau","@defactofecteau")</f>
        <v>@defactofecteau</v>
      </c>
      <c r="C1016" s="9" t="s">
        <v>665</v>
      </c>
      <c r="D1016" s="9" t="s">
        <v>1084</v>
      </c>
      <c r="E1016" s="10" t="str">
        <f>HYPERLINK("https://twitter.com/defactofecteau/status/705931696898752513","705931696898752513")</f>
        <v>705931696898752513</v>
      </c>
      <c r="F1016" s="11" t="s">
        <v>148</v>
      </c>
      <c r="G1016" s="12">
        <v>46.0</v>
      </c>
      <c r="H1016" s="12">
        <v>104.0</v>
      </c>
      <c r="I1016" s="12">
        <v>2.0</v>
      </c>
      <c r="J1016" s="12">
        <v>2.0</v>
      </c>
      <c r="K1016" s="11" t="s">
        <v>21</v>
      </c>
      <c r="L1016" s="7">
        <v>41684.53481481482</v>
      </c>
      <c r="M1016" s="15"/>
      <c r="N1016" s="13" t="s">
        <v>667</v>
      </c>
      <c r="O1016" s="10" t="str">
        <f>HYPERLINK("https://pbs.twimg.com/profile_images/434404729263648768/vsAZLFtj_normal.jpeg","View")</f>
        <v>View</v>
      </c>
      <c r="P1016" s="14"/>
    </row>
    <row r="1017">
      <c r="A1017" s="7">
        <v>42433.82194444444</v>
      </c>
      <c r="B1017" s="8" t="str">
        <f t="shared" ref="B1017:B1018" si="223">HYPERLINK("https://twitter.com/pastpunditry","@pastpunditry")</f>
        <v>@pastpunditry</v>
      </c>
      <c r="C1017" s="9" t="s">
        <v>92</v>
      </c>
      <c r="D1017" s="9" t="s">
        <v>1085</v>
      </c>
      <c r="E1017" s="10" t="str">
        <f>HYPERLINK("https://twitter.com/pastpunditry/status/705931735771570177","705931735771570177")</f>
        <v>705931735771570177</v>
      </c>
      <c r="F1017" s="11" t="s">
        <v>77</v>
      </c>
      <c r="G1017" s="12">
        <v>890.0</v>
      </c>
      <c r="H1017" s="12">
        <v>378.0</v>
      </c>
      <c r="I1017" s="12">
        <v>2.0</v>
      </c>
      <c r="J1017" s="12">
        <v>3.0</v>
      </c>
      <c r="K1017" s="11" t="s">
        <v>21</v>
      </c>
      <c r="L1017" s="7">
        <v>40283.384351851855</v>
      </c>
      <c r="M1017" s="13" t="s">
        <v>94</v>
      </c>
      <c r="N1017" s="13" t="s">
        <v>95</v>
      </c>
      <c r="O1017" s="10" t="str">
        <f t="shared" ref="O1017:O1018" si="224">HYPERLINK("https://pbs.twimg.com/profile_images/704873222802636800/7aFEMOY5_normal.jpg","View")</f>
        <v>View</v>
      </c>
      <c r="P1017" s="14"/>
    </row>
    <row r="1018">
      <c r="A1018" s="7">
        <v>42433.82197916666</v>
      </c>
      <c r="B1018" s="8" t="str">
        <f t="shared" si="223"/>
        <v>@pastpunditry</v>
      </c>
      <c r="C1018" s="9" t="s">
        <v>92</v>
      </c>
      <c r="D1018" s="9" t="s">
        <v>1086</v>
      </c>
      <c r="E1018" s="10" t="str">
        <f>HYPERLINK("https://twitter.com/pastpunditry/status/705931752297144321","705931752297144321")</f>
        <v>705931752297144321</v>
      </c>
      <c r="F1018" s="11" t="s">
        <v>77</v>
      </c>
      <c r="G1018" s="12">
        <v>890.0</v>
      </c>
      <c r="H1018" s="12">
        <v>378.0</v>
      </c>
      <c r="I1018" s="12">
        <v>2.0</v>
      </c>
      <c r="J1018" s="12">
        <v>0.0</v>
      </c>
      <c r="K1018" s="11" t="s">
        <v>21</v>
      </c>
      <c r="L1018" s="7">
        <v>40283.384351851855</v>
      </c>
      <c r="M1018" s="13" t="s">
        <v>94</v>
      </c>
      <c r="N1018" s="13" t="s">
        <v>95</v>
      </c>
      <c r="O1018" s="10" t="str">
        <f t="shared" si="224"/>
        <v>View</v>
      </c>
      <c r="P1018" s="14"/>
    </row>
    <row r="1019">
      <c r="A1019" s="7">
        <v>42433.82199074074</v>
      </c>
      <c r="B1019" s="8" t="str">
        <f>HYPERLINK("https://twitter.com/juliegpeterson","@juliegpeterson")</f>
        <v>@juliegpeterson</v>
      </c>
      <c r="C1019" s="9" t="s">
        <v>24</v>
      </c>
      <c r="D1019" s="9" t="s">
        <v>1087</v>
      </c>
      <c r="E1019" s="10" t="str">
        <f>HYPERLINK("https://twitter.com/juliegpeterson/status/705931752661983233","705931752661983233")</f>
        <v>705931752661983233</v>
      </c>
      <c r="F1019" s="11" t="s">
        <v>26</v>
      </c>
      <c r="G1019" s="12">
        <v>239.0</v>
      </c>
      <c r="H1019" s="12">
        <v>775.0</v>
      </c>
      <c r="I1019" s="12">
        <v>0.0</v>
      </c>
      <c r="J1019" s="12">
        <v>1.0</v>
      </c>
      <c r="K1019" s="11" t="s">
        <v>21</v>
      </c>
      <c r="L1019" s="7">
        <v>41208.65523148148</v>
      </c>
      <c r="M1019" s="13" t="s">
        <v>22</v>
      </c>
      <c r="N1019" s="13" t="s">
        <v>27</v>
      </c>
      <c r="O1019" s="10" t="str">
        <f>HYPERLINK("https://pbs.twimg.com/profile_images/609765839051452416/GNW0wSt0_normal.jpg","View")</f>
        <v>View</v>
      </c>
      <c r="P1019" s="14"/>
    </row>
    <row r="1020">
      <c r="A1020" s="7">
        <v>42433.82200231482</v>
      </c>
      <c r="B1020" s="8" t="str">
        <f>HYPERLINK("https://twitter.com/jamiaw","@jamiaw")</f>
        <v>@jamiaw</v>
      </c>
      <c r="C1020" s="9" t="s">
        <v>324</v>
      </c>
      <c r="D1020" s="9" t="s">
        <v>1088</v>
      </c>
      <c r="E1020" s="10" t="str">
        <f>HYPERLINK("https://twitter.com/jamiaw/status/705931759242895360","705931759242895360")</f>
        <v>705931759242895360</v>
      </c>
      <c r="F1020" s="11" t="s">
        <v>26</v>
      </c>
      <c r="G1020" s="12">
        <v>11336.0</v>
      </c>
      <c r="H1020" s="12">
        <v>7815.0</v>
      </c>
      <c r="I1020" s="12">
        <v>4.0</v>
      </c>
      <c r="J1020" s="12">
        <v>3.0</v>
      </c>
      <c r="K1020" s="11" t="s">
        <v>21</v>
      </c>
      <c r="L1020" s="7">
        <v>39642.39741898148</v>
      </c>
      <c r="M1020" s="13" t="s">
        <v>325</v>
      </c>
      <c r="N1020" s="13" t="s">
        <v>326</v>
      </c>
      <c r="O1020" s="10" t="str">
        <f>HYPERLINK("https://pbs.twimg.com/profile_images/701102020061753344/5zH70uem_normal.jpg","View")</f>
        <v>View</v>
      </c>
      <c r="P1020" s="14"/>
    </row>
    <row r="1021">
      <c r="A1021" s="7">
        <v>42433.822060185186</v>
      </c>
      <c r="B1021" s="8" t="str">
        <f t="shared" ref="B1021:B1022" si="225">HYPERLINK("https://twitter.com/pastpunditry","@pastpunditry")</f>
        <v>@pastpunditry</v>
      </c>
      <c r="C1021" s="9" t="s">
        <v>92</v>
      </c>
      <c r="D1021" s="9" t="s">
        <v>1089</v>
      </c>
      <c r="E1021" s="10" t="str">
        <f>HYPERLINK("https://twitter.com/pastpunditry/status/705931777873993728","705931777873993728")</f>
        <v>705931777873993728</v>
      </c>
      <c r="F1021" s="11" t="s">
        <v>77</v>
      </c>
      <c r="G1021" s="12">
        <v>890.0</v>
      </c>
      <c r="H1021" s="12">
        <v>378.0</v>
      </c>
      <c r="I1021" s="12">
        <v>2.0</v>
      </c>
      <c r="J1021" s="12">
        <v>0.0</v>
      </c>
      <c r="K1021" s="11" t="s">
        <v>21</v>
      </c>
      <c r="L1021" s="7">
        <v>40283.384351851855</v>
      </c>
      <c r="M1021" s="13" t="s">
        <v>94</v>
      </c>
      <c r="N1021" s="13" t="s">
        <v>95</v>
      </c>
      <c r="O1021" s="10" t="str">
        <f t="shared" ref="O1021:O1022" si="226">HYPERLINK("https://pbs.twimg.com/profile_images/704873222802636800/7aFEMOY5_normal.jpg","View")</f>
        <v>View</v>
      </c>
      <c r="P1021" s="14"/>
    </row>
    <row r="1022">
      <c r="A1022" s="7">
        <v>42433.8221412037</v>
      </c>
      <c r="B1022" s="8" t="str">
        <f t="shared" si="225"/>
        <v>@pastpunditry</v>
      </c>
      <c r="C1022" s="9" t="s">
        <v>92</v>
      </c>
      <c r="D1022" s="9" t="s">
        <v>1090</v>
      </c>
      <c r="E1022" s="10" t="str">
        <f>HYPERLINK("https://twitter.com/pastpunditry/status/705931807796105216","705931807796105216")</f>
        <v>705931807796105216</v>
      </c>
      <c r="F1022" s="11" t="s">
        <v>77</v>
      </c>
      <c r="G1022" s="12">
        <v>890.0</v>
      </c>
      <c r="H1022" s="12">
        <v>378.0</v>
      </c>
      <c r="I1022" s="12">
        <v>4.0</v>
      </c>
      <c r="J1022" s="12">
        <v>0.0</v>
      </c>
      <c r="K1022" s="11" t="s">
        <v>21</v>
      </c>
      <c r="L1022" s="7">
        <v>40283.384351851855</v>
      </c>
      <c r="M1022" s="13" t="s">
        <v>94</v>
      </c>
      <c r="N1022" s="13" t="s">
        <v>95</v>
      </c>
      <c r="O1022" s="10" t="str">
        <f t="shared" si="226"/>
        <v>View</v>
      </c>
      <c r="P1022" s="14"/>
    </row>
    <row r="1023">
      <c r="A1023" s="7">
        <v>42433.8221875</v>
      </c>
      <c r="B1023" s="8" t="str">
        <f>HYPERLINK("https://twitter.com/CitizenWald","@CitizenWald")</f>
        <v>@CitizenWald</v>
      </c>
      <c r="C1023" s="9" t="s">
        <v>668</v>
      </c>
      <c r="D1023" s="9" t="s">
        <v>1091</v>
      </c>
      <c r="E1023" s="10" t="str">
        <f>HYPERLINK("https://twitter.com/CitizenWald/status/705931827203149824","705931827203149824")</f>
        <v>705931827203149824</v>
      </c>
      <c r="F1023" s="11" t="s">
        <v>26</v>
      </c>
      <c r="G1023" s="12">
        <v>2335.0</v>
      </c>
      <c r="H1023" s="12">
        <v>2535.0</v>
      </c>
      <c r="I1023" s="12">
        <v>1.0</v>
      </c>
      <c r="J1023" s="12">
        <v>2.0</v>
      </c>
      <c r="K1023" s="11" t="s">
        <v>21</v>
      </c>
      <c r="L1023" s="7">
        <v>39373.01613425926</v>
      </c>
      <c r="M1023" s="13" t="s">
        <v>22</v>
      </c>
      <c r="N1023" s="13" t="s">
        <v>669</v>
      </c>
      <c r="O1023" s="10" t="str">
        <f>HYPERLINK("https://pbs.twimg.com/profile_images/661220280564486144/ZxUrdRVS_normal.jpg","View")</f>
        <v>View</v>
      </c>
      <c r="P1023" s="14"/>
    </row>
    <row r="1024">
      <c r="A1024" s="7">
        <v>42433.82226851852</v>
      </c>
      <c r="B1024" s="8" t="str">
        <f>HYPERLINK("https://twitter.com/erfagen","@erfagen")</f>
        <v>@erfagen</v>
      </c>
      <c r="C1024" s="9" t="s">
        <v>124</v>
      </c>
      <c r="D1024" s="9" t="s">
        <v>1086</v>
      </c>
      <c r="E1024" s="10" t="str">
        <f>HYPERLINK("https://twitter.com/erfagen/status/705931855648923648","705931855648923648")</f>
        <v>705931855648923648</v>
      </c>
      <c r="F1024" s="11" t="s">
        <v>26</v>
      </c>
      <c r="G1024" s="12">
        <v>1055.0</v>
      </c>
      <c r="H1024" s="12">
        <v>2055.0</v>
      </c>
      <c r="I1024" s="12">
        <v>2.0</v>
      </c>
      <c r="J1024" s="12">
        <v>0.0</v>
      </c>
      <c r="K1024" s="11" t="s">
        <v>21</v>
      </c>
      <c r="L1024" s="7">
        <v>40524.93576388889</v>
      </c>
      <c r="M1024" s="13" t="s">
        <v>125</v>
      </c>
      <c r="N1024" s="13" t="s">
        <v>126</v>
      </c>
      <c r="O1024" s="10" t="str">
        <f>HYPERLINK("https://pbs.twimg.com/profile_images/638086945722249217/mid_S_BQ_normal.jpg","View")</f>
        <v>View</v>
      </c>
      <c r="P1024" s="14"/>
    </row>
    <row r="1025">
      <c r="A1025" s="7">
        <v>42433.82240740741</v>
      </c>
      <c r="B1025" s="8" t="str">
        <f>HYPERLINK("https://twitter.com/GHAUmass","@GHAUmass")</f>
        <v>@GHAUmass</v>
      </c>
      <c r="C1025" s="9" t="s">
        <v>30</v>
      </c>
      <c r="D1025" s="9" t="s">
        <v>1092</v>
      </c>
      <c r="E1025" s="10" t="str">
        <f>HYPERLINK("https://twitter.com/GHAUmass/status/705931906236469249","705931906236469249")</f>
        <v>705931906236469249</v>
      </c>
      <c r="F1025" s="11" t="s">
        <v>26</v>
      </c>
      <c r="G1025" s="12">
        <v>68.0</v>
      </c>
      <c r="H1025" s="12">
        <v>100.0</v>
      </c>
      <c r="I1025" s="12">
        <v>1.0</v>
      </c>
      <c r="J1025" s="12">
        <v>0.0</v>
      </c>
      <c r="K1025" s="11" t="s">
        <v>21</v>
      </c>
      <c r="L1025" s="7">
        <v>42152.65289351852</v>
      </c>
      <c r="M1025" s="13" t="s">
        <v>22</v>
      </c>
      <c r="N1025" s="13" t="s">
        <v>32</v>
      </c>
      <c r="O1025" s="10" t="str">
        <f>HYPERLINK("https://pbs.twimg.com/profile_images/604060333590855682/Fk6r1D7d_normal.jpg","View")</f>
        <v>View</v>
      </c>
      <c r="P1025" s="14"/>
    </row>
    <row r="1026">
      <c r="A1026" s="7">
        <v>42433.82244212963</v>
      </c>
      <c r="B1026" s="8" t="str">
        <f>HYPERLINK("https://twitter.com/rebekkahrubin","@rebekkahrubin")</f>
        <v>@rebekkahrubin</v>
      </c>
      <c r="C1026" s="9" t="s">
        <v>141</v>
      </c>
      <c r="D1026" s="9" t="s">
        <v>1090</v>
      </c>
      <c r="E1026" s="10" t="str">
        <f>HYPERLINK("https://twitter.com/rebekkahrubin/status/705931916097224705","705931916097224705")</f>
        <v>705931916097224705</v>
      </c>
      <c r="F1026" s="11" t="s">
        <v>31</v>
      </c>
      <c r="G1026" s="12">
        <v>492.0</v>
      </c>
      <c r="H1026" s="12">
        <v>1224.0</v>
      </c>
      <c r="I1026" s="12">
        <v>4.0</v>
      </c>
      <c r="J1026" s="12">
        <v>0.0</v>
      </c>
      <c r="K1026" s="11" t="s">
        <v>21</v>
      </c>
      <c r="L1026" s="7">
        <v>40411.521527777775</v>
      </c>
      <c r="M1026" s="13" t="s">
        <v>143</v>
      </c>
      <c r="N1026" s="13" t="s">
        <v>144</v>
      </c>
      <c r="O1026" s="10" t="str">
        <f>HYPERLINK("https://pbs.twimg.com/profile_images/700317732588408832/Ym_-neUi_normal.jpg","View")</f>
        <v>View</v>
      </c>
      <c r="P1026" s="14"/>
    </row>
    <row r="1027">
      <c r="A1027" s="7">
        <v>42433.82288194445</v>
      </c>
      <c r="B1027" s="8" t="str">
        <f>HYPERLINK("https://twitter.com/artstuffmatters","@artstuffmatters")</f>
        <v>@artstuffmatters</v>
      </c>
      <c r="C1027" s="9" t="s">
        <v>1093</v>
      </c>
      <c r="D1027" s="9" t="s">
        <v>896</v>
      </c>
      <c r="E1027" s="10" t="str">
        <f>HYPERLINK("https://twitter.com/artstuffmatters/status/705932076718145536","705932076718145536")</f>
        <v>705932076718145536</v>
      </c>
      <c r="F1027" s="11" t="s">
        <v>148</v>
      </c>
      <c r="G1027" s="12">
        <v>1322.0</v>
      </c>
      <c r="H1027" s="12">
        <v>978.0</v>
      </c>
      <c r="I1027" s="12">
        <v>10.0</v>
      </c>
      <c r="J1027" s="12">
        <v>0.0</v>
      </c>
      <c r="K1027" s="11" t="s">
        <v>21</v>
      </c>
      <c r="L1027" s="7">
        <v>39975.4955787037</v>
      </c>
      <c r="M1027" s="13" t="s">
        <v>1094</v>
      </c>
      <c r="N1027" s="13" t="s">
        <v>1095</v>
      </c>
      <c r="O1027" s="10" t="str">
        <f>HYPERLINK("https://pbs.twimg.com/profile_images/378800000442526064/3916a3694ffd1425486aff9897a52f2b_normal.jpeg","View")</f>
        <v>View</v>
      </c>
      <c r="P1027" s="14"/>
    </row>
    <row r="1028">
      <c r="A1028" s="7">
        <v>42433.82289351852</v>
      </c>
      <c r="B1028" s="8" t="str">
        <f>HYPERLINK("https://twitter.com/pastpunditry","@pastpunditry")</f>
        <v>@pastpunditry</v>
      </c>
      <c r="C1028" s="9" t="s">
        <v>92</v>
      </c>
      <c r="D1028" s="9" t="s">
        <v>1096</v>
      </c>
      <c r="E1028" s="10" t="str">
        <f>HYPERLINK("https://twitter.com/pastpunditry/status/705932079725453312","705932079725453312")</f>
        <v>705932079725453312</v>
      </c>
      <c r="F1028" s="11" t="s">
        <v>77</v>
      </c>
      <c r="G1028" s="12">
        <v>890.0</v>
      </c>
      <c r="H1028" s="12">
        <v>378.0</v>
      </c>
      <c r="I1028" s="12">
        <v>0.0</v>
      </c>
      <c r="J1028" s="12">
        <v>1.0</v>
      </c>
      <c r="K1028" s="11" t="s">
        <v>21</v>
      </c>
      <c r="L1028" s="7">
        <v>40283.384351851855</v>
      </c>
      <c r="M1028" s="13" t="s">
        <v>94</v>
      </c>
      <c r="N1028" s="13" t="s">
        <v>95</v>
      </c>
      <c r="O1028" s="10" t="str">
        <f>HYPERLINK("https://pbs.twimg.com/profile_images/704873222802636800/7aFEMOY5_normal.jpg","View")</f>
        <v>View</v>
      </c>
      <c r="P1028" s="14"/>
    </row>
    <row r="1029">
      <c r="A1029" s="7">
        <v>42433.82304398148</v>
      </c>
      <c r="B1029" s="8" t="str">
        <f>HYPERLINK("https://twitter.com/juliegpeterson","@juliegpeterson")</f>
        <v>@juliegpeterson</v>
      </c>
      <c r="C1029" s="9" t="s">
        <v>24</v>
      </c>
      <c r="D1029" s="9" t="s">
        <v>1097</v>
      </c>
      <c r="E1029" s="10" t="str">
        <f>HYPERLINK("https://twitter.com/juliegpeterson/status/705932137493618689","705932137493618689")</f>
        <v>705932137493618689</v>
      </c>
      <c r="F1029" s="11" t="s">
        <v>26</v>
      </c>
      <c r="G1029" s="12">
        <v>239.0</v>
      </c>
      <c r="H1029" s="12">
        <v>775.0</v>
      </c>
      <c r="I1029" s="12">
        <v>1.0</v>
      </c>
      <c r="J1029" s="12">
        <v>1.0</v>
      </c>
      <c r="K1029" s="11" t="s">
        <v>21</v>
      </c>
      <c r="L1029" s="7">
        <v>41208.65523148148</v>
      </c>
      <c r="M1029" s="13" t="s">
        <v>22</v>
      </c>
      <c r="N1029" s="13" t="s">
        <v>27</v>
      </c>
      <c r="O1029" s="10" t="str">
        <f>HYPERLINK("https://pbs.twimg.com/profile_images/609765839051452416/GNW0wSt0_normal.jpg","View")</f>
        <v>View</v>
      </c>
      <c r="P1029" s="14"/>
    </row>
    <row r="1030">
      <c r="A1030" s="7">
        <v>42433.823229166665</v>
      </c>
      <c r="B1030" s="8" t="str">
        <f>HYPERLINK("https://twitter.com/KosherSoul","@KosherSoul")</f>
        <v>@KosherSoul</v>
      </c>
      <c r="C1030" s="9" t="s">
        <v>1098</v>
      </c>
      <c r="D1030" s="9" t="s">
        <v>1099</v>
      </c>
      <c r="E1030" s="10" t="str">
        <f>HYPERLINK("https://twitter.com/KosherSoul/status/705932205235769344","705932205235769344")</f>
        <v>705932205235769344</v>
      </c>
      <c r="F1030" s="11" t="s">
        <v>148</v>
      </c>
      <c r="G1030" s="12">
        <v>10359.0</v>
      </c>
      <c r="H1030" s="12">
        <v>3815.0</v>
      </c>
      <c r="I1030" s="12">
        <v>1.0</v>
      </c>
      <c r="J1030" s="12">
        <v>0.0</v>
      </c>
      <c r="K1030" s="11" t="s">
        <v>21</v>
      </c>
      <c r="L1030" s="7">
        <v>39980.89300925926</v>
      </c>
      <c r="M1030" s="13" t="s">
        <v>1100</v>
      </c>
      <c r="N1030" s="13" t="s">
        <v>1101</v>
      </c>
      <c r="O1030" s="10" t="str">
        <f>HYPERLINK("https://pbs.twimg.com/profile_images/704599416414543872/xCxGpRvc_normal.jpg","View")</f>
        <v>View</v>
      </c>
      <c r="P1030" s="14"/>
    </row>
    <row r="1031">
      <c r="A1031" s="7">
        <v>42433.8233449074</v>
      </c>
      <c r="B1031" s="8" t="str">
        <f>HYPERLINK("https://twitter.com/historycampaign","@historycampaign")</f>
        <v>@historycampaign</v>
      </c>
      <c r="C1031" s="9" t="s">
        <v>133</v>
      </c>
      <c r="D1031" s="9" t="s">
        <v>1074</v>
      </c>
      <c r="E1031" s="10" t="str">
        <f>HYPERLINK("https://twitter.com/historycampaign/status/705932246935404546","705932246935404546")</f>
        <v>705932246935404546</v>
      </c>
      <c r="F1031" s="11" t="s">
        <v>26</v>
      </c>
      <c r="G1031" s="12">
        <v>110.0</v>
      </c>
      <c r="H1031" s="12">
        <v>59.0</v>
      </c>
      <c r="I1031" s="12">
        <v>4.0</v>
      </c>
      <c r="J1031" s="12">
        <v>0.0</v>
      </c>
      <c r="K1031" s="11" t="s">
        <v>21</v>
      </c>
      <c r="L1031" s="7">
        <v>42311.25096064815</v>
      </c>
      <c r="M1031" s="15"/>
      <c r="N1031" s="13" t="s">
        <v>135</v>
      </c>
      <c r="O1031" s="10" t="str">
        <f>HYPERLINK("https://pbs.twimg.com/profile_images/673691030139609088/8v7ab61D_normal.jpg","View")</f>
        <v>View</v>
      </c>
      <c r="P1031" s="14"/>
    </row>
    <row r="1032">
      <c r="A1032" s="7">
        <v>42433.8233449074</v>
      </c>
      <c r="B1032" s="8" t="str">
        <f>HYPERLINK("https://twitter.com/GHAUmass","@GHAUmass")</f>
        <v>@GHAUmass</v>
      </c>
      <c r="C1032" s="9" t="s">
        <v>30</v>
      </c>
      <c r="D1032" s="9" t="s">
        <v>1089</v>
      </c>
      <c r="E1032" s="10" t="str">
        <f>HYPERLINK("https://twitter.com/GHAUmass/status/705932247296315392","705932247296315392")</f>
        <v>705932247296315392</v>
      </c>
      <c r="F1032" s="11" t="s">
        <v>26</v>
      </c>
      <c r="G1032" s="12">
        <v>68.0</v>
      </c>
      <c r="H1032" s="12">
        <v>100.0</v>
      </c>
      <c r="I1032" s="12">
        <v>2.0</v>
      </c>
      <c r="J1032" s="12">
        <v>0.0</v>
      </c>
      <c r="K1032" s="11" t="s">
        <v>21</v>
      </c>
      <c r="L1032" s="7">
        <v>42152.65289351852</v>
      </c>
      <c r="M1032" s="13" t="s">
        <v>22</v>
      </c>
      <c r="N1032" s="13" t="s">
        <v>32</v>
      </c>
      <c r="O1032" s="10" t="str">
        <f>HYPERLINK("https://pbs.twimg.com/profile_images/604060333590855682/Fk6r1D7d_normal.jpg","View")</f>
        <v>View</v>
      </c>
      <c r="P1032" s="14"/>
    </row>
    <row r="1033">
      <c r="A1033" s="7">
        <v>42433.82336805556</v>
      </c>
      <c r="B1033" s="8" t="str">
        <f>HYPERLINK("https://twitter.com/KosherSoul","@KosherSoul")</f>
        <v>@KosherSoul</v>
      </c>
      <c r="C1033" s="9" t="s">
        <v>1098</v>
      </c>
      <c r="D1033" s="9" t="s">
        <v>1046</v>
      </c>
      <c r="E1033" s="10" t="str">
        <f>HYPERLINK("https://twitter.com/KosherSoul/status/705932251859697664","705932251859697664")</f>
        <v>705932251859697664</v>
      </c>
      <c r="F1033" s="11" t="s">
        <v>148</v>
      </c>
      <c r="G1033" s="12">
        <v>10359.0</v>
      </c>
      <c r="H1033" s="12">
        <v>3815.0</v>
      </c>
      <c r="I1033" s="12">
        <v>3.0</v>
      </c>
      <c r="J1033" s="12">
        <v>0.0</v>
      </c>
      <c r="K1033" s="11" t="s">
        <v>21</v>
      </c>
      <c r="L1033" s="7">
        <v>39980.89300925926</v>
      </c>
      <c r="M1033" s="13" t="s">
        <v>1100</v>
      </c>
      <c r="N1033" s="13" t="s">
        <v>1101</v>
      </c>
      <c r="O1033" s="10" t="str">
        <f>HYPERLINK("https://pbs.twimg.com/profile_images/704599416414543872/xCxGpRvc_normal.jpg","View")</f>
        <v>View</v>
      </c>
      <c r="P1033" s="14"/>
    </row>
    <row r="1034">
      <c r="A1034" s="7">
        <v>42433.823472222226</v>
      </c>
      <c r="B1034" s="8" t="str">
        <f>HYPERLINK("https://twitter.com/GHAUmass","@GHAUmass")</f>
        <v>@GHAUmass</v>
      </c>
      <c r="C1034" s="9" t="s">
        <v>30</v>
      </c>
      <c r="D1034" s="9" t="s">
        <v>1090</v>
      </c>
      <c r="E1034" s="10" t="str">
        <f>HYPERLINK("https://twitter.com/GHAUmass/status/705932290598301696","705932290598301696")</f>
        <v>705932290598301696</v>
      </c>
      <c r="F1034" s="11" t="s">
        <v>26</v>
      </c>
      <c r="G1034" s="12">
        <v>68.0</v>
      </c>
      <c r="H1034" s="12">
        <v>100.0</v>
      </c>
      <c r="I1034" s="12">
        <v>4.0</v>
      </c>
      <c r="J1034" s="12">
        <v>0.0</v>
      </c>
      <c r="K1034" s="11" t="s">
        <v>21</v>
      </c>
      <c r="L1034" s="7">
        <v>42152.65289351852</v>
      </c>
      <c r="M1034" s="13" t="s">
        <v>22</v>
      </c>
      <c r="N1034" s="13" t="s">
        <v>32</v>
      </c>
      <c r="O1034" s="10" t="str">
        <f>HYPERLINK("https://pbs.twimg.com/profile_images/604060333590855682/Fk6r1D7d_normal.jpg","View")</f>
        <v>View</v>
      </c>
      <c r="P1034" s="14"/>
    </row>
    <row r="1035">
      <c r="A1035" s="7">
        <v>42433.82354166667</v>
      </c>
      <c r="B1035" s="8" t="str">
        <f>HYPERLINK("https://twitter.com/Miller_Center","@Miller_Center")</f>
        <v>@Miller_Center</v>
      </c>
      <c r="C1035" s="9" t="s">
        <v>100</v>
      </c>
      <c r="D1035" s="9" t="s">
        <v>1102</v>
      </c>
      <c r="E1035" s="10" t="str">
        <f>HYPERLINK("https://twitter.com/Miller_Center/status/705932315906711552","705932315906711552")</f>
        <v>705932315906711552</v>
      </c>
      <c r="F1035" s="11" t="s">
        <v>102</v>
      </c>
      <c r="G1035" s="12">
        <v>3820.0</v>
      </c>
      <c r="H1035" s="12">
        <v>1198.0</v>
      </c>
      <c r="I1035" s="12">
        <v>2.0</v>
      </c>
      <c r="J1035" s="12">
        <v>0.0</v>
      </c>
      <c r="K1035" s="11" t="s">
        <v>21</v>
      </c>
      <c r="L1035" s="7">
        <v>39863.37763888889</v>
      </c>
      <c r="M1035" s="13" t="s">
        <v>103</v>
      </c>
      <c r="N1035" s="13" t="s">
        <v>104</v>
      </c>
      <c r="O1035" s="10" t="str">
        <f>HYPERLINK("https://pbs.twimg.com/profile_images/1368672632/MC_logo_normal.jpg","View")</f>
        <v>View</v>
      </c>
      <c r="P1035" s="14"/>
    </row>
    <row r="1036">
      <c r="A1036" s="7">
        <v>42433.82368055556</v>
      </c>
      <c r="B1036" s="8" t="str">
        <f>HYPERLINK("https://twitter.com/erfagen","@erfagen")</f>
        <v>@erfagen</v>
      </c>
      <c r="C1036" s="9" t="s">
        <v>124</v>
      </c>
      <c r="D1036" s="9" t="s">
        <v>1090</v>
      </c>
      <c r="E1036" s="10" t="str">
        <f>HYPERLINK("https://twitter.com/erfagen/status/705932366078996480","705932366078996480")</f>
        <v>705932366078996480</v>
      </c>
      <c r="F1036" s="11" t="s">
        <v>26</v>
      </c>
      <c r="G1036" s="12">
        <v>1055.0</v>
      </c>
      <c r="H1036" s="12">
        <v>2055.0</v>
      </c>
      <c r="I1036" s="12">
        <v>4.0</v>
      </c>
      <c r="J1036" s="12">
        <v>0.0</v>
      </c>
      <c r="K1036" s="11" t="s">
        <v>21</v>
      </c>
      <c r="L1036" s="7">
        <v>40524.93576388889</v>
      </c>
      <c r="M1036" s="13" t="s">
        <v>125</v>
      </c>
      <c r="N1036" s="13" t="s">
        <v>126</v>
      </c>
      <c r="O1036" s="10" t="str">
        <f>HYPERLINK("https://pbs.twimg.com/profile_images/638086945722249217/mid_S_BQ_normal.jpg","View")</f>
        <v>View</v>
      </c>
      <c r="P1036" s="14"/>
    </row>
    <row r="1037">
      <c r="A1037" s="7">
        <v>42433.82376157407</v>
      </c>
      <c r="B1037" s="8" t="str">
        <f>HYPERLINK("https://twitter.com/juliegpeterson","@juliegpeterson")</f>
        <v>@juliegpeterson</v>
      </c>
      <c r="C1037" s="9" t="s">
        <v>24</v>
      </c>
      <c r="D1037" s="9" t="s">
        <v>1103</v>
      </c>
      <c r="E1037" s="10" t="str">
        <f>HYPERLINK("https://twitter.com/juliegpeterson/status/705932395061633024","705932395061633024")</f>
        <v>705932395061633024</v>
      </c>
      <c r="F1037" s="11" t="s">
        <v>26</v>
      </c>
      <c r="G1037" s="12">
        <v>239.0</v>
      </c>
      <c r="H1037" s="12">
        <v>775.0</v>
      </c>
      <c r="I1037" s="12">
        <v>2.0</v>
      </c>
      <c r="J1037" s="12">
        <v>1.0</v>
      </c>
      <c r="K1037" s="11" t="s">
        <v>21</v>
      </c>
      <c r="L1037" s="7">
        <v>41208.65523148148</v>
      </c>
      <c r="M1037" s="13" t="s">
        <v>22</v>
      </c>
      <c r="N1037" s="13" t="s">
        <v>27</v>
      </c>
      <c r="O1037" s="10" t="str">
        <f>HYPERLINK("https://pbs.twimg.com/profile_images/609765839051452416/GNW0wSt0_normal.jpg","View")</f>
        <v>View</v>
      </c>
      <c r="P1037" s="14"/>
    </row>
    <row r="1038">
      <c r="A1038" s="7">
        <v>42433.82381944444</v>
      </c>
      <c r="B1038" s="8" t="str">
        <f t="shared" ref="B1038:B1039" si="227">HYPERLINK("https://twitter.com/pastpunditry","@pastpunditry")</f>
        <v>@pastpunditry</v>
      </c>
      <c r="C1038" s="9" t="s">
        <v>92</v>
      </c>
      <c r="D1038" s="9" t="s">
        <v>1104</v>
      </c>
      <c r="E1038" s="10" t="str">
        <f>HYPERLINK("https://twitter.com/pastpunditry/status/705932416075038720","705932416075038720")</f>
        <v>705932416075038720</v>
      </c>
      <c r="F1038" s="11" t="s">
        <v>77</v>
      </c>
      <c r="G1038" s="12">
        <v>890.0</v>
      </c>
      <c r="H1038" s="12">
        <v>378.0</v>
      </c>
      <c r="I1038" s="12">
        <v>2.0</v>
      </c>
      <c r="J1038" s="12">
        <v>2.0</v>
      </c>
      <c r="K1038" s="11" t="s">
        <v>21</v>
      </c>
      <c r="L1038" s="7">
        <v>40283.384351851855</v>
      </c>
      <c r="M1038" s="13" t="s">
        <v>94</v>
      </c>
      <c r="N1038" s="13" t="s">
        <v>95</v>
      </c>
      <c r="O1038" s="10" t="str">
        <f t="shared" ref="O1038:O1039" si="228">HYPERLINK("https://pbs.twimg.com/profile_images/704873222802636800/7aFEMOY5_normal.jpg","View")</f>
        <v>View</v>
      </c>
      <c r="P1038" s="14"/>
    </row>
    <row r="1039">
      <c r="A1039" s="7">
        <v>42433.82386574074</v>
      </c>
      <c r="B1039" s="8" t="str">
        <f t="shared" si="227"/>
        <v>@pastpunditry</v>
      </c>
      <c r="C1039" s="9" t="s">
        <v>92</v>
      </c>
      <c r="D1039" s="9" t="s">
        <v>1105</v>
      </c>
      <c r="E1039" s="10" t="str">
        <f>HYPERLINK("https://twitter.com/pastpunditry/status/705932432374177793","705932432374177793")</f>
        <v>705932432374177793</v>
      </c>
      <c r="F1039" s="11" t="s">
        <v>77</v>
      </c>
      <c r="G1039" s="12">
        <v>890.0</v>
      </c>
      <c r="H1039" s="12">
        <v>378.0</v>
      </c>
      <c r="I1039" s="12">
        <v>2.0</v>
      </c>
      <c r="J1039" s="12">
        <v>0.0</v>
      </c>
      <c r="K1039" s="11" t="s">
        <v>21</v>
      </c>
      <c r="L1039" s="7">
        <v>40283.384351851855</v>
      </c>
      <c r="M1039" s="13" t="s">
        <v>94</v>
      </c>
      <c r="N1039" s="13" t="s">
        <v>95</v>
      </c>
      <c r="O1039" s="10" t="str">
        <f t="shared" si="228"/>
        <v>View</v>
      </c>
      <c r="P1039" s="14"/>
    </row>
    <row r="1040">
      <c r="A1040" s="7">
        <v>42433.82394675926</v>
      </c>
      <c r="B1040" s="8" t="str">
        <f>HYPERLINK("https://twitter.com/magmidd","@magmidd")</f>
        <v>@magmidd</v>
      </c>
      <c r="C1040" s="9" t="s">
        <v>636</v>
      </c>
      <c r="D1040" s="9" t="s">
        <v>1106</v>
      </c>
      <c r="E1040" s="10" t="str">
        <f>HYPERLINK("https://twitter.com/magmidd/status/705932464640827392","705932464640827392")</f>
        <v>705932464640827392</v>
      </c>
      <c r="F1040" s="11" t="s">
        <v>148</v>
      </c>
      <c r="G1040" s="12">
        <v>1385.0</v>
      </c>
      <c r="H1040" s="12">
        <v>1353.0</v>
      </c>
      <c r="I1040" s="12">
        <v>0.0</v>
      </c>
      <c r="J1040" s="12">
        <v>1.0</v>
      </c>
      <c r="K1040" s="11" t="s">
        <v>21</v>
      </c>
      <c r="L1040" s="7">
        <v>41511.60082175926</v>
      </c>
      <c r="M1040" s="13" t="s">
        <v>197</v>
      </c>
      <c r="N1040" s="13" t="s">
        <v>638</v>
      </c>
      <c r="O1040" s="10" t="str">
        <f>HYPERLINK("https://pbs.twimg.com/profile_images/378800000450415007/82bcc7d0cab85e8d5920dbf5ded6715e_normal.jpeg","View")</f>
        <v>View</v>
      </c>
      <c r="P1040" s="14"/>
    </row>
    <row r="1041">
      <c r="A1041" s="7">
        <v>42433.82414351852</v>
      </c>
      <c r="B1041" s="8" t="str">
        <f>HYPERLINK("https://twitter.com/AmandaMoniz1","@AmandaMoniz1")</f>
        <v>@AmandaMoniz1</v>
      </c>
      <c r="C1041" s="9" t="s">
        <v>66</v>
      </c>
      <c r="D1041" s="9" t="s">
        <v>1107</v>
      </c>
      <c r="E1041" s="10" t="str">
        <f>HYPERLINK("https://twitter.com/AmandaMoniz1/status/705932536682303488","705932536682303488")</f>
        <v>705932536682303488</v>
      </c>
      <c r="F1041" s="11" t="s">
        <v>26</v>
      </c>
      <c r="G1041" s="12">
        <v>622.0</v>
      </c>
      <c r="H1041" s="12">
        <v>607.0</v>
      </c>
      <c r="I1041" s="12">
        <v>2.0</v>
      </c>
      <c r="J1041" s="12">
        <v>0.0</v>
      </c>
      <c r="K1041" s="11" t="s">
        <v>21</v>
      </c>
      <c r="L1041" s="7">
        <v>40766.33971064815</v>
      </c>
      <c r="M1041" s="15"/>
      <c r="N1041" s="13" t="s">
        <v>68</v>
      </c>
      <c r="O1041" s="10" t="str">
        <f>HYPERLINK("https://pbs.twimg.com/profile_images/378800000149111881/7969acf9cec4197748b502a6a6c3d921_normal.jpeg","View")</f>
        <v>View</v>
      </c>
      <c r="P1041" s="14"/>
    </row>
    <row r="1042">
      <c r="A1042" s="7">
        <v>42433.82415509259</v>
      </c>
      <c r="B1042" s="8" t="str">
        <f>HYPERLINK("https://twitter.com/rebekkahrubin","@rebekkahrubin")</f>
        <v>@rebekkahrubin</v>
      </c>
      <c r="C1042" s="9" t="s">
        <v>141</v>
      </c>
      <c r="D1042" s="9" t="s">
        <v>1108</v>
      </c>
      <c r="E1042" s="10" t="str">
        <f>HYPERLINK("https://twitter.com/rebekkahrubin/status/705932540406861824","705932540406861824")</f>
        <v>705932540406861824</v>
      </c>
      <c r="F1042" s="11" t="s">
        <v>31</v>
      </c>
      <c r="G1042" s="12">
        <v>492.0</v>
      </c>
      <c r="H1042" s="12">
        <v>1224.0</v>
      </c>
      <c r="I1042" s="12">
        <v>0.0</v>
      </c>
      <c r="J1042" s="12">
        <v>2.0</v>
      </c>
      <c r="K1042" s="11" t="s">
        <v>21</v>
      </c>
      <c r="L1042" s="7">
        <v>40411.521527777775</v>
      </c>
      <c r="M1042" s="13" t="s">
        <v>143</v>
      </c>
      <c r="N1042" s="13" t="s">
        <v>144</v>
      </c>
      <c r="O1042" s="10" t="str">
        <f>HYPERLINK("https://pbs.twimg.com/profile_images/700317732588408832/Ym_-neUi_normal.jpg","View")</f>
        <v>View</v>
      </c>
      <c r="P1042" s="14"/>
    </row>
    <row r="1043">
      <c r="A1043" s="7">
        <v>42433.82423611111</v>
      </c>
      <c r="B1043" s="8" t="str">
        <f>HYPERLINK("https://twitter.com/erfagen","@erfagen")</f>
        <v>@erfagen</v>
      </c>
      <c r="C1043" s="9" t="s">
        <v>124</v>
      </c>
      <c r="D1043" s="9" t="s">
        <v>1109</v>
      </c>
      <c r="E1043" s="10" t="str">
        <f>HYPERLINK("https://twitter.com/erfagen/status/705932566902263808","705932566902263808")</f>
        <v>705932566902263808</v>
      </c>
      <c r="F1043" s="11" t="s">
        <v>26</v>
      </c>
      <c r="G1043" s="12">
        <v>1055.0</v>
      </c>
      <c r="H1043" s="12">
        <v>2055.0</v>
      </c>
      <c r="I1043" s="12">
        <v>2.0</v>
      </c>
      <c r="J1043" s="12">
        <v>3.0</v>
      </c>
      <c r="K1043" s="11" t="s">
        <v>21</v>
      </c>
      <c r="L1043" s="7">
        <v>40524.93576388889</v>
      </c>
      <c r="M1043" s="13" t="s">
        <v>125</v>
      </c>
      <c r="N1043" s="13" t="s">
        <v>126</v>
      </c>
      <c r="O1043" s="10" t="str">
        <f>HYPERLINK("https://pbs.twimg.com/profile_images/638086945722249217/mid_S_BQ_normal.jpg","View")</f>
        <v>View</v>
      </c>
      <c r="P1043" s="14"/>
    </row>
    <row r="1044">
      <c r="A1044" s="7">
        <v>42433.82428240741</v>
      </c>
      <c r="B1044" s="8" t="str">
        <f>HYPERLINK("https://twitter.com/defactofecteau","@defactofecteau")</f>
        <v>@defactofecteau</v>
      </c>
      <c r="C1044" s="9" t="s">
        <v>665</v>
      </c>
      <c r="D1044" s="9" t="s">
        <v>1110</v>
      </c>
      <c r="E1044" s="10" t="str">
        <f>HYPERLINK("https://twitter.com/defactofecteau/status/705932584547688448","705932584547688448")</f>
        <v>705932584547688448</v>
      </c>
      <c r="F1044" s="11" t="s">
        <v>148</v>
      </c>
      <c r="G1044" s="12">
        <v>46.0</v>
      </c>
      <c r="H1044" s="12">
        <v>104.0</v>
      </c>
      <c r="I1044" s="12">
        <v>2.0</v>
      </c>
      <c r="J1044" s="12">
        <v>3.0</v>
      </c>
      <c r="K1044" s="11" t="s">
        <v>21</v>
      </c>
      <c r="L1044" s="7">
        <v>41684.53481481482</v>
      </c>
      <c r="M1044" s="15"/>
      <c r="N1044" s="13" t="s">
        <v>667</v>
      </c>
      <c r="O1044" s="10" t="str">
        <f>HYPERLINK("https://pbs.twimg.com/profile_images/434404729263648768/vsAZLFtj_normal.jpeg","View")</f>
        <v>View</v>
      </c>
      <c r="P1044" s="14"/>
    </row>
    <row r="1045">
      <c r="A1045" s="7">
        <v>42433.824317129634</v>
      </c>
      <c r="B1045" s="8" t="str">
        <f>HYPERLINK("https://twitter.com/rebekkahrubin","@rebekkahrubin")</f>
        <v>@rebekkahrubin</v>
      </c>
      <c r="C1045" s="9" t="s">
        <v>141</v>
      </c>
      <c r="D1045" s="9" t="s">
        <v>1111</v>
      </c>
      <c r="E1045" s="10" t="str">
        <f>HYPERLINK("https://twitter.com/rebekkahrubin/status/705932598711865345","705932598711865345")</f>
        <v>705932598711865345</v>
      </c>
      <c r="F1045" s="11" t="s">
        <v>31</v>
      </c>
      <c r="G1045" s="12">
        <v>492.0</v>
      </c>
      <c r="H1045" s="12">
        <v>1224.0</v>
      </c>
      <c r="I1045" s="12">
        <v>1.0</v>
      </c>
      <c r="J1045" s="12">
        <v>0.0</v>
      </c>
      <c r="K1045" s="11" t="s">
        <v>21</v>
      </c>
      <c r="L1045" s="7">
        <v>40411.521527777775</v>
      </c>
      <c r="M1045" s="13" t="s">
        <v>143</v>
      </c>
      <c r="N1045" s="13" t="s">
        <v>144</v>
      </c>
      <c r="O1045" s="10" t="str">
        <f>HYPERLINK("https://pbs.twimg.com/profile_images/700317732588408832/Ym_-neUi_normal.jpg","View")</f>
        <v>View</v>
      </c>
      <c r="P1045" s="14"/>
    </row>
    <row r="1046">
      <c r="A1046" s="7">
        <v>42433.824328703704</v>
      </c>
      <c r="B1046" s="8" t="str">
        <f>HYPERLINK("https://twitter.com/JimGrossmanAHA","@JimGrossmanAHA")</f>
        <v>@JimGrossmanAHA</v>
      </c>
      <c r="C1046" s="9" t="s">
        <v>278</v>
      </c>
      <c r="D1046" s="9" t="s">
        <v>1112</v>
      </c>
      <c r="E1046" s="10" t="str">
        <f>HYPERLINK("https://twitter.com/JimGrossmanAHA/status/705932600704155648","705932600704155648")</f>
        <v>705932600704155648</v>
      </c>
      <c r="F1046" s="11" t="s">
        <v>31</v>
      </c>
      <c r="G1046" s="12">
        <v>2241.0</v>
      </c>
      <c r="H1046" s="12">
        <v>368.0</v>
      </c>
      <c r="I1046" s="12">
        <v>2.0</v>
      </c>
      <c r="J1046" s="12">
        <v>3.0</v>
      </c>
      <c r="K1046" s="11" t="s">
        <v>21</v>
      </c>
      <c r="L1046" s="7">
        <v>41576.36603009259</v>
      </c>
      <c r="M1046" s="13" t="s">
        <v>279</v>
      </c>
      <c r="N1046" s="13" t="s">
        <v>280</v>
      </c>
      <c r="O1046" s="10" t="str">
        <f>HYPERLINK("https://pbs.twimg.com/profile_images/378800000667891782/44d7b181c077bf16ab07b242f7ad81b9_normal.png","View")</f>
        <v>View</v>
      </c>
      <c r="P1046" s="14"/>
    </row>
    <row r="1047">
      <c r="A1047" s="7">
        <v>42433.824375</v>
      </c>
      <c r="B1047" s="8" t="str">
        <f>HYPERLINK("https://twitter.com/pastpunditry","@pastpunditry")</f>
        <v>@pastpunditry</v>
      </c>
      <c r="C1047" s="9" t="s">
        <v>92</v>
      </c>
      <c r="D1047" s="9" t="s">
        <v>1113</v>
      </c>
      <c r="E1047" s="10" t="str">
        <f>HYPERLINK("https://twitter.com/pastpunditry/status/705932617045118976","705932617045118976")</f>
        <v>705932617045118976</v>
      </c>
      <c r="F1047" s="11" t="s">
        <v>77</v>
      </c>
      <c r="G1047" s="12">
        <v>890.0</v>
      </c>
      <c r="H1047" s="12">
        <v>378.0</v>
      </c>
      <c r="I1047" s="12">
        <v>1.0</v>
      </c>
      <c r="J1047" s="12">
        <v>3.0</v>
      </c>
      <c r="K1047" s="11" t="s">
        <v>21</v>
      </c>
      <c r="L1047" s="7">
        <v>40283.384351851855</v>
      </c>
      <c r="M1047" s="13" t="s">
        <v>94</v>
      </c>
      <c r="N1047" s="13" t="s">
        <v>95</v>
      </c>
      <c r="O1047" s="10" t="str">
        <f>HYPERLINK("https://pbs.twimg.com/profile_images/704873222802636800/7aFEMOY5_normal.jpg","View")</f>
        <v>View</v>
      </c>
      <c r="P1047" s="14"/>
    </row>
    <row r="1048">
      <c r="A1048" s="7">
        <v>42433.82438657407</v>
      </c>
      <c r="B1048" s="8" t="str">
        <f>HYPERLINK("https://twitter.com/juliegpeterson","@juliegpeterson")</f>
        <v>@juliegpeterson</v>
      </c>
      <c r="C1048" s="9" t="s">
        <v>24</v>
      </c>
      <c r="D1048" s="9" t="s">
        <v>1114</v>
      </c>
      <c r="E1048" s="10" t="str">
        <f>HYPERLINK("https://twitter.com/juliegpeterson/status/705932623818969088","705932623818969088")</f>
        <v>705932623818969088</v>
      </c>
      <c r="F1048" s="11" t="s">
        <v>26</v>
      </c>
      <c r="G1048" s="12">
        <v>239.0</v>
      </c>
      <c r="H1048" s="12">
        <v>775.0</v>
      </c>
      <c r="I1048" s="12">
        <v>1.0</v>
      </c>
      <c r="J1048" s="12">
        <v>1.0</v>
      </c>
      <c r="K1048" s="11" t="s">
        <v>21</v>
      </c>
      <c r="L1048" s="7">
        <v>41208.65523148148</v>
      </c>
      <c r="M1048" s="13" t="s">
        <v>22</v>
      </c>
      <c r="N1048" s="13" t="s">
        <v>27</v>
      </c>
      <c r="O1048" s="10" t="str">
        <f>HYPERLINK("https://pbs.twimg.com/profile_images/609765839051452416/GNW0wSt0_normal.jpg","View")</f>
        <v>View</v>
      </c>
      <c r="P1048" s="14"/>
    </row>
    <row r="1049">
      <c r="A1049" s="7">
        <v>42433.824421296296</v>
      </c>
      <c r="B1049" s="8" t="str">
        <f>HYPERLINK("https://twitter.com/pastpunditry","@pastpunditry")</f>
        <v>@pastpunditry</v>
      </c>
      <c r="C1049" s="9" t="s">
        <v>92</v>
      </c>
      <c r="D1049" s="9" t="s">
        <v>1115</v>
      </c>
      <c r="E1049" s="10" t="str">
        <f>HYPERLINK("https://twitter.com/pastpunditry/status/705932636607418369","705932636607418369")</f>
        <v>705932636607418369</v>
      </c>
      <c r="F1049" s="11" t="s">
        <v>77</v>
      </c>
      <c r="G1049" s="12">
        <v>890.0</v>
      </c>
      <c r="H1049" s="12">
        <v>378.0</v>
      </c>
      <c r="I1049" s="12">
        <v>2.0</v>
      </c>
      <c r="J1049" s="12">
        <v>0.0</v>
      </c>
      <c r="K1049" s="11" t="s">
        <v>21</v>
      </c>
      <c r="L1049" s="7">
        <v>40283.384351851855</v>
      </c>
      <c r="M1049" s="13" t="s">
        <v>94</v>
      </c>
      <c r="N1049" s="13" t="s">
        <v>95</v>
      </c>
      <c r="O1049" s="10" t="str">
        <f>HYPERLINK("https://pbs.twimg.com/profile_images/704873222802636800/7aFEMOY5_normal.jpg","View")</f>
        <v>View</v>
      </c>
      <c r="P1049" s="14"/>
    </row>
    <row r="1050">
      <c r="A1050" s="7">
        <v>42433.82444444444</v>
      </c>
      <c r="B1050" s="8" t="str">
        <f>HYPERLINK("https://twitter.com/jamiaw","@jamiaw")</f>
        <v>@jamiaw</v>
      </c>
      <c r="C1050" s="9" t="s">
        <v>324</v>
      </c>
      <c r="D1050" s="9" t="s">
        <v>1116</v>
      </c>
      <c r="E1050" s="10" t="str">
        <f>HYPERLINK("https://twitter.com/jamiaw/status/705932642164842496","705932642164842496")</f>
        <v>705932642164842496</v>
      </c>
      <c r="F1050" s="11" t="s">
        <v>26</v>
      </c>
      <c r="G1050" s="12">
        <v>11336.0</v>
      </c>
      <c r="H1050" s="12">
        <v>7815.0</v>
      </c>
      <c r="I1050" s="12">
        <v>0.0</v>
      </c>
      <c r="J1050" s="12">
        <v>7.0</v>
      </c>
      <c r="K1050" s="11" t="s">
        <v>21</v>
      </c>
      <c r="L1050" s="7">
        <v>39642.39741898148</v>
      </c>
      <c r="M1050" s="13" t="s">
        <v>325</v>
      </c>
      <c r="N1050" s="13" t="s">
        <v>326</v>
      </c>
      <c r="O1050" s="10" t="str">
        <f>HYPERLINK("https://pbs.twimg.com/profile_images/701102020061753344/5zH70uem_normal.jpg","View")</f>
        <v>View</v>
      </c>
      <c r="P1050" s="14"/>
    </row>
    <row r="1051">
      <c r="A1051" s="7">
        <v>42433.82449074074</v>
      </c>
      <c r="B1051" s="8" t="str">
        <f t="shared" ref="B1051:B1052" si="229">HYPERLINK("https://twitter.com/pastpunditry","@pastpunditry")</f>
        <v>@pastpunditry</v>
      </c>
      <c r="C1051" s="9" t="s">
        <v>92</v>
      </c>
      <c r="D1051" s="9" t="s">
        <v>1117</v>
      </c>
      <c r="E1051" s="10" t="str">
        <f>HYPERLINK("https://twitter.com/pastpunditry/status/705932659126628352","705932659126628352")</f>
        <v>705932659126628352</v>
      </c>
      <c r="F1051" s="11" t="s">
        <v>77</v>
      </c>
      <c r="G1051" s="12">
        <v>890.0</v>
      </c>
      <c r="H1051" s="12">
        <v>378.0</v>
      </c>
      <c r="I1051" s="12">
        <v>2.0</v>
      </c>
      <c r="J1051" s="12">
        <v>0.0</v>
      </c>
      <c r="K1051" s="11" t="s">
        <v>21</v>
      </c>
      <c r="L1051" s="7">
        <v>40283.384351851855</v>
      </c>
      <c r="M1051" s="13" t="s">
        <v>94</v>
      </c>
      <c r="N1051" s="13" t="s">
        <v>95</v>
      </c>
      <c r="O1051" s="10" t="str">
        <f t="shared" ref="O1051:O1052" si="230">HYPERLINK("https://pbs.twimg.com/profile_images/704873222802636800/7aFEMOY5_normal.jpg","View")</f>
        <v>View</v>
      </c>
      <c r="P1051" s="14"/>
    </row>
    <row r="1052">
      <c r="A1052" s="7">
        <v>42433.82454861111</v>
      </c>
      <c r="B1052" s="8" t="str">
        <f t="shared" si="229"/>
        <v>@pastpunditry</v>
      </c>
      <c r="C1052" s="9" t="s">
        <v>92</v>
      </c>
      <c r="D1052" s="9" t="s">
        <v>1118</v>
      </c>
      <c r="E1052" s="10" t="str">
        <f>HYPERLINK("https://twitter.com/pastpunditry/status/705932681662566400","705932681662566400")</f>
        <v>705932681662566400</v>
      </c>
      <c r="F1052" s="11" t="s">
        <v>77</v>
      </c>
      <c r="G1052" s="12">
        <v>890.0</v>
      </c>
      <c r="H1052" s="12">
        <v>378.0</v>
      </c>
      <c r="I1052" s="12">
        <v>2.0</v>
      </c>
      <c r="J1052" s="12">
        <v>0.0</v>
      </c>
      <c r="K1052" s="11" t="s">
        <v>21</v>
      </c>
      <c r="L1052" s="7">
        <v>40283.384351851855</v>
      </c>
      <c r="M1052" s="13" t="s">
        <v>94</v>
      </c>
      <c r="N1052" s="13" t="s">
        <v>95</v>
      </c>
      <c r="O1052" s="10" t="str">
        <f t="shared" si="230"/>
        <v>View</v>
      </c>
      <c r="P1052" s="14"/>
    </row>
    <row r="1053">
      <c r="A1053" s="7">
        <v>42433.82476851852</v>
      </c>
      <c r="B1053" s="8" t="str">
        <f>HYPERLINK("https://twitter.com/jamiaw","@jamiaw")</f>
        <v>@jamiaw</v>
      </c>
      <c r="C1053" s="9" t="s">
        <v>324</v>
      </c>
      <c r="D1053" s="9" t="s">
        <v>1115</v>
      </c>
      <c r="E1053" s="10" t="str">
        <f>HYPERLINK("https://twitter.com/jamiaw/status/705932760893005825","705932760893005825")</f>
        <v>705932760893005825</v>
      </c>
      <c r="F1053" s="11" t="s">
        <v>26</v>
      </c>
      <c r="G1053" s="12">
        <v>11336.0</v>
      </c>
      <c r="H1053" s="12">
        <v>7815.0</v>
      </c>
      <c r="I1053" s="12">
        <v>2.0</v>
      </c>
      <c r="J1053" s="12">
        <v>0.0</v>
      </c>
      <c r="K1053" s="11" t="s">
        <v>21</v>
      </c>
      <c r="L1053" s="7">
        <v>39642.39741898148</v>
      </c>
      <c r="M1053" s="13" t="s">
        <v>325</v>
      </c>
      <c r="N1053" s="13" t="s">
        <v>326</v>
      </c>
      <c r="O1053" s="10" t="str">
        <f>HYPERLINK("https://pbs.twimg.com/profile_images/701102020061753344/5zH70uem_normal.jpg","View")</f>
        <v>View</v>
      </c>
      <c r="P1053" s="14"/>
    </row>
    <row r="1054">
      <c r="A1054" s="7">
        <v>42433.82478009259</v>
      </c>
      <c r="B1054" s="8" t="str">
        <f t="shared" ref="B1054:B1055" si="231">HYPERLINK("https://twitter.com/GHAUmass","@GHAUmass")</f>
        <v>@GHAUmass</v>
      </c>
      <c r="C1054" s="9" t="s">
        <v>30</v>
      </c>
      <c r="D1054" s="9" t="s">
        <v>1107</v>
      </c>
      <c r="E1054" s="10" t="str">
        <f>HYPERLINK("https://twitter.com/GHAUmass/status/705932763774451712","705932763774451712")</f>
        <v>705932763774451712</v>
      </c>
      <c r="F1054" s="11" t="s">
        <v>26</v>
      </c>
      <c r="G1054" s="12">
        <v>68.0</v>
      </c>
      <c r="H1054" s="12">
        <v>100.0</v>
      </c>
      <c r="I1054" s="12">
        <v>2.0</v>
      </c>
      <c r="J1054" s="12">
        <v>0.0</v>
      </c>
      <c r="K1054" s="11" t="s">
        <v>21</v>
      </c>
      <c r="L1054" s="7">
        <v>42152.65289351852</v>
      </c>
      <c r="M1054" s="13" t="s">
        <v>22</v>
      </c>
      <c r="N1054" s="13" t="s">
        <v>32</v>
      </c>
      <c r="O1054" s="10" t="str">
        <f t="shared" ref="O1054:O1055" si="232">HYPERLINK("https://pbs.twimg.com/profile_images/604060333590855682/Fk6r1D7d_normal.jpg","View")</f>
        <v>View</v>
      </c>
      <c r="P1054" s="14"/>
    </row>
    <row r="1055">
      <c r="A1055" s="7">
        <v>42433.82481481481</v>
      </c>
      <c r="B1055" s="8" t="str">
        <f t="shared" si="231"/>
        <v>@GHAUmass</v>
      </c>
      <c r="C1055" s="9" t="s">
        <v>30</v>
      </c>
      <c r="D1055" s="9" t="s">
        <v>1105</v>
      </c>
      <c r="E1055" s="10" t="str">
        <f>HYPERLINK("https://twitter.com/GHAUmass/status/705932779033399296","705932779033399296")</f>
        <v>705932779033399296</v>
      </c>
      <c r="F1055" s="11" t="s">
        <v>26</v>
      </c>
      <c r="G1055" s="12">
        <v>68.0</v>
      </c>
      <c r="H1055" s="12">
        <v>100.0</v>
      </c>
      <c r="I1055" s="12">
        <v>2.0</v>
      </c>
      <c r="J1055" s="12">
        <v>0.0</v>
      </c>
      <c r="K1055" s="11" t="s">
        <v>21</v>
      </c>
      <c r="L1055" s="7">
        <v>42152.65289351852</v>
      </c>
      <c r="M1055" s="13" t="s">
        <v>22</v>
      </c>
      <c r="N1055" s="13" t="s">
        <v>32</v>
      </c>
      <c r="O1055" s="10" t="str">
        <f t="shared" si="232"/>
        <v>View</v>
      </c>
      <c r="P1055" s="14"/>
    </row>
    <row r="1056">
      <c r="A1056" s="7">
        <v>42433.82481481481</v>
      </c>
      <c r="B1056" s="8" t="str">
        <f>HYPERLINK("https://twitter.com/rebekkahrubin","@rebekkahrubin")</f>
        <v>@rebekkahrubin</v>
      </c>
      <c r="C1056" s="9" t="s">
        <v>141</v>
      </c>
      <c r="D1056" s="9" t="s">
        <v>1119</v>
      </c>
      <c r="E1056" s="10" t="str">
        <f>HYPERLINK("https://twitter.com/rebekkahrubin/status/705932779960320001","705932779960320001")</f>
        <v>705932779960320001</v>
      </c>
      <c r="F1056" s="11" t="s">
        <v>31</v>
      </c>
      <c r="G1056" s="12">
        <v>492.0</v>
      </c>
      <c r="H1056" s="12">
        <v>1224.0</v>
      </c>
      <c r="I1056" s="12">
        <v>0.0</v>
      </c>
      <c r="J1056" s="12">
        <v>1.0</v>
      </c>
      <c r="K1056" s="11" t="s">
        <v>21</v>
      </c>
      <c r="L1056" s="7">
        <v>40411.521527777775</v>
      </c>
      <c r="M1056" s="13" t="s">
        <v>143</v>
      </c>
      <c r="N1056" s="13" t="s">
        <v>144</v>
      </c>
      <c r="O1056" s="10" t="str">
        <f>HYPERLINK("https://pbs.twimg.com/profile_images/700317732588408832/Ym_-neUi_normal.jpg","View")</f>
        <v>View</v>
      </c>
      <c r="P1056" s="14"/>
    </row>
    <row r="1057">
      <c r="A1057" s="7">
        <v>42433.824849537035</v>
      </c>
      <c r="B1057" s="8" t="str">
        <f>HYPERLINK("https://twitter.com/jamiaw","@jamiaw")</f>
        <v>@jamiaw</v>
      </c>
      <c r="C1057" s="9" t="s">
        <v>324</v>
      </c>
      <c r="D1057" s="9" t="s">
        <v>1118</v>
      </c>
      <c r="E1057" s="10" t="str">
        <f>HYPERLINK("https://twitter.com/jamiaw/status/705932788986474498","705932788986474498")</f>
        <v>705932788986474498</v>
      </c>
      <c r="F1057" s="11" t="s">
        <v>26</v>
      </c>
      <c r="G1057" s="12">
        <v>11336.0</v>
      </c>
      <c r="H1057" s="12">
        <v>7815.0</v>
      </c>
      <c r="I1057" s="12">
        <v>2.0</v>
      </c>
      <c r="J1057" s="12">
        <v>0.0</v>
      </c>
      <c r="K1057" s="11" t="s">
        <v>21</v>
      </c>
      <c r="L1057" s="7">
        <v>39642.39741898148</v>
      </c>
      <c r="M1057" s="13" t="s">
        <v>325</v>
      </c>
      <c r="N1057" s="13" t="s">
        <v>326</v>
      </c>
      <c r="O1057" s="10" t="str">
        <f>HYPERLINK("https://pbs.twimg.com/profile_images/701102020061753344/5zH70uem_normal.jpg","View")</f>
        <v>View</v>
      </c>
      <c r="P1057" s="14"/>
    </row>
    <row r="1058">
      <c r="A1058" s="7">
        <v>42433.82527777778</v>
      </c>
      <c r="B1058" s="8" t="str">
        <f>HYPERLINK("https://twitter.com/AmandaMoniz1","@AmandaMoniz1")</f>
        <v>@AmandaMoniz1</v>
      </c>
      <c r="C1058" s="9" t="s">
        <v>66</v>
      </c>
      <c r="D1058" s="9" t="s">
        <v>1120</v>
      </c>
      <c r="E1058" s="10" t="str">
        <f>HYPERLINK("https://twitter.com/AmandaMoniz1/status/705932944846811136","705932944846811136")</f>
        <v>705932944846811136</v>
      </c>
      <c r="F1058" s="11" t="s">
        <v>26</v>
      </c>
      <c r="G1058" s="12">
        <v>622.0</v>
      </c>
      <c r="H1058" s="12">
        <v>607.0</v>
      </c>
      <c r="I1058" s="12">
        <v>1.0</v>
      </c>
      <c r="J1058" s="12">
        <v>0.0</v>
      </c>
      <c r="K1058" s="11" t="s">
        <v>21</v>
      </c>
      <c r="L1058" s="7">
        <v>40766.33971064815</v>
      </c>
      <c r="M1058" s="15"/>
      <c r="N1058" s="13" t="s">
        <v>68</v>
      </c>
      <c r="O1058" s="10" t="str">
        <f>HYPERLINK("https://pbs.twimg.com/profile_images/378800000149111881/7969acf9cec4197748b502a6a6c3d921_normal.jpeg","View")</f>
        <v>View</v>
      </c>
      <c r="P1058" s="14"/>
    </row>
    <row r="1059">
      <c r="A1059" s="7">
        <v>42433.82527777778</v>
      </c>
      <c r="B1059" s="8" t="str">
        <f>HYPERLINK("https://twitter.com/GHAUmass","@GHAUmass")</f>
        <v>@GHAUmass</v>
      </c>
      <c r="C1059" s="9" t="s">
        <v>30</v>
      </c>
      <c r="D1059" s="9" t="s">
        <v>1117</v>
      </c>
      <c r="E1059" s="10" t="str">
        <f>HYPERLINK("https://twitter.com/GHAUmass/status/705932946675470336","705932946675470336")</f>
        <v>705932946675470336</v>
      </c>
      <c r="F1059" s="11" t="s">
        <v>26</v>
      </c>
      <c r="G1059" s="12">
        <v>68.0</v>
      </c>
      <c r="H1059" s="12">
        <v>100.0</v>
      </c>
      <c r="I1059" s="12">
        <v>2.0</v>
      </c>
      <c r="J1059" s="12">
        <v>0.0</v>
      </c>
      <c r="K1059" s="11" t="s">
        <v>21</v>
      </c>
      <c r="L1059" s="7">
        <v>42152.65289351852</v>
      </c>
      <c r="M1059" s="13" t="s">
        <v>22</v>
      </c>
      <c r="N1059" s="13" t="s">
        <v>32</v>
      </c>
      <c r="O1059" s="10" t="str">
        <f>HYPERLINK("https://pbs.twimg.com/profile_images/604060333590855682/Fk6r1D7d_normal.jpg","View")</f>
        <v>View</v>
      </c>
      <c r="P1059" s="14"/>
    </row>
    <row r="1060">
      <c r="A1060" s="7">
        <v>42433.82528935185</v>
      </c>
      <c r="B1060" s="8" t="str">
        <f>HYPERLINK("https://twitter.com/historycampaign","@historycampaign")</f>
        <v>@historycampaign</v>
      </c>
      <c r="C1060" s="9" t="s">
        <v>133</v>
      </c>
      <c r="D1060" s="9" t="s">
        <v>1121</v>
      </c>
      <c r="E1060" s="10" t="str">
        <f>HYPERLINK("https://twitter.com/historycampaign/status/705932949359755265","705932949359755265")</f>
        <v>705932949359755265</v>
      </c>
      <c r="F1060" s="11" t="s">
        <v>26</v>
      </c>
      <c r="G1060" s="12">
        <v>110.0</v>
      </c>
      <c r="H1060" s="12">
        <v>59.0</v>
      </c>
      <c r="I1060" s="12">
        <v>3.0</v>
      </c>
      <c r="J1060" s="12">
        <v>5.0</v>
      </c>
      <c r="K1060" s="11" t="s">
        <v>21</v>
      </c>
      <c r="L1060" s="7">
        <v>42311.25096064815</v>
      </c>
      <c r="M1060" s="15"/>
      <c r="N1060" s="13" t="s">
        <v>135</v>
      </c>
      <c r="O1060" s="10" t="str">
        <f>HYPERLINK("https://pbs.twimg.com/profile_images/673691030139609088/8v7ab61D_normal.jpg","View")</f>
        <v>View</v>
      </c>
      <c r="P1060" s="14"/>
    </row>
    <row r="1061">
      <c r="A1061" s="7">
        <v>42433.82539351852</v>
      </c>
      <c r="B1061" s="8" t="str">
        <f>HYPERLINK("https://twitter.com/GHAUmass","@GHAUmass")</f>
        <v>@GHAUmass</v>
      </c>
      <c r="C1061" s="9" t="s">
        <v>30</v>
      </c>
      <c r="D1061" s="9" t="s">
        <v>1122</v>
      </c>
      <c r="E1061" s="10" t="str">
        <f>HYPERLINK("https://twitter.com/GHAUmass/status/705932986278158336","705932986278158336")</f>
        <v>705932986278158336</v>
      </c>
      <c r="F1061" s="11" t="s">
        <v>26</v>
      </c>
      <c r="G1061" s="12">
        <v>68.0</v>
      </c>
      <c r="H1061" s="12">
        <v>100.0</v>
      </c>
      <c r="I1061" s="12">
        <v>1.0</v>
      </c>
      <c r="J1061" s="12">
        <v>0.0</v>
      </c>
      <c r="K1061" s="11" t="s">
        <v>21</v>
      </c>
      <c r="L1061" s="7">
        <v>42152.65289351852</v>
      </c>
      <c r="M1061" s="13" t="s">
        <v>22</v>
      </c>
      <c r="N1061" s="13" t="s">
        <v>32</v>
      </c>
      <c r="O1061" s="10" t="str">
        <f>HYPERLINK("https://pbs.twimg.com/profile_images/604060333590855682/Fk6r1D7d_normal.jpg","View")</f>
        <v>View</v>
      </c>
      <c r="P1061" s="14"/>
    </row>
    <row r="1062">
      <c r="A1062" s="7">
        <v>42433.82541666667</v>
      </c>
      <c r="B1062" s="8" t="str">
        <f t="shared" ref="B1062:B1063" si="233">HYPERLINK("https://twitter.com/pastpunditry","@pastpunditry")</f>
        <v>@pastpunditry</v>
      </c>
      <c r="C1062" s="9" t="s">
        <v>92</v>
      </c>
      <c r="D1062" s="9" t="s">
        <v>1123</v>
      </c>
      <c r="E1062" s="10" t="str">
        <f>HYPERLINK("https://twitter.com/pastpunditry/status/705932996893921280","705932996893921280")</f>
        <v>705932996893921280</v>
      </c>
      <c r="F1062" s="11" t="s">
        <v>77</v>
      </c>
      <c r="G1062" s="12">
        <v>890.0</v>
      </c>
      <c r="H1062" s="12">
        <v>378.0</v>
      </c>
      <c r="I1062" s="12">
        <v>0.0</v>
      </c>
      <c r="J1062" s="12">
        <v>1.0</v>
      </c>
      <c r="K1062" s="11" t="s">
        <v>21</v>
      </c>
      <c r="L1062" s="7">
        <v>40283.384351851855</v>
      </c>
      <c r="M1062" s="13" t="s">
        <v>94</v>
      </c>
      <c r="N1062" s="13" t="s">
        <v>95</v>
      </c>
      <c r="O1062" s="10" t="str">
        <f t="shared" ref="O1062:O1063" si="234">HYPERLINK("https://pbs.twimg.com/profile_images/704873222802636800/7aFEMOY5_normal.jpg","View")</f>
        <v>View</v>
      </c>
      <c r="P1062" s="14"/>
    </row>
    <row r="1063">
      <c r="A1063" s="7">
        <v>42433.82549768519</v>
      </c>
      <c r="B1063" s="8" t="str">
        <f t="shared" si="233"/>
        <v>@pastpunditry</v>
      </c>
      <c r="C1063" s="9" t="s">
        <v>92</v>
      </c>
      <c r="D1063" s="9" t="s">
        <v>1124</v>
      </c>
      <c r="E1063" s="10" t="str">
        <f>HYPERLINK("https://twitter.com/pastpunditry/status/705933024630849537","705933024630849537")</f>
        <v>705933024630849537</v>
      </c>
      <c r="F1063" s="11" t="s">
        <v>77</v>
      </c>
      <c r="G1063" s="12">
        <v>890.0</v>
      </c>
      <c r="H1063" s="12">
        <v>378.0</v>
      </c>
      <c r="I1063" s="12">
        <v>3.0</v>
      </c>
      <c r="J1063" s="12">
        <v>0.0</v>
      </c>
      <c r="K1063" s="11" t="s">
        <v>21</v>
      </c>
      <c r="L1063" s="7">
        <v>40283.384351851855</v>
      </c>
      <c r="M1063" s="13" t="s">
        <v>94</v>
      </c>
      <c r="N1063" s="13" t="s">
        <v>95</v>
      </c>
      <c r="O1063" s="10" t="str">
        <f t="shared" si="234"/>
        <v>View</v>
      </c>
      <c r="P1063" s="14"/>
    </row>
    <row r="1064">
      <c r="A1064" s="7">
        <v>42433.825578703705</v>
      </c>
      <c r="B1064" s="8" t="str">
        <f>HYPERLINK("https://twitter.com/juliegpeterson","@juliegpeterson")</f>
        <v>@juliegpeterson</v>
      </c>
      <c r="C1064" s="9" t="s">
        <v>24</v>
      </c>
      <c r="D1064" s="9" t="s">
        <v>1125</v>
      </c>
      <c r="E1064" s="10" t="str">
        <f>HYPERLINK("https://twitter.com/juliegpeterson/status/705933053567377409","705933053567377409")</f>
        <v>705933053567377409</v>
      </c>
      <c r="F1064" s="11" t="s">
        <v>26</v>
      </c>
      <c r="G1064" s="12">
        <v>239.0</v>
      </c>
      <c r="H1064" s="12">
        <v>775.0</v>
      </c>
      <c r="I1064" s="12">
        <v>1.0</v>
      </c>
      <c r="J1064" s="12">
        <v>1.0</v>
      </c>
      <c r="K1064" s="11" t="s">
        <v>21</v>
      </c>
      <c r="L1064" s="7">
        <v>41208.65523148148</v>
      </c>
      <c r="M1064" s="13" t="s">
        <v>22</v>
      </c>
      <c r="N1064" s="13" t="s">
        <v>27</v>
      </c>
      <c r="O1064" s="10" t="str">
        <f>HYPERLINK("https://pbs.twimg.com/profile_images/609765839051452416/GNW0wSt0_normal.jpg","View")</f>
        <v>View</v>
      </c>
      <c r="P1064" s="14"/>
    </row>
    <row r="1065">
      <c r="A1065" s="7">
        <v>42433.825590277775</v>
      </c>
      <c r="B1065" s="8" t="str">
        <f>HYPERLINK("https://twitter.com/cameshascruggs","@cameshascruggs")</f>
        <v>@cameshascruggs</v>
      </c>
      <c r="C1065" s="9" t="s">
        <v>761</v>
      </c>
      <c r="D1065" s="9" t="s">
        <v>1027</v>
      </c>
      <c r="E1065" s="10" t="str">
        <f>HYPERLINK("https://twitter.com/cameshascruggs/status/705933058306936834","705933058306936834")</f>
        <v>705933058306936834</v>
      </c>
      <c r="F1065" s="11" t="s">
        <v>43</v>
      </c>
      <c r="G1065" s="12">
        <v>144.0</v>
      </c>
      <c r="H1065" s="12">
        <v>551.0</v>
      </c>
      <c r="I1065" s="12">
        <v>3.0</v>
      </c>
      <c r="J1065" s="12">
        <v>0.0</v>
      </c>
      <c r="K1065" s="11" t="s">
        <v>21</v>
      </c>
      <c r="L1065" s="7">
        <v>39897.69201388889</v>
      </c>
      <c r="M1065" s="15"/>
      <c r="N1065" s="13" t="s">
        <v>762</v>
      </c>
      <c r="O1065" s="10" t="str">
        <f>HYPERLINK("https://pbs.twimg.com/profile_images/187613030/me_in_panel_mode_normal.jpg","View")</f>
        <v>View</v>
      </c>
      <c r="P1065" s="14"/>
    </row>
    <row r="1066">
      <c r="A1066" s="7">
        <v>42433.82585648148</v>
      </c>
      <c r="B1066" s="8" t="str">
        <f>HYPERLINK("https://twitter.com/pastpunditry","@pastpunditry")</f>
        <v>@pastpunditry</v>
      </c>
      <c r="C1066" s="9" t="s">
        <v>92</v>
      </c>
      <c r="D1066" s="9" t="s">
        <v>1126</v>
      </c>
      <c r="E1066" s="10" t="str">
        <f>HYPERLINK("https://twitter.com/pastpunditry/status/705933153580425216","705933153580425216")</f>
        <v>705933153580425216</v>
      </c>
      <c r="F1066" s="11" t="s">
        <v>77</v>
      </c>
      <c r="G1066" s="12">
        <v>890.0</v>
      </c>
      <c r="H1066" s="12">
        <v>378.0</v>
      </c>
      <c r="I1066" s="12">
        <v>1.0</v>
      </c>
      <c r="J1066" s="12">
        <v>1.0</v>
      </c>
      <c r="K1066" s="11" t="s">
        <v>21</v>
      </c>
      <c r="L1066" s="7">
        <v>40283.384351851855</v>
      </c>
      <c r="M1066" s="13" t="s">
        <v>94</v>
      </c>
      <c r="N1066" s="13" t="s">
        <v>95</v>
      </c>
      <c r="O1066" s="10" t="str">
        <f>HYPERLINK("https://pbs.twimg.com/profile_images/704873222802636800/7aFEMOY5_normal.jpg","View")</f>
        <v>View</v>
      </c>
      <c r="P1066" s="14"/>
    </row>
    <row r="1067">
      <c r="A1067" s="7">
        <v>42433.825960648144</v>
      </c>
      <c r="B1067" s="8" t="str">
        <f>HYPERLINK("https://twitter.com/erfagen","@erfagen")</f>
        <v>@erfagen</v>
      </c>
      <c r="C1067" s="9" t="s">
        <v>124</v>
      </c>
      <c r="D1067" s="9" t="s">
        <v>1127</v>
      </c>
      <c r="E1067" s="10" t="str">
        <f>HYPERLINK("https://twitter.com/erfagen/status/705933191069175808","705933191069175808")</f>
        <v>705933191069175808</v>
      </c>
      <c r="F1067" s="11" t="s">
        <v>26</v>
      </c>
      <c r="G1067" s="12">
        <v>1055.0</v>
      </c>
      <c r="H1067" s="12">
        <v>2055.0</v>
      </c>
      <c r="I1067" s="12">
        <v>0.0</v>
      </c>
      <c r="J1067" s="12">
        <v>3.0</v>
      </c>
      <c r="K1067" s="11" t="s">
        <v>21</v>
      </c>
      <c r="L1067" s="7">
        <v>40524.93576388889</v>
      </c>
      <c r="M1067" s="13" t="s">
        <v>125</v>
      </c>
      <c r="N1067" s="13" t="s">
        <v>126</v>
      </c>
      <c r="O1067" s="10" t="str">
        <f>HYPERLINK("https://pbs.twimg.com/profile_images/638086945722249217/mid_S_BQ_normal.jpg","View")</f>
        <v>View</v>
      </c>
      <c r="P1067" s="14"/>
    </row>
    <row r="1068">
      <c r="A1068" s="7">
        <v>42433.826053240744</v>
      </c>
      <c r="B1068" s="8" t="str">
        <f>HYPERLINK("https://twitter.com/rebekkahrubin","@rebekkahrubin")</f>
        <v>@rebekkahrubin</v>
      </c>
      <c r="C1068" s="9" t="s">
        <v>141</v>
      </c>
      <c r="D1068" s="9" t="s">
        <v>1128</v>
      </c>
      <c r="E1068" s="10" t="str">
        <f>HYPERLINK("https://twitter.com/rebekkahrubin/status/705933227463147520","705933227463147520")</f>
        <v>705933227463147520</v>
      </c>
      <c r="F1068" s="11" t="s">
        <v>31</v>
      </c>
      <c r="G1068" s="12">
        <v>492.0</v>
      </c>
      <c r="H1068" s="12">
        <v>1224.0</v>
      </c>
      <c r="I1068" s="12">
        <v>1.0</v>
      </c>
      <c r="J1068" s="12">
        <v>1.0</v>
      </c>
      <c r="K1068" s="11" t="s">
        <v>21</v>
      </c>
      <c r="L1068" s="7">
        <v>40411.521527777775</v>
      </c>
      <c r="M1068" s="13" t="s">
        <v>143</v>
      </c>
      <c r="N1068" s="13" t="s">
        <v>144</v>
      </c>
      <c r="O1068" s="10" t="str">
        <f>HYPERLINK("https://pbs.twimg.com/profile_images/700317732588408832/Ym_-neUi_normal.jpg","View")</f>
        <v>View</v>
      </c>
      <c r="P1068" s="14"/>
    </row>
    <row r="1069">
      <c r="A1069" s="7">
        <v>42433.82609953704</v>
      </c>
      <c r="B1069" s="8" t="str">
        <f>HYPERLINK("https://twitter.com/pastpunditry","@pastpunditry")</f>
        <v>@pastpunditry</v>
      </c>
      <c r="C1069" s="9" t="s">
        <v>92</v>
      </c>
      <c r="D1069" s="9" t="s">
        <v>1129</v>
      </c>
      <c r="E1069" s="10" t="str">
        <f>HYPERLINK("https://twitter.com/pastpunditry/status/705933245033144320","705933245033144320")</f>
        <v>705933245033144320</v>
      </c>
      <c r="F1069" s="11" t="s">
        <v>77</v>
      </c>
      <c r="G1069" s="12">
        <v>890.0</v>
      </c>
      <c r="H1069" s="12">
        <v>378.0</v>
      </c>
      <c r="I1069" s="12">
        <v>0.0</v>
      </c>
      <c r="J1069" s="12">
        <v>1.0</v>
      </c>
      <c r="K1069" s="11" t="s">
        <v>21</v>
      </c>
      <c r="L1069" s="7">
        <v>40283.384351851855</v>
      </c>
      <c r="M1069" s="13" t="s">
        <v>94</v>
      </c>
      <c r="N1069" s="13" t="s">
        <v>95</v>
      </c>
      <c r="O1069" s="10" t="str">
        <f>HYPERLINK("https://pbs.twimg.com/profile_images/704873222802636800/7aFEMOY5_normal.jpg","View")</f>
        <v>View</v>
      </c>
      <c r="P1069" s="14"/>
    </row>
    <row r="1070">
      <c r="A1070" s="7">
        <v>42433.826157407406</v>
      </c>
      <c r="B1070" s="8" t="str">
        <f>HYPERLINK("https://twitter.com/naomiprof","@naomiprof")</f>
        <v>@naomiprof</v>
      </c>
      <c r="C1070" s="9" t="s">
        <v>1130</v>
      </c>
      <c r="D1070" s="9" t="s">
        <v>1124</v>
      </c>
      <c r="E1070" s="10" t="str">
        <f>HYPERLINK("https://twitter.com/naomiprof/status/705933263924305920","705933263924305920")</f>
        <v>705933263924305920</v>
      </c>
      <c r="F1070" s="11" t="s">
        <v>31</v>
      </c>
      <c r="G1070" s="12">
        <v>6228.0</v>
      </c>
      <c r="H1070" s="12">
        <v>5673.0</v>
      </c>
      <c r="I1070" s="12">
        <v>3.0</v>
      </c>
      <c r="J1070" s="12">
        <v>0.0</v>
      </c>
      <c r="K1070" s="11" t="s">
        <v>21</v>
      </c>
      <c r="L1070" s="7">
        <v>41582.77071759259</v>
      </c>
      <c r="M1070" s="13" t="s">
        <v>1131</v>
      </c>
      <c r="N1070" s="13" t="s">
        <v>1132</v>
      </c>
      <c r="O1070" s="10" t="str">
        <f>HYPERLINK("https://pbs.twimg.com/profile_images/547418207477194752/eI3-TTEf_normal.jpeg","View")</f>
        <v>View</v>
      </c>
      <c r="P1070" s="14"/>
    </row>
    <row r="1071">
      <c r="A1071" s="7">
        <v>42433.82622685185</v>
      </c>
      <c r="B1071" s="8" t="str">
        <f>HYPERLINK("https://twitter.com/defactofecteau","@defactofecteau")</f>
        <v>@defactofecteau</v>
      </c>
      <c r="C1071" s="9" t="s">
        <v>665</v>
      </c>
      <c r="D1071" s="9" t="s">
        <v>1133</v>
      </c>
      <c r="E1071" s="10" t="str">
        <f>HYPERLINK("https://twitter.com/defactofecteau/status/705933291610894336","705933291610894336")</f>
        <v>705933291610894336</v>
      </c>
      <c r="F1071" s="11" t="s">
        <v>148</v>
      </c>
      <c r="G1071" s="12">
        <v>46.0</v>
      </c>
      <c r="H1071" s="12">
        <v>104.0</v>
      </c>
      <c r="I1071" s="12">
        <v>1.0</v>
      </c>
      <c r="J1071" s="12">
        <v>1.0</v>
      </c>
      <c r="K1071" s="11" t="s">
        <v>21</v>
      </c>
      <c r="L1071" s="7">
        <v>41684.53481481482</v>
      </c>
      <c r="M1071" s="15"/>
      <c r="N1071" s="13" t="s">
        <v>667</v>
      </c>
      <c r="O1071" s="10" t="str">
        <f>HYPERLINK("https://pbs.twimg.com/profile_images/434404729263648768/vsAZLFtj_normal.jpeg","View")</f>
        <v>View</v>
      </c>
      <c r="P1071" s="14"/>
    </row>
    <row r="1072">
      <c r="A1072" s="7">
        <v>42433.82625</v>
      </c>
      <c r="B1072" s="8" t="str">
        <f>HYPERLINK("https://twitter.com/erfagen","@erfagen")</f>
        <v>@erfagen</v>
      </c>
      <c r="C1072" s="9" t="s">
        <v>124</v>
      </c>
      <c r="D1072" s="9" t="s">
        <v>1134</v>
      </c>
      <c r="E1072" s="10" t="str">
        <f>HYPERLINK("https://twitter.com/erfagen/status/705933296321036288","705933296321036288")</f>
        <v>705933296321036288</v>
      </c>
      <c r="F1072" s="11" t="s">
        <v>26</v>
      </c>
      <c r="G1072" s="12">
        <v>1055.0</v>
      </c>
      <c r="H1072" s="12">
        <v>2055.0</v>
      </c>
      <c r="I1072" s="12">
        <v>1.0</v>
      </c>
      <c r="J1072" s="12">
        <v>0.0</v>
      </c>
      <c r="K1072" s="11" t="s">
        <v>21</v>
      </c>
      <c r="L1072" s="7">
        <v>40524.93576388889</v>
      </c>
      <c r="M1072" s="13" t="s">
        <v>125</v>
      </c>
      <c r="N1072" s="13" t="s">
        <v>126</v>
      </c>
      <c r="O1072" s="10" t="str">
        <f>HYPERLINK("https://pbs.twimg.com/profile_images/638086945722249217/mid_S_BQ_normal.jpg","View")</f>
        <v>View</v>
      </c>
      <c r="P1072" s="14"/>
    </row>
    <row r="1073">
      <c r="A1073" s="7">
        <v>42433.8263425926</v>
      </c>
      <c r="B1073" s="8" t="str">
        <f>HYPERLINK("https://twitter.com/juliegpeterson","@juliegpeterson")</f>
        <v>@juliegpeterson</v>
      </c>
      <c r="C1073" s="9" t="s">
        <v>24</v>
      </c>
      <c r="D1073" s="9" t="s">
        <v>1135</v>
      </c>
      <c r="E1073" s="10" t="str">
        <f>HYPERLINK("https://twitter.com/juliegpeterson/status/705933333558140928","705933333558140928")</f>
        <v>705933333558140928</v>
      </c>
      <c r="F1073" s="11" t="s">
        <v>26</v>
      </c>
      <c r="G1073" s="12">
        <v>239.0</v>
      </c>
      <c r="H1073" s="12">
        <v>775.0</v>
      </c>
      <c r="I1073" s="12">
        <v>0.0</v>
      </c>
      <c r="J1073" s="12">
        <v>2.0</v>
      </c>
      <c r="K1073" s="11" t="s">
        <v>21</v>
      </c>
      <c r="L1073" s="7">
        <v>41208.65523148148</v>
      </c>
      <c r="M1073" s="13" t="s">
        <v>22</v>
      </c>
      <c r="N1073" s="13" t="s">
        <v>27</v>
      </c>
      <c r="O1073" s="10" t="str">
        <f>HYPERLINK("https://pbs.twimg.com/profile_images/609765839051452416/GNW0wSt0_normal.jpg","View")</f>
        <v>View</v>
      </c>
      <c r="P1073" s="14"/>
    </row>
    <row r="1074">
      <c r="A1074" s="7">
        <v>42433.82636574074</v>
      </c>
      <c r="B1074" s="8" t="str">
        <f>HYPERLINK("https://twitter.com/jamiaw","@jamiaw")</f>
        <v>@jamiaw</v>
      </c>
      <c r="C1074" s="9" t="s">
        <v>324</v>
      </c>
      <c r="D1074" s="9" t="s">
        <v>1136</v>
      </c>
      <c r="E1074" s="10" t="str">
        <f>HYPERLINK("https://twitter.com/jamiaw/status/705933338805141504","705933338805141504")</f>
        <v>705933338805141504</v>
      </c>
      <c r="F1074" s="11" t="s">
        <v>26</v>
      </c>
      <c r="G1074" s="12">
        <v>11336.0</v>
      </c>
      <c r="H1074" s="12">
        <v>7815.0</v>
      </c>
      <c r="I1074" s="12">
        <v>2.0</v>
      </c>
      <c r="J1074" s="12">
        <v>3.0</v>
      </c>
      <c r="K1074" s="11" t="s">
        <v>21</v>
      </c>
      <c r="L1074" s="7">
        <v>39642.39741898148</v>
      </c>
      <c r="M1074" s="13" t="s">
        <v>325</v>
      </c>
      <c r="N1074" s="13" t="s">
        <v>326</v>
      </c>
      <c r="O1074" s="10" t="str">
        <f>HYPERLINK("https://pbs.twimg.com/profile_images/701102020061753344/5zH70uem_normal.jpg","View")</f>
        <v>View</v>
      </c>
      <c r="P1074" s="14"/>
    </row>
    <row r="1075">
      <c r="A1075" s="7">
        <v>42433.82643518518</v>
      </c>
      <c r="B1075" s="8" t="str">
        <f>HYPERLINK("https://twitter.com/foundhistory","@foundhistory")</f>
        <v>@foundhistory</v>
      </c>
      <c r="C1075" s="9" t="s">
        <v>738</v>
      </c>
      <c r="D1075" s="9" t="s">
        <v>1137</v>
      </c>
      <c r="E1075" s="10" t="str">
        <f>HYPERLINK("https://twitter.com/foundhistory/status/705933366294618113","705933366294618113")</f>
        <v>705933366294618113</v>
      </c>
      <c r="F1075" s="11" t="s">
        <v>148</v>
      </c>
      <c r="G1075" s="12">
        <v>6003.0</v>
      </c>
      <c r="H1075" s="12">
        <v>527.0</v>
      </c>
      <c r="I1075" s="12">
        <v>1.0</v>
      </c>
      <c r="J1075" s="12">
        <v>0.0</v>
      </c>
      <c r="K1075" s="11" t="s">
        <v>21</v>
      </c>
      <c r="L1075" s="7">
        <v>39150.702199074076</v>
      </c>
      <c r="M1075" s="13" t="s">
        <v>740</v>
      </c>
      <c r="N1075" s="13" t="s">
        <v>741</v>
      </c>
      <c r="O1075" s="10" t="str">
        <f>HYPERLINK("https://pbs.twimg.com/profile_images/504647141952745472/TwNbdViu_normal.jpeg","View")</f>
        <v>View</v>
      </c>
      <c r="P1075" s="14"/>
    </row>
    <row r="1076">
      <c r="A1076" s="7">
        <v>42433.82644675926</v>
      </c>
      <c r="B1076" s="8" t="str">
        <f>HYPERLINK("https://twitter.com/juliegpeterson","@juliegpeterson")</f>
        <v>@juliegpeterson</v>
      </c>
      <c r="C1076" s="9" t="s">
        <v>24</v>
      </c>
      <c r="D1076" s="9" t="s">
        <v>1138</v>
      </c>
      <c r="E1076" s="10" t="str">
        <f>HYPERLINK("https://twitter.com/juliegpeterson/status/705933367469084672","705933367469084672")</f>
        <v>705933367469084672</v>
      </c>
      <c r="F1076" s="11" t="s">
        <v>26</v>
      </c>
      <c r="G1076" s="12">
        <v>239.0</v>
      </c>
      <c r="H1076" s="12">
        <v>775.0</v>
      </c>
      <c r="I1076" s="12">
        <v>1.0</v>
      </c>
      <c r="J1076" s="12">
        <v>0.0</v>
      </c>
      <c r="K1076" s="11" t="s">
        <v>21</v>
      </c>
      <c r="L1076" s="7">
        <v>41208.65523148148</v>
      </c>
      <c r="M1076" s="13" t="s">
        <v>22</v>
      </c>
      <c r="N1076" s="13" t="s">
        <v>27</v>
      </c>
      <c r="O1076" s="10" t="str">
        <f>HYPERLINK("https://pbs.twimg.com/profile_images/609765839051452416/GNW0wSt0_normal.jpg","View")</f>
        <v>View</v>
      </c>
      <c r="P1076" s="14"/>
    </row>
    <row r="1077">
      <c r="A1077" s="7">
        <v>42433.82681712963</v>
      </c>
      <c r="B1077" s="8" t="str">
        <f>HYPERLINK("https://twitter.com/pastpunditry","@pastpunditry")</f>
        <v>@pastpunditry</v>
      </c>
      <c r="C1077" s="9" t="s">
        <v>92</v>
      </c>
      <c r="D1077" s="9" t="s">
        <v>1139</v>
      </c>
      <c r="E1077" s="10" t="str">
        <f>HYPERLINK("https://twitter.com/pastpunditry/status/705933503037308928","705933503037308928")</f>
        <v>705933503037308928</v>
      </c>
      <c r="F1077" s="11" t="s">
        <v>77</v>
      </c>
      <c r="G1077" s="12">
        <v>890.0</v>
      </c>
      <c r="H1077" s="12">
        <v>378.0</v>
      </c>
      <c r="I1077" s="12">
        <v>2.0</v>
      </c>
      <c r="J1077" s="12">
        <v>5.0</v>
      </c>
      <c r="K1077" s="11" t="s">
        <v>21</v>
      </c>
      <c r="L1077" s="7">
        <v>40283.384351851855</v>
      </c>
      <c r="M1077" s="13" t="s">
        <v>94</v>
      </c>
      <c r="N1077" s="13" t="s">
        <v>95</v>
      </c>
      <c r="O1077" s="10" t="str">
        <f>HYPERLINK("https://pbs.twimg.com/profile_images/704873222802636800/7aFEMOY5_normal.jpg","View")</f>
        <v>View</v>
      </c>
      <c r="P1077" s="14"/>
    </row>
    <row r="1078">
      <c r="A1078" s="7">
        <v>42433.82709490741</v>
      </c>
      <c r="B1078" s="8" t="str">
        <f>HYPERLINK("https://twitter.com/rebekkahrubin","@rebekkahrubin")</f>
        <v>@rebekkahrubin</v>
      </c>
      <c r="C1078" s="9" t="s">
        <v>141</v>
      </c>
      <c r="D1078" s="9" t="s">
        <v>1140</v>
      </c>
      <c r="E1078" s="10" t="str">
        <f>HYPERLINK("https://twitter.com/rebekkahrubin/status/705933604975742980","705933604975742980")</f>
        <v>705933604975742980</v>
      </c>
      <c r="F1078" s="11" t="s">
        <v>31</v>
      </c>
      <c r="G1078" s="12">
        <v>492.0</v>
      </c>
      <c r="H1078" s="12">
        <v>1224.0</v>
      </c>
      <c r="I1078" s="12">
        <v>1.0</v>
      </c>
      <c r="J1078" s="12">
        <v>1.0</v>
      </c>
      <c r="K1078" s="11" t="s">
        <v>21</v>
      </c>
      <c r="L1078" s="7">
        <v>40411.521527777775</v>
      </c>
      <c r="M1078" s="13" t="s">
        <v>143</v>
      </c>
      <c r="N1078" s="13" t="s">
        <v>144</v>
      </c>
      <c r="O1078" s="10" t="str">
        <f>HYPERLINK("https://pbs.twimg.com/profile_images/700317732588408832/Ym_-neUi_normal.jpg","View")</f>
        <v>View</v>
      </c>
      <c r="P1078" s="14"/>
    </row>
    <row r="1079">
      <c r="A1079" s="7">
        <v>42433.82724537037</v>
      </c>
      <c r="B1079" s="8" t="str">
        <f>HYPERLINK("https://twitter.com/pastpunditry","@pastpunditry")</f>
        <v>@pastpunditry</v>
      </c>
      <c r="C1079" s="9" t="s">
        <v>92</v>
      </c>
      <c r="D1079" s="9" t="s">
        <v>1141</v>
      </c>
      <c r="E1079" s="10" t="str">
        <f>HYPERLINK("https://twitter.com/pastpunditry/status/705933657593257984","705933657593257984")</f>
        <v>705933657593257984</v>
      </c>
      <c r="F1079" s="11" t="s">
        <v>77</v>
      </c>
      <c r="G1079" s="12">
        <v>890.0</v>
      </c>
      <c r="H1079" s="12">
        <v>378.0</v>
      </c>
      <c r="I1079" s="12">
        <v>0.0</v>
      </c>
      <c r="J1079" s="12">
        <v>2.0</v>
      </c>
      <c r="K1079" s="11" t="s">
        <v>21</v>
      </c>
      <c r="L1079" s="7">
        <v>40283.384351851855</v>
      </c>
      <c r="M1079" s="13" t="s">
        <v>94</v>
      </c>
      <c r="N1079" s="13" t="s">
        <v>95</v>
      </c>
      <c r="O1079" s="10" t="str">
        <f>HYPERLINK("https://pbs.twimg.com/profile_images/704873222802636800/7aFEMOY5_normal.jpg","View")</f>
        <v>View</v>
      </c>
      <c r="P1079" s="14"/>
    </row>
    <row r="1080">
      <c r="A1080" s="7">
        <v>42433.827326388884</v>
      </c>
      <c r="B1080" s="8" t="str">
        <f>HYPERLINK("https://twitter.com/sheishistoric","@sheishistoric")</f>
        <v>@sheishistoric</v>
      </c>
      <c r="C1080" s="9" t="s">
        <v>127</v>
      </c>
      <c r="D1080" s="9" t="s">
        <v>1142</v>
      </c>
      <c r="E1080" s="10" t="str">
        <f>HYPERLINK("https://twitter.com/sheishistoric/status/705933687507054592","705933687507054592")</f>
        <v>705933687507054592</v>
      </c>
      <c r="F1080" s="11" t="s">
        <v>26</v>
      </c>
      <c r="G1080" s="12">
        <v>405.0</v>
      </c>
      <c r="H1080" s="12">
        <v>882.0</v>
      </c>
      <c r="I1080" s="12">
        <v>1.0</v>
      </c>
      <c r="J1080" s="12">
        <v>0.0</v>
      </c>
      <c r="K1080" s="11" t="s">
        <v>21</v>
      </c>
      <c r="L1080" s="7">
        <v>41529.842094907406</v>
      </c>
      <c r="M1080" s="13" t="s">
        <v>129</v>
      </c>
      <c r="N1080" s="13" t="s">
        <v>130</v>
      </c>
      <c r="O1080" s="10" t="str">
        <f>HYPERLINK("https://pbs.twimg.com/profile_images/650419150620377089/bJxBf---_normal.jpg","View")</f>
        <v>View</v>
      </c>
      <c r="P1080" s="14"/>
    </row>
    <row r="1081">
      <c r="A1081" s="7">
        <v>42433.82747685185</v>
      </c>
      <c r="B1081" s="8" t="str">
        <f>HYPERLINK("https://twitter.com/juliegpeterson","@juliegpeterson")</f>
        <v>@juliegpeterson</v>
      </c>
      <c r="C1081" s="9" t="s">
        <v>24</v>
      </c>
      <c r="D1081" s="9" t="s">
        <v>1143</v>
      </c>
      <c r="E1081" s="10" t="str">
        <f>HYPERLINK("https://twitter.com/juliegpeterson/status/705933743928840192","705933743928840192")</f>
        <v>705933743928840192</v>
      </c>
      <c r="F1081" s="11" t="s">
        <v>26</v>
      </c>
      <c r="G1081" s="12">
        <v>239.0</v>
      </c>
      <c r="H1081" s="12">
        <v>775.0</v>
      </c>
      <c r="I1081" s="12">
        <v>2.0</v>
      </c>
      <c r="J1081" s="12">
        <v>2.0</v>
      </c>
      <c r="K1081" s="11" t="s">
        <v>21</v>
      </c>
      <c r="L1081" s="7">
        <v>41208.65523148148</v>
      </c>
      <c r="M1081" s="13" t="s">
        <v>22</v>
      </c>
      <c r="N1081" s="13" t="s">
        <v>27</v>
      </c>
      <c r="O1081" s="10" t="str">
        <f>HYPERLINK("https://pbs.twimg.com/profile_images/609765839051452416/GNW0wSt0_normal.jpg","View")</f>
        <v>View</v>
      </c>
      <c r="P1081" s="14"/>
    </row>
    <row r="1082">
      <c r="A1082" s="7">
        <v>42433.82765046296</v>
      </c>
      <c r="B1082" s="8" t="str">
        <f>HYPERLINK("https://twitter.com/cameshascruggs","@cameshascruggs")</f>
        <v>@cameshascruggs</v>
      </c>
      <c r="C1082" s="9" t="s">
        <v>761</v>
      </c>
      <c r="D1082" s="9" t="s">
        <v>933</v>
      </c>
      <c r="E1082" s="10" t="str">
        <f>HYPERLINK("https://twitter.com/cameshascruggs/status/705933806813970433","705933806813970433")</f>
        <v>705933806813970433</v>
      </c>
      <c r="F1082" s="11" t="s">
        <v>43</v>
      </c>
      <c r="G1082" s="12">
        <v>144.0</v>
      </c>
      <c r="H1082" s="12">
        <v>551.0</v>
      </c>
      <c r="I1082" s="12">
        <v>5.0</v>
      </c>
      <c r="J1082" s="12">
        <v>0.0</v>
      </c>
      <c r="K1082" s="11" t="s">
        <v>21</v>
      </c>
      <c r="L1082" s="7">
        <v>39897.69201388889</v>
      </c>
      <c r="M1082" s="15"/>
      <c r="N1082" s="13" t="s">
        <v>762</v>
      </c>
      <c r="O1082" s="10" t="str">
        <f>HYPERLINK("https://pbs.twimg.com/profile_images/187613030/me_in_panel_mode_normal.jpg","View")</f>
        <v>View</v>
      </c>
      <c r="P1082" s="14"/>
    </row>
    <row r="1083">
      <c r="A1083" s="7">
        <v>42433.82770833334</v>
      </c>
      <c r="B1083" s="8" t="str">
        <f t="shared" ref="B1083:B1084" si="235">HYPERLINK("https://twitter.com/pastpunditry","@pastpunditry")</f>
        <v>@pastpunditry</v>
      </c>
      <c r="C1083" s="9" t="s">
        <v>92</v>
      </c>
      <c r="D1083" s="9" t="s">
        <v>1144</v>
      </c>
      <c r="E1083" s="10" t="str">
        <f>HYPERLINK("https://twitter.com/pastpunditry/status/705933827441598464","705933827441598464")</f>
        <v>705933827441598464</v>
      </c>
      <c r="F1083" s="11" t="s">
        <v>77</v>
      </c>
      <c r="G1083" s="12">
        <v>890.0</v>
      </c>
      <c r="H1083" s="12">
        <v>378.0</v>
      </c>
      <c r="I1083" s="12">
        <v>3.0</v>
      </c>
      <c r="J1083" s="12">
        <v>2.0</v>
      </c>
      <c r="K1083" s="11" t="s">
        <v>21</v>
      </c>
      <c r="L1083" s="7">
        <v>40283.384351851855</v>
      </c>
      <c r="M1083" s="13" t="s">
        <v>94</v>
      </c>
      <c r="N1083" s="13" t="s">
        <v>95</v>
      </c>
      <c r="O1083" s="10" t="str">
        <f t="shared" ref="O1083:O1084" si="236">HYPERLINK("https://pbs.twimg.com/profile_images/704873222802636800/7aFEMOY5_normal.jpg","View")</f>
        <v>View</v>
      </c>
      <c r="P1083" s="14"/>
    </row>
    <row r="1084">
      <c r="A1084" s="7">
        <v>42433.82775462963</v>
      </c>
      <c r="B1084" s="8" t="str">
        <f t="shared" si="235"/>
        <v>@pastpunditry</v>
      </c>
      <c r="C1084" s="9" t="s">
        <v>92</v>
      </c>
      <c r="D1084" s="9" t="s">
        <v>1145</v>
      </c>
      <c r="E1084" s="10" t="str">
        <f>HYPERLINK("https://twitter.com/pastpunditry/status/705933841719009280","705933841719009280")</f>
        <v>705933841719009280</v>
      </c>
      <c r="F1084" s="11" t="s">
        <v>77</v>
      </c>
      <c r="G1084" s="12">
        <v>890.0</v>
      </c>
      <c r="H1084" s="12">
        <v>378.0</v>
      </c>
      <c r="I1084" s="12">
        <v>2.0</v>
      </c>
      <c r="J1084" s="12">
        <v>0.0</v>
      </c>
      <c r="K1084" s="11" t="s">
        <v>21</v>
      </c>
      <c r="L1084" s="7">
        <v>40283.384351851855</v>
      </c>
      <c r="M1084" s="13" t="s">
        <v>94</v>
      </c>
      <c r="N1084" s="13" t="s">
        <v>95</v>
      </c>
      <c r="O1084" s="10" t="str">
        <f t="shared" si="236"/>
        <v>View</v>
      </c>
      <c r="P1084" s="14"/>
    </row>
    <row r="1085">
      <c r="A1085" s="7">
        <v>42433.82780092592</v>
      </c>
      <c r="B1085" s="8" t="str">
        <f>HYPERLINK("https://twitter.com/erfagen","@erfagen")</f>
        <v>@erfagen</v>
      </c>
      <c r="C1085" s="9" t="s">
        <v>124</v>
      </c>
      <c r="D1085" s="9" t="s">
        <v>1146</v>
      </c>
      <c r="E1085" s="10" t="str">
        <f>HYPERLINK("https://twitter.com/erfagen/status/705933858785632256","705933858785632256")</f>
        <v>705933858785632256</v>
      </c>
      <c r="F1085" s="11" t="s">
        <v>26</v>
      </c>
      <c r="G1085" s="12">
        <v>1055.0</v>
      </c>
      <c r="H1085" s="12">
        <v>2055.0</v>
      </c>
      <c r="I1085" s="12">
        <v>2.0</v>
      </c>
      <c r="J1085" s="12">
        <v>0.0</v>
      </c>
      <c r="K1085" s="11" t="s">
        <v>21</v>
      </c>
      <c r="L1085" s="7">
        <v>40524.93576388889</v>
      </c>
      <c r="M1085" s="13" t="s">
        <v>125</v>
      </c>
      <c r="N1085" s="13" t="s">
        <v>126</v>
      </c>
      <c r="O1085" s="10" t="str">
        <f>HYPERLINK("https://pbs.twimg.com/profile_images/638086945722249217/mid_S_BQ_normal.jpg","View")</f>
        <v>View</v>
      </c>
      <c r="P1085" s="14"/>
    </row>
    <row r="1086">
      <c r="A1086" s="7">
        <v>42433.827835648146</v>
      </c>
      <c r="B1086" s="8" t="str">
        <f>HYPERLINK("https://twitter.com/rebekkahrubin","@rebekkahrubin")</f>
        <v>@rebekkahrubin</v>
      </c>
      <c r="C1086" s="9" t="s">
        <v>141</v>
      </c>
      <c r="D1086" s="9" t="s">
        <v>1147</v>
      </c>
      <c r="E1086" s="10" t="str">
        <f>HYPERLINK("https://twitter.com/rebekkahrubin/status/705933872891035648","705933872891035648")</f>
        <v>705933872891035648</v>
      </c>
      <c r="F1086" s="11" t="s">
        <v>31</v>
      </c>
      <c r="G1086" s="12">
        <v>492.0</v>
      </c>
      <c r="H1086" s="12">
        <v>1224.0</v>
      </c>
      <c r="I1086" s="12">
        <v>0.0</v>
      </c>
      <c r="J1086" s="12">
        <v>2.0</v>
      </c>
      <c r="K1086" s="11" t="s">
        <v>21</v>
      </c>
      <c r="L1086" s="7">
        <v>40411.521527777775</v>
      </c>
      <c r="M1086" s="13" t="s">
        <v>143</v>
      </c>
      <c r="N1086" s="13" t="s">
        <v>144</v>
      </c>
      <c r="O1086" s="10" t="str">
        <f>HYPERLINK("https://pbs.twimg.com/profile_images/700317732588408832/Ym_-neUi_normal.jpg","View")</f>
        <v>View</v>
      </c>
      <c r="P1086" s="14"/>
    </row>
    <row r="1087">
      <c r="A1087" s="7">
        <v>42433.827928240746</v>
      </c>
      <c r="B1087" s="8" t="str">
        <f>HYPERLINK("https://twitter.com/JimGrossmanAHA","@JimGrossmanAHA")</f>
        <v>@JimGrossmanAHA</v>
      </c>
      <c r="C1087" s="9" t="s">
        <v>278</v>
      </c>
      <c r="D1087" s="9" t="s">
        <v>1148</v>
      </c>
      <c r="E1087" s="10" t="str">
        <f>HYPERLINK("https://twitter.com/JimGrossmanAHA/status/705933906051264513","705933906051264513")</f>
        <v>705933906051264513</v>
      </c>
      <c r="F1087" s="11" t="s">
        <v>31</v>
      </c>
      <c r="G1087" s="12">
        <v>2241.0</v>
      </c>
      <c r="H1087" s="12">
        <v>368.0</v>
      </c>
      <c r="I1087" s="12">
        <v>3.0</v>
      </c>
      <c r="J1087" s="12">
        <v>2.0</v>
      </c>
      <c r="K1087" s="11" t="s">
        <v>21</v>
      </c>
      <c r="L1087" s="7">
        <v>41576.36603009259</v>
      </c>
      <c r="M1087" s="13" t="s">
        <v>279</v>
      </c>
      <c r="N1087" s="13" t="s">
        <v>280</v>
      </c>
      <c r="O1087" s="10" t="str">
        <f>HYPERLINK("https://pbs.twimg.com/profile_images/378800000667891782/44d7b181c077bf16ab07b242f7ad81b9_normal.png","View")</f>
        <v>View</v>
      </c>
      <c r="P1087" s="14"/>
    </row>
    <row r="1088">
      <c r="A1088" s="7">
        <v>42433.82810185185</v>
      </c>
      <c r="B1088" s="8" t="str">
        <f>HYPERLINK("https://twitter.com/defactofecteau","@defactofecteau")</f>
        <v>@defactofecteau</v>
      </c>
      <c r="C1088" s="9" t="s">
        <v>665</v>
      </c>
      <c r="D1088" s="9" t="s">
        <v>1149</v>
      </c>
      <c r="E1088" s="10" t="str">
        <f>HYPERLINK("https://twitter.com/defactofecteau/status/705933968839942145","705933968839942145")</f>
        <v>705933968839942145</v>
      </c>
      <c r="F1088" s="11" t="s">
        <v>148</v>
      </c>
      <c r="G1088" s="12">
        <v>46.0</v>
      </c>
      <c r="H1088" s="12">
        <v>104.0</v>
      </c>
      <c r="I1088" s="12">
        <v>1.0</v>
      </c>
      <c r="J1088" s="12">
        <v>1.0</v>
      </c>
      <c r="K1088" s="11" t="s">
        <v>21</v>
      </c>
      <c r="L1088" s="7">
        <v>41684.53481481482</v>
      </c>
      <c r="M1088" s="15"/>
      <c r="N1088" s="13" t="s">
        <v>667</v>
      </c>
      <c r="O1088" s="10" t="str">
        <f>HYPERLINK("https://pbs.twimg.com/profile_images/434404729263648768/vsAZLFtj_normal.jpeg","View")</f>
        <v>View</v>
      </c>
      <c r="P1088" s="14"/>
    </row>
    <row r="1089">
      <c r="A1089" s="7">
        <v>42433.82824074074</v>
      </c>
      <c r="B1089" s="8" t="str">
        <f t="shared" ref="B1089:B1090" si="237">HYPERLINK("https://twitter.com/pastpunditry","@pastpunditry")</f>
        <v>@pastpunditry</v>
      </c>
      <c r="C1089" s="9" t="s">
        <v>92</v>
      </c>
      <c r="D1089" s="9" t="s">
        <v>1150</v>
      </c>
      <c r="E1089" s="10" t="str">
        <f>HYPERLINK("https://twitter.com/pastpunditry/status/705934021138759680","705934021138759680")</f>
        <v>705934021138759680</v>
      </c>
      <c r="F1089" s="11" t="s">
        <v>77</v>
      </c>
      <c r="G1089" s="12">
        <v>890.0</v>
      </c>
      <c r="H1089" s="12">
        <v>378.0</v>
      </c>
      <c r="I1089" s="12">
        <v>3.0</v>
      </c>
      <c r="J1089" s="12">
        <v>3.0</v>
      </c>
      <c r="K1089" s="11" t="s">
        <v>21</v>
      </c>
      <c r="L1089" s="7">
        <v>40283.384351851855</v>
      </c>
      <c r="M1089" s="13" t="s">
        <v>94</v>
      </c>
      <c r="N1089" s="13" t="s">
        <v>95</v>
      </c>
      <c r="O1089" s="10" t="str">
        <f t="shared" ref="O1089:O1090" si="238">HYPERLINK("https://pbs.twimg.com/profile_images/704873222802636800/7aFEMOY5_normal.jpg","View")</f>
        <v>View</v>
      </c>
      <c r="P1089" s="14"/>
    </row>
    <row r="1090">
      <c r="A1090" s="7">
        <v>42433.828298611115</v>
      </c>
      <c r="B1090" s="8" t="str">
        <f t="shared" si="237"/>
        <v>@pastpunditry</v>
      </c>
      <c r="C1090" s="9" t="s">
        <v>92</v>
      </c>
      <c r="D1090" s="9" t="s">
        <v>1151</v>
      </c>
      <c r="E1090" s="10" t="str">
        <f>HYPERLINK("https://twitter.com/pastpunditry/status/705934040973643776","705934040973643776")</f>
        <v>705934040973643776</v>
      </c>
      <c r="F1090" s="11" t="s">
        <v>77</v>
      </c>
      <c r="G1090" s="12">
        <v>890.0</v>
      </c>
      <c r="H1090" s="12">
        <v>378.0</v>
      </c>
      <c r="I1090" s="12">
        <v>3.0</v>
      </c>
      <c r="J1090" s="12">
        <v>0.0</v>
      </c>
      <c r="K1090" s="11" t="s">
        <v>21</v>
      </c>
      <c r="L1090" s="7">
        <v>40283.384351851855</v>
      </c>
      <c r="M1090" s="13" t="s">
        <v>94</v>
      </c>
      <c r="N1090" s="13" t="s">
        <v>95</v>
      </c>
      <c r="O1090" s="10" t="str">
        <f t="shared" si="238"/>
        <v>View</v>
      </c>
      <c r="P1090" s="14"/>
    </row>
    <row r="1091">
      <c r="A1091" s="7">
        <v>42433.828298611115</v>
      </c>
      <c r="B1091" s="8" t="str">
        <f>HYPERLINK("https://twitter.com/CMcKNichols","@CMcKNichols")</f>
        <v>@CMcKNichols</v>
      </c>
      <c r="C1091" s="9" t="s">
        <v>1152</v>
      </c>
      <c r="D1091" s="9" t="s">
        <v>1153</v>
      </c>
      <c r="E1091" s="10" t="str">
        <f>HYPERLINK("https://twitter.com/CMcKNichols/status/705934042101747712","705934042101747712")</f>
        <v>705934042101747712</v>
      </c>
      <c r="F1091" s="11" t="s">
        <v>31</v>
      </c>
      <c r="G1091" s="12">
        <v>692.0</v>
      </c>
      <c r="H1091" s="12">
        <v>682.0</v>
      </c>
      <c r="I1091" s="12">
        <v>3.0</v>
      </c>
      <c r="J1091" s="12">
        <v>0.0</v>
      </c>
      <c r="K1091" s="11" t="s">
        <v>21</v>
      </c>
      <c r="L1091" s="7">
        <v>41587.7491087963</v>
      </c>
      <c r="M1091" s="13" t="s">
        <v>1154</v>
      </c>
      <c r="N1091" s="13" t="s">
        <v>1155</v>
      </c>
      <c r="O1091" s="10" t="str">
        <f>HYPERLINK("https://pbs.twimg.com/profile_images/378800000718447254/1707ea1ae4118345df3bf46b14e95cd8_normal.jpeg","View")</f>
        <v>View</v>
      </c>
      <c r="P1091" s="14"/>
    </row>
    <row r="1092">
      <c r="A1092" s="7">
        <v>42433.82834490741</v>
      </c>
      <c r="B1092" s="8" t="str">
        <f>HYPERLINK("https://twitter.com/rebekkahrubin","@rebekkahrubin")</f>
        <v>@rebekkahrubin</v>
      </c>
      <c r="C1092" s="9" t="s">
        <v>141</v>
      </c>
      <c r="D1092" s="9" t="s">
        <v>1156</v>
      </c>
      <c r="E1092" s="10" t="str">
        <f>HYPERLINK("https://twitter.com/rebekkahrubin/status/705934057826336771","705934057826336771")</f>
        <v>705934057826336771</v>
      </c>
      <c r="F1092" s="11" t="s">
        <v>31</v>
      </c>
      <c r="G1092" s="12">
        <v>492.0</v>
      </c>
      <c r="H1092" s="12">
        <v>1224.0</v>
      </c>
      <c r="I1092" s="12">
        <v>1.0</v>
      </c>
      <c r="J1092" s="12">
        <v>3.0</v>
      </c>
      <c r="K1092" s="11" t="s">
        <v>21</v>
      </c>
      <c r="L1092" s="7">
        <v>40411.521527777775</v>
      </c>
      <c r="M1092" s="13" t="s">
        <v>143</v>
      </c>
      <c r="N1092" s="13" t="s">
        <v>144</v>
      </c>
      <c r="O1092" s="10" t="str">
        <f>HYPERLINK("https://pbs.twimg.com/profile_images/700317732588408832/Ym_-neUi_normal.jpg","View")</f>
        <v>View</v>
      </c>
      <c r="P1092" s="14"/>
    </row>
    <row r="1093">
      <c r="A1093" s="7">
        <v>42433.82840277778</v>
      </c>
      <c r="B1093" s="8" t="str">
        <f>HYPERLINK("https://twitter.com/sheishistoric","@sheishistoric")</f>
        <v>@sheishistoric</v>
      </c>
      <c r="C1093" s="9" t="s">
        <v>127</v>
      </c>
      <c r="D1093" s="9" t="s">
        <v>1153</v>
      </c>
      <c r="E1093" s="10" t="str">
        <f>HYPERLINK("https://twitter.com/sheishistoric/status/705934077724127232","705934077724127232")</f>
        <v>705934077724127232</v>
      </c>
      <c r="F1093" s="11" t="s">
        <v>26</v>
      </c>
      <c r="G1093" s="12">
        <v>405.0</v>
      </c>
      <c r="H1093" s="12">
        <v>882.0</v>
      </c>
      <c r="I1093" s="12">
        <v>3.0</v>
      </c>
      <c r="J1093" s="12">
        <v>0.0</v>
      </c>
      <c r="K1093" s="11" t="s">
        <v>21</v>
      </c>
      <c r="L1093" s="7">
        <v>41529.842094907406</v>
      </c>
      <c r="M1093" s="13" t="s">
        <v>129</v>
      </c>
      <c r="N1093" s="13" t="s">
        <v>130</v>
      </c>
      <c r="O1093" s="10" t="str">
        <f>HYPERLINK("https://pbs.twimg.com/profile_images/650419150620377089/bJxBf---_normal.jpg","View")</f>
        <v>View</v>
      </c>
      <c r="P1093" s="14"/>
    </row>
    <row r="1094">
      <c r="A1094" s="7">
        <v>42433.82842592592</v>
      </c>
      <c r="B1094" s="8" t="str">
        <f>HYPERLINK("https://twitter.com/AmandaMoniz1","@AmandaMoniz1")</f>
        <v>@AmandaMoniz1</v>
      </c>
      <c r="C1094" s="9" t="s">
        <v>66</v>
      </c>
      <c r="D1094" s="9" t="s">
        <v>1157</v>
      </c>
      <c r="E1094" s="10" t="str">
        <f>HYPERLINK("https://twitter.com/AmandaMoniz1/status/705934084564975617","705934084564975617")</f>
        <v>705934084564975617</v>
      </c>
      <c r="F1094" s="11" t="s">
        <v>26</v>
      </c>
      <c r="G1094" s="12">
        <v>622.0</v>
      </c>
      <c r="H1094" s="12">
        <v>607.0</v>
      </c>
      <c r="I1094" s="12">
        <v>3.0</v>
      </c>
      <c r="J1094" s="12">
        <v>0.0</v>
      </c>
      <c r="K1094" s="11" t="s">
        <v>21</v>
      </c>
      <c r="L1094" s="7">
        <v>40766.33971064815</v>
      </c>
      <c r="M1094" s="15"/>
      <c r="N1094" s="13" t="s">
        <v>68</v>
      </c>
      <c r="O1094" s="10" t="str">
        <f>HYPERLINK("https://pbs.twimg.com/profile_images/378800000149111881/7969acf9cec4197748b502a6a6c3d921_normal.jpeg","View")</f>
        <v>View</v>
      </c>
      <c r="P1094" s="14"/>
    </row>
    <row r="1095">
      <c r="A1095" s="7">
        <v>42433.8284375</v>
      </c>
      <c r="B1095" s="8" t="str">
        <f>HYPERLINK("https://twitter.com/jamiaw","@jamiaw")</f>
        <v>@jamiaw</v>
      </c>
      <c r="C1095" s="9" t="s">
        <v>324</v>
      </c>
      <c r="D1095" s="9" t="s">
        <v>1158</v>
      </c>
      <c r="E1095" s="10" t="str">
        <f>HYPERLINK("https://twitter.com/jamiaw/status/705934092756451328","705934092756451328")</f>
        <v>705934092756451328</v>
      </c>
      <c r="F1095" s="11" t="s">
        <v>26</v>
      </c>
      <c r="G1095" s="12">
        <v>11336.0</v>
      </c>
      <c r="H1095" s="12">
        <v>7815.0</v>
      </c>
      <c r="I1095" s="12">
        <v>9.0</v>
      </c>
      <c r="J1095" s="12">
        <v>8.0</v>
      </c>
      <c r="K1095" s="11" t="s">
        <v>21</v>
      </c>
      <c r="L1095" s="7">
        <v>39642.39741898148</v>
      </c>
      <c r="M1095" s="13" t="s">
        <v>325</v>
      </c>
      <c r="N1095" s="13" t="s">
        <v>326</v>
      </c>
      <c r="O1095" s="10" t="str">
        <f>HYPERLINK("https://pbs.twimg.com/profile_images/701102020061753344/5zH70uem_normal.jpg","View")</f>
        <v>View</v>
      </c>
      <c r="P1095" s="14"/>
    </row>
    <row r="1096">
      <c r="A1096" s="7">
        <v>42433.82853009259</v>
      </c>
      <c r="B1096" s="8" t="str">
        <f>HYPERLINK("https://twitter.com/GHAUmass","@GHAUmass")</f>
        <v>@GHAUmass</v>
      </c>
      <c r="C1096" s="9" t="s">
        <v>30</v>
      </c>
      <c r="D1096" s="9" t="s">
        <v>1159</v>
      </c>
      <c r="E1096" s="10" t="str">
        <f>HYPERLINK("https://twitter.com/GHAUmass/status/705934122259238912","705934122259238912")</f>
        <v>705934122259238912</v>
      </c>
      <c r="F1096" s="11" t="s">
        <v>26</v>
      </c>
      <c r="G1096" s="12">
        <v>68.0</v>
      </c>
      <c r="H1096" s="12">
        <v>100.0</v>
      </c>
      <c r="I1096" s="12">
        <v>1.0</v>
      </c>
      <c r="J1096" s="12">
        <v>0.0</v>
      </c>
      <c r="K1096" s="11" t="s">
        <v>21</v>
      </c>
      <c r="L1096" s="7">
        <v>42152.65289351852</v>
      </c>
      <c r="M1096" s="13" t="s">
        <v>22</v>
      </c>
      <c r="N1096" s="13" t="s">
        <v>32</v>
      </c>
      <c r="O1096" s="10" t="str">
        <f>HYPERLINK("https://pbs.twimg.com/profile_images/604060333590855682/Fk6r1D7d_normal.jpg","View")</f>
        <v>View</v>
      </c>
      <c r="P1096" s="14"/>
    </row>
    <row r="1097">
      <c r="A1097" s="7">
        <v>42433.82864583333</v>
      </c>
      <c r="B1097" s="8" t="str">
        <f>HYPERLINK("https://twitter.com/pastpunditry","@pastpunditry")</f>
        <v>@pastpunditry</v>
      </c>
      <c r="C1097" s="9" t="s">
        <v>92</v>
      </c>
      <c r="D1097" s="9" t="s">
        <v>1160</v>
      </c>
      <c r="E1097" s="10" t="str">
        <f>HYPERLINK("https://twitter.com/pastpunditry/status/705934165087227904","705934165087227904")</f>
        <v>705934165087227904</v>
      </c>
      <c r="F1097" s="11" t="s">
        <v>77</v>
      </c>
      <c r="G1097" s="12">
        <v>890.0</v>
      </c>
      <c r="H1097" s="12">
        <v>378.0</v>
      </c>
      <c r="I1097" s="12">
        <v>9.0</v>
      </c>
      <c r="J1097" s="12">
        <v>0.0</v>
      </c>
      <c r="K1097" s="11" t="s">
        <v>21</v>
      </c>
      <c r="L1097" s="7">
        <v>40283.384351851855</v>
      </c>
      <c r="M1097" s="13" t="s">
        <v>94</v>
      </c>
      <c r="N1097" s="13" t="s">
        <v>95</v>
      </c>
      <c r="O1097" s="10" t="str">
        <f>HYPERLINK("https://pbs.twimg.com/profile_images/704873222802636800/7aFEMOY5_normal.jpg","View")</f>
        <v>View</v>
      </c>
      <c r="P1097" s="14"/>
    </row>
    <row r="1098">
      <c r="A1098" s="7">
        <v>42433.828784722224</v>
      </c>
      <c r="B1098" s="8" t="str">
        <f>HYPERLINK("https://twitter.com/GHAUmass","@GHAUmass")</f>
        <v>@GHAUmass</v>
      </c>
      <c r="C1098" s="9" t="s">
        <v>30</v>
      </c>
      <c r="D1098" s="9" t="s">
        <v>1161</v>
      </c>
      <c r="E1098" s="10" t="str">
        <f>HYPERLINK("https://twitter.com/GHAUmass/status/705934216278761472","705934216278761472")</f>
        <v>705934216278761472</v>
      </c>
      <c r="F1098" s="11" t="s">
        <v>26</v>
      </c>
      <c r="G1098" s="12">
        <v>68.0</v>
      </c>
      <c r="H1098" s="12">
        <v>100.0</v>
      </c>
      <c r="I1098" s="12">
        <v>2.0</v>
      </c>
      <c r="J1098" s="12">
        <v>0.0</v>
      </c>
      <c r="K1098" s="11" t="s">
        <v>21</v>
      </c>
      <c r="L1098" s="7">
        <v>42152.65289351852</v>
      </c>
      <c r="M1098" s="13" t="s">
        <v>22</v>
      </c>
      <c r="N1098" s="13" t="s">
        <v>32</v>
      </c>
      <c r="O1098" s="10" t="str">
        <f>HYPERLINK("https://pbs.twimg.com/profile_images/604060333590855682/Fk6r1D7d_normal.jpg","View")</f>
        <v>View</v>
      </c>
      <c r="P1098" s="14"/>
    </row>
    <row r="1099">
      <c r="A1099" s="7">
        <v>42433.828877314816</v>
      </c>
      <c r="B1099" s="8" t="str">
        <f>HYPERLINK("https://twitter.com/sheishistoric","@sheishistoric")</f>
        <v>@sheishistoric</v>
      </c>
      <c r="C1099" s="9" t="s">
        <v>127</v>
      </c>
      <c r="D1099" s="9" t="s">
        <v>1160</v>
      </c>
      <c r="E1099" s="10" t="str">
        <f>HYPERLINK("https://twitter.com/sheishistoric/status/705934248692346881","705934248692346881")</f>
        <v>705934248692346881</v>
      </c>
      <c r="F1099" s="11" t="s">
        <v>26</v>
      </c>
      <c r="G1099" s="12">
        <v>405.0</v>
      </c>
      <c r="H1099" s="12">
        <v>882.0</v>
      </c>
      <c r="I1099" s="12">
        <v>9.0</v>
      </c>
      <c r="J1099" s="12">
        <v>0.0</v>
      </c>
      <c r="K1099" s="11" t="s">
        <v>21</v>
      </c>
      <c r="L1099" s="7">
        <v>41529.842094907406</v>
      </c>
      <c r="M1099" s="13" t="s">
        <v>129</v>
      </c>
      <c r="N1099" s="13" t="s">
        <v>130</v>
      </c>
      <c r="O1099" s="10" t="str">
        <f>HYPERLINK("https://pbs.twimg.com/profile_images/650419150620377089/bJxBf---_normal.jpg","View")</f>
        <v>View</v>
      </c>
      <c r="P1099" s="14"/>
    </row>
    <row r="1100">
      <c r="A1100" s="7">
        <v>42433.82891203703</v>
      </c>
      <c r="B1100" s="8" t="str">
        <f t="shared" ref="B1100:B1101" si="239">HYPERLINK("https://twitter.com/GHAUmass","@GHAUmass")</f>
        <v>@GHAUmass</v>
      </c>
      <c r="C1100" s="9" t="s">
        <v>30</v>
      </c>
      <c r="D1100" s="9" t="s">
        <v>1153</v>
      </c>
      <c r="E1100" s="10" t="str">
        <f>HYPERLINK("https://twitter.com/GHAUmass/status/705934263196188672","705934263196188672")</f>
        <v>705934263196188672</v>
      </c>
      <c r="F1100" s="11" t="s">
        <v>26</v>
      </c>
      <c r="G1100" s="12">
        <v>68.0</v>
      </c>
      <c r="H1100" s="12">
        <v>100.0</v>
      </c>
      <c r="I1100" s="12">
        <v>3.0</v>
      </c>
      <c r="J1100" s="12">
        <v>0.0</v>
      </c>
      <c r="K1100" s="11" t="s">
        <v>21</v>
      </c>
      <c r="L1100" s="7">
        <v>42152.65289351852</v>
      </c>
      <c r="M1100" s="13" t="s">
        <v>22</v>
      </c>
      <c r="N1100" s="13" t="s">
        <v>32</v>
      </c>
      <c r="O1100" s="10" t="str">
        <f t="shared" ref="O1100:O1101" si="240">HYPERLINK("https://pbs.twimg.com/profile_images/604060333590855682/Fk6r1D7d_normal.jpg","View")</f>
        <v>View</v>
      </c>
      <c r="P1100" s="14"/>
    </row>
    <row r="1101">
      <c r="A1101" s="7">
        <v>42433.82896990741</v>
      </c>
      <c r="B1101" s="8" t="str">
        <f t="shared" si="239"/>
        <v>@GHAUmass</v>
      </c>
      <c r="C1101" s="9" t="s">
        <v>30</v>
      </c>
      <c r="D1101" s="9" t="s">
        <v>1151</v>
      </c>
      <c r="E1101" s="10" t="str">
        <f>HYPERLINK("https://twitter.com/GHAUmass/status/705934285677666304","705934285677666304")</f>
        <v>705934285677666304</v>
      </c>
      <c r="F1101" s="11" t="s">
        <v>26</v>
      </c>
      <c r="G1101" s="12">
        <v>68.0</v>
      </c>
      <c r="H1101" s="12">
        <v>100.0</v>
      </c>
      <c r="I1101" s="12">
        <v>3.0</v>
      </c>
      <c r="J1101" s="12">
        <v>0.0</v>
      </c>
      <c r="K1101" s="11" t="s">
        <v>21</v>
      </c>
      <c r="L1101" s="7">
        <v>42152.65289351852</v>
      </c>
      <c r="M1101" s="13" t="s">
        <v>22</v>
      </c>
      <c r="N1101" s="13" t="s">
        <v>32</v>
      </c>
      <c r="O1101" s="10" t="str">
        <f t="shared" si="240"/>
        <v>View</v>
      </c>
      <c r="P1101" s="14"/>
    </row>
    <row r="1102">
      <c r="A1102" s="7">
        <v>42433.82902777778</v>
      </c>
      <c r="B1102" s="8" t="str">
        <f>HYPERLINK("https://twitter.com/pastpunditry","@pastpunditry")</f>
        <v>@pastpunditry</v>
      </c>
      <c r="C1102" s="9" t="s">
        <v>92</v>
      </c>
      <c r="D1102" s="9" t="s">
        <v>1162</v>
      </c>
      <c r="E1102" s="10" t="str">
        <f>HYPERLINK("https://twitter.com/pastpunditry/status/705934305642549248","705934305642549248")</f>
        <v>705934305642549248</v>
      </c>
      <c r="F1102" s="11" t="s">
        <v>77</v>
      </c>
      <c r="G1102" s="12">
        <v>890.0</v>
      </c>
      <c r="H1102" s="12">
        <v>378.0</v>
      </c>
      <c r="I1102" s="12">
        <v>1.0</v>
      </c>
      <c r="J1102" s="12">
        <v>2.0</v>
      </c>
      <c r="K1102" s="11" t="s">
        <v>21</v>
      </c>
      <c r="L1102" s="7">
        <v>40283.384351851855</v>
      </c>
      <c r="M1102" s="13" t="s">
        <v>94</v>
      </c>
      <c r="N1102" s="13" t="s">
        <v>95</v>
      </c>
      <c r="O1102" s="10" t="str">
        <f>HYPERLINK("https://pbs.twimg.com/profile_images/704873222802636800/7aFEMOY5_normal.jpg","View")</f>
        <v>View</v>
      </c>
      <c r="P1102" s="14"/>
    </row>
    <row r="1103">
      <c r="A1103" s="7">
        <v>42433.82908564815</v>
      </c>
      <c r="B1103" s="8" t="str">
        <f t="shared" ref="B1103:B1104" si="241">HYPERLINK("https://twitter.com/GHAUmass","@GHAUmass")</f>
        <v>@GHAUmass</v>
      </c>
      <c r="C1103" s="9" t="s">
        <v>30</v>
      </c>
      <c r="D1103" s="9" t="s">
        <v>1157</v>
      </c>
      <c r="E1103" s="10" t="str">
        <f>HYPERLINK("https://twitter.com/GHAUmass/status/705934323829121025","705934323829121025")</f>
        <v>705934323829121025</v>
      </c>
      <c r="F1103" s="11" t="s">
        <v>26</v>
      </c>
      <c r="G1103" s="12">
        <v>68.0</v>
      </c>
      <c r="H1103" s="12">
        <v>100.0</v>
      </c>
      <c r="I1103" s="12">
        <v>3.0</v>
      </c>
      <c r="J1103" s="12">
        <v>0.0</v>
      </c>
      <c r="K1103" s="11" t="s">
        <v>21</v>
      </c>
      <c r="L1103" s="7">
        <v>42152.65289351852</v>
      </c>
      <c r="M1103" s="13" t="s">
        <v>22</v>
      </c>
      <c r="N1103" s="13" t="s">
        <v>32</v>
      </c>
      <c r="O1103" s="10" t="str">
        <f t="shared" ref="O1103:O1104" si="242">HYPERLINK("https://pbs.twimg.com/profile_images/604060333590855682/Fk6r1D7d_normal.jpg","View")</f>
        <v>View</v>
      </c>
      <c r="P1103" s="14"/>
    </row>
    <row r="1104">
      <c r="A1104" s="7">
        <v>42433.829189814816</v>
      </c>
      <c r="B1104" s="8" t="str">
        <f t="shared" si="241"/>
        <v>@GHAUmass</v>
      </c>
      <c r="C1104" s="9" t="s">
        <v>30</v>
      </c>
      <c r="D1104" s="9" t="s">
        <v>1160</v>
      </c>
      <c r="E1104" s="10" t="str">
        <f>HYPERLINK("https://twitter.com/GHAUmass/status/705934362232102913","705934362232102913")</f>
        <v>705934362232102913</v>
      </c>
      <c r="F1104" s="11" t="s">
        <v>26</v>
      </c>
      <c r="G1104" s="12">
        <v>68.0</v>
      </c>
      <c r="H1104" s="12">
        <v>100.0</v>
      </c>
      <c r="I1104" s="12">
        <v>9.0</v>
      </c>
      <c r="J1104" s="12">
        <v>0.0</v>
      </c>
      <c r="K1104" s="11" t="s">
        <v>21</v>
      </c>
      <c r="L1104" s="7">
        <v>42152.65289351852</v>
      </c>
      <c r="M1104" s="13" t="s">
        <v>22</v>
      </c>
      <c r="N1104" s="13" t="s">
        <v>32</v>
      </c>
      <c r="O1104" s="10" t="str">
        <f t="shared" si="242"/>
        <v>View</v>
      </c>
      <c r="P1104" s="14"/>
    </row>
    <row r="1105">
      <c r="A1105" s="7">
        <v>42433.82922453704</v>
      </c>
      <c r="B1105" s="8" t="str">
        <f>HYPERLINK("https://twitter.com/FortPlainMuseum","@FortPlainMuseum")</f>
        <v>@FortPlainMuseum</v>
      </c>
      <c r="C1105" s="9" t="s">
        <v>1163</v>
      </c>
      <c r="D1105" s="9" t="s">
        <v>698</v>
      </c>
      <c r="E1105" s="10" t="str">
        <f>HYPERLINK("https://twitter.com/FortPlainMuseum/status/705934376987705344","705934376987705344")</f>
        <v>705934376987705344</v>
      </c>
      <c r="F1105" s="11" t="s">
        <v>26</v>
      </c>
      <c r="G1105" s="12">
        <v>232.0</v>
      </c>
      <c r="H1105" s="12">
        <v>278.0</v>
      </c>
      <c r="I1105" s="12">
        <v>3.0</v>
      </c>
      <c r="J1105" s="12">
        <v>0.0</v>
      </c>
      <c r="K1105" s="11" t="s">
        <v>21</v>
      </c>
      <c r="L1105" s="7">
        <v>41157.81822916667</v>
      </c>
      <c r="M1105" s="13" t="s">
        <v>1164</v>
      </c>
      <c r="N1105" s="13" t="s">
        <v>1165</v>
      </c>
      <c r="O1105" s="10" t="str">
        <f>HYPERLINK("https://pbs.twimg.com/profile_images/2581279829/fortrensselaer_normal.jpg","View")</f>
        <v>View</v>
      </c>
      <c r="P1105" s="14"/>
    </row>
    <row r="1106">
      <c r="A1106" s="7">
        <v>42433.82923611111</v>
      </c>
      <c r="B1106" s="8" t="str">
        <f>HYPERLINK("https://twitter.com/historycampaign","@historycampaign")</f>
        <v>@historycampaign</v>
      </c>
      <c r="C1106" s="9" t="s">
        <v>133</v>
      </c>
      <c r="D1106" s="9" t="s">
        <v>1160</v>
      </c>
      <c r="E1106" s="10" t="str">
        <f>HYPERLINK("https://twitter.com/historycampaign/status/705934379931947008","705934379931947008")</f>
        <v>705934379931947008</v>
      </c>
      <c r="F1106" s="11" t="s">
        <v>26</v>
      </c>
      <c r="G1106" s="12">
        <v>110.0</v>
      </c>
      <c r="H1106" s="12">
        <v>59.0</v>
      </c>
      <c r="I1106" s="12">
        <v>9.0</v>
      </c>
      <c r="J1106" s="12">
        <v>0.0</v>
      </c>
      <c r="K1106" s="11" t="s">
        <v>21</v>
      </c>
      <c r="L1106" s="7">
        <v>42311.25096064815</v>
      </c>
      <c r="M1106" s="15"/>
      <c r="N1106" s="13" t="s">
        <v>135</v>
      </c>
      <c r="O1106" s="10" t="str">
        <f>HYPERLINK("https://pbs.twimg.com/profile_images/673691030139609088/8v7ab61D_normal.jpg","View")</f>
        <v>View</v>
      </c>
      <c r="P1106" s="14"/>
    </row>
    <row r="1107">
      <c r="A1107" s="7">
        <v>42433.829363425924</v>
      </c>
      <c r="B1107" s="8" t="str">
        <f>HYPERLINK("https://twitter.com/AmeliaTGrabow","@AmeliaTGrabow")</f>
        <v>@AmeliaTGrabow</v>
      </c>
      <c r="C1107" s="9" t="s">
        <v>1166</v>
      </c>
      <c r="D1107" s="9" t="s">
        <v>933</v>
      </c>
      <c r="E1107" s="10" t="str">
        <f>HYPERLINK("https://twitter.com/AmeliaTGrabow/status/705934424500772867","705934424500772867")</f>
        <v>705934424500772867</v>
      </c>
      <c r="F1107" s="11" t="s">
        <v>26</v>
      </c>
      <c r="G1107" s="12">
        <v>360.0</v>
      </c>
      <c r="H1107" s="12">
        <v>764.0</v>
      </c>
      <c r="I1107" s="12">
        <v>5.0</v>
      </c>
      <c r="J1107" s="12">
        <v>0.0</v>
      </c>
      <c r="K1107" s="11" t="s">
        <v>21</v>
      </c>
      <c r="L1107" s="7">
        <v>41662.626863425925</v>
      </c>
      <c r="M1107" s="13" t="s">
        <v>1167</v>
      </c>
      <c r="N1107" s="13" t="s">
        <v>1168</v>
      </c>
      <c r="O1107" s="10" t="str">
        <f>HYPERLINK("https://pbs.twimg.com/profile_images/506963001551753216/49QXm-69_normal.jpeg","View")</f>
        <v>View</v>
      </c>
      <c r="P1107" s="14"/>
    </row>
    <row r="1108">
      <c r="A1108" s="7">
        <v>42433.829375</v>
      </c>
      <c r="B1108" s="8" t="str">
        <f>HYPERLINK("https://twitter.com/magmidd","@magmidd")</f>
        <v>@magmidd</v>
      </c>
      <c r="C1108" s="9" t="s">
        <v>636</v>
      </c>
      <c r="D1108" s="9" t="s">
        <v>1169</v>
      </c>
      <c r="E1108" s="10" t="str">
        <f>HYPERLINK("https://twitter.com/magmidd/status/705934428342587392","705934428342587392")</f>
        <v>705934428342587392</v>
      </c>
      <c r="F1108" s="11" t="s">
        <v>148</v>
      </c>
      <c r="G1108" s="12">
        <v>1385.0</v>
      </c>
      <c r="H1108" s="12">
        <v>1353.0</v>
      </c>
      <c r="I1108" s="12">
        <v>1.0</v>
      </c>
      <c r="J1108" s="12">
        <v>3.0</v>
      </c>
      <c r="K1108" s="11" t="s">
        <v>21</v>
      </c>
      <c r="L1108" s="7">
        <v>41511.60082175926</v>
      </c>
      <c r="M1108" s="13" t="s">
        <v>197</v>
      </c>
      <c r="N1108" s="13" t="s">
        <v>638</v>
      </c>
      <c r="O1108" s="10" t="str">
        <f>HYPERLINK("https://pbs.twimg.com/profile_images/378800000450415007/82bcc7d0cab85e8d5920dbf5ded6715e_normal.jpeg","View")</f>
        <v>View</v>
      </c>
      <c r="P1108" s="14"/>
    </row>
    <row r="1109">
      <c r="A1109" s="7">
        <v>42433.82949074074</v>
      </c>
      <c r="B1109" s="8" t="str">
        <f>HYPERLINK("https://twitter.com/pastpunditry","@pastpunditry")</f>
        <v>@pastpunditry</v>
      </c>
      <c r="C1109" s="9" t="s">
        <v>92</v>
      </c>
      <c r="D1109" s="9" t="s">
        <v>1170</v>
      </c>
      <c r="E1109" s="10" t="str">
        <f>HYPERLINK("https://twitter.com/pastpunditry/status/705934473733545985","705934473733545985")</f>
        <v>705934473733545985</v>
      </c>
      <c r="F1109" s="11" t="s">
        <v>77</v>
      </c>
      <c r="G1109" s="12">
        <v>890.0</v>
      </c>
      <c r="H1109" s="12">
        <v>378.0</v>
      </c>
      <c r="I1109" s="12">
        <v>0.0</v>
      </c>
      <c r="J1109" s="12">
        <v>1.0</v>
      </c>
      <c r="K1109" s="11" t="s">
        <v>21</v>
      </c>
      <c r="L1109" s="7">
        <v>40283.384351851855</v>
      </c>
      <c r="M1109" s="13" t="s">
        <v>94</v>
      </c>
      <c r="N1109" s="13" t="s">
        <v>95</v>
      </c>
      <c r="O1109" s="10" t="str">
        <f>HYPERLINK("https://pbs.twimg.com/profile_images/704873222802636800/7aFEMOY5_normal.jpg","View")</f>
        <v>View</v>
      </c>
      <c r="P1109" s="14"/>
    </row>
    <row r="1110">
      <c r="A1110" s="7">
        <v>42433.82986111111</v>
      </c>
      <c r="B1110" s="8" t="str">
        <f>HYPERLINK("https://twitter.com/rebekkahrubin","@rebekkahrubin")</f>
        <v>@rebekkahrubin</v>
      </c>
      <c r="C1110" s="9" t="s">
        <v>141</v>
      </c>
      <c r="D1110" s="9" t="s">
        <v>1171</v>
      </c>
      <c r="E1110" s="10" t="str">
        <f>HYPERLINK("https://twitter.com/rebekkahrubin/status/705934607435341824","705934607435341824")</f>
        <v>705934607435341824</v>
      </c>
      <c r="F1110" s="11" t="s">
        <v>31</v>
      </c>
      <c r="G1110" s="12">
        <v>492.0</v>
      </c>
      <c r="H1110" s="12">
        <v>1224.0</v>
      </c>
      <c r="I1110" s="12">
        <v>1.0</v>
      </c>
      <c r="J1110" s="12">
        <v>2.0</v>
      </c>
      <c r="K1110" s="11" t="s">
        <v>21</v>
      </c>
      <c r="L1110" s="7">
        <v>40411.521527777775</v>
      </c>
      <c r="M1110" s="13" t="s">
        <v>143</v>
      </c>
      <c r="N1110" s="13" t="s">
        <v>144</v>
      </c>
      <c r="O1110" s="10" t="str">
        <f>HYPERLINK("https://pbs.twimg.com/profile_images/700317732588408832/Ym_-neUi_normal.jpg","View")</f>
        <v>View</v>
      </c>
      <c r="P1110" s="14"/>
    </row>
    <row r="1111">
      <c r="A1111" s="7">
        <v>42433.829930555556</v>
      </c>
      <c r="B1111" s="8" t="str">
        <f>HYPERLINK("https://twitter.com/sheishistoric","@sheishistoric")</f>
        <v>@sheishistoric</v>
      </c>
      <c r="C1111" s="9" t="s">
        <v>127</v>
      </c>
      <c r="D1111" s="9" t="s">
        <v>1172</v>
      </c>
      <c r="E1111" s="10" t="str">
        <f>HYPERLINK("https://twitter.com/sheishistoric/status/705934632445992961","705934632445992961")</f>
        <v>705934632445992961</v>
      </c>
      <c r="F1111" s="11" t="s">
        <v>26</v>
      </c>
      <c r="G1111" s="12">
        <v>405.0</v>
      </c>
      <c r="H1111" s="12">
        <v>882.0</v>
      </c>
      <c r="I1111" s="12">
        <v>1.0</v>
      </c>
      <c r="J1111" s="12">
        <v>2.0</v>
      </c>
      <c r="K1111" s="11" t="s">
        <v>21</v>
      </c>
      <c r="L1111" s="7">
        <v>41529.842094907406</v>
      </c>
      <c r="M1111" s="13" t="s">
        <v>129</v>
      </c>
      <c r="N1111" s="13" t="s">
        <v>130</v>
      </c>
      <c r="O1111" s="10" t="str">
        <f>HYPERLINK("https://pbs.twimg.com/profile_images/650419150620377089/bJxBf---_normal.jpg","View")</f>
        <v>View</v>
      </c>
      <c r="P1111" s="14"/>
    </row>
    <row r="1112">
      <c r="A1112" s="7">
        <v>42433.8299537037</v>
      </c>
      <c r="B1112" s="8" t="str">
        <f>HYPERLINK("https://twitter.com/erfagen","@erfagen")</f>
        <v>@erfagen</v>
      </c>
      <c r="C1112" s="9" t="s">
        <v>124</v>
      </c>
      <c r="D1112" s="9" t="s">
        <v>1173</v>
      </c>
      <c r="E1112" s="10" t="str">
        <f>HYPERLINK("https://twitter.com/erfagen/status/705934641820213249","705934641820213249")</f>
        <v>705934641820213249</v>
      </c>
      <c r="F1112" s="11" t="s">
        <v>26</v>
      </c>
      <c r="G1112" s="12">
        <v>1055.0</v>
      </c>
      <c r="H1112" s="12">
        <v>2055.0</v>
      </c>
      <c r="I1112" s="12">
        <v>1.0</v>
      </c>
      <c r="J1112" s="12">
        <v>3.0</v>
      </c>
      <c r="K1112" s="11" t="s">
        <v>21</v>
      </c>
      <c r="L1112" s="7">
        <v>40524.93576388889</v>
      </c>
      <c r="M1112" s="13" t="s">
        <v>125</v>
      </c>
      <c r="N1112" s="13" t="s">
        <v>126</v>
      </c>
      <c r="O1112" s="10" t="str">
        <f>HYPERLINK("https://pbs.twimg.com/profile_images/638086945722249217/mid_S_BQ_normal.jpg","View")</f>
        <v>View</v>
      </c>
      <c r="P1112" s="14"/>
    </row>
    <row r="1113">
      <c r="A1113" s="7">
        <v>42433.83017361111</v>
      </c>
      <c r="B1113" s="8" t="str">
        <f>HYPERLINK("https://twitter.com/pastpunditry","@pastpunditry")</f>
        <v>@pastpunditry</v>
      </c>
      <c r="C1113" s="9" t="s">
        <v>92</v>
      </c>
      <c r="D1113" s="9" t="s">
        <v>1174</v>
      </c>
      <c r="E1113" s="10" t="str">
        <f>HYPERLINK("https://twitter.com/pastpunditry/status/705934718626361344","705934718626361344")</f>
        <v>705934718626361344</v>
      </c>
      <c r="F1113" s="11" t="s">
        <v>77</v>
      </c>
      <c r="G1113" s="12">
        <v>890.0</v>
      </c>
      <c r="H1113" s="12">
        <v>378.0</v>
      </c>
      <c r="I1113" s="12">
        <v>1.0</v>
      </c>
      <c r="J1113" s="12">
        <v>3.0</v>
      </c>
      <c r="K1113" s="11" t="s">
        <v>21</v>
      </c>
      <c r="L1113" s="7">
        <v>40283.384351851855</v>
      </c>
      <c r="M1113" s="13" t="s">
        <v>94</v>
      </c>
      <c r="N1113" s="13" t="s">
        <v>95</v>
      </c>
      <c r="O1113" s="10" t="str">
        <f>HYPERLINK("https://pbs.twimg.com/profile_images/704873222802636800/7aFEMOY5_normal.jpg","View")</f>
        <v>View</v>
      </c>
      <c r="P1113" s="14"/>
    </row>
    <row r="1114">
      <c r="A1114" s="7">
        <v>42433.83027777778</v>
      </c>
      <c r="B1114" s="8" t="str">
        <f>HYPERLINK("https://twitter.com/GHAUmass","@GHAUmass")</f>
        <v>@GHAUmass</v>
      </c>
      <c r="C1114" s="9" t="s">
        <v>30</v>
      </c>
      <c r="D1114" s="9" t="s">
        <v>1175</v>
      </c>
      <c r="E1114" s="10" t="str">
        <f>HYPERLINK("https://twitter.com/GHAUmass/status/705934757746614273","705934757746614273")</f>
        <v>705934757746614273</v>
      </c>
      <c r="F1114" s="11" t="s">
        <v>26</v>
      </c>
      <c r="G1114" s="12">
        <v>68.0</v>
      </c>
      <c r="H1114" s="12">
        <v>100.0</v>
      </c>
      <c r="I1114" s="12">
        <v>1.0</v>
      </c>
      <c r="J1114" s="12">
        <v>0.0</v>
      </c>
      <c r="K1114" s="11" t="s">
        <v>21</v>
      </c>
      <c r="L1114" s="7">
        <v>42152.65289351852</v>
      </c>
      <c r="M1114" s="13" t="s">
        <v>22</v>
      </c>
      <c r="N1114" s="13" t="s">
        <v>32</v>
      </c>
      <c r="O1114" s="10" t="str">
        <f>HYPERLINK("https://pbs.twimg.com/profile_images/604060333590855682/Fk6r1D7d_normal.jpg","View")</f>
        <v>View</v>
      </c>
      <c r="P1114" s="14"/>
    </row>
    <row r="1115">
      <c r="A1115" s="7">
        <v>42433.830613425926</v>
      </c>
      <c r="B1115" s="8" t="str">
        <f t="shared" ref="B1115:B1116" si="243">HYPERLINK("https://twitter.com/MedeaCulpa","@MedeaCulpa")</f>
        <v>@MedeaCulpa</v>
      </c>
      <c r="C1115" s="9" t="s">
        <v>811</v>
      </c>
      <c r="D1115" s="9" t="s">
        <v>1176</v>
      </c>
      <c r="E1115" s="10" t="str">
        <f>HYPERLINK("https://twitter.com/MedeaCulpa/status/705934878936842246","705934878936842246")</f>
        <v>705934878936842246</v>
      </c>
      <c r="F1115" s="11" t="s">
        <v>148</v>
      </c>
      <c r="G1115" s="12">
        <v>971.0</v>
      </c>
      <c r="H1115" s="12">
        <v>424.0</v>
      </c>
      <c r="I1115" s="12">
        <v>3.0</v>
      </c>
      <c r="J1115" s="12">
        <v>7.0</v>
      </c>
      <c r="K1115" s="11" t="s">
        <v>21</v>
      </c>
      <c r="L1115" s="7">
        <v>39894.5790625</v>
      </c>
      <c r="M1115" s="13" t="s">
        <v>813</v>
      </c>
      <c r="N1115" s="13" t="s">
        <v>814</v>
      </c>
      <c r="O1115" s="10" t="str">
        <f t="shared" ref="O1115:O1116" si="244">HYPERLINK("https://pbs.twimg.com/profile_images/702272676837068800/xO5D7apz_normal.jpg","View")</f>
        <v>View</v>
      </c>
      <c r="P1115" s="14"/>
    </row>
    <row r="1116">
      <c r="A1116" s="7">
        <v>42433.83076388889</v>
      </c>
      <c r="B1116" s="8" t="str">
        <f t="shared" si="243"/>
        <v>@MedeaCulpa</v>
      </c>
      <c r="C1116" s="9" t="s">
        <v>811</v>
      </c>
      <c r="D1116" s="9" t="s">
        <v>1177</v>
      </c>
      <c r="E1116" s="10" t="str">
        <f>HYPERLINK("https://twitter.com/MedeaCulpa/status/705934934175838213","705934934175838213")</f>
        <v>705934934175838213</v>
      </c>
      <c r="F1116" s="11" t="s">
        <v>148</v>
      </c>
      <c r="G1116" s="12">
        <v>971.0</v>
      </c>
      <c r="H1116" s="12">
        <v>424.0</v>
      </c>
      <c r="I1116" s="12">
        <v>1.0</v>
      </c>
      <c r="J1116" s="12">
        <v>0.0</v>
      </c>
      <c r="K1116" s="11" t="s">
        <v>21</v>
      </c>
      <c r="L1116" s="7">
        <v>39894.5790625</v>
      </c>
      <c r="M1116" s="13" t="s">
        <v>813</v>
      </c>
      <c r="N1116" s="13" t="s">
        <v>814</v>
      </c>
      <c r="O1116" s="10" t="str">
        <f t="shared" si="244"/>
        <v>View</v>
      </c>
      <c r="P1116" s="14"/>
    </row>
    <row r="1117">
      <c r="A1117" s="7">
        <v>42433.83079861111</v>
      </c>
      <c r="B1117" s="8" t="str">
        <f>HYPERLINK("https://twitter.com/Red_Shirt_no2","@Red_Shirt_no2")</f>
        <v>@Red_Shirt_no2</v>
      </c>
      <c r="C1117" s="9" t="s">
        <v>1060</v>
      </c>
      <c r="D1117" s="9" t="s">
        <v>764</v>
      </c>
      <c r="E1117" s="10" t="str">
        <f>HYPERLINK("https://twitter.com/Red_Shirt_no2/status/705934944829349888","705934944829349888")</f>
        <v>705934944829349888</v>
      </c>
      <c r="F1117" s="11" t="s">
        <v>26</v>
      </c>
      <c r="G1117" s="12">
        <v>184.0</v>
      </c>
      <c r="H1117" s="12">
        <v>231.0</v>
      </c>
      <c r="I1117" s="12">
        <v>3.0</v>
      </c>
      <c r="J1117" s="12">
        <v>0.0</v>
      </c>
      <c r="K1117" s="11" t="s">
        <v>21</v>
      </c>
      <c r="L1117" s="7">
        <v>41768.91646990741</v>
      </c>
      <c r="M1117" s="13" t="s">
        <v>1061</v>
      </c>
      <c r="N1117" s="13" t="s">
        <v>1062</v>
      </c>
      <c r="O1117" s="10" t="str">
        <f>HYPERLINK("https://pbs.twimg.com/profile_images/550495191849644032/qEniLfQu_normal.png","View")</f>
        <v>View</v>
      </c>
      <c r="P1117" s="14"/>
    </row>
    <row r="1118">
      <c r="A1118" s="7">
        <v>42433.83084490741</v>
      </c>
      <c r="B1118" s="8" t="str">
        <f>HYPERLINK("https://twitter.com/GHAUmass","@GHAUmass")</f>
        <v>@GHAUmass</v>
      </c>
      <c r="C1118" s="9" t="s">
        <v>30</v>
      </c>
      <c r="D1118" s="9" t="s">
        <v>1178</v>
      </c>
      <c r="E1118" s="10" t="str">
        <f>HYPERLINK("https://twitter.com/GHAUmass/status/705934962952900608","705934962952900608")</f>
        <v>705934962952900608</v>
      </c>
      <c r="F1118" s="11" t="s">
        <v>26</v>
      </c>
      <c r="G1118" s="12">
        <v>68.0</v>
      </c>
      <c r="H1118" s="12">
        <v>100.0</v>
      </c>
      <c r="I1118" s="12">
        <v>3.0</v>
      </c>
      <c r="J1118" s="12">
        <v>0.0</v>
      </c>
      <c r="K1118" s="11" t="s">
        <v>21</v>
      </c>
      <c r="L1118" s="7">
        <v>42152.65289351852</v>
      </c>
      <c r="M1118" s="13" t="s">
        <v>22</v>
      </c>
      <c r="N1118" s="13" t="s">
        <v>32</v>
      </c>
      <c r="O1118" s="10" t="str">
        <f>HYPERLINK("https://pbs.twimg.com/profile_images/604060333590855682/Fk6r1D7d_normal.jpg","View")</f>
        <v>View</v>
      </c>
      <c r="P1118" s="14"/>
    </row>
    <row r="1119">
      <c r="A1119" s="7">
        <v>42433.83085648148</v>
      </c>
      <c r="B1119" s="8" t="str">
        <f t="shared" ref="B1119:B1120" si="245">HYPERLINK("https://twitter.com/pastpunditry","@pastpunditry")</f>
        <v>@pastpunditry</v>
      </c>
      <c r="C1119" s="9" t="s">
        <v>92</v>
      </c>
      <c r="D1119" s="9" t="s">
        <v>1179</v>
      </c>
      <c r="E1119" s="10" t="str">
        <f>HYPERLINK("https://twitter.com/pastpunditry/status/705934967012990976","705934967012990976")</f>
        <v>705934967012990976</v>
      </c>
      <c r="F1119" s="11" t="s">
        <v>77</v>
      </c>
      <c r="G1119" s="12">
        <v>890.0</v>
      </c>
      <c r="H1119" s="12">
        <v>378.0</v>
      </c>
      <c r="I1119" s="12">
        <v>2.0</v>
      </c>
      <c r="J1119" s="12">
        <v>4.0</v>
      </c>
      <c r="K1119" s="11" t="s">
        <v>21</v>
      </c>
      <c r="L1119" s="7">
        <v>40283.384351851855</v>
      </c>
      <c r="M1119" s="13" t="s">
        <v>94</v>
      </c>
      <c r="N1119" s="13" t="s">
        <v>95</v>
      </c>
      <c r="O1119" s="10" t="str">
        <f t="shared" ref="O1119:O1120" si="246">HYPERLINK("https://pbs.twimg.com/profile_images/704873222802636800/7aFEMOY5_normal.jpg","View")</f>
        <v>View</v>
      </c>
      <c r="P1119" s="14"/>
    </row>
    <row r="1120">
      <c r="A1120" s="7">
        <v>42433.830925925926</v>
      </c>
      <c r="B1120" s="8" t="str">
        <f t="shared" si="245"/>
        <v>@pastpunditry</v>
      </c>
      <c r="C1120" s="9" t="s">
        <v>92</v>
      </c>
      <c r="D1120" s="9" t="s">
        <v>1178</v>
      </c>
      <c r="E1120" s="10" t="str">
        <f>HYPERLINK("https://twitter.com/pastpunditry/status/705934993827229696","705934993827229696")</f>
        <v>705934993827229696</v>
      </c>
      <c r="F1120" s="11" t="s">
        <v>77</v>
      </c>
      <c r="G1120" s="12">
        <v>890.0</v>
      </c>
      <c r="H1120" s="12">
        <v>378.0</v>
      </c>
      <c r="I1120" s="12">
        <v>3.0</v>
      </c>
      <c r="J1120" s="12">
        <v>0.0</v>
      </c>
      <c r="K1120" s="11" t="s">
        <v>21</v>
      </c>
      <c r="L1120" s="7">
        <v>40283.384351851855</v>
      </c>
      <c r="M1120" s="13" t="s">
        <v>94</v>
      </c>
      <c r="N1120" s="13" t="s">
        <v>95</v>
      </c>
      <c r="O1120" s="10" t="str">
        <f t="shared" si="246"/>
        <v>View</v>
      </c>
      <c r="P1120" s="14"/>
    </row>
    <row r="1121">
      <c r="A1121" s="7">
        <v>42433.830983796295</v>
      </c>
      <c r="B1121" s="8" t="str">
        <f>HYPERLINK("https://twitter.com/GHAUmass","@GHAUmass")</f>
        <v>@GHAUmass</v>
      </c>
      <c r="C1121" s="9" t="s">
        <v>30</v>
      </c>
      <c r="D1121" s="9" t="s">
        <v>1180</v>
      </c>
      <c r="E1121" s="10" t="str">
        <f>HYPERLINK("https://twitter.com/GHAUmass/status/705935012332441600","705935012332441600")</f>
        <v>705935012332441600</v>
      </c>
      <c r="F1121" s="11" t="s">
        <v>26</v>
      </c>
      <c r="G1121" s="12">
        <v>68.0</v>
      </c>
      <c r="H1121" s="12">
        <v>100.0</v>
      </c>
      <c r="I1121" s="12">
        <v>2.0</v>
      </c>
      <c r="J1121" s="12">
        <v>0.0</v>
      </c>
      <c r="K1121" s="11" t="s">
        <v>21</v>
      </c>
      <c r="L1121" s="7">
        <v>42152.65289351852</v>
      </c>
      <c r="M1121" s="13" t="s">
        <v>22</v>
      </c>
      <c r="N1121" s="13" t="s">
        <v>32</v>
      </c>
      <c r="O1121" s="10" t="str">
        <f>HYPERLINK("https://pbs.twimg.com/profile_images/604060333590855682/Fk6r1D7d_normal.jpg","View")</f>
        <v>View</v>
      </c>
      <c r="P1121" s="14"/>
    </row>
    <row r="1122">
      <c r="A1122" s="7">
        <v>42433.831296296295</v>
      </c>
      <c r="B1122" s="8" t="str">
        <f>HYPERLINK("https://twitter.com/juliegpeterson","@juliegpeterson")</f>
        <v>@juliegpeterson</v>
      </c>
      <c r="C1122" s="9" t="s">
        <v>24</v>
      </c>
      <c r="D1122" s="9" t="s">
        <v>1181</v>
      </c>
      <c r="E1122" s="10" t="str">
        <f>HYPERLINK("https://twitter.com/juliegpeterson/status/705935125482237952","705935125482237952")</f>
        <v>705935125482237952</v>
      </c>
      <c r="F1122" s="11" t="s">
        <v>26</v>
      </c>
      <c r="G1122" s="12">
        <v>239.0</v>
      </c>
      <c r="H1122" s="12">
        <v>775.0</v>
      </c>
      <c r="I1122" s="12">
        <v>2.0</v>
      </c>
      <c r="J1122" s="12">
        <v>2.0</v>
      </c>
      <c r="K1122" s="11" t="s">
        <v>21</v>
      </c>
      <c r="L1122" s="7">
        <v>41208.65523148148</v>
      </c>
      <c r="M1122" s="13" t="s">
        <v>22</v>
      </c>
      <c r="N1122" s="13" t="s">
        <v>27</v>
      </c>
      <c r="O1122" s="10" t="str">
        <f>HYPERLINK("https://pbs.twimg.com/profile_images/609765839051452416/GNW0wSt0_normal.jpg","View")</f>
        <v>View</v>
      </c>
      <c r="P1122" s="14"/>
    </row>
    <row r="1123">
      <c r="A1123" s="7">
        <v>42433.831307870365</v>
      </c>
      <c r="B1123" s="8" t="str">
        <f>HYPERLINK("https://twitter.com/erfagen","@erfagen")</f>
        <v>@erfagen</v>
      </c>
      <c r="C1123" s="9" t="s">
        <v>124</v>
      </c>
      <c r="D1123" s="9" t="s">
        <v>1182</v>
      </c>
      <c r="E1123" s="10" t="str">
        <f>HYPERLINK("https://twitter.com/erfagen/status/705935129378725888","705935129378725888")</f>
        <v>705935129378725888</v>
      </c>
      <c r="F1123" s="11" t="s">
        <v>26</v>
      </c>
      <c r="G1123" s="12">
        <v>1055.0</v>
      </c>
      <c r="H1123" s="12">
        <v>2055.0</v>
      </c>
      <c r="I1123" s="12">
        <v>2.0</v>
      </c>
      <c r="J1123" s="12">
        <v>6.0</v>
      </c>
      <c r="K1123" s="11" t="s">
        <v>21</v>
      </c>
      <c r="L1123" s="7">
        <v>40524.93576388889</v>
      </c>
      <c r="M1123" s="13" t="s">
        <v>125</v>
      </c>
      <c r="N1123" s="13" t="s">
        <v>126</v>
      </c>
      <c r="O1123" s="10" t="str">
        <f>HYPERLINK("https://pbs.twimg.com/profile_images/638086945722249217/mid_S_BQ_normal.jpg","View")</f>
        <v>View</v>
      </c>
      <c r="P1123" s="14"/>
    </row>
    <row r="1124">
      <c r="A1124" s="7">
        <v>42433.83155092593</v>
      </c>
      <c r="B1124" s="8" t="str">
        <f t="shared" ref="B1124:B1125" si="247">HYPERLINK("https://twitter.com/pastpunditry","@pastpunditry")</f>
        <v>@pastpunditry</v>
      </c>
      <c r="C1124" s="9" t="s">
        <v>92</v>
      </c>
      <c r="D1124" s="9" t="s">
        <v>1183</v>
      </c>
      <c r="E1124" s="10" t="str">
        <f>HYPERLINK("https://twitter.com/pastpunditry/status/705935217345826816","705935217345826816")</f>
        <v>705935217345826816</v>
      </c>
      <c r="F1124" s="11" t="s">
        <v>77</v>
      </c>
      <c r="G1124" s="12">
        <v>890.0</v>
      </c>
      <c r="H1124" s="12">
        <v>378.0</v>
      </c>
      <c r="I1124" s="12">
        <v>0.0</v>
      </c>
      <c r="J1124" s="12">
        <v>1.0</v>
      </c>
      <c r="K1124" s="11" t="s">
        <v>21</v>
      </c>
      <c r="L1124" s="7">
        <v>40283.384351851855</v>
      </c>
      <c r="M1124" s="13" t="s">
        <v>94</v>
      </c>
      <c r="N1124" s="13" t="s">
        <v>95</v>
      </c>
      <c r="O1124" s="10" t="str">
        <f t="shared" ref="O1124:O1125" si="248">HYPERLINK("https://pbs.twimg.com/profile_images/704873222802636800/7aFEMOY5_normal.jpg","View")</f>
        <v>View</v>
      </c>
      <c r="P1124" s="14"/>
    </row>
    <row r="1125">
      <c r="A1125" s="7">
        <v>42433.83159722222</v>
      </c>
      <c r="B1125" s="8" t="str">
        <f t="shared" si="247"/>
        <v>@pastpunditry</v>
      </c>
      <c r="C1125" s="9" t="s">
        <v>92</v>
      </c>
      <c r="D1125" s="9" t="s">
        <v>1184</v>
      </c>
      <c r="E1125" s="10" t="str">
        <f>HYPERLINK("https://twitter.com/pastpunditry/status/705935236593553408","705935236593553408")</f>
        <v>705935236593553408</v>
      </c>
      <c r="F1125" s="11" t="s">
        <v>77</v>
      </c>
      <c r="G1125" s="12">
        <v>890.0</v>
      </c>
      <c r="H1125" s="12">
        <v>378.0</v>
      </c>
      <c r="I1125" s="12">
        <v>2.0</v>
      </c>
      <c r="J1125" s="12">
        <v>0.0</v>
      </c>
      <c r="K1125" s="11" t="s">
        <v>21</v>
      </c>
      <c r="L1125" s="7">
        <v>40283.384351851855</v>
      </c>
      <c r="M1125" s="13" t="s">
        <v>94</v>
      </c>
      <c r="N1125" s="13" t="s">
        <v>95</v>
      </c>
      <c r="O1125" s="10" t="str">
        <f t="shared" si="248"/>
        <v>View</v>
      </c>
      <c r="P1125" s="14"/>
    </row>
    <row r="1126">
      <c r="A1126" s="7">
        <v>42433.83168981482</v>
      </c>
      <c r="B1126" s="8" t="str">
        <f>HYPERLINK("https://twitter.com/allisonhorrocks","@allisonhorrocks")</f>
        <v>@allisonhorrocks</v>
      </c>
      <c r="C1126" s="9" t="s">
        <v>105</v>
      </c>
      <c r="D1126" s="9" t="s">
        <v>1185</v>
      </c>
      <c r="E1126" s="10" t="str">
        <f>HYPERLINK("https://twitter.com/allisonhorrocks/status/705935269040680960","705935269040680960")</f>
        <v>705935269040680960</v>
      </c>
      <c r="F1126" s="11" t="s">
        <v>26</v>
      </c>
      <c r="G1126" s="12">
        <v>122.0</v>
      </c>
      <c r="H1126" s="12">
        <v>260.0</v>
      </c>
      <c r="I1126" s="12">
        <v>5.0</v>
      </c>
      <c r="J1126" s="12">
        <v>6.0</v>
      </c>
      <c r="K1126" s="11" t="s">
        <v>21</v>
      </c>
      <c r="L1126" s="7">
        <v>39874.8815625</v>
      </c>
      <c r="M1126" s="13" t="s">
        <v>106</v>
      </c>
      <c r="N1126" s="13" t="s">
        <v>107</v>
      </c>
      <c r="O1126" s="10" t="str">
        <f>HYPERLINK("https://pbs.twimg.com/profile_images/562279222522032128/-phaZgxO_normal.jpeg","View")</f>
        <v>View</v>
      </c>
      <c r="P1126" s="14"/>
    </row>
    <row r="1127">
      <c r="A1127" s="7">
        <v>42433.83171296296</v>
      </c>
      <c r="B1127" s="8" t="str">
        <f>HYPERLINK("https://twitter.com/pastpunditry","@pastpunditry")</f>
        <v>@pastpunditry</v>
      </c>
      <c r="C1127" s="9" t="s">
        <v>92</v>
      </c>
      <c r="D1127" s="9" t="s">
        <v>1186</v>
      </c>
      <c r="E1127" s="10" t="str">
        <f>HYPERLINK("https://twitter.com/pastpunditry/status/705935277525757952","705935277525757952")</f>
        <v>705935277525757952</v>
      </c>
      <c r="F1127" s="11" t="s">
        <v>77</v>
      </c>
      <c r="G1127" s="12">
        <v>890.0</v>
      </c>
      <c r="H1127" s="12">
        <v>378.0</v>
      </c>
      <c r="I1127" s="12">
        <v>2.0</v>
      </c>
      <c r="J1127" s="12">
        <v>0.0</v>
      </c>
      <c r="K1127" s="11" t="s">
        <v>21</v>
      </c>
      <c r="L1127" s="7">
        <v>40283.384351851855</v>
      </c>
      <c r="M1127" s="13" t="s">
        <v>94</v>
      </c>
      <c r="N1127" s="13" t="s">
        <v>95</v>
      </c>
      <c r="O1127" s="10" t="str">
        <f>HYPERLINK("https://pbs.twimg.com/profile_images/704873222802636800/7aFEMOY5_normal.jpg","View")</f>
        <v>View</v>
      </c>
      <c r="P1127" s="14"/>
    </row>
    <row r="1128">
      <c r="A1128" s="7">
        <v>42433.83175925926</v>
      </c>
      <c r="B1128" s="8" t="str">
        <f>HYPERLINK("https://twitter.com/bac4077","@bac4077")</f>
        <v>@bac4077</v>
      </c>
      <c r="C1128" s="9" t="s">
        <v>1187</v>
      </c>
      <c r="D1128" s="9" t="s">
        <v>1188</v>
      </c>
      <c r="E1128" s="10" t="str">
        <f>HYPERLINK("https://twitter.com/bac4077/status/705935294579793920","705935294579793920")</f>
        <v>705935294579793920</v>
      </c>
      <c r="F1128" s="11" t="s">
        <v>102</v>
      </c>
      <c r="G1128" s="12">
        <v>219.0</v>
      </c>
      <c r="H1128" s="12">
        <v>865.0</v>
      </c>
      <c r="I1128" s="12">
        <v>1.0</v>
      </c>
      <c r="J1128" s="12">
        <v>0.0</v>
      </c>
      <c r="K1128" s="11" t="s">
        <v>21</v>
      </c>
      <c r="L1128" s="7">
        <v>40025.411458333336</v>
      </c>
      <c r="M1128" s="13" t="s">
        <v>438</v>
      </c>
      <c r="N1128" s="13" t="s">
        <v>1189</v>
      </c>
      <c r="O1128" s="10" t="str">
        <f>HYPERLINK("https://pbs.twimg.com/profile_images/341355291/bac2_normal.jpg","View")</f>
        <v>View</v>
      </c>
      <c r="P1128" s="14"/>
    </row>
    <row r="1129">
      <c r="A1129" s="7">
        <v>42433.83216435185</v>
      </c>
      <c r="B1129" s="8" t="str">
        <f>HYPERLINK("https://twitter.com/pastpunditry","@pastpunditry")</f>
        <v>@pastpunditry</v>
      </c>
      <c r="C1129" s="9" t="s">
        <v>92</v>
      </c>
      <c r="D1129" s="9" t="s">
        <v>1190</v>
      </c>
      <c r="E1129" s="10" t="str">
        <f>HYPERLINK("https://twitter.com/pastpunditry/status/705935440726065152","705935440726065152")</f>
        <v>705935440726065152</v>
      </c>
      <c r="F1129" s="11" t="s">
        <v>77</v>
      </c>
      <c r="G1129" s="12">
        <v>890.0</v>
      </c>
      <c r="H1129" s="12">
        <v>378.0</v>
      </c>
      <c r="I1129" s="12">
        <v>3.0</v>
      </c>
      <c r="J1129" s="12">
        <v>3.0</v>
      </c>
      <c r="K1129" s="11" t="s">
        <v>21</v>
      </c>
      <c r="L1129" s="7">
        <v>40283.384351851855</v>
      </c>
      <c r="M1129" s="13" t="s">
        <v>94</v>
      </c>
      <c r="N1129" s="13" t="s">
        <v>95</v>
      </c>
      <c r="O1129" s="10" t="str">
        <f>HYPERLINK("https://pbs.twimg.com/profile_images/704873222802636800/7aFEMOY5_normal.jpg","View")</f>
        <v>View</v>
      </c>
      <c r="P1129" s="14"/>
    </row>
    <row r="1130">
      <c r="A1130" s="7">
        <v>42433.832233796296</v>
      </c>
      <c r="B1130" s="8" t="str">
        <f>HYPERLINK("https://twitter.com/jomac1867","@jomac1867")</f>
        <v>@jomac1867</v>
      </c>
      <c r="C1130" s="9" t="s">
        <v>1191</v>
      </c>
      <c r="D1130" s="9" t="s">
        <v>1146</v>
      </c>
      <c r="E1130" s="10" t="str">
        <f>HYPERLINK("https://twitter.com/jomac1867/status/705935465493499904","705935465493499904")</f>
        <v>705935465493499904</v>
      </c>
      <c r="F1130" s="11" t="s">
        <v>26</v>
      </c>
      <c r="G1130" s="12">
        <v>1547.0</v>
      </c>
      <c r="H1130" s="12">
        <v>2043.0</v>
      </c>
      <c r="I1130" s="12">
        <v>2.0</v>
      </c>
      <c r="J1130" s="12">
        <v>0.0</v>
      </c>
      <c r="K1130" s="11" t="s">
        <v>21</v>
      </c>
      <c r="L1130" s="7">
        <v>40050.75034722222</v>
      </c>
      <c r="M1130" s="13" t="s">
        <v>1192</v>
      </c>
      <c r="N1130" s="13" t="s">
        <v>1193</v>
      </c>
      <c r="O1130" s="10" t="str">
        <f>HYPERLINK("https://pbs.twimg.com/profile_images/674233655779328000/QFONMQg9_normal.jpg","View")</f>
        <v>View</v>
      </c>
      <c r="P1130" s="14"/>
    </row>
    <row r="1131">
      <c r="A1131" s="7">
        <v>42433.83232638889</v>
      </c>
      <c r="B1131" s="8" t="str">
        <f>HYPERLINK("https://twitter.com/sheishistoric","@sheishistoric")</f>
        <v>@sheishistoric</v>
      </c>
      <c r="C1131" s="9" t="s">
        <v>127</v>
      </c>
      <c r="D1131" s="9" t="s">
        <v>1194</v>
      </c>
      <c r="E1131" s="10" t="str">
        <f>HYPERLINK("https://twitter.com/sheishistoric/status/705935501463851008","705935501463851008")</f>
        <v>705935501463851008</v>
      </c>
      <c r="F1131" s="11" t="s">
        <v>26</v>
      </c>
      <c r="G1131" s="12">
        <v>405.0</v>
      </c>
      <c r="H1131" s="12">
        <v>882.0</v>
      </c>
      <c r="I1131" s="12">
        <v>5.0</v>
      </c>
      <c r="J1131" s="12">
        <v>0.0</v>
      </c>
      <c r="K1131" s="11" t="s">
        <v>21</v>
      </c>
      <c r="L1131" s="7">
        <v>41529.842094907406</v>
      </c>
      <c r="M1131" s="13" t="s">
        <v>129</v>
      </c>
      <c r="N1131" s="13" t="s">
        <v>130</v>
      </c>
      <c r="O1131" s="10" t="str">
        <f>HYPERLINK("https://pbs.twimg.com/profile_images/650419150620377089/bJxBf---_normal.jpg","View")</f>
        <v>View</v>
      </c>
      <c r="P1131" s="14"/>
    </row>
    <row r="1132">
      <c r="A1132" s="7">
        <v>42433.83236111111</v>
      </c>
      <c r="B1132" s="8" t="str">
        <f>HYPERLINK("https://twitter.com/Red_Shirt_no2","@Red_Shirt_no2")</f>
        <v>@Red_Shirt_no2</v>
      </c>
      <c r="C1132" s="9" t="s">
        <v>1060</v>
      </c>
      <c r="D1132" s="9" t="s">
        <v>736</v>
      </c>
      <c r="E1132" s="10" t="str">
        <f>HYPERLINK("https://twitter.com/Red_Shirt_no2/status/705935514080305153","705935514080305153")</f>
        <v>705935514080305153</v>
      </c>
      <c r="F1132" s="11" t="s">
        <v>26</v>
      </c>
      <c r="G1132" s="12">
        <v>184.0</v>
      </c>
      <c r="H1132" s="12">
        <v>231.0</v>
      </c>
      <c r="I1132" s="12">
        <v>8.0</v>
      </c>
      <c r="J1132" s="12">
        <v>0.0</v>
      </c>
      <c r="K1132" s="11" t="s">
        <v>21</v>
      </c>
      <c r="L1132" s="7">
        <v>41768.91646990741</v>
      </c>
      <c r="M1132" s="13" t="s">
        <v>1061</v>
      </c>
      <c r="N1132" s="13" t="s">
        <v>1062</v>
      </c>
      <c r="O1132" s="10" t="str">
        <f>HYPERLINK("https://pbs.twimg.com/profile_images/550495191849644032/qEniLfQu_normal.png","View")</f>
        <v>View</v>
      </c>
      <c r="P1132" s="14"/>
    </row>
    <row r="1133">
      <c r="A1133" s="7">
        <v>42433.83237268518</v>
      </c>
      <c r="B1133" s="8" t="str">
        <f>HYPERLINK("https://twitter.com/lizl_genealogy","@lizl_genealogy")</f>
        <v>@lizl_genealogy</v>
      </c>
      <c r="C1133" s="9" t="s">
        <v>89</v>
      </c>
      <c r="D1133" s="9" t="s">
        <v>1194</v>
      </c>
      <c r="E1133" s="10" t="str">
        <f>HYPERLINK("https://twitter.com/lizl_genealogy/status/705935515887865856","705935515887865856")</f>
        <v>705935515887865856</v>
      </c>
      <c r="F1133" s="11" t="s">
        <v>31</v>
      </c>
      <c r="G1133" s="12">
        <v>1547.0</v>
      </c>
      <c r="H1133" s="12">
        <v>615.0</v>
      </c>
      <c r="I1133" s="12">
        <v>5.0</v>
      </c>
      <c r="J1133" s="12">
        <v>0.0</v>
      </c>
      <c r="K1133" s="11" t="s">
        <v>21</v>
      </c>
      <c r="L1133" s="7">
        <v>40763.52722222223</v>
      </c>
      <c r="M1133" s="13" t="s">
        <v>90</v>
      </c>
      <c r="N1133" s="13" t="s">
        <v>91</v>
      </c>
      <c r="O1133" s="10" t="str">
        <f>HYPERLINK("https://pbs.twimg.com/profile_images/2700002859/1f2d610ddaf1f03ac7d033dd83847b45_normal.jpeg","View")</f>
        <v>View</v>
      </c>
      <c r="P1133" s="14"/>
    </row>
    <row r="1134">
      <c r="A1134" s="7">
        <v>42433.83241898148</v>
      </c>
      <c r="B1134" s="8" t="str">
        <f>HYPERLINK("https://twitter.com/juliegpeterson","@juliegpeterson")</f>
        <v>@juliegpeterson</v>
      </c>
      <c r="C1134" s="9" t="s">
        <v>24</v>
      </c>
      <c r="D1134" s="9" t="s">
        <v>1195</v>
      </c>
      <c r="E1134" s="10" t="str">
        <f>HYPERLINK("https://twitter.com/juliegpeterson/status/705935535538315264","705935535538315264")</f>
        <v>705935535538315264</v>
      </c>
      <c r="F1134" s="11" t="s">
        <v>26</v>
      </c>
      <c r="G1134" s="12">
        <v>239.0</v>
      </c>
      <c r="H1134" s="12">
        <v>775.0</v>
      </c>
      <c r="I1134" s="12">
        <v>2.0</v>
      </c>
      <c r="J1134" s="12">
        <v>3.0</v>
      </c>
      <c r="K1134" s="11" t="s">
        <v>21</v>
      </c>
      <c r="L1134" s="7">
        <v>41208.65523148148</v>
      </c>
      <c r="M1134" s="13" t="s">
        <v>22</v>
      </c>
      <c r="N1134" s="13" t="s">
        <v>27</v>
      </c>
      <c r="O1134" s="10" t="str">
        <f>HYPERLINK("https://pbs.twimg.com/profile_images/609765839051452416/GNW0wSt0_normal.jpg","View")</f>
        <v>View</v>
      </c>
      <c r="P1134" s="14"/>
    </row>
    <row r="1135">
      <c r="A1135" s="7">
        <v>42433.832453703704</v>
      </c>
      <c r="B1135" s="8" t="str">
        <f>HYPERLINK("https://twitter.com/sheishistoric","@sheishistoric")</f>
        <v>@sheishistoric</v>
      </c>
      <c r="C1135" s="9" t="s">
        <v>127</v>
      </c>
      <c r="D1135" s="9" t="s">
        <v>1186</v>
      </c>
      <c r="E1135" s="10" t="str">
        <f>HYPERLINK("https://twitter.com/sheishistoric/status/705935545885696000","705935545885696000")</f>
        <v>705935545885696000</v>
      </c>
      <c r="F1135" s="11" t="s">
        <v>26</v>
      </c>
      <c r="G1135" s="12">
        <v>405.0</v>
      </c>
      <c r="H1135" s="12">
        <v>882.0</v>
      </c>
      <c r="I1135" s="12">
        <v>2.0</v>
      </c>
      <c r="J1135" s="12">
        <v>0.0</v>
      </c>
      <c r="K1135" s="11" t="s">
        <v>21</v>
      </c>
      <c r="L1135" s="7">
        <v>41529.842094907406</v>
      </c>
      <c r="M1135" s="13" t="s">
        <v>129</v>
      </c>
      <c r="N1135" s="13" t="s">
        <v>130</v>
      </c>
      <c r="O1135" s="10" t="str">
        <f>HYPERLINK("https://pbs.twimg.com/profile_images/650419150620377089/bJxBf---_normal.jpg","View")</f>
        <v>View</v>
      </c>
      <c r="P1135" s="14"/>
    </row>
    <row r="1136">
      <c r="A1136" s="7">
        <v>42433.83251157407</v>
      </c>
      <c r="B1136" s="8" t="str">
        <f>HYPERLINK("https://twitter.com/pastpunditry","@pastpunditry")</f>
        <v>@pastpunditry</v>
      </c>
      <c r="C1136" s="9" t="s">
        <v>92</v>
      </c>
      <c r="D1136" s="9" t="s">
        <v>1196</v>
      </c>
      <c r="E1136" s="10" t="str">
        <f>HYPERLINK("https://twitter.com/pastpunditry/status/705935565863194624","705935565863194624")</f>
        <v>705935565863194624</v>
      </c>
      <c r="F1136" s="11" t="s">
        <v>77</v>
      </c>
      <c r="G1136" s="12">
        <v>890.0</v>
      </c>
      <c r="H1136" s="12">
        <v>378.0</v>
      </c>
      <c r="I1136" s="12">
        <v>2.0</v>
      </c>
      <c r="J1136" s="12">
        <v>0.0</v>
      </c>
      <c r="K1136" s="11" t="s">
        <v>21</v>
      </c>
      <c r="L1136" s="7">
        <v>40283.384351851855</v>
      </c>
      <c r="M1136" s="13" t="s">
        <v>94</v>
      </c>
      <c r="N1136" s="13" t="s">
        <v>95</v>
      </c>
      <c r="O1136" s="10" t="str">
        <f>HYPERLINK("https://pbs.twimg.com/profile_images/704873222802636800/7aFEMOY5_normal.jpg","View")</f>
        <v>View</v>
      </c>
      <c r="P1136" s="14"/>
    </row>
    <row r="1137">
      <c r="A1137" s="7">
        <v>42433.832754629635</v>
      </c>
      <c r="B1137" s="8" t="str">
        <f>HYPERLINK("https://twitter.com/AmandaMoniz1","@AmandaMoniz1")</f>
        <v>@AmandaMoniz1</v>
      </c>
      <c r="C1137" s="9" t="s">
        <v>66</v>
      </c>
      <c r="D1137" s="9" t="s">
        <v>1197</v>
      </c>
      <c r="E1137" s="10" t="str">
        <f>HYPERLINK("https://twitter.com/AmandaMoniz1/status/705935655067643904","705935655067643904")</f>
        <v>705935655067643904</v>
      </c>
      <c r="F1137" s="11" t="s">
        <v>26</v>
      </c>
      <c r="G1137" s="12">
        <v>622.0</v>
      </c>
      <c r="H1137" s="12">
        <v>607.0</v>
      </c>
      <c r="I1137" s="12">
        <v>3.0</v>
      </c>
      <c r="J1137" s="12">
        <v>0.0</v>
      </c>
      <c r="K1137" s="11" t="s">
        <v>21</v>
      </c>
      <c r="L1137" s="7">
        <v>40766.33971064815</v>
      </c>
      <c r="M1137" s="15"/>
      <c r="N1137" s="13" t="s">
        <v>68</v>
      </c>
      <c r="O1137" s="10" t="str">
        <f>HYPERLINK("https://pbs.twimg.com/profile_images/378800000149111881/7969acf9cec4197748b502a6a6c3d921_normal.jpeg","View")</f>
        <v>View</v>
      </c>
      <c r="P1137" s="14"/>
    </row>
    <row r="1138">
      <c r="A1138" s="7">
        <v>42433.832824074074</v>
      </c>
      <c r="B1138" s="8" t="str">
        <f>HYPERLINK("https://twitter.com/JimGrossmanAHA","@JimGrossmanAHA")</f>
        <v>@JimGrossmanAHA</v>
      </c>
      <c r="C1138" s="9" t="s">
        <v>278</v>
      </c>
      <c r="D1138" s="9" t="s">
        <v>1198</v>
      </c>
      <c r="E1138" s="10" t="str">
        <f>HYPERLINK("https://twitter.com/JimGrossmanAHA/status/705935678731886594","705935678731886594")</f>
        <v>705935678731886594</v>
      </c>
      <c r="F1138" s="11" t="s">
        <v>31</v>
      </c>
      <c r="G1138" s="12">
        <v>2241.0</v>
      </c>
      <c r="H1138" s="12">
        <v>368.0</v>
      </c>
      <c r="I1138" s="12">
        <v>2.0</v>
      </c>
      <c r="J1138" s="12">
        <v>3.0</v>
      </c>
      <c r="K1138" s="11" t="s">
        <v>21</v>
      </c>
      <c r="L1138" s="7">
        <v>41576.36603009259</v>
      </c>
      <c r="M1138" s="13" t="s">
        <v>279</v>
      </c>
      <c r="N1138" s="13" t="s">
        <v>280</v>
      </c>
      <c r="O1138" s="10" t="str">
        <f>HYPERLINK("https://pbs.twimg.com/profile_images/378800000667891782/44d7b181c077bf16ab07b242f7ad81b9_normal.png","View")</f>
        <v>View</v>
      </c>
      <c r="P1138" s="14"/>
    </row>
    <row r="1139">
      <c r="A1139" s="7">
        <v>42433.8328587963</v>
      </c>
      <c r="B1139" s="8" t="str">
        <f>HYPERLINK("https://twitter.com/juliegpeterson","@juliegpeterson")</f>
        <v>@juliegpeterson</v>
      </c>
      <c r="C1139" s="9" t="s">
        <v>24</v>
      </c>
      <c r="D1139" s="9" t="s">
        <v>1197</v>
      </c>
      <c r="E1139" s="10" t="str">
        <f>HYPERLINK("https://twitter.com/juliegpeterson/status/705935691750965248","705935691750965248")</f>
        <v>705935691750965248</v>
      </c>
      <c r="F1139" s="11" t="s">
        <v>26</v>
      </c>
      <c r="G1139" s="12">
        <v>239.0</v>
      </c>
      <c r="H1139" s="12">
        <v>775.0</v>
      </c>
      <c r="I1139" s="12">
        <v>3.0</v>
      </c>
      <c r="J1139" s="12">
        <v>0.0</v>
      </c>
      <c r="K1139" s="11" t="s">
        <v>21</v>
      </c>
      <c r="L1139" s="7">
        <v>41208.65523148148</v>
      </c>
      <c r="M1139" s="13" t="s">
        <v>22</v>
      </c>
      <c r="N1139" s="13" t="s">
        <v>27</v>
      </c>
      <c r="O1139" s="10" t="str">
        <f>HYPERLINK("https://pbs.twimg.com/profile_images/609765839051452416/GNW0wSt0_normal.jpg","View")</f>
        <v>View</v>
      </c>
      <c r="P1139" s="14"/>
    </row>
    <row r="1140">
      <c r="A1140" s="7">
        <v>42433.832928240736</v>
      </c>
      <c r="B1140" s="8" t="str">
        <f>HYPERLINK("https://twitter.com/rebekkahrubin","@rebekkahrubin")</f>
        <v>@rebekkahrubin</v>
      </c>
      <c r="C1140" s="9" t="s">
        <v>141</v>
      </c>
      <c r="D1140" s="9" t="s">
        <v>1199</v>
      </c>
      <c r="E1140" s="10" t="str">
        <f>HYPERLINK("https://twitter.com/rebekkahrubin/status/705935719748014080","705935719748014080")</f>
        <v>705935719748014080</v>
      </c>
      <c r="F1140" s="11" t="s">
        <v>31</v>
      </c>
      <c r="G1140" s="12">
        <v>492.0</v>
      </c>
      <c r="H1140" s="12">
        <v>1224.0</v>
      </c>
      <c r="I1140" s="12">
        <v>1.0</v>
      </c>
      <c r="J1140" s="12">
        <v>1.0</v>
      </c>
      <c r="K1140" s="11" t="s">
        <v>21</v>
      </c>
      <c r="L1140" s="7">
        <v>40411.521527777775</v>
      </c>
      <c r="M1140" s="13" t="s">
        <v>143</v>
      </c>
      <c r="N1140" s="13" t="s">
        <v>144</v>
      </c>
      <c r="O1140" s="10" t="str">
        <f>HYPERLINK("https://pbs.twimg.com/profile_images/700317732588408832/Ym_-neUi_normal.jpg","View")</f>
        <v>View</v>
      </c>
      <c r="P1140" s="14"/>
    </row>
    <row r="1141">
      <c r="A1141" s="7">
        <v>42433.83310185185</v>
      </c>
      <c r="B1141" s="8" t="str">
        <f>HYPERLINK("https://twitter.com/pastpunditry","@pastpunditry")</f>
        <v>@pastpunditry</v>
      </c>
      <c r="C1141" s="9" t="s">
        <v>92</v>
      </c>
      <c r="D1141" s="9" t="s">
        <v>1200</v>
      </c>
      <c r="E1141" s="10" t="str">
        <f>HYPERLINK("https://twitter.com/pastpunditry/status/705935779722358784","705935779722358784")</f>
        <v>705935779722358784</v>
      </c>
      <c r="F1141" s="11" t="s">
        <v>77</v>
      </c>
      <c r="G1141" s="12">
        <v>890.0</v>
      </c>
      <c r="H1141" s="12">
        <v>378.0</v>
      </c>
      <c r="I1141" s="12">
        <v>1.0</v>
      </c>
      <c r="J1141" s="12">
        <v>0.0</v>
      </c>
      <c r="K1141" s="11" t="s">
        <v>21</v>
      </c>
      <c r="L1141" s="7">
        <v>40283.384351851855</v>
      </c>
      <c r="M1141" s="13" t="s">
        <v>94</v>
      </c>
      <c r="N1141" s="13" t="s">
        <v>95</v>
      </c>
      <c r="O1141" s="10" t="str">
        <f>HYPERLINK("https://pbs.twimg.com/profile_images/704873222802636800/7aFEMOY5_normal.jpg","View")</f>
        <v>View</v>
      </c>
      <c r="P1141" s="14"/>
    </row>
    <row r="1142">
      <c r="A1142" s="7">
        <v>42433.833125000005</v>
      </c>
      <c r="B1142" s="8" t="str">
        <f>HYPERLINK("https://twitter.com/rebekkahrubin","@rebekkahrubin")</f>
        <v>@rebekkahrubin</v>
      </c>
      <c r="C1142" s="9" t="s">
        <v>141</v>
      </c>
      <c r="D1142" s="9" t="s">
        <v>1196</v>
      </c>
      <c r="E1142" s="10" t="str">
        <f>HYPERLINK("https://twitter.com/rebekkahrubin/status/705935790715641856","705935790715641856")</f>
        <v>705935790715641856</v>
      </c>
      <c r="F1142" s="11" t="s">
        <v>31</v>
      </c>
      <c r="G1142" s="12">
        <v>492.0</v>
      </c>
      <c r="H1142" s="12">
        <v>1224.0</v>
      </c>
      <c r="I1142" s="12">
        <v>2.0</v>
      </c>
      <c r="J1142" s="12">
        <v>0.0</v>
      </c>
      <c r="K1142" s="11" t="s">
        <v>21</v>
      </c>
      <c r="L1142" s="7">
        <v>40411.521527777775</v>
      </c>
      <c r="M1142" s="13" t="s">
        <v>143</v>
      </c>
      <c r="N1142" s="13" t="s">
        <v>144</v>
      </c>
      <c r="O1142" s="10" t="str">
        <f>HYPERLINK("https://pbs.twimg.com/profile_images/700317732588408832/Ym_-neUi_normal.jpg","View")</f>
        <v>View</v>
      </c>
      <c r="P1142" s="14"/>
    </row>
    <row r="1143">
      <c r="A1143" s="7">
        <v>42433.83319444444</v>
      </c>
      <c r="B1143" s="8" t="str">
        <f>HYPERLINK("https://twitter.com/magmidd","@magmidd")</f>
        <v>@magmidd</v>
      </c>
      <c r="C1143" s="9" t="s">
        <v>636</v>
      </c>
      <c r="D1143" s="9" t="s">
        <v>1201</v>
      </c>
      <c r="E1143" s="10" t="str">
        <f>HYPERLINK("https://twitter.com/magmidd/status/705935814367117313","705935814367117313")</f>
        <v>705935814367117313</v>
      </c>
      <c r="F1143" s="11" t="s">
        <v>148</v>
      </c>
      <c r="G1143" s="12">
        <v>1385.0</v>
      </c>
      <c r="H1143" s="12">
        <v>1353.0</v>
      </c>
      <c r="I1143" s="12">
        <v>9.0</v>
      </c>
      <c r="J1143" s="12">
        <v>10.0</v>
      </c>
      <c r="K1143" s="11" t="s">
        <v>21</v>
      </c>
      <c r="L1143" s="7">
        <v>41511.60082175926</v>
      </c>
      <c r="M1143" s="13" t="s">
        <v>197</v>
      </c>
      <c r="N1143" s="13" t="s">
        <v>638</v>
      </c>
      <c r="O1143" s="10" t="str">
        <f>HYPERLINK("https://pbs.twimg.com/profile_images/378800000450415007/82bcc7d0cab85e8d5920dbf5ded6715e_normal.jpeg","View")</f>
        <v>View</v>
      </c>
      <c r="P1143" s="14"/>
    </row>
    <row r="1144">
      <c r="A1144" s="7">
        <v>42433.833750000005</v>
      </c>
      <c r="B1144" s="8" t="str">
        <f>HYPERLINK("https://twitter.com/GHAUmass","@GHAUmass")</f>
        <v>@GHAUmass</v>
      </c>
      <c r="C1144" s="9" t="s">
        <v>30</v>
      </c>
      <c r="D1144" s="9" t="s">
        <v>1202</v>
      </c>
      <c r="E1144" s="10" t="str">
        <f>HYPERLINK("https://twitter.com/GHAUmass/status/705936014188138496","705936014188138496")</f>
        <v>705936014188138496</v>
      </c>
      <c r="F1144" s="11" t="s">
        <v>26</v>
      </c>
      <c r="G1144" s="12">
        <v>68.0</v>
      </c>
      <c r="H1144" s="12">
        <v>100.0</v>
      </c>
      <c r="I1144" s="12">
        <v>3.0</v>
      </c>
      <c r="J1144" s="12">
        <v>3.0</v>
      </c>
      <c r="K1144" s="11" t="s">
        <v>21</v>
      </c>
      <c r="L1144" s="7">
        <v>42152.65289351852</v>
      </c>
      <c r="M1144" s="13" t="s">
        <v>22</v>
      </c>
      <c r="N1144" s="13" t="s">
        <v>32</v>
      </c>
      <c r="O1144" s="10" t="str">
        <f>HYPERLINK("https://pbs.twimg.com/profile_images/604060333590855682/Fk6r1D7d_normal.jpg","View")</f>
        <v>View</v>
      </c>
      <c r="P1144" s="14"/>
    </row>
    <row r="1145">
      <c r="A1145" s="7">
        <v>42433.8337962963</v>
      </c>
      <c r="B1145" s="8" t="str">
        <f>HYPERLINK("https://twitter.com/pastpunditry","@pastpunditry")</f>
        <v>@pastpunditry</v>
      </c>
      <c r="C1145" s="9" t="s">
        <v>92</v>
      </c>
      <c r="D1145" s="9" t="s">
        <v>1203</v>
      </c>
      <c r="E1145" s="10" t="str">
        <f>HYPERLINK("https://twitter.com/pastpunditry/status/705936034077523970","705936034077523970")</f>
        <v>705936034077523970</v>
      </c>
      <c r="F1145" s="11" t="s">
        <v>77</v>
      </c>
      <c r="G1145" s="12">
        <v>890.0</v>
      </c>
      <c r="H1145" s="12">
        <v>378.0</v>
      </c>
      <c r="I1145" s="12">
        <v>2.0</v>
      </c>
      <c r="J1145" s="12">
        <v>4.0</v>
      </c>
      <c r="K1145" s="11" t="s">
        <v>21</v>
      </c>
      <c r="L1145" s="7">
        <v>40283.384351851855</v>
      </c>
      <c r="M1145" s="13" t="s">
        <v>94</v>
      </c>
      <c r="N1145" s="13" t="s">
        <v>95</v>
      </c>
      <c r="O1145" s="10" t="str">
        <f>HYPERLINK("https://pbs.twimg.com/profile_images/704873222802636800/7aFEMOY5_normal.jpg","View")</f>
        <v>View</v>
      </c>
      <c r="P1145" s="14"/>
    </row>
    <row r="1146">
      <c r="A1146" s="7">
        <v>42433.83380787037</v>
      </c>
      <c r="B1146" s="8" t="str">
        <f>HYPERLINK("https://twitter.com/rebekkahrubin","@rebekkahrubin")</f>
        <v>@rebekkahrubin</v>
      </c>
      <c r="C1146" s="9" t="s">
        <v>141</v>
      </c>
      <c r="D1146" s="9" t="s">
        <v>1204</v>
      </c>
      <c r="E1146" s="10" t="str">
        <f>HYPERLINK("https://twitter.com/rebekkahrubin/status/705936035679707136","705936035679707136")</f>
        <v>705936035679707136</v>
      </c>
      <c r="F1146" s="11" t="s">
        <v>31</v>
      </c>
      <c r="G1146" s="12">
        <v>492.0</v>
      </c>
      <c r="H1146" s="12">
        <v>1224.0</v>
      </c>
      <c r="I1146" s="12">
        <v>2.0</v>
      </c>
      <c r="J1146" s="12">
        <v>3.0</v>
      </c>
      <c r="K1146" s="11" t="s">
        <v>21</v>
      </c>
      <c r="L1146" s="7">
        <v>40411.521527777775</v>
      </c>
      <c r="M1146" s="13" t="s">
        <v>143</v>
      </c>
      <c r="N1146" s="13" t="s">
        <v>144</v>
      </c>
      <c r="O1146" s="10" t="str">
        <f>HYPERLINK("https://pbs.twimg.com/profile_images/700317732588408832/Ym_-neUi_normal.jpg","View")</f>
        <v>View</v>
      </c>
      <c r="P1146" s="14"/>
    </row>
    <row r="1147">
      <c r="A1147" s="7">
        <v>42433.83395833333</v>
      </c>
      <c r="B1147" s="8" t="str">
        <f t="shared" ref="B1147:B1148" si="249">HYPERLINK("https://twitter.com/pastpunditry","@pastpunditry")</f>
        <v>@pastpunditry</v>
      </c>
      <c r="C1147" s="9" t="s">
        <v>92</v>
      </c>
      <c r="D1147" s="9" t="s">
        <v>1205</v>
      </c>
      <c r="E1147" s="10" t="str">
        <f>HYPERLINK("https://twitter.com/pastpunditry/status/705936090826416128","705936090826416128")</f>
        <v>705936090826416128</v>
      </c>
      <c r="F1147" s="11" t="s">
        <v>77</v>
      </c>
      <c r="G1147" s="12">
        <v>890.0</v>
      </c>
      <c r="H1147" s="12">
        <v>378.0</v>
      </c>
      <c r="I1147" s="12">
        <v>0.0</v>
      </c>
      <c r="J1147" s="12">
        <v>2.0</v>
      </c>
      <c r="K1147" s="11" t="s">
        <v>21</v>
      </c>
      <c r="L1147" s="7">
        <v>40283.384351851855</v>
      </c>
      <c r="M1147" s="13" t="s">
        <v>94</v>
      </c>
      <c r="N1147" s="13" t="s">
        <v>95</v>
      </c>
      <c r="O1147" s="10" t="str">
        <f t="shared" ref="O1147:O1148" si="250">HYPERLINK("https://pbs.twimg.com/profile_images/704873222802636800/7aFEMOY5_normal.jpg","View")</f>
        <v>View</v>
      </c>
      <c r="P1147" s="14"/>
    </row>
    <row r="1148">
      <c r="A1148" s="7">
        <v>42433.83400462963</v>
      </c>
      <c r="B1148" s="8" t="str">
        <f t="shared" si="249"/>
        <v>@pastpunditry</v>
      </c>
      <c r="C1148" s="9" t="s">
        <v>92</v>
      </c>
      <c r="D1148" s="9" t="s">
        <v>1206</v>
      </c>
      <c r="E1148" s="10" t="str">
        <f>HYPERLINK("https://twitter.com/pastpunditry/status/705936106550923265","705936106550923265")</f>
        <v>705936106550923265</v>
      </c>
      <c r="F1148" s="11" t="s">
        <v>77</v>
      </c>
      <c r="G1148" s="12">
        <v>890.0</v>
      </c>
      <c r="H1148" s="12">
        <v>378.0</v>
      </c>
      <c r="I1148" s="12">
        <v>2.0</v>
      </c>
      <c r="J1148" s="12">
        <v>0.0</v>
      </c>
      <c r="K1148" s="11" t="s">
        <v>21</v>
      </c>
      <c r="L1148" s="7">
        <v>40283.384351851855</v>
      </c>
      <c r="M1148" s="13" t="s">
        <v>94</v>
      </c>
      <c r="N1148" s="13" t="s">
        <v>95</v>
      </c>
      <c r="O1148" s="10" t="str">
        <f t="shared" si="250"/>
        <v>View</v>
      </c>
      <c r="P1148" s="14"/>
    </row>
    <row r="1149">
      <c r="A1149" s="7">
        <v>42433.834120370375</v>
      </c>
      <c r="B1149" s="8" t="str">
        <f>HYPERLINK("https://twitter.com/CitizenWald","@CitizenWald")</f>
        <v>@CitizenWald</v>
      </c>
      <c r="C1149" s="9" t="s">
        <v>668</v>
      </c>
      <c r="D1149" s="9" t="s">
        <v>1207</v>
      </c>
      <c r="E1149" s="10" t="str">
        <f>HYPERLINK("https://twitter.com/CitizenWald/status/705936149177634816","705936149177634816")</f>
        <v>705936149177634816</v>
      </c>
      <c r="F1149" s="11" t="s">
        <v>26</v>
      </c>
      <c r="G1149" s="12">
        <v>2335.0</v>
      </c>
      <c r="H1149" s="12">
        <v>2535.0</v>
      </c>
      <c r="I1149" s="12">
        <v>1.0</v>
      </c>
      <c r="J1149" s="12">
        <v>1.0</v>
      </c>
      <c r="K1149" s="11" t="s">
        <v>21</v>
      </c>
      <c r="L1149" s="7">
        <v>39373.01613425926</v>
      </c>
      <c r="M1149" s="13" t="s">
        <v>22</v>
      </c>
      <c r="N1149" s="13" t="s">
        <v>669</v>
      </c>
      <c r="O1149" s="10" t="str">
        <f>HYPERLINK("https://pbs.twimg.com/profile_images/661220280564486144/ZxUrdRVS_normal.jpg","View")</f>
        <v>View</v>
      </c>
      <c r="P1149" s="14"/>
    </row>
    <row r="1150">
      <c r="A1150" s="7">
        <v>42433.834918981476</v>
      </c>
      <c r="B1150" s="8" t="str">
        <f>HYPERLINK("https://twitter.com/historycampaign","@historycampaign")</f>
        <v>@historycampaign</v>
      </c>
      <c r="C1150" s="9" t="s">
        <v>133</v>
      </c>
      <c r="D1150" s="9" t="s">
        <v>1208</v>
      </c>
      <c r="E1150" s="10" t="str">
        <f>HYPERLINK("https://twitter.com/historycampaign/status/705936440899702784","705936440899702784")</f>
        <v>705936440899702784</v>
      </c>
      <c r="F1150" s="11" t="s">
        <v>26</v>
      </c>
      <c r="G1150" s="12">
        <v>110.0</v>
      </c>
      <c r="H1150" s="12">
        <v>59.0</v>
      </c>
      <c r="I1150" s="12">
        <v>9.0</v>
      </c>
      <c r="J1150" s="12">
        <v>0.0</v>
      </c>
      <c r="K1150" s="11" t="s">
        <v>21</v>
      </c>
      <c r="L1150" s="7">
        <v>42311.25096064815</v>
      </c>
      <c r="M1150" s="15"/>
      <c r="N1150" s="13" t="s">
        <v>135</v>
      </c>
      <c r="O1150" s="10" t="str">
        <f>HYPERLINK("https://pbs.twimg.com/profile_images/673691030139609088/8v7ab61D_normal.jpg","View")</f>
        <v>View</v>
      </c>
      <c r="P1150" s="14"/>
    </row>
    <row r="1151">
      <c r="A1151" s="7">
        <v>42433.8356712963</v>
      </c>
      <c r="B1151" s="8" t="str">
        <f>HYPERLINK("https://twitter.com/hallnjean","@hallnjean")</f>
        <v>@hallnjean</v>
      </c>
      <c r="C1151" s="9" t="s">
        <v>1209</v>
      </c>
      <c r="D1151" s="9" t="s">
        <v>854</v>
      </c>
      <c r="E1151" s="10" t="str">
        <f>HYPERLINK("https://twitter.com/hallnjean/status/705936710752825344","705936710752825344")</f>
        <v>705936710752825344</v>
      </c>
      <c r="F1151" s="11" t="s">
        <v>31</v>
      </c>
      <c r="G1151" s="12">
        <v>2221.0</v>
      </c>
      <c r="H1151" s="12">
        <v>2091.0</v>
      </c>
      <c r="I1151" s="12">
        <v>3.0</v>
      </c>
      <c r="J1151" s="12">
        <v>0.0</v>
      </c>
      <c r="K1151" s="11" t="s">
        <v>21</v>
      </c>
      <c r="L1151" s="7">
        <v>39977.59363425926</v>
      </c>
      <c r="M1151" s="15"/>
      <c r="N1151" s="13" t="s">
        <v>1210</v>
      </c>
      <c r="O1151" s="10" t="str">
        <f>HYPERLINK("https://pbs.twimg.com/profile_images/663090083239620608/I6P3K6Vw_normal.jpg","View")</f>
        <v>View</v>
      </c>
      <c r="P1151" s="14"/>
    </row>
    <row r="1152">
      <c r="A1152" s="7">
        <v>42433.83594907407</v>
      </c>
      <c r="B1152" s="8" t="str">
        <f>HYPERLINK("https://twitter.com/juliegpeterson","@juliegpeterson")</f>
        <v>@juliegpeterson</v>
      </c>
      <c r="C1152" s="9" t="s">
        <v>24</v>
      </c>
      <c r="D1152" s="9" t="s">
        <v>1211</v>
      </c>
      <c r="E1152" s="10" t="str">
        <f>HYPERLINK("https://twitter.com/juliegpeterson/status/705936813031071744","705936813031071744")</f>
        <v>705936813031071744</v>
      </c>
      <c r="F1152" s="11" t="s">
        <v>26</v>
      </c>
      <c r="G1152" s="12">
        <v>239.0</v>
      </c>
      <c r="H1152" s="12">
        <v>775.0</v>
      </c>
      <c r="I1152" s="12">
        <v>1.0</v>
      </c>
      <c r="J1152" s="12">
        <v>3.0</v>
      </c>
      <c r="K1152" s="11" t="s">
        <v>21</v>
      </c>
      <c r="L1152" s="7">
        <v>41208.65523148148</v>
      </c>
      <c r="M1152" s="13" t="s">
        <v>22</v>
      </c>
      <c r="N1152" s="13" t="s">
        <v>27</v>
      </c>
      <c r="O1152" s="10" t="str">
        <f>HYPERLINK("https://pbs.twimg.com/profile_images/609765839051452416/GNW0wSt0_normal.jpg","View")</f>
        <v>View</v>
      </c>
      <c r="P1152" s="14"/>
    </row>
    <row r="1153">
      <c r="A1153" s="7">
        <v>42433.83746527778</v>
      </c>
      <c r="B1153" s="8" t="str">
        <f>HYPERLINK("https://twitter.com/sheishistoric","@sheishistoric")</f>
        <v>@sheishistoric</v>
      </c>
      <c r="C1153" s="9" t="s">
        <v>127</v>
      </c>
      <c r="D1153" s="9" t="s">
        <v>1212</v>
      </c>
      <c r="E1153" s="10" t="str">
        <f>HYPERLINK("https://twitter.com/sheishistoric/status/705937361964814336","705937361964814336")</f>
        <v>705937361964814336</v>
      </c>
      <c r="F1153" s="11" t="s">
        <v>26</v>
      </c>
      <c r="G1153" s="12">
        <v>405.0</v>
      </c>
      <c r="H1153" s="12">
        <v>882.0</v>
      </c>
      <c r="I1153" s="12">
        <v>1.0</v>
      </c>
      <c r="J1153" s="12">
        <v>0.0</v>
      </c>
      <c r="K1153" s="11" t="s">
        <v>21</v>
      </c>
      <c r="L1153" s="7">
        <v>41529.842094907406</v>
      </c>
      <c r="M1153" s="13" t="s">
        <v>129</v>
      </c>
      <c r="N1153" s="13" t="s">
        <v>130</v>
      </c>
      <c r="O1153" s="10" t="str">
        <f>HYPERLINK("https://pbs.twimg.com/profile_images/650419150620377089/bJxBf---_normal.jpg","View")</f>
        <v>View</v>
      </c>
      <c r="P1153" s="14"/>
    </row>
    <row r="1154">
      <c r="A1154" s="7">
        <v>42433.837847222225</v>
      </c>
      <c r="B1154" s="8" t="str">
        <f t="shared" ref="B1154:B1155" si="251">HYPERLINK("https://twitter.com/Jamiejhagen","@Jamiejhagen")</f>
        <v>@Jamiejhagen</v>
      </c>
      <c r="C1154" s="9" t="s">
        <v>1213</v>
      </c>
      <c r="D1154" s="9" t="s">
        <v>1214</v>
      </c>
      <c r="E1154" s="10" t="str">
        <f>HYPERLINK("https://twitter.com/Jamiejhagen/status/705937501626736640","705937501626736640")</f>
        <v>705937501626736640</v>
      </c>
      <c r="F1154" s="11" t="s">
        <v>26</v>
      </c>
      <c r="G1154" s="12">
        <v>1848.0</v>
      </c>
      <c r="H1154" s="12">
        <v>2177.0</v>
      </c>
      <c r="I1154" s="12">
        <v>1.0</v>
      </c>
      <c r="J1154" s="12">
        <v>0.0</v>
      </c>
      <c r="K1154" s="11" t="s">
        <v>21</v>
      </c>
      <c r="L1154" s="7">
        <v>40690.77599537037</v>
      </c>
      <c r="M1154" s="13" t="s">
        <v>1215</v>
      </c>
      <c r="N1154" s="13" t="s">
        <v>1216</v>
      </c>
      <c r="O1154" s="10" t="str">
        <f t="shared" ref="O1154:O1155" si="252">HYPERLINK("https://pbs.twimg.com/profile_images/658077828018237444/VsfCXMha_normal.jpg","View")</f>
        <v>View</v>
      </c>
      <c r="P1154" s="14"/>
    </row>
    <row r="1155">
      <c r="A1155" s="7">
        <v>42433.83791666667</v>
      </c>
      <c r="B1155" s="8" t="str">
        <f t="shared" si="251"/>
        <v>@Jamiejhagen</v>
      </c>
      <c r="C1155" s="9" t="s">
        <v>1213</v>
      </c>
      <c r="D1155" s="9" t="s">
        <v>855</v>
      </c>
      <c r="E1155" s="10" t="str">
        <f>HYPERLINK("https://twitter.com/Jamiejhagen/status/705937525265793024","705937525265793024")</f>
        <v>705937525265793024</v>
      </c>
      <c r="F1155" s="11" t="s">
        <v>26</v>
      </c>
      <c r="G1155" s="12">
        <v>1848.0</v>
      </c>
      <c r="H1155" s="12">
        <v>2177.0</v>
      </c>
      <c r="I1155" s="12">
        <v>3.0</v>
      </c>
      <c r="J1155" s="12">
        <v>0.0</v>
      </c>
      <c r="K1155" s="11" t="s">
        <v>21</v>
      </c>
      <c r="L1155" s="7">
        <v>40690.77599537037</v>
      </c>
      <c r="M1155" s="13" t="s">
        <v>1215</v>
      </c>
      <c r="N1155" s="13" t="s">
        <v>1216</v>
      </c>
      <c r="O1155" s="10" t="str">
        <f t="shared" si="252"/>
        <v>View</v>
      </c>
      <c r="P1155" s="14"/>
    </row>
    <row r="1156">
      <c r="A1156" s="7">
        <v>42433.83940972222</v>
      </c>
      <c r="B1156" s="8" t="str">
        <f>HYPERLINK("https://twitter.com/jomac1867","@jomac1867")</f>
        <v>@jomac1867</v>
      </c>
      <c r="C1156" s="9" t="s">
        <v>1191</v>
      </c>
      <c r="D1156" s="9" t="s">
        <v>1217</v>
      </c>
      <c r="E1156" s="10" t="str">
        <f>HYPERLINK("https://twitter.com/jomac1867/status/705938065945190401","705938065945190401")</f>
        <v>705938065945190401</v>
      </c>
      <c r="F1156" s="11" t="s">
        <v>26</v>
      </c>
      <c r="G1156" s="12">
        <v>1547.0</v>
      </c>
      <c r="H1156" s="12">
        <v>2043.0</v>
      </c>
      <c r="I1156" s="12">
        <v>2.0</v>
      </c>
      <c r="J1156" s="12">
        <v>0.0</v>
      </c>
      <c r="K1156" s="11" t="s">
        <v>21</v>
      </c>
      <c r="L1156" s="7">
        <v>40050.75034722222</v>
      </c>
      <c r="M1156" s="13" t="s">
        <v>1192</v>
      </c>
      <c r="N1156" s="13" t="s">
        <v>1193</v>
      </c>
      <c r="O1156" s="10" t="str">
        <f>HYPERLINK("https://pbs.twimg.com/profile_images/674233655779328000/QFONMQg9_normal.jpg","View")</f>
        <v>View</v>
      </c>
      <c r="P1156" s="14"/>
    </row>
    <row r="1157">
      <c r="A1157" s="7">
        <v>42433.83943287037</v>
      </c>
      <c r="B1157" s="8" t="str">
        <f>HYPERLINK("https://twitter.com/erfagen","@erfagen")</f>
        <v>@erfagen</v>
      </c>
      <c r="C1157" s="9" t="s">
        <v>124</v>
      </c>
      <c r="D1157" s="9" t="s">
        <v>482</v>
      </c>
      <c r="E1157" s="10" t="str">
        <f>HYPERLINK("https://twitter.com/erfagen/status/705938077043322880","705938077043322880")</f>
        <v>705938077043322880</v>
      </c>
      <c r="F1157" s="11" t="s">
        <v>26</v>
      </c>
      <c r="G1157" s="12">
        <v>1055.0</v>
      </c>
      <c r="H1157" s="12">
        <v>2055.0</v>
      </c>
      <c r="I1157" s="12">
        <v>13.0</v>
      </c>
      <c r="J1157" s="12">
        <v>0.0</v>
      </c>
      <c r="K1157" s="11" t="s">
        <v>21</v>
      </c>
      <c r="L1157" s="7">
        <v>40524.93576388889</v>
      </c>
      <c r="M1157" s="13" t="s">
        <v>125</v>
      </c>
      <c r="N1157" s="13" t="s">
        <v>126</v>
      </c>
      <c r="O1157" s="10" t="str">
        <f>HYPERLINK("https://pbs.twimg.com/profile_images/638086945722249217/mid_S_BQ_normal.jpg","View")</f>
        <v>View</v>
      </c>
      <c r="P1157" s="14"/>
    </row>
    <row r="1158">
      <c r="A1158" s="7">
        <v>42433.84065972222</v>
      </c>
      <c r="B1158" s="8" t="str">
        <f>HYPERLINK("https://twitter.com/JL_McPherson_","@JL_McPherson_")</f>
        <v>@JL_McPherson_</v>
      </c>
      <c r="C1158" s="9" t="s">
        <v>297</v>
      </c>
      <c r="D1158" s="9" t="s">
        <v>1019</v>
      </c>
      <c r="E1158" s="10" t="str">
        <f>HYPERLINK("https://twitter.com/JL_McPherson_/status/705938519286394880","705938519286394880")</f>
        <v>705938519286394880</v>
      </c>
      <c r="F1158" s="11" t="s">
        <v>26</v>
      </c>
      <c r="G1158" s="12">
        <v>144.0</v>
      </c>
      <c r="H1158" s="12">
        <v>415.0</v>
      </c>
      <c r="I1158" s="12">
        <v>2.0</v>
      </c>
      <c r="J1158" s="12">
        <v>0.0</v>
      </c>
      <c r="K1158" s="11" t="s">
        <v>21</v>
      </c>
      <c r="L1158" s="7">
        <v>40607.711226851854</v>
      </c>
      <c r="M1158" s="13" t="s">
        <v>298</v>
      </c>
      <c r="N1158" s="13" t="s">
        <v>299</v>
      </c>
      <c r="O1158" s="10" t="str">
        <f>HYPERLINK("https://pbs.twimg.com/profile_images/562649272173068288/zFENKIgW_normal.png","View")</f>
        <v>View</v>
      </c>
      <c r="P1158" s="14"/>
    </row>
    <row r="1159">
      <c r="A1159" s="7">
        <v>42433.8407175926</v>
      </c>
      <c r="B1159" s="8" t="str">
        <f>HYPERLINK("https://twitter.com/juliegpeterson","@juliegpeterson")</f>
        <v>@juliegpeterson</v>
      </c>
      <c r="C1159" s="9" t="s">
        <v>24</v>
      </c>
      <c r="D1159" s="9" t="s">
        <v>1218</v>
      </c>
      <c r="E1159" s="10" t="str">
        <f>HYPERLINK("https://twitter.com/juliegpeterson/status/705938539742150656","705938539742150656")</f>
        <v>705938539742150656</v>
      </c>
      <c r="F1159" s="11" t="s">
        <v>26</v>
      </c>
      <c r="G1159" s="12">
        <v>239.0</v>
      </c>
      <c r="H1159" s="12">
        <v>775.0</v>
      </c>
      <c r="I1159" s="12">
        <v>2.0</v>
      </c>
      <c r="J1159" s="12">
        <v>4.0</v>
      </c>
      <c r="K1159" s="11" t="s">
        <v>21</v>
      </c>
      <c r="L1159" s="7">
        <v>41208.65523148148</v>
      </c>
      <c r="M1159" s="13" t="s">
        <v>22</v>
      </c>
      <c r="N1159" s="13" t="s">
        <v>27</v>
      </c>
      <c r="O1159" s="10" t="str">
        <f>HYPERLINK("https://pbs.twimg.com/profile_images/609765839051452416/GNW0wSt0_normal.jpg","View")</f>
        <v>View</v>
      </c>
      <c r="P1159" s="14"/>
    </row>
    <row r="1160">
      <c r="A1160" s="7">
        <v>42433.841307870374</v>
      </c>
      <c r="B1160" s="8" t="str">
        <f>HYPERLINK("https://twitter.com/abreimaier","@abreimaier")</f>
        <v>@abreimaier</v>
      </c>
      <c r="C1160" s="9" t="s">
        <v>1219</v>
      </c>
      <c r="D1160" s="9" t="s">
        <v>1220</v>
      </c>
      <c r="E1160" s="10" t="str">
        <f>HYPERLINK("https://twitter.com/abreimaier/status/705938755182587904","705938755182587904")</f>
        <v>705938755182587904</v>
      </c>
      <c r="F1160" s="11" t="s">
        <v>26</v>
      </c>
      <c r="G1160" s="12">
        <v>112.0</v>
      </c>
      <c r="H1160" s="12">
        <v>224.0</v>
      </c>
      <c r="I1160" s="12">
        <v>2.0</v>
      </c>
      <c r="J1160" s="12">
        <v>4.0</v>
      </c>
      <c r="K1160" s="11" t="s">
        <v>21</v>
      </c>
      <c r="L1160" s="7">
        <v>41342.326261574075</v>
      </c>
      <c r="M1160" s="13" t="s">
        <v>200</v>
      </c>
      <c r="N1160" s="13" t="s">
        <v>1221</v>
      </c>
      <c r="O1160" s="10" t="str">
        <f>HYPERLINK("https://pbs.twimg.com/profile_images/3357790300/e80f72cc154c4bfa4bc8dc718fbc525b_normal.jpeg","View")</f>
        <v>View</v>
      </c>
      <c r="P1160" s="14"/>
    </row>
    <row r="1161">
      <c r="A1161" s="7">
        <v>42433.84166666667</v>
      </c>
      <c r="B1161" s="8" t="str">
        <f>HYPERLINK("https://twitter.com/erfagen","@erfagen")</f>
        <v>@erfagen</v>
      </c>
      <c r="C1161" s="9" t="s">
        <v>124</v>
      </c>
      <c r="D1161" s="9" t="s">
        <v>1222</v>
      </c>
      <c r="E1161" s="10" t="str">
        <f>HYPERLINK("https://twitter.com/erfagen/status/705938885545697280","705938885545697280")</f>
        <v>705938885545697280</v>
      </c>
      <c r="F1161" s="11" t="s">
        <v>26</v>
      </c>
      <c r="G1161" s="12">
        <v>1055.0</v>
      </c>
      <c r="H1161" s="12">
        <v>2055.0</v>
      </c>
      <c r="I1161" s="12">
        <v>2.0</v>
      </c>
      <c r="J1161" s="12">
        <v>0.0</v>
      </c>
      <c r="K1161" s="11" t="s">
        <v>21</v>
      </c>
      <c r="L1161" s="7">
        <v>40524.93576388889</v>
      </c>
      <c r="M1161" s="13" t="s">
        <v>125</v>
      </c>
      <c r="N1161" s="13" t="s">
        <v>126</v>
      </c>
      <c r="O1161" s="10" t="str">
        <f>HYPERLINK("https://pbs.twimg.com/profile_images/638086945722249217/mid_S_BQ_normal.jpg","View")</f>
        <v>View</v>
      </c>
      <c r="P1161" s="14"/>
    </row>
    <row r="1162">
      <c r="A1162" s="7">
        <v>42433.84177083333</v>
      </c>
      <c r="B1162" s="8" t="str">
        <f>HYPERLINK("https://twitter.com/JulieThePH","@JulieThePH")</f>
        <v>@JulieThePH</v>
      </c>
      <c r="C1162" s="9" t="s">
        <v>211</v>
      </c>
      <c r="D1162" s="9" t="s">
        <v>1145</v>
      </c>
      <c r="E1162" s="10" t="str">
        <f>HYPERLINK("https://twitter.com/JulieThePH/status/705938923567095808","705938923567095808")</f>
        <v>705938923567095808</v>
      </c>
      <c r="F1162" s="11" t="s">
        <v>148</v>
      </c>
      <c r="G1162" s="12">
        <v>1234.0</v>
      </c>
      <c r="H1162" s="12">
        <v>1386.0</v>
      </c>
      <c r="I1162" s="12">
        <v>2.0</v>
      </c>
      <c r="J1162" s="12">
        <v>0.0</v>
      </c>
      <c r="K1162" s="11" t="s">
        <v>21</v>
      </c>
      <c r="L1162" s="7">
        <v>40718.66918981481</v>
      </c>
      <c r="M1162" s="13" t="s">
        <v>213</v>
      </c>
      <c r="N1162" s="13" t="s">
        <v>214</v>
      </c>
      <c r="O1162" s="10" t="str">
        <f>HYPERLINK("https://pbs.twimg.com/profile_images/596509974005686273/AqBblwMR_normal.jpg","View")</f>
        <v>View</v>
      </c>
      <c r="P1162" s="14"/>
    </row>
    <row r="1163">
      <c r="A1163" s="7">
        <v>42433.84181712963</v>
      </c>
      <c r="B1163" s="8" t="str">
        <f>HYPERLINK("https://twitter.com/juliegpeterson","@juliegpeterson")</f>
        <v>@juliegpeterson</v>
      </c>
      <c r="C1163" s="9" t="s">
        <v>24</v>
      </c>
      <c r="D1163" s="9" t="s">
        <v>1223</v>
      </c>
      <c r="E1163" s="10" t="str">
        <f>HYPERLINK("https://twitter.com/juliegpeterson/status/705938939631312898","705938939631312898")</f>
        <v>705938939631312898</v>
      </c>
      <c r="F1163" s="11" t="s">
        <v>26</v>
      </c>
      <c r="G1163" s="12">
        <v>239.0</v>
      </c>
      <c r="H1163" s="12">
        <v>775.0</v>
      </c>
      <c r="I1163" s="12">
        <v>0.0</v>
      </c>
      <c r="J1163" s="12">
        <v>2.0</v>
      </c>
      <c r="K1163" s="11" t="s">
        <v>21</v>
      </c>
      <c r="L1163" s="7">
        <v>41208.65523148148</v>
      </c>
      <c r="M1163" s="13" t="s">
        <v>22</v>
      </c>
      <c r="N1163" s="13" t="s">
        <v>27</v>
      </c>
      <c r="O1163" s="10" t="str">
        <f>HYPERLINK("https://pbs.twimg.com/profile_images/609765839051452416/GNW0wSt0_normal.jpg","View")</f>
        <v>View</v>
      </c>
      <c r="P1163" s="14"/>
    </row>
    <row r="1164">
      <c r="A1164" s="7">
        <v>42433.84211805556</v>
      </c>
      <c r="B1164" s="8" t="str">
        <f>HYPERLINK("https://twitter.com/jamiaw","@jamiaw")</f>
        <v>@jamiaw</v>
      </c>
      <c r="C1164" s="9" t="s">
        <v>324</v>
      </c>
      <c r="D1164" s="9" t="s">
        <v>1222</v>
      </c>
      <c r="E1164" s="10" t="str">
        <f>HYPERLINK("https://twitter.com/jamiaw/status/705939048586682368","705939048586682368")</f>
        <v>705939048586682368</v>
      </c>
      <c r="F1164" s="11" t="s">
        <v>26</v>
      </c>
      <c r="G1164" s="12">
        <v>11336.0</v>
      </c>
      <c r="H1164" s="12">
        <v>7815.0</v>
      </c>
      <c r="I1164" s="12">
        <v>2.0</v>
      </c>
      <c r="J1164" s="12">
        <v>0.0</v>
      </c>
      <c r="K1164" s="11" t="s">
        <v>21</v>
      </c>
      <c r="L1164" s="7">
        <v>39642.39741898148</v>
      </c>
      <c r="M1164" s="13" t="s">
        <v>325</v>
      </c>
      <c r="N1164" s="13" t="s">
        <v>326</v>
      </c>
      <c r="O1164" s="10" t="str">
        <f>HYPERLINK("https://pbs.twimg.com/profile_images/701102020061753344/5zH70uem_normal.jpg","View")</f>
        <v>View</v>
      </c>
      <c r="P1164" s="14"/>
    </row>
    <row r="1165">
      <c r="A1165" s="7">
        <v>42433.8421412037</v>
      </c>
      <c r="B1165" s="8" t="str">
        <f>HYPERLINK("https://twitter.com/erfagen","@erfagen")</f>
        <v>@erfagen</v>
      </c>
      <c r="C1165" s="9" t="s">
        <v>124</v>
      </c>
      <c r="D1165" s="9" t="s">
        <v>1224</v>
      </c>
      <c r="E1165" s="10" t="str">
        <f>HYPERLINK("https://twitter.com/erfagen/status/705939056899833856","705939056899833856")</f>
        <v>705939056899833856</v>
      </c>
      <c r="F1165" s="11" t="s">
        <v>26</v>
      </c>
      <c r="G1165" s="12">
        <v>1055.0</v>
      </c>
      <c r="H1165" s="12">
        <v>2055.0</v>
      </c>
      <c r="I1165" s="12">
        <v>2.0</v>
      </c>
      <c r="J1165" s="12">
        <v>0.0</v>
      </c>
      <c r="K1165" s="11" t="s">
        <v>21</v>
      </c>
      <c r="L1165" s="7">
        <v>40524.93576388889</v>
      </c>
      <c r="M1165" s="13" t="s">
        <v>125</v>
      </c>
      <c r="N1165" s="13" t="s">
        <v>126</v>
      </c>
      <c r="O1165" s="10" t="str">
        <f>HYPERLINK("https://pbs.twimg.com/profile_images/638086945722249217/mid_S_BQ_normal.jpg","View")</f>
        <v>View</v>
      </c>
      <c r="P1165" s="14"/>
    </row>
    <row r="1166">
      <c r="A1166" s="7">
        <v>42433.842453703706</v>
      </c>
      <c r="B1166" s="8" t="str">
        <f>HYPERLINK("https://twitter.com/magmidd","@magmidd")</f>
        <v>@magmidd</v>
      </c>
      <c r="C1166" s="9" t="s">
        <v>636</v>
      </c>
      <c r="D1166" s="9" t="s">
        <v>1225</v>
      </c>
      <c r="E1166" s="10" t="str">
        <f>HYPERLINK("https://twitter.com/magmidd/status/705939171064442880","705939171064442880")</f>
        <v>705939171064442880</v>
      </c>
      <c r="F1166" s="11" t="s">
        <v>148</v>
      </c>
      <c r="G1166" s="12">
        <v>1385.0</v>
      </c>
      <c r="H1166" s="12">
        <v>1353.0</v>
      </c>
      <c r="I1166" s="12">
        <v>4.0</v>
      </c>
      <c r="J1166" s="12">
        <v>5.0</v>
      </c>
      <c r="K1166" s="11" t="s">
        <v>21</v>
      </c>
      <c r="L1166" s="7">
        <v>41511.60082175926</v>
      </c>
      <c r="M1166" s="13" t="s">
        <v>197</v>
      </c>
      <c r="N1166" s="13" t="s">
        <v>638</v>
      </c>
      <c r="O1166" s="10" t="str">
        <f>HYPERLINK("https://pbs.twimg.com/profile_images/378800000450415007/82bcc7d0cab85e8d5920dbf5ded6715e_normal.jpeg","View")</f>
        <v>View</v>
      </c>
      <c r="P1166" s="14"/>
    </row>
    <row r="1167">
      <c r="A1167" s="7">
        <v>42433.842569444445</v>
      </c>
      <c r="B1167" s="8" t="str">
        <f>HYPERLINK("https://twitter.com/CitizenWald","@CitizenWald")</f>
        <v>@CitizenWald</v>
      </c>
      <c r="C1167" s="9" t="s">
        <v>668</v>
      </c>
      <c r="D1167" s="9" t="s">
        <v>1226</v>
      </c>
      <c r="E1167" s="10" t="str">
        <f>HYPERLINK("https://twitter.com/CitizenWald/status/705939212479176704","705939212479176704")</f>
        <v>705939212479176704</v>
      </c>
      <c r="F1167" s="11" t="s">
        <v>26</v>
      </c>
      <c r="G1167" s="12">
        <v>2335.0</v>
      </c>
      <c r="H1167" s="12">
        <v>2535.0</v>
      </c>
      <c r="I1167" s="12">
        <v>0.0</v>
      </c>
      <c r="J1167" s="12">
        <v>0.0</v>
      </c>
      <c r="K1167" s="11" t="s">
        <v>21</v>
      </c>
      <c r="L1167" s="7">
        <v>39373.01613425926</v>
      </c>
      <c r="M1167" s="13" t="s">
        <v>22</v>
      </c>
      <c r="N1167" s="13" t="s">
        <v>669</v>
      </c>
      <c r="O1167" s="10" t="str">
        <f>HYPERLINK("https://pbs.twimg.com/profile_images/661220280564486144/ZxUrdRVS_normal.jpg","View")</f>
        <v>View</v>
      </c>
      <c r="P1167" s="14"/>
    </row>
    <row r="1168">
      <c r="A1168" s="7">
        <v>42433.84270833334</v>
      </c>
      <c r="B1168" s="8" t="str">
        <f>HYPERLINK("https://twitter.com/rebekkahrubin","@rebekkahrubin")</f>
        <v>@rebekkahrubin</v>
      </c>
      <c r="C1168" s="9" t="s">
        <v>141</v>
      </c>
      <c r="D1168" s="9" t="s">
        <v>1227</v>
      </c>
      <c r="E1168" s="10" t="str">
        <f>HYPERLINK("https://twitter.com/rebekkahrubin/status/705939263293153280","705939263293153280")</f>
        <v>705939263293153280</v>
      </c>
      <c r="F1168" s="11" t="s">
        <v>26</v>
      </c>
      <c r="G1168" s="12">
        <v>492.0</v>
      </c>
      <c r="H1168" s="12">
        <v>1224.0</v>
      </c>
      <c r="I1168" s="12">
        <v>4.0</v>
      </c>
      <c r="J1168" s="12">
        <v>5.0</v>
      </c>
      <c r="K1168" s="11" t="s">
        <v>21</v>
      </c>
      <c r="L1168" s="7">
        <v>40411.521527777775</v>
      </c>
      <c r="M1168" s="13" t="s">
        <v>143</v>
      </c>
      <c r="N1168" s="13" t="s">
        <v>144</v>
      </c>
      <c r="O1168" s="10" t="str">
        <f>HYPERLINK("https://pbs.twimg.com/profile_images/700317732588408832/Ym_-neUi_normal.jpg","View")</f>
        <v>View</v>
      </c>
      <c r="P1168" s="14"/>
    </row>
    <row r="1169">
      <c r="A1169" s="7">
        <v>42433.84296296297</v>
      </c>
      <c r="B1169" s="8" t="str">
        <f>HYPERLINK("https://twitter.com/juliegpeterson","@juliegpeterson")</f>
        <v>@juliegpeterson</v>
      </c>
      <c r="C1169" s="9" t="s">
        <v>24</v>
      </c>
      <c r="D1169" s="9" t="s">
        <v>1228</v>
      </c>
      <c r="E1169" s="10" t="str">
        <f>HYPERLINK("https://twitter.com/juliegpeterson/status/705939356511559680","705939356511559680")</f>
        <v>705939356511559680</v>
      </c>
      <c r="F1169" s="11" t="s">
        <v>26</v>
      </c>
      <c r="G1169" s="12">
        <v>239.0</v>
      </c>
      <c r="H1169" s="12">
        <v>775.0</v>
      </c>
      <c r="I1169" s="12">
        <v>2.0</v>
      </c>
      <c r="J1169" s="12">
        <v>1.0</v>
      </c>
      <c r="K1169" s="11" t="s">
        <v>21</v>
      </c>
      <c r="L1169" s="7">
        <v>41208.65523148148</v>
      </c>
      <c r="M1169" s="13" t="s">
        <v>22</v>
      </c>
      <c r="N1169" s="13" t="s">
        <v>27</v>
      </c>
      <c r="O1169" s="10" t="str">
        <f>HYPERLINK("https://pbs.twimg.com/profile_images/609765839051452416/GNW0wSt0_normal.jpg","View")</f>
        <v>View</v>
      </c>
      <c r="P1169" s="14"/>
    </row>
    <row r="1170">
      <c r="A1170" s="7">
        <v>42433.843043981484</v>
      </c>
      <c r="B1170" s="8" t="str">
        <f>HYPERLINK("https://twitter.com/rebekkahrubin","@rebekkahrubin")</f>
        <v>@rebekkahrubin</v>
      </c>
      <c r="C1170" s="9" t="s">
        <v>141</v>
      </c>
      <c r="D1170" s="9" t="s">
        <v>482</v>
      </c>
      <c r="E1170" s="10" t="str">
        <f>HYPERLINK("https://twitter.com/rebekkahrubin/status/705939385271902208","705939385271902208")</f>
        <v>705939385271902208</v>
      </c>
      <c r="F1170" s="11" t="s">
        <v>26</v>
      </c>
      <c r="G1170" s="12">
        <v>492.0</v>
      </c>
      <c r="H1170" s="12">
        <v>1224.0</v>
      </c>
      <c r="I1170" s="12">
        <v>13.0</v>
      </c>
      <c r="J1170" s="12">
        <v>0.0</v>
      </c>
      <c r="K1170" s="11" t="s">
        <v>21</v>
      </c>
      <c r="L1170" s="7">
        <v>40411.521527777775</v>
      </c>
      <c r="M1170" s="13" t="s">
        <v>143</v>
      </c>
      <c r="N1170" s="13" t="s">
        <v>144</v>
      </c>
      <c r="O1170" s="10" t="str">
        <f>HYPERLINK("https://pbs.twimg.com/profile_images/700317732588408832/Ym_-neUi_normal.jpg","View")</f>
        <v>View</v>
      </c>
      <c r="P1170" s="14"/>
    </row>
    <row r="1171">
      <c r="A1171" s="7">
        <v>42433.84349537037</v>
      </c>
      <c r="B1171" s="8" t="str">
        <f>HYPERLINK("https://twitter.com/historycampaign","@historycampaign")</f>
        <v>@historycampaign</v>
      </c>
      <c r="C1171" s="9" t="s">
        <v>133</v>
      </c>
      <c r="D1171" s="9" t="s">
        <v>1229</v>
      </c>
      <c r="E1171" s="10" t="str">
        <f>HYPERLINK("https://twitter.com/historycampaign/status/705939547360595968","705939547360595968")</f>
        <v>705939547360595968</v>
      </c>
      <c r="F1171" s="11" t="s">
        <v>26</v>
      </c>
      <c r="G1171" s="12">
        <v>110.0</v>
      </c>
      <c r="H1171" s="12">
        <v>59.0</v>
      </c>
      <c r="I1171" s="12">
        <v>4.0</v>
      </c>
      <c r="J1171" s="12">
        <v>0.0</v>
      </c>
      <c r="K1171" s="11" t="s">
        <v>21</v>
      </c>
      <c r="L1171" s="7">
        <v>42311.25096064815</v>
      </c>
      <c r="M1171" s="15"/>
      <c r="N1171" s="13" t="s">
        <v>135</v>
      </c>
      <c r="O1171" s="10" t="str">
        <f>HYPERLINK("https://pbs.twimg.com/profile_images/673691030139609088/8v7ab61D_normal.jpg","View")</f>
        <v>View</v>
      </c>
      <c r="P1171" s="14"/>
    </row>
    <row r="1172">
      <c r="A1172" s="7">
        <v>42433.843553240746</v>
      </c>
      <c r="B1172" s="8" t="str">
        <f>HYPERLINK("https://twitter.com/jilldwiggins","@jilldwiggins")</f>
        <v>@jilldwiggins</v>
      </c>
      <c r="C1172" s="9" t="s">
        <v>1230</v>
      </c>
      <c r="D1172" s="9" t="s">
        <v>1231</v>
      </c>
      <c r="E1172" s="10" t="str">
        <f>HYPERLINK("https://twitter.com/jilldwiggins/status/705939569707974657","705939569707974657")</f>
        <v>705939569707974657</v>
      </c>
      <c r="F1172" s="11" t="s">
        <v>102</v>
      </c>
      <c r="G1172" s="12">
        <v>60.0</v>
      </c>
      <c r="H1172" s="12">
        <v>80.0</v>
      </c>
      <c r="I1172" s="12">
        <v>1.0</v>
      </c>
      <c r="J1172" s="12">
        <v>3.0</v>
      </c>
      <c r="K1172" s="11" t="s">
        <v>21</v>
      </c>
      <c r="L1172" s="7">
        <v>41133.387604166666</v>
      </c>
      <c r="M1172" s="15"/>
      <c r="N1172" s="13" t="s">
        <v>1232</v>
      </c>
      <c r="O1172" s="10" t="str">
        <f>HYPERLINK("https://pbs.twimg.com/profile_images/597386357628108800/cK-Do15v_normal.jpg","View")</f>
        <v>View</v>
      </c>
      <c r="P1172" s="14"/>
    </row>
    <row r="1173">
      <c r="A1173" s="7">
        <v>42433.84370370371</v>
      </c>
      <c r="B1173" s="8" t="str">
        <f>HYPERLINK("https://twitter.com/abreimaier","@abreimaier")</f>
        <v>@abreimaier</v>
      </c>
      <c r="C1173" s="9" t="s">
        <v>1219</v>
      </c>
      <c r="D1173" s="9" t="s">
        <v>1229</v>
      </c>
      <c r="E1173" s="10" t="str">
        <f>HYPERLINK("https://twitter.com/abreimaier/status/705939623667695616","705939623667695616")</f>
        <v>705939623667695616</v>
      </c>
      <c r="F1173" s="11" t="s">
        <v>26</v>
      </c>
      <c r="G1173" s="12">
        <v>112.0</v>
      </c>
      <c r="H1173" s="12">
        <v>224.0</v>
      </c>
      <c r="I1173" s="12">
        <v>4.0</v>
      </c>
      <c r="J1173" s="12">
        <v>0.0</v>
      </c>
      <c r="K1173" s="11" t="s">
        <v>21</v>
      </c>
      <c r="L1173" s="7">
        <v>41342.326261574075</v>
      </c>
      <c r="M1173" s="13" t="s">
        <v>200</v>
      </c>
      <c r="N1173" s="13" t="s">
        <v>1221</v>
      </c>
      <c r="O1173" s="10" t="str">
        <f>HYPERLINK("https://pbs.twimg.com/profile_images/3357790300/e80f72cc154c4bfa4bc8dc718fbc525b_normal.jpeg","View")</f>
        <v>View</v>
      </c>
      <c r="P1173" s="14"/>
    </row>
    <row r="1174">
      <c r="A1174" s="7">
        <v>42433.84391203704</v>
      </c>
      <c r="B1174" s="8" t="str">
        <f>HYPERLINK("https://twitter.com/magmidd","@magmidd")</f>
        <v>@magmidd</v>
      </c>
      <c r="C1174" s="9" t="s">
        <v>636</v>
      </c>
      <c r="D1174" s="9" t="s">
        <v>1233</v>
      </c>
      <c r="E1174" s="10" t="str">
        <f>HYPERLINK("https://twitter.com/magmidd/status/705939696736571392","705939696736571392")</f>
        <v>705939696736571392</v>
      </c>
      <c r="F1174" s="11" t="s">
        <v>148</v>
      </c>
      <c r="G1174" s="12">
        <v>1385.0</v>
      </c>
      <c r="H1174" s="12">
        <v>1353.0</v>
      </c>
      <c r="I1174" s="12">
        <v>1.0</v>
      </c>
      <c r="J1174" s="12">
        <v>0.0</v>
      </c>
      <c r="K1174" s="11" t="s">
        <v>21</v>
      </c>
      <c r="L1174" s="7">
        <v>41511.60082175926</v>
      </c>
      <c r="M1174" s="13" t="s">
        <v>197</v>
      </c>
      <c r="N1174" s="13" t="s">
        <v>638</v>
      </c>
      <c r="O1174" s="10" t="str">
        <f>HYPERLINK("https://pbs.twimg.com/profile_images/378800000450415007/82bcc7d0cab85e8d5920dbf5ded6715e_normal.jpeg","View")</f>
        <v>View</v>
      </c>
      <c r="P1174" s="14"/>
    </row>
    <row r="1175">
      <c r="A1175" s="7">
        <v>42433.84402777778</v>
      </c>
      <c r="B1175" s="8" t="str">
        <f>HYPERLINK("https://twitter.com/jmadelman","@jmadelman")</f>
        <v>@jmadelman</v>
      </c>
      <c r="C1175" s="9" t="s">
        <v>155</v>
      </c>
      <c r="D1175" s="9" t="s">
        <v>1229</v>
      </c>
      <c r="E1175" s="10" t="str">
        <f>HYPERLINK("https://twitter.com/jmadelman/status/705939740877570049","705939740877570049")</f>
        <v>705939740877570049</v>
      </c>
      <c r="F1175" s="11" t="s">
        <v>77</v>
      </c>
      <c r="G1175" s="12">
        <v>2676.0</v>
      </c>
      <c r="H1175" s="12">
        <v>1258.0</v>
      </c>
      <c r="I1175" s="12">
        <v>4.0</v>
      </c>
      <c r="J1175" s="12">
        <v>0.0</v>
      </c>
      <c r="K1175" s="11" t="s">
        <v>21</v>
      </c>
      <c r="L1175" s="7">
        <v>40198.888761574075</v>
      </c>
      <c r="M1175" s="13" t="s">
        <v>156</v>
      </c>
      <c r="N1175" s="13" t="s">
        <v>157</v>
      </c>
      <c r="O1175" s="10" t="str">
        <f>HYPERLINK("https://pbs.twimg.com/profile_images/633292774570201089/pdNFZfya_normal.jpg","View")</f>
        <v>View</v>
      </c>
      <c r="P1175" s="14"/>
    </row>
    <row r="1176">
      <c r="A1176" s="7">
        <v>42433.8440625</v>
      </c>
      <c r="B1176" s="8" t="str">
        <f>HYPERLINK("https://twitter.com/CitizenWald","@CitizenWald")</f>
        <v>@CitizenWald</v>
      </c>
      <c r="C1176" s="9" t="s">
        <v>668</v>
      </c>
      <c r="D1176" s="9" t="s">
        <v>1234</v>
      </c>
      <c r="E1176" s="10" t="str">
        <f>HYPERLINK("https://twitter.com/CitizenWald/status/705939751719858176","705939751719858176")</f>
        <v>705939751719858176</v>
      </c>
      <c r="F1176" s="11" t="s">
        <v>26</v>
      </c>
      <c r="G1176" s="12">
        <v>2335.0</v>
      </c>
      <c r="H1176" s="12">
        <v>2535.0</v>
      </c>
      <c r="I1176" s="12">
        <v>2.0</v>
      </c>
      <c r="J1176" s="12">
        <v>3.0</v>
      </c>
      <c r="K1176" s="11" t="s">
        <v>21</v>
      </c>
      <c r="L1176" s="7">
        <v>39373.01613425926</v>
      </c>
      <c r="M1176" s="13" t="s">
        <v>22</v>
      </c>
      <c r="N1176" s="13" t="s">
        <v>669</v>
      </c>
      <c r="O1176" s="10" t="str">
        <f>HYPERLINK("https://pbs.twimg.com/profile_images/661220280564486144/ZxUrdRVS_normal.jpg","View")</f>
        <v>View</v>
      </c>
      <c r="P1176" s="14"/>
    </row>
    <row r="1177">
      <c r="A1177" s="7">
        <v>42433.84511574074</v>
      </c>
      <c r="B1177" s="8" t="str">
        <f>HYPERLINK("https://twitter.com/juliegpeterson","@juliegpeterson")</f>
        <v>@juliegpeterson</v>
      </c>
      <c r="C1177" s="9" t="s">
        <v>24</v>
      </c>
      <c r="D1177" s="9" t="s">
        <v>1235</v>
      </c>
      <c r="E1177" s="10" t="str">
        <f>HYPERLINK("https://twitter.com/juliegpeterson/status/705940136006164480","705940136006164480")</f>
        <v>705940136006164480</v>
      </c>
      <c r="F1177" s="11" t="s">
        <v>26</v>
      </c>
      <c r="G1177" s="12">
        <v>239.0</v>
      </c>
      <c r="H1177" s="12">
        <v>775.0</v>
      </c>
      <c r="I1177" s="12">
        <v>2.0</v>
      </c>
      <c r="J1177" s="12">
        <v>5.0</v>
      </c>
      <c r="K1177" s="11" t="s">
        <v>21</v>
      </c>
      <c r="L1177" s="7">
        <v>41208.65523148148</v>
      </c>
      <c r="M1177" s="13" t="s">
        <v>22</v>
      </c>
      <c r="N1177" s="13" t="s">
        <v>27</v>
      </c>
      <c r="O1177" s="10" t="str">
        <f>HYPERLINK("https://pbs.twimg.com/profile_images/609765839051452416/GNW0wSt0_normal.jpg","View")</f>
        <v>View</v>
      </c>
      <c r="P1177" s="14"/>
    </row>
    <row r="1178">
      <c r="A1178" s="7">
        <v>42433.8453125</v>
      </c>
      <c r="B1178" s="8" t="str">
        <f>HYPERLINK("https://twitter.com/cameshascruggs","@cameshascruggs")</f>
        <v>@cameshascruggs</v>
      </c>
      <c r="C1178" s="9" t="s">
        <v>761</v>
      </c>
      <c r="D1178" s="9" t="s">
        <v>1236</v>
      </c>
      <c r="E1178" s="10" t="str">
        <f>HYPERLINK("https://twitter.com/cameshascruggs/status/705940203958050816","705940203958050816")</f>
        <v>705940203958050816</v>
      </c>
      <c r="F1178" s="11" t="s">
        <v>43</v>
      </c>
      <c r="G1178" s="12">
        <v>144.0</v>
      </c>
      <c r="H1178" s="12">
        <v>551.0</v>
      </c>
      <c r="I1178" s="12">
        <v>0.0</v>
      </c>
      <c r="J1178" s="12">
        <v>3.0</v>
      </c>
      <c r="K1178" s="11" t="s">
        <v>21</v>
      </c>
      <c r="L1178" s="7">
        <v>39897.69201388889</v>
      </c>
      <c r="M1178" s="15"/>
      <c r="N1178" s="13" t="s">
        <v>762</v>
      </c>
      <c r="O1178" s="10" t="str">
        <f>HYPERLINK("https://pbs.twimg.com/profile_images/187613030/me_in_panel_mode_normal.jpg","View")</f>
        <v>View</v>
      </c>
      <c r="P1178" s="14"/>
    </row>
    <row r="1179">
      <c r="A1179" s="7">
        <v>42433.845659722225</v>
      </c>
      <c r="B1179" s="8" t="str">
        <f>HYPERLINK("https://twitter.com/JulieThePH","@JulieThePH")</f>
        <v>@JulieThePH</v>
      </c>
      <c r="C1179" s="9" t="s">
        <v>211</v>
      </c>
      <c r="D1179" s="9" t="s">
        <v>1151</v>
      </c>
      <c r="E1179" s="10" t="str">
        <f>HYPERLINK("https://twitter.com/JulieThePH/status/705940332484100096","705940332484100096")</f>
        <v>705940332484100096</v>
      </c>
      <c r="F1179" s="11" t="s">
        <v>148</v>
      </c>
      <c r="G1179" s="12">
        <v>1234.0</v>
      </c>
      <c r="H1179" s="12">
        <v>1386.0</v>
      </c>
      <c r="I1179" s="12">
        <v>3.0</v>
      </c>
      <c r="J1179" s="12">
        <v>0.0</v>
      </c>
      <c r="K1179" s="11" t="s">
        <v>21</v>
      </c>
      <c r="L1179" s="7">
        <v>40718.66918981481</v>
      </c>
      <c r="M1179" s="13" t="s">
        <v>213</v>
      </c>
      <c r="N1179" s="13" t="s">
        <v>214</v>
      </c>
      <c r="O1179" s="10" t="str">
        <f>HYPERLINK("https://pbs.twimg.com/profile_images/596509974005686273/AqBblwMR_normal.jpg","View")</f>
        <v>View</v>
      </c>
      <c r="P1179" s="14"/>
    </row>
    <row r="1180">
      <c r="A1180" s="7">
        <v>42433.84570601852</v>
      </c>
      <c r="B1180" s="8" t="str">
        <f>HYPERLINK("https://twitter.com/TheHistoryList","@TheHistoryList")</f>
        <v>@TheHistoryList</v>
      </c>
      <c r="C1180" s="9" t="s">
        <v>975</v>
      </c>
      <c r="D1180" s="9" t="s">
        <v>1208</v>
      </c>
      <c r="E1180" s="10" t="str">
        <f>HYPERLINK("https://twitter.com/TheHistoryList/status/705940347390554112","705940347390554112")</f>
        <v>705940347390554112</v>
      </c>
      <c r="F1180" s="11" t="s">
        <v>77</v>
      </c>
      <c r="G1180" s="12">
        <v>1901.0</v>
      </c>
      <c r="H1180" s="12">
        <v>1117.0</v>
      </c>
      <c r="I1180" s="12">
        <v>9.0</v>
      </c>
      <c r="J1180" s="12">
        <v>0.0</v>
      </c>
      <c r="K1180" s="11" t="s">
        <v>21</v>
      </c>
      <c r="L1180" s="7">
        <v>40279.92034722222</v>
      </c>
      <c r="M1180" s="13" t="s">
        <v>976</v>
      </c>
      <c r="N1180" s="13" t="s">
        <v>977</v>
      </c>
      <c r="O1180" s="10" t="str">
        <f>HYPERLINK("https://pbs.twimg.com/profile_images/2232523539/Screen_Shot_2012-05-19_at_1.51.23_PM_normal.png","View")</f>
        <v>View</v>
      </c>
      <c r="P1180" s="14"/>
    </row>
    <row r="1181">
      <c r="A1181" s="7">
        <v>42433.84572916667</v>
      </c>
      <c r="B1181" s="8" t="str">
        <f t="shared" ref="B1181:B1182" si="253">HYPERLINK("https://twitter.com/JulieThePH","@JulieThePH")</f>
        <v>@JulieThePH</v>
      </c>
      <c r="C1181" s="9" t="s">
        <v>211</v>
      </c>
      <c r="D1181" s="9" t="s">
        <v>1157</v>
      </c>
      <c r="E1181" s="10" t="str">
        <f>HYPERLINK("https://twitter.com/JulieThePH/status/705940357884878853","705940357884878853")</f>
        <v>705940357884878853</v>
      </c>
      <c r="F1181" s="11" t="s">
        <v>148</v>
      </c>
      <c r="G1181" s="12">
        <v>1234.0</v>
      </c>
      <c r="H1181" s="12">
        <v>1386.0</v>
      </c>
      <c r="I1181" s="12">
        <v>3.0</v>
      </c>
      <c r="J1181" s="12">
        <v>0.0</v>
      </c>
      <c r="K1181" s="11" t="s">
        <v>21</v>
      </c>
      <c r="L1181" s="7">
        <v>40718.66918981481</v>
      </c>
      <c r="M1181" s="13" t="s">
        <v>213</v>
      </c>
      <c r="N1181" s="13" t="s">
        <v>214</v>
      </c>
      <c r="O1181" s="10" t="str">
        <f t="shared" ref="O1181:O1182" si="254">HYPERLINK("https://pbs.twimg.com/profile_images/596509974005686273/AqBblwMR_normal.jpg","View")</f>
        <v>View</v>
      </c>
      <c r="P1181" s="14"/>
    </row>
    <row r="1182">
      <c r="A1182" s="7">
        <v>42433.84587962963</v>
      </c>
      <c r="B1182" s="8" t="str">
        <f t="shared" si="253"/>
        <v>@JulieThePH</v>
      </c>
      <c r="C1182" s="9" t="s">
        <v>211</v>
      </c>
      <c r="D1182" s="9" t="s">
        <v>1237</v>
      </c>
      <c r="E1182" s="10" t="str">
        <f>HYPERLINK("https://twitter.com/JulieThePH/status/705940409705488385","705940409705488385")</f>
        <v>705940409705488385</v>
      </c>
      <c r="F1182" s="11" t="s">
        <v>148</v>
      </c>
      <c r="G1182" s="12">
        <v>1234.0</v>
      </c>
      <c r="H1182" s="12">
        <v>1386.0</v>
      </c>
      <c r="I1182" s="12">
        <v>1.0</v>
      </c>
      <c r="J1182" s="12">
        <v>0.0</v>
      </c>
      <c r="K1182" s="11" t="s">
        <v>21</v>
      </c>
      <c r="L1182" s="7">
        <v>40718.66918981481</v>
      </c>
      <c r="M1182" s="13" t="s">
        <v>213</v>
      </c>
      <c r="N1182" s="13" t="s">
        <v>214</v>
      </c>
      <c r="O1182" s="10" t="str">
        <f t="shared" si="254"/>
        <v>View</v>
      </c>
      <c r="P1182" s="14"/>
    </row>
    <row r="1183">
      <c r="A1183" s="7">
        <v>42433.845983796295</v>
      </c>
      <c r="B1183" s="8" t="str">
        <f>HYPERLINK("https://twitter.com/remembrance","@remembrance")</f>
        <v>@remembrance</v>
      </c>
      <c r="C1183" s="9" t="s">
        <v>1238</v>
      </c>
      <c r="D1183" s="9" t="s">
        <v>1208</v>
      </c>
      <c r="E1183" s="10" t="str">
        <f>HYPERLINK("https://twitter.com/remembrance/status/705940450725613569","705940450725613569")</f>
        <v>705940450725613569</v>
      </c>
      <c r="F1183" s="11" t="s">
        <v>26</v>
      </c>
      <c r="G1183" s="12">
        <v>624.0</v>
      </c>
      <c r="H1183" s="12">
        <v>1000.0</v>
      </c>
      <c r="I1183" s="12">
        <v>9.0</v>
      </c>
      <c r="J1183" s="12">
        <v>0.0</v>
      </c>
      <c r="K1183" s="11" t="s">
        <v>21</v>
      </c>
      <c r="L1183" s="7">
        <v>39572.5802662037</v>
      </c>
      <c r="M1183" s="13" t="s">
        <v>1239</v>
      </c>
      <c r="N1183" s="13" t="s">
        <v>1240</v>
      </c>
      <c r="O1183" s="10" t="str">
        <f>HYPERLINK("https://pbs.twimg.com/profile_images/430213776730628096/Pic5ZJJW_normal.jpeg","View")</f>
        <v>View</v>
      </c>
      <c r="P1183" s="14"/>
    </row>
    <row r="1184">
      <c r="A1184" s="7">
        <v>42433.84600694444</v>
      </c>
      <c r="B1184" s="8" t="str">
        <f t="shared" ref="B1184:B1185" si="255">HYPERLINK("https://twitter.com/JulieThePH","@JulieThePH")</f>
        <v>@JulieThePH</v>
      </c>
      <c r="C1184" s="9" t="s">
        <v>211</v>
      </c>
      <c r="D1184" s="9" t="s">
        <v>1160</v>
      </c>
      <c r="E1184" s="10" t="str">
        <f>HYPERLINK("https://twitter.com/JulieThePH/status/705940457960906752","705940457960906752")</f>
        <v>705940457960906752</v>
      </c>
      <c r="F1184" s="11" t="s">
        <v>148</v>
      </c>
      <c r="G1184" s="12">
        <v>1234.0</v>
      </c>
      <c r="H1184" s="12">
        <v>1386.0</v>
      </c>
      <c r="I1184" s="12">
        <v>9.0</v>
      </c>
      <c r="J1184" s="12">
        <v>0.0</v>
      </c>
      <c r="K1184" s="11" t="s">
        <v>21</v>
      </c>
      <c r="L1184" s="7">
        <v>40718.66918981481</v>
      </c>
      <c r="M1184" s="13" t="s">
        <v>213</v>
      </c>
      <c r="N1184" s="13" t="s">
        <v>214</v>
      </c>
      <c r="O1184" s="10" t="str">
        <f t="shared" ref="O1184:O1185" si="256">HYPERLINK("https://pbs.twimg.com/profile_images/596509974005686273/AqBblwMR_normal.jpg","View")</f>
        <v>View</v>
      </c>
      <c r="P1184" s="14"/>
    </row>
    <row r="1185">
      <c r="A1185" s="7">
        <v>42433.84613425926</v>
      </c>
      <c r="B1185" s="8" t="str">
        <f t="shared" si="255"/>
        <v>@JulieThePH</v>
      </c>
      <c r="C1185" s="9" t="s">
        <v>211</v>
      </c>
      <c r="D1185" s="9" t="s">
        <v>1241</v>
      </c>
      <c r="E1185" s="10" t="str">
        <f>HYPERLINK("https://twitter.com/JulieThePH/status/705940501770407937","705940501770407937")</f>
        <v>705940501770407937</v>
      </c>
      <c r="F1185" s="11" t="s">
        <v>148</v>
      </c>
      <c r="G1185" s="12">
        <v>1234.0</v>
      </c>
      <c r="H1185" s="12">
        <v>1386.0</v>
      </c>
      <c r="I1185" s="12">
        <v>1.0</v>
      </c>
      <c r="J1185" s="12">
        <v>0.0</v>
      </c>
      <c r="K1185" s="11" t="s">
        <v>21</v>
      </c>
      <c r="L1185" s="7">
        <v>40718.66918981481</v>
      </c>
      <c r="M1185" s="13" t="s">
        <v>213</v>
      </c>
      <c r="N1185" s="13" t="s">
        <v>214</v>
      </c>
      <c r="O1185" s="10" t="str">
        <f t="shared" si="256"/>
        <v>View</v>
      </c>
      <c r="P1185" s="14"/>
    </row>
    <row r="1186">
      <c r="A1186" s="7">
        <v>42433.84627314815</v>
      </c>
      <c r="B1186" s="8" t="str">
        <f>HYPERLINK("https://twitter.com/CitizenWald","@CitizenWald")</f>
        <v>@CitizenWald</v>
      </c>
      <c r="C1186" s="9" t="s">
        <v>668</v>
      </c>
      <c r="D1186" s="9" t="s">
        <v>1242</v>
      </c>
      <c r="E1186" s="10" t="str">
        <f>HYPERLINK("https://twitter.com/CitizenWald/status/705940555210039296","705940555210039296")</f>
        <v>705940555210039296</v>
      </c>
      <c r="F1186" s="11" t="s">
        <v>26</v>
      </c>
      <c r="G1186" s="12">
        <v>2335.0</v>
      </c>
      <c r="H1186" s="12">
        <v>2535.0</v>
      </c>
      <c r="I1186" s="12">
        <v>1.0</v>
      </c>
      <c r="J1186" s="12">
        <v>8.0</v>
      </c>
      <c r="K1186" s="11" t="s">
        <v>21</v>
      </c>
      <c r="L1186" s="7">
        <v>39373.01613425926</v>
      </c>
      <c r="M1186" s="13" t="s">
        <v>22</v>
      </c>
      <c r="N1186" s="13" t="s">
        <v>669</v>
      </c>
      <c r="O1186" s="10" t="str">
        <f>HYPERLINK("https://pbs.twimg.com/profile_images/661220280564486144/ZxUrdRVS_normal.jpg","View")</f>
        <v>View</v>
      </c>
      <c r="P1186" s="14"/>
    </row>
    <row r="1187">
      <c r="A1187" s="7">
        <v>42433.84644675926</v>
      </c>
      <c r="B1187" s="8" t="str">
        <f>HYPERLINK("https://twitter.com/abreimaier","@abreimaier")</f>
        <v>@abreimaier</v>
      </c>
      <c r="C1187" s="9" t="s">
        <v>1219</v>
      </c>
      <c r="D1187" s="9" t="s">
        <v>1243</v>
      </c>
      <c r="E1187" s="10" t="str">
        <f>HYPERLINK("https://twitter.com/abreimaier/status/705940617512222720","705940617512222720")</f>
        <v>705940617512222720</v>
      </c>
      <c r="F1187" s="11" t="s">
        <v>26</v>
      </c>
      <c r="G1187" s="12">
        <v>112.0</v>
      </c>
      <c r="H1187" s="12">
        <v>224.0</v>
      </c>
      <c r="I1187" s="12">
        <v>1.0</v>
      </c>
      <c r="J1187" s="12">
        <v>3.0</v>
      </c>
      <c r="K1187" s="11" t="s">
        <v>21</v>
      </c>
      <c r="L1187" s="7">
        <v>41342.326261574075</v>
      </c>
      <c r="M1187" s="13" t="s">
        <v>200</v>
      </c>
      <c r="N1187" s="13" t="s">
        <v>1221</v>
      </c>
      <c r="O1187" s="10" t="str">
        <f>HYPERLINK("https://pbs.twimg.com/profile_images/3357790300/e80f72cc154c4bfa4bc8dc718fbc525b_normal.jpeg","View")</f>
        <v>View</v>
      </c>
      <c r="P1187" s="14"/>
    </row>
    <row r="1188">
      <c r="A1188" s="7">
        <v>42433.84644675926</v>
      </c>
      <c r="B1188" s="8" t="str">
        <f>HYPERLINK("https://twitter.com/JulieThePH","@JulieThePH")</f>
        <v>@JulieThePH</v>
      </c>
      <c r="C1188" s="9" t="s">
        <v>211</v>
      </c>
      <c r="D1188" s="9" t="s">
        <v>1178</v>
      </c>
      <c r="E1188" s="10" t="str">
        <f>HYPERLINK("https://twitter.com/JulieThePH/status/705940618221121537","705940618221121537")</f>
        <v>705940618221121537</v>
      </c>
      <c r="F1188" s="11" t="s">
        <v>148</v>
      </c>
      <c r="G1188" s="12">
        <v>1234.0</v>
      </c>
      <c r="H1188" s="12">
        <v>1386.0</v>
      </c>
      <c r="I1188" s="12">
        <v>3.0</v>
      </c>
      <c r="J1188" s="12">
        <v>0.0</v>
      </c>
      <c r="K1188" s="11" t="s">
        <v>21</v>
      </c>
      <c r="L1188" s="7">
        <v>40718.66918981481</v>
      </c>
      <c r="M1188" s="13" t="s">
        <v>213</v>
      </c>
      <c r="N1188" s="13" t="s">
        <v>214</v>
      </c>
      <c r="O1188" s="10" t="str">
        <f>HYPERLINK("https://pbs.twimg.com/profile_images/596509974005686273/AqBblwMR_normal.jpg","View")</f>
        <v>View</v>
      </c>
      <c r="P1188" s="14"/>
    </row>
    <row r="1189">
      <c r="A1189" s="7">
        <v>42433.84648148148</v>
      </c>
      <c r="B1189" s="8" t="str">
        <f>HYPERLINK("https://twitter.com/juliegpeterson","@juliegpeterson")</f>
        <v>@juliegpeterson</v>
      </c>
      <c r="C1189" s="9" t="s">
        <v>24</v>
      </c>
      <c r="D1189" s="9" t="s">
        <v>1244</v>
      </c>
      <c r="E1189" s="10" t="str">
        <f>HYPERLINK("https://twitter.com/juliegpeterson/status/705940631663808512","705940631663808512")</f>
        <v>705940631663808512</v>
      </c>
      <c r="F1189" s="11" t="s">
        <v>26</v>
      </c>
      <c r="G1189" s="12">
        <v>239.0</v>
      </c>
      <c r="H1189" s="12">
        <v>775.0</v>
      </c>
      <c r="I1189" s="12">
        <v>1.0</v>
      </c>
      <c r="J1189" s="12">
        <v>2.0</v>
      </c>
      <c r="K1189" s="11" t="s">
        <v>21</v>
      </c>
      <c r="L1189" s="7">
        <v>41208.65523148148</v>
      </c>
      <c r="M1189" s="13" t="s">
        <v>22</v>
      </c>
      <c r="N1189" s="13" t="s">
        <v>27</v>
      </c>
      <c r="O1189" s="10" t="str">
        <f>HYPERLINK("https://pbs.twimg.com/profile_images/609765839051452416/GNW0wSt0_normal.jpg","View")</f>
        <v>View</v>
      </c>
      <c r="P1189" s="14"/>
    </row>
    <row r="1190">
      <c r="A1190" s="7">
        <v>42433.846550925926</v>
      </c>
      <c r="B1190" s="8" t="str">
        <f t="shared" ref="B1190:B1192" si="257">HYPERLINK("https://twitter.com/JulieThePH","@JulieThePH")</f>
        <v>@JulieThePH</v>
      </c>
      <c r="C1190" s="9" t="s">
        <v>211</v>
      </c>
      <c r="D1190" s="9" t="s">
        <v>1180</v>
      </c>
      <c r="E1190" s="10" t="str">
        <f>HYPERLINK("https://twitter.com/JulieThePH/status/705940652815732738","705940652815732738")</f>
        <v>705940652815732738</v>
      </c>
      <c r="F1190" s="11" t="s">
        <v>148</v>
      </c>
      <c r="G1190" s="12">
        <v>1234.0</v>
      </c>
      <c r="H1190" s="12">
        <v>1386.0</v>
      </c>
      <c r="I1190" s="12">
        <v>2.0</v>
      </c>
      <c r="J1190" s="12">
        <v>0.0</v>
      </c>
      <c r="K1190" s="11" t="s">
        <v>21</v>
      </c>
      <c r="L1190" s="7">
        <v>40718.66918981481</v>
      </c>
      <c r="M1190" s="13" t="s">
        <v>213</v>
      </c>
      <c r="N1190" s="13" t="s">
        <v>214</v>
      </c>
      <c r="O1190" s="10" t="str">
        <f t="shared" ref="O1190:O1192" si="258">HYPERLINK("https://pbs.twimg.com/profile_images/596509974005686273/AqBblwMR_normal.jpg","View")</f>
        <v>View</v>
      </c>
      <c r="P1190" s="14"/>
    </row>
    <row r="1191">
      <c r="A1191" s="7">
        <v>42433.84664351852</v>
      </c>
      <c r="B1191" s="8" t="str">
        <f t="shared" si="257"/>
        <v>@JulieThePH</v>
      </c>
      <c r="C1191" s="9" t="s">
        <v>211</v>
      </c>
      <c r="D1191" s="9" t="s">
        <v>1184</v>
      </c>
      <c r="E1191" s="10" t="str">
        <f>HYPERLINK("https://twitter.com/JulieThePH/status/705940687355822080","705940687355822080")</f>
        <v>705940687355822080</v>
      </c>
      <c r="F1191" s="11" t="s">
        <v>148</v>
      </c>
      <c r="G1191" s="12">
        <v>1234.0</v>
      </c>
      <c r="H1191" s="12">
        <v>1386.0</v>
      </c>
      <c r="I1191" s="12">
        <v>2.0</v>
      </c>
      <c r="J1191" s="12">
        <v>0.0</v>
      </c>
      <c r="K1191" s="11" t="s">
        <v>21</v>
      </c>
      <c r="L1191" s="7">
        <v>40718.66918981481</v>
      </c>
      <c r="M1191" s="13" t="s">
        <v>213</v>
      </c>
      <c r="N1191" s="13" t="s">
        <v>214</v>
      </c>
      <c r="O1191" s="10" t="str">
        <f t="shared" si="258"/>
        <v>View</v>
      </c>
      <c r="P1191" s="14"/>
    </row>
    <row r="1192">
      <c r="A1192" s="7">
        <v>42433.846712962964</v>
      </c>
      <c r="B1192" s="8" t="str">
        <f t="shared" si="257"/>
        <v>@JulieThePH</v>
      </c>
      <c r="C1192" s="9" t="s">
        <v>211</v>
      </c>
      <c r="D1192" s="9" t="s">
        <v>1197</v>
      </c>
      <c r="E1192" s="10" t="str">
        <f>HYPERLINK("https://twitter.com/JulieThePH/status/705940712425168896","705940712425168896")</f>
        <v>705940712425168896</v>
      </c>
      <c r="F1192" s="11" t="s">
        <v>148</v>
      </c>
      <c r="G1192" s="12">
        <v>1234.0</v>
      </c>
      <c r="H1192" s="12">
        <v>1386.0</v>
      </c>
      <c r="I1192" s="12">
        <v>3.0</v>
      </c>
      <c r="J1192" s="12">
        <v>0.0</v>
      </c>
      <c r="K1192" s="11" t="s">
        <v>21</v>
      </c>
      <c r="L1192" s="7">
        <v>40718.66918981481</v>
      </c>
      <c r="M1192" s="13" t="s">
        <v>213</v>
      </c>
      <c r="N1192" s="13" t="s">
        <v>214</v>
      </c>
      <c r="O1192" s="10" t="str">
        <f t="shared" si="258"/>
        <v>View</v>
      </c>
      <c r="P1192" s="14"/>
    </row>
    <row r="1193">
      <c r="A1193" s="7">
        <v>42433.8467824074</v>
      </c>
      <c r="B1193" s="8" t="str">
        <f>HYPERLINK("https://twitter.com/thecliodotcom","@thecliodotcom")</f>
        <v>@thecliodotcom</v>
      </c>
      <c r="C1193" s="9" t="s">
        <v>509</v>
      </c>
      <c r="D1193" s="9" t="s">
        <v>1245</v>
      </c>
      <c r="E1193" s="10" t="str">
        <f>HYPERLINK("https://twitter.com/thecliodotcom/status/705940737704259586","705940737704259586")</f>
        <v>705940737704259586</v>
      </c>
      <c r="F1193" s="11" t="s">
        <v>26</v>
      </c>
      <c r="G1193" s="12">
        <v>2431.0</v>
      </c>
      <c r="H1193" s="12">
        <v>677.0</v>
      </c>
      <c r="I1193" s="12">
        <v>4.0</v>
      </c>
      <c r="J1193" s="12">
        <v>0.0</v>
      </c>
      <c r="K1193" s="11" t="s">
        <v>21</v>
      </c>
      <c r="L1193" s="7">
        <v>41823.88011574074</v>
      </c>
      <c r="M1193" s="13" t="s">
        <v>510</v>
      </c>
      <c r="N1193" s="13" t="s">
        <v>511</v>
      </c>
      <c r="O1193" s="10" t="str">
        <f>HYPERLINK("https://pbs.twimg.com/profile_images/636594907730214912/W77i_f0Q_normal.png","View")</f>
        <v>View</v>
      </c>
      <c r="P1193" s="14"/>
    </row>
    <row r="1194">
      <c r="A1194" s="7">
        <v>42433.84680555556</v>
      </c>
      <c r="B1194" s="8" t="str">
        <f>HYPERLINK("https://twitter.com/JulieThePH","@JulieThePH")</f>
        <v>@JulieThePH</v>
      </c>
      <c r="C1194" s="9" t="s">
        <v>211</v>
      </c>
      <c r="D1194" s="9" t="s">
        <v>1206</v>
      </c>
      <c r="E1194" s="10" t="str">
        <f>HYPERLINK("https://twitter.com/JulieThePH/status/705940745841221632","705940745841221632")</f>
        <v>705940745841221632</v>
      </c>
      <c r="F1194" s="11" t="s">
        <v>148</v>
      </c>
      <c r="G1194" s="12">
        <v>1234.0</v>
      </c>
      <c r="H1194" s="12">
        <v>1386.0</v>
      </c>
      <c r="I1194" s="12">
        <v>2.0</v>
      </c>
      <c r="J1194" s="12">
        <v>0.0</v>
      </c>
      <c r="K1194" s="11" t="s">
        <v>21</v>
      </c>
      <c r="L1194" s="7">
        <v>40718.66918981481</v>
      </c>
      <c r="M1194" s="13" t="s">
        <v>213</v>
      </c>
      <c r="N1194" s="13" t="s">
        <v>214</v>
      </c>
      <c r="O1194" s="10" t="str">
        <f>HYPERLINK("https://pbs.twimg.com/profile_images/596509974005686273/AqBblwMR_normal.jpg","View")</f>
        <v>View</v>
      </c>
      <c r="P1194" s="14"/>
    </row>
    <row r="1195">
      <c r="A1195" s="7">
        <v>42433.84696759259</v>
      </c>
      <c r="B1195" s="8" t="str">
        <f>HYPERLINK("https://twitter.com/jamiaw","@jamiaw")</f>
        <v>@jamiaw</v>
      </c>
      <c r="C1195" s="9" t="s">
        <v>324</v>
      </c>
      <c r="D1195" s="9" t="s">
        <v>1246</v>
      </c>
      <c r="E1195" s="10" t="str">
        <f>HYPERLINK("https://twitter.com/jamiaw/status/705940806989967360","705940806989967360")</f>
        <v>705940806989967360</v>
      </c>
      <c r="F1195" s="11" t="s">
        <v>26</v>
      </c>
      <c r="G1195" s="12">
        <v>11336.0</v>
      </c>
      <c r="H1195" s="12">
        <v>7815.0</v>
      </c>
      <c r="I1195" s="12">
        <v>0.0</v>
      </c>
      <c r="J1195" s="12">
        <v>5.0</v>
      </c>
      <c r="K1195" s="11" t="s">
        <v>21</v>
      </c>
      <c r="L1195" s="7">
        <v>39642.39741898148</v>
      </c>
      <c r="M1195" s="13" t="s">
        <v>325</v>
      </c>
      <c r="N1195" s="13" t="s">
        <v>326</v>
      </c>
      <c r="O1195" s="10" t="str">
        <f>HYPERLINK("https://pbs.twimg.com/profile_images/701102020061753344/5zH70uem_normal.jpg","View")</f>
        <v>View</v>
      </c>
      <c r="P1195" s="14"/>
    </row>
    <row r="1196">
      <c r="A1196" s="7">
        <v>42433.84707175926</v>
      </c>
      <c r="B1196" s="8" t="str">
        <f>HYPERLINK("https://twitter.com/JulieThePH","@JulieThePH")</f>
        <v>@JulieThePH</v>
      </c>
      <c r="C1196" s="9" t="s">
        <v>211</v>
      </c>
      <c r="D1196" s="9" t="s">
        <v>1247</v>
      </c>
      <c r="E1196" s="10" t="str">
        <f>HYPERLINK("https://twitter.com/JulieThePH/status/705940844243787777","705940844243787777")</f>
        <v>705940844243787777</v>
      </c>
      <c r="F1196" s="11" t="s">
        <v>148</v>
      </c>
      <c r="G1196" s="12">
        <v>1234.0</v>
      </c>
      <c r="H1196" s="12">
        <v>1386.0</v>
      </c>
      <c r="I1196" s="12">
        <v>2.0</v>
      </c>
      <c r="J1196" s="12">
        <v>0.0</v>
      </c>
      <c r="K1196" s="11" t="s">
        <v>21</v>
      </c>
      <c r="L1196" s="7">
        <v>40718.66918981481</v>
      </c>
      <c r="M1196" s="13" t="s">
        <v>213</v>
      </c>
      <c r="N1196" s="13" t="s">
        <v>214</v>
      </c>
      <c r="O1196" s="10" t="str">
        <f>HYPERLINK("https://pbs.twimg.com/profile_images/596509974005686273/AqBblwMR_normal.jpg","View")</f>
        <v>View</v>
      </c>
      <c r="P1196" s="14"/>
    </row>
    <row r="1197">
      <c r="A1197" s="7">
        <v>42433.84716435186</v>
      </c>
      <c r="B1197" s="8" t="str">
        <f>HYPERLINK("https://twitter.com/JimGrossmanAHA","@JimGrossmanAHA")</f>
        <v>@JimGrossmanAHA</v>
      </c>
      <c r="C1197" s="9" t="s">
        <v>278</v>
      </c>
      <c r="D1197" s="9" t="s">
        <v>1248</v>
      </c>
      <c r="E1197" s="10" t="str">
        <f>HYPERLINK("https://twitter.com/JimGrossmanAHA/status/705940878670618624","705940878670618624")</f>
        <v>705940878670618624</v>
      </c>
      <c r="F1197" s="11" t="s">
        <v>31</v>
      </c>
      <c r="G1197" s="12">
        <v>2241.0</v>
      </c>
      <c r="H1197" s="12">
        <v>368.0</v>
      </c>
      <c r="I1197" s="12">
        <v>2.0</v>
      </c>
      <c r="J1197" s="12">
        <v>3.0</v>
      </c>
      <c r="K1197" s="11" t="s">
        <v>21</v>
      </c>
      <c r="L1197" s="7">
        <v>41576.36603009259</v>
      </c>
      <c r="M1197" s="13" t="s">
        <v>279</v>
      </c>
      <c r="N1197" s="13" t="s">
        <v>280</v>
      </c>
      <c r="O1197" s="10" t="str">
        <f>HYPERLINK("https://pbs.twimg.com/profile_images/378800000667891782/44d7b181c077bf16ab07b242f7ad81b9_normal.png","View")</f>
        <v>View</v>
      </c>
      <c r="P1197" s="14"/>
    </row>
    <row r="1198">
      <c r="A1198" s="7">
        <v>42433.847650462965</v>
      </c>
      <c r="B1198" s="8" t="str">
        <f>HYPERLINK("https://twitter.com/CitizenWald","@CitizenWald")</f>
        <v>@CitizenWald</v>
      </c>
      <c r="C1198" s="9" t="s">
        <v>668</v>
      </c>
      <c r="D1198" s="9" t="s">
        <v>1229</v>
      </c>
      <c r="E1198" s="10" t="str">
        <f>HYPERLINK("https://twitter.com/CitizenWald/status/705941051668881408","705941051668881408")</f>
        <v>705941051668881408</v>
      </c>
      <c r="F1198" s="11" t="s">
        <v>26</v>
      </c>
      <c r="G1198" s="12">
        <v>2335.0</v>
      </c>
      <c r="H1198" s="12">
        <v>2535.0</v>
      </c>
      <c r="I1198" s="12">
        <v>4.0</v>
      </c>
      <c r="J1198" s="12">
        <v>0.0</v>
      </c>
      <c r="K1198" s="11" t="s">
        <v>21</v>
      </c>
      <c r="L1198" s="7">
        <v>39373.01613425926</v>
      </c>
      <c r="M1198" s="13" t="s">
        <v>22</v>
      </c>
      <c r="N1198" s="13" t="s">
        <v>669</v>
      </c>
      <c r="O1198" s="10" t="str">
        <f>HYPERLINK("https://pbs.twimg.com/profile_images/661220280564486144/ZxUrdRVS_normal.jpg","View")</f>
        <v>View</v>
      </c>
      <c r="P1198" s="14"/>
    </row>
    <row r="1199">
      <c r="A1199" s="7">
        <v>42433.84767361111</v>
      </c>
      <c r="B1199" s="8" t="str">
        <f>HYPERLINK("https://twitter.com/jamiaw","@jamiaw")</f>
        <v>@jamiaw</v>
      </c>
      <c r="C1199" s="9" t="s">
        <v>324</v>
      </c>
      <c r="D1199" s="9" t="s">
        <v>1249</v>
      </c>
      <c r="E1199" s="10" t="str">
        <f>HYPERLINK("https://twitter.com/jamiaw/status/705941061915570177","705941061915570177")</f>
        <v>705941061915570177</v>
      </c>
      <c r="F1199" s="11" t="s">
        <v>26</v>
      </c>
      <c r="G1199" s="12">
        <v>11336.0</v>
      </c>
      <c r="H1199" s="12">
        <v>7815.0</v>
      </c>
      <c r="I1199" s="12">
        <v>1.0</v>
      </c>
      <c r="J1199" s="12">
        <v>0.0</v>
      </c>
      <c r="K1199" s="11" t="s">
        <v>21</v>
      </c>
      <c r="L1199" s="7">
        <v>39642.39741898148</v>
      </c>
      <c r="M1199" s="13" t="s">
        <v>325</v>
      </c>
      <c r="N1199" s="13" t="s">
        <v>326</v>
      </c>
      <c r="O1199" s="10" t="str">
        <f>HYPERLINK("https://pbs.twimg.com/profile_images/701102020061753344/5zH70uem_normal.jpg","View")</f>
        <v>View</v>
      </c>
      <c r="P1199" s="14"/>
    </row>
    <row r="1200">
      <c r="A1200" s="7">
        <v>42433.84777777777</v>
      </c>
      <c r="B1200" s="8" t="str">
        <f>HYPERLINK("https://twitter.com/erfagen","@erfagen")</f>
        <v>@erfagen</v>
      </c>
      <c r="C1200" s="9" t="s">
        <v>124</v>
      </c>
      <c r="D1200" s="9" t="s">
        <v>1250</v>
      </c>
      <c r="E1200" s="10" t="str">
        <f>HYPERLINK("https://twitter.com/erfagen/status/705941099161001984","705941099161001984")</f>
        <v>705941099161001984</v>
      </c>
      <c r="F1200" s="11" t="s">
        <v>26</v>
      </c>
      <c r="G1200" s="12">
        <v>1055.0</v>
      </c>
      <c r="H1200" s="12">
        <v>2055.0</v>
      </c>
      <c r="I1200" s="12">
        <v>1.0</v>
      </c>
      <c r="J1200" s="12">
        <v>0.0</v>
      </c>
      <c r="K1200" s="11" t="s">
        <v>21</v>
      </c>
      <c r="L1200" s="7">
        <v>40524.93576388889</v>
      </c>
      <c r="M1200" s="13" t="s">
        <v>125</v>
      </c>
      <c r="N1200" s="13" t="s">
        <v>126</v>
      </c>
      <c r="O1200" s="10" t="str">
        <f>HYPERLINK("https://pbs.twimg.com/profile_images/638086945722249217/mid_S_BQ_normal.jpg","View")</f>
        <v>View</v>
      </c>
      <c r="P1200" s="14"/>
    </row>
    <row r="1201">
      <c r="A1201" s="7">
        <v>42433.84810185185</v>
      </c>
      <c r="B1201" s="8" t="str">
        <f>HYPERLINK("https://twitter.com/JimGrossmanAHA","@JimGrossmanAHA")</f>
        <v>@JimGrossmanAHA</v>
      </c>
      <c r="C1201" s="9" t="s">
        <v>278</v>
      </c>
      <c r="D1201" s="9" t="s">
        <v>1251</v>
      </c>
      <c r="E1201" s="10" t="str">
        <f>HYPERLINK("https://twitter.com/JimGrossmanAHA/status/705941214852489216","705941214852489216")</f>
        <v>705941214852489216</v>
      </c>
      <c r="F1201" s="11" t="s">
        <v>31</v>
      </c>
      <c r="G1201" s="12">
        <v>2241.0</v>
      </c>
      <c r="H1201" s="12">
        <v>368.0</v>
      </c>
      <c r="I1201" s="12">
        <v>2.0</v>
      </c>
      <c r="J1201" s="12">
        <v>7.0</v>
      </c>
      <c r="K1201" s="11" t="s">
        <v>21</v>
      </c>
      <c r="L1201" s="7">
        <v>41576.36603009259</v>
      </c>
      <c r="M1201" s="13" t="s">
        <v>279</v>
      </c>
      <c r="N1201" s="13" t="s">
        <v>280</v>
      </c>
      <c r="O1201" s="10" t="str">
        <f>HYPERLINK("https://pbs.twimg.com/profile_images/378800000667891782/44d7b181c077bf16ab07b242f7ad81b9_normal.png","View")</f>
        <v>View</v>
      </c>
      <c r="P1201" s="14"/>
    </row>
    <row r="1202">
      <c r="A1202" s="7">
        <v>42433.848125000004</v>
      </c>
      <c r="B1202" s="8" t="str">
        <f>HYPERLINK("https://twitter.com/abreimaier","@abreimaier")</f>
        <v>@abreimaier</v>
      </c>
      <c r="C1202" s="9" t="s">
        <v>1219</v>
      </c>
      <c r="D1202" s="9" t="s">
        <v>1252</v>
      </c>
      <c r="E1202" s="10" t="str">
        <f>HYPERLINK("https://twitter.com/abreimaier/status/705941223769505792","705941223769505792")</f>
        <v>705941223769505792</v>
      </c>
      <c r="F1202" s="11" t="s">
        <v>26</v>
      </c>
      <c r="G1202" s="12">
        <v>112.0</v>
      </c>
      <c r="H1202" s="12">
        <v>224.0</v>
      </c>
      <c r="I1202" s="12">
        <v>2.0</v>
      </c>
      <c r="J1202" s="12">
        <v>0.0</v>
      </c>
      <c r="K1202" s="11" t="s">
        <v>21</v>
      </c>
      <c r="L1202" s="7">
        <v>41342.326261574075</v>
      </c>
      <c r="M1202" s="13" t="s">
        <v>200</v>
      </c>
      <c r="N1202" s="13" t="s">
        <v>1221</v>
      </c>
      <c r="O1202" s="10" t="str">
        <f>HYPERLINK("https://pbs.twimg.com/profile_images/3357790300/e80f72cc154c4bfa4bc8dc718fbc525b_normal.jpeg","View")</f>
        <v>View</v>
      </c>
      <c r="P1202" s="14"/>
    </row>
    <row r="1203">
      <c r="A1203" s="7">
        <v>42433.84820601852</v>
      </c>
      <c r="B1203" s="8" t="str">
        <f>HYPERLINK("https://twitter.com/juliegpeterson","@juliegpeterson")</f>
        <v>@juliegpeterson</v>
      </c>
      <c r="C1203" s="9" t="s">
        <v>24</v>
      </c>
      <c r="D1203" s="9" t="s">
        <v>1252</v>
      </c>
      <c r="E1203" s="10" t="str">
        <f>HYPERLINK("https://twitter.com/juliegpeterson/status/705941254669017088","705941254669017088")</f>
        <v>705941254669017088</v>
      </c>
      <c r="F1203" s="11" t="s">
        <v>26</v>
      </c>
      <c r="G1203" s="12">
        <v>239.0</v>
      </c>
      <c r="H1203" s="12">
        <v>775.0</v>
      </c>
      <c r="I1203" s="12">
        <v>2.0</v>
      </c>
      <c r="J1203" s="12">
        <v>0.0</v>
      </c>
      <c r="K1203" s="11" t="s">
        <v>21</v>
      </c>
      <c r="L1203" s="7">
        <v>41208.65523148148</v>
      </c>
      <c r="M1203" s="13" t="s">
        <v>22</v>
      </c>
      <c r="N1203" s="13" t="s">
        <v>27</v>
      </c>
      <c r="O1203" s="10" t="str">
        <f>HYPERLINK("https://pbs.twimg.com/profile_images/609765839051452416/GNW0wSt0_normal.jpg","View")</f>
        <v>View</v>
      </c>
      <c r="P1203" s="14"/>
    </row>
    <row r="1204">
      <c r="A1204" s="7">
        <v>42433.84825231481</v>
      </c>
      <c r="B1204" s="8" t="str">
        <f>HYPERLINK("https://twitter.com/rickwoten","@rickwoten")</f>
        <v>@rickwoten</v>
      </c>
      <c r="C1204" s="9" t="s">
        <v>1253</v>
      </c>
      <c r="D1204" s="9" t="s">
        <v>1208</v>
      </c>
      <c r="E1204" s="10" t="str">
        <f>HYPERLINK("https://twitter.com/rickwoten/status/705941271110619136","705941271110619136")</f>
        <v>705941271110619136</v>
      </c>
      <c r="F1204" s="11" t="s">
        <v>31</v>
      </c>
      <c r="G1204" s="12">
        <v>128.0</v>
      </c>
      <c r="H1204" s="12">
        <v>385.0</v>
      </c>
      <c r="I1204" s="12">
        <v>9.0</v>
      </c>
      <c r="J1204" s="12">
        <v>0.0</v>
      </c>
      <c r="K1204" s="11" t="s">
        <v>21</v>
      </c>
      <c r="L1204" s="7">
        <v>39793.60335648148</v>
      </c>
      <c r="M1204" s="15"/>
      <c r="N1204" s="13" t="s">
        <v>1254</v>
      </c>
      <c r="O1204" s="10" t="str">
        <f>HYPERLINK("https://pbs.twimg.com/profile_images/1100146387/wbc_badge_normal.jpg","View")</f>
        <v>View</v>
      </c>
      <c r="P1204" s="14"/>
    </row>
    <row r="1205">
      <c r="A1205" s="7">
        <v>42433.84895833333</v>
      </c>
      <c r="B1205" s="8" t="str">
        <f>HYPERLINK("https://twitter.com/rebekkahrubin","@rebekkahrubin")</f>
        <v>@rebekkahrubin</v>
      </c>
      <c r="C1205" s="9" t="s">
        <v>141</v>
      </c>
      <c r="D1205" s="9" t="s">
        <v>1255</v>
      </c>
      <c r="E1205" s="10" t="str">
        <f>HYPERLINK("https://twitter.com/rebekkahrubin/status/705941528028581888","705941528028581888")</f>
        <v>705941528028581888</v>
      </c>
      <c r="F1205" s="11" t="s">
        <v>26</v>
      </c>
      <c r="G1205" s="12">
        <v>492.0</v>
      </c>
      <c r="H1205" s="12">
        <v>1224.0</v>
      </c>
      <c r="I1205" s="12">
        <v>2.0</v>
      </c>
      <c r="J1205" s="12">
        <v>0.0</v>
      </c>
      <c r="K1205" s="11" t="s">
        <v>21</v>
      </c>
      <c r="L1205" s="7">
        <v>40411.521527777775</v>
      </c>
      <c r="M1205" s="13" t="s">
        <v>143</v>
      </c>
      <c r="N1205" s="13" t="s">
        <v>144</v>
      </c>
      <c r="O1205" s="10" t="str">
        <f>HYPERLINK("https://pbs.twimg.com/profile_images/700317732588408832/Ym_-neUi_normal.jpg","View")</f>
        <v>View</v>
      </c>
      <c r="P1205" s="14"/>
    </row>
    <row r="1206">
      <c r="A1206" s="7">
        <v>42433.84903935185</v>
      </c>
      <c r="B1206" s="8" t="str">
        <f>HYPERLINK("https://twitter.com/historein","@historein")</f>
        <v>@historein</v>
      </c>
      <c r="C1206" s="9" t="s">
        <v>172</v>
      </c>
      <c r="D1206" s="9" t="s">
        <v>1256</v>
      </c>
      <c r="E1206" s="10" t="str">
        <f>HYPERLINK("https://twitter.com/historein/status/705941558454034432","705941558454034432")</f>
        <v>705941558454034432</v>
      </c>
      <c r="F1206" s="11" t="s">
        <v>31</v>
      </c>
      <c r="G1206" s="12">
        <v>641.0</v>
      </c>
      <c r="H1206" s="12">
        <v>753.0</v>
      </c>
      <c r="I1206" s="12">
        <v>0.0</v>
      </c>
      <c r="J1206" s="12">
        <v>10.0</v>
      </c>
      <c r="K1206" s="11" t="s">
        <v>21</v>
      </c>
      <c r="L1206" s="7">
        <v>40416.68083333333</v>
      </c>
      <c r="M1206" s="13" t="s">
        <v>35</v>
      </c>
      <c r="N1206" s="13" t="s">
        <v>174</v>
      </c>
      <c r="O1206" s="10" t="str">
        <f>HYPERLINK("https://pbs.twimg.com/profile_images/636901483401904128/cxbavncr_normal.jpg","View")</f>
        <v>View</v>
      </c>
      <c r="P1206" s="14"/>
    </row>
    <row r="1207">
      <c r="A1207" s="7">
        <v>42433.84935185185</v>
      </c>
      <c r="B1207" s="8" t="str">
        <f>HYPERLINK("https://twitter.com/magmidd","@magmidd")</f>
        <v>@magmidd</v>
      </c>
      <c r="C1207" s="9" t="s">
        <v>636</v>
      </c>
      <c r="D1207" s="9" t="s">
        <v>1257</v>
      </c>
      <c r="E1207" s="10" t="str">
        <f>HYPERLINK("https://twitter.com/magmidd/status/705941670357929984","705941670357929984")</f>
        <v>705941670357929984</v>
      </c>
      <c r="F1207" s="11" t="s">
        <v>148</v>
      </c>
      <c r="G1207" s="12">
        <v>1385.0</v>
      </c>
      <c r="H1207" s="12">
        <v>1353.0</v>
      </c>
      <c r="I1207" s="12">
        <v>0.0</v>
      </c>
      <c r="J1207" s="12">
        <v>3.0</v>
      </c>
      <c r="K1207" s="11" t="s">
        <v>21</v>
      </c>
      <c r="L1207" s="7">
        <v>41511.60082175926</v>
      </c>
      <c r="M1207" s="13" t="s">
        <v>197</v>
      </c>
      <c r="N1207" s="13" t="s">
        <v>638</v>
      </c>
      <c r="O1207" s="10" t="str">
        <f>HYPERLINK("https://pbs.twimg.com/profile_images/378800000450415007/82bcc7d0cab85e8d5920dbf5ded6715e_normal.jpeg","View")</f>
        <v>View</v>
      </c>
      <c r="P1207" s="14"/>
    </row>
    <row r="1208">
      <c r="A1208" s="7">
        <v>42433.84991898148</v>
      </c>
      <c r="B1208" s="8" t="str">
        <f>HYPERLINK("https://twitter.com/CitizenWald","@CitizenWald")</f>
        <v>@CitizenWald</v>
      </c>
      <c r="C1208" s="9" t="s">
        <v>668</v>
      </c>
      <c r="D1208" s="9" t="s">
        <v>1258</v>
      </c>
      <c r="E1208" s="10" t="str">
        <f>HYPERLINK("https://twitter.com/CitizenWald/status/705941874079571968","705941874079571968")</f>
        <v>705941874079571968</v>
      </c>
      <c r="F1208" s="11" t="s">
        <v>26</v>
      </c>
      <c r="G1208" s="12">
        <v>2335.0</v>
      </c>
      <c r="H1208" s="12">
        <v>2535.0</v>
      </c>
      <c r="I1208" s="12">
        <v>3.0</v>
      </c>
      <c r="J1208" s="12">
        <v>5.0</v>
      </c>
      <c r="K1208" s="11" t="s">
        <v>21</v>
      </c>
      <c r="L1208" s="7">
        <v>39373.01613425926</v>
      </c>
      <c r="M1208" s="13" t="s">
        <v>22</v>
      </c>
      <c r="N1208" s="13" t="s">
        <v>669</v>
      </c>
      <c r="O1208" s="10" t="str">
        <f>HYPERLINK("https://pbs.twimg.com/profile_images/661220280564486144/ZxUrdRVS_normal.jpg","View")</f>
        <v>View</v>
      </c>
      <c r="P1208" s="14"/>
    </row>
    <row r="1209">
      <c r="A1209" s="7">
        <v>42433.85047453704</v>
      </c>
      <c r="B1209" s="8" t="str">
        <f>HYPERLINK("https://twitter.com/abreimaier","@abreimaier")</f>
        <v>@abreimaier</v>
      </c>
      <c r="C1209" s="9" t="s">
        <v>1219</v>
      </c>
      <c r="D1209" s="9" t="s">
        <v>1259</v>
      </c>
      <c r="E1209" s="10" t="str">
        <f>HYPERLINK("https://twitter.com/abreimaier/status/705942076110798848","705942076110798848")</f>
        <v>705942076110798848</v>
      </c>
      <c r="F1209" s="11" t="s">
        <v>26</v>
      </c>
      <c r="G1209" s="12">
        <v>112.0</v>
      </c>
      <c r="H1209" s="12">
        <v>224.0</v>
      </c>
      <c r="I1209" s="12">
        <v>0.0</v>
      </c>
      <c r="J1209" s="12">
        <v>4.0</v>
      </c>
      <c r="K1209" s="11" t="s">
        <v>21</v>
      </c>
      <c r="L1209" s="7">
        <v>41342.326261574075</v>
      </c>
      <c r="M1209" s="13" t="s">
        <v>200</v>
      </c>
      <c r="N1209" s="13" t="s">
        <v>1221</v>
      </c>
      <c r="O1209" s="10" t="str">
        <f>HYPERLINK("https://pbs.twimg.com/profile_images/3357790300/e80f72cc154c4bfa4bc8dc718fbc525b_normal.jpeg","View")</f>
        <v>View</v>
      </c>
      <c r="P1209" s="14"/>
    </row>
    <row r="1210">
      <c r="A1210" s="7">
        <v>42433.85084490741</v>
      </c>
      <c r="B1210" s="8" t="str">
        <f>HYPERLINK("https://twitter.com/CitizenWald","@CitizenWald")</f>
        <v>@CitizenWald</v>
      </c>
      <c r="C1210" s="9" t="s">
        <v>668</v>
      </c>
      <c r="D1210" s="9" t="s">
        <v>1260</v>
      </c>
      <c r="E1210" s="10" t="str">
        <f>HYPERLINK("https://twitter.com/CitizenWald/status/705942210575998977","705942210575998977")</f>
        <v>705942210575998977</v>
      </c>
      <c r="F1210" s="11" t="s">
        <v>26</v>
      </c>
      <c r="G1210" s="12">
        <v>2335.0</v>
      </c>
      <c r="H1210" s="12">
        <v>2535.0</v>
      </c>
      <c r="I1210" s="12">
        <v>3.0</v>
      </c>
      <c r="J1210" s="12">
        <v>3.0</v>
      </c>
      <c r="K1210" s="11" t="s">
        <v>21</v>
      </c>
      <c r="L1210" s="7">
        <v>39373.01613425926</v>
      </c>
      <c r="M1210" s="13" t="s">
        <v>22</v>
      </c>
      <c r="N1210" s="13" t="s">
        <v>669</v>
      </c>
      <c r="O1210" s="10" t="str">
        <f>HYPERLINK("https://pbs.twimg.com/profile_images/661220280564486144/ZxUrdRVS_normal.jpg","View")</f>
        <v>View</v>
      </c>
      <c r="P1210" s="14"/>
    </row>
    <row r="1211">
      <c r="A1211" s="7">
        <v>42433.85126157408</v>
      </c>
      <c r="B1211" s="8" t="str">
        <f>HYPERLINK("https://twitter.com/defactofecteau","@defactofecteau")</f>
        <v>@defactofecteau</v>
      </c>
      <c r="C1211" s="9" t="s">
        <v>665</v>
      </c>
      <c r="D1211" s="9" t="s">
        <v>1255</v>
      </c>
      <c r="E1211" s="10" t="str">
        <f>HYPERLINK("https://twitter.com/defactofecteau/status/705942362120458241","705942362120458241")</f>
        <v>705942362120458241</v>
      </c>
      <c r="F1211" s="11" t="s">
        <v>148</v>
      </c>
      <c r="G1211" s="12">
        <v>46.0</v>
      </c>
      <c r="H1211" s="12">
        <v>104.0</v>
      </c>
      <c r="I1211" s="12">
        <v>2.0</v>
      </c>
      <c r="J1211" s="12">
        <v>0.0</v>
      </c>
      <c r="K1211" s="11" t="s">
        <v>21</v>
      </c>
      <c r="L1211" s="7">
        <v>41684.53481481482</v>
      </c>
      <c r="M1211" s="15"/>
      <c r="N1211" s="13" t="s">
        <v>667</v>
      </c>
      <c r="O1211" s="10" t="str">
        <f>HYPERLINK("https://pbs.twimg.com/profile_images/434404729263648768/vsAZLFtj_normal.jpeg","View")</f>
        <v>View</v>
      </c>
      <c r="P1211" s="14"/>
    </row>
    <row r="1212">
      <c r="A1212" s="7">
        <v>42433.85130787037</v>
      </c>
      <c r="B1212" s="8" t="str">
        <f>HYPERLINK("https://twitter.com/HistoryMal","@HistoryMal")</f>
        <v>@HistoryMal</v>
      </c>
      <c r="C1212" s="9" t="s">
        <v>1261</v>
      </c>
      <c r="D1212" s="9" t="s">
        <v>1074</v>
      </c>
      <c r="E1212" s="10" t="str">
        <f>HYPERLINK("https://twitter.com/HistoryMal/status/705942380008992769","705942380008992769")</f>
        <v>705942380008992769</v>
      </c>
      <c r="F1212" s="11" t="s">
        <v>26</v>
      </c>
      <c r="G1212" s="12">
        <v>10.0</v>
      </c>
      <c r="H1212" s="12">
        <v>61.0</v>
      </c>
      <c r="I1212" s="12">
        <v>4.0</v>
      </c>
      <c r="J1212" s="12">
        <v>0.0</v>
      </c>
      <c r="K1212" s="11" t="s">
        <v>21</v>
      </c>
      <c r="L1212" s="7">
        <v>42432.63585648148</v>
      </c>
      <c r="M1212" s="13" t="s">
        <v>1262</v>
      </c>
      <c r="N1212" s="13" t="s">
        <v>1263</v>
      </c>
      <c r="O1212" s="10" t="str">
        <f>HYPERLINK("https://pbs.twimg.com/profile_images/705523267092631553/JSM6w3kp_normal.jpg","View")</f>
        <v>View</v>
      </c>
      <c r="P1212" s="14"/>
    </row>
    <row r="1213">
      <c r="A1213" s="7">
        <v>42433.85135416666</v>
      </c>
      <c r="B1213" s="8" t="str">
        <f>HYPERLINK("https://twitter.com/lizl_genealogy","@lizl_genealogy")</f>
        <v>@lizl_genealogy</v>
      </c>
      <c r="C1213" s="9" t="s">
        <v>89</v>
      </c>
      <c r="D1213" s="9" t="s">
        <v>1264</v>
      </c>
      <c r="E1213" s="10" t="str">
        <f>HYPERLINK("https://twitter.com/lizl_genealogy/status/705942395582480384","705942395582480384")</f>
        <v>705942395582480384</v>
      </c>
      <c r="F1213" s="11" t="s">
        <v>31</v>
      </c>
      <c r="G1213" s="12">
        <v>1547.0</v>
      </c>
      <c r="H1213" s="12">
        <v>615.0</v>
      </c>
      <c r="I1213" s="12">
        <v>3.0</v>
      </c>
      <c r="J1213" s="12">
        <v>0.0</v>
      </c>
      <c r="K1213" s="11" t="s">
        <v>21</v>
      </c>
      <c r="L1213" s="7">
        <v>40763.52722222223</v>
      </c>
      <c r="M1213" s="13" t="s">
        <v>90</v>
      </c>
      <c r="N1213" s="13" t="s">
        <v>91</v>
      </c>
      <c r="O1213" s="10" t="str">
        <f>HYPERLINK("https://pbs.twimg.com/profile_images/2700002859/1f2d610ddaf1f03ac7d033dd83847b45_normal.jpeg","View")</f>
        <v>View</v>
      </c>
      <c r="P1213" s="14"/>
    </row>
    <row r="1214">
      <c r="A1214" s="7">
        <v>42433.85142361111</v>
      </c>
      <c r="B1214" s="8" t="str">
        <f>HYPERLINK("https://twitter.com/jamiaw","@jamiaw")</f>
        <v>@jamiaw</v>
      </c>
      <c r="C1214" s="9" t="s">
        <v>324</v>
      </c>
      <c r="D1214" s="9" t="s">
        <v>1265</v>
      </c>
      <c r="E1214" s="10" t="str">
        <f>HYPERLINK("https://twitter.com/jamiaw/status/705942419469176832","705942419469176832")</f>
        <v>705942419469176832</v>
      </c>
      <c r="F1214" s="11" t="s">
        <v>26</v>
      </c>
      <c r="G1214" s="12">
        <v>11336.0</v>
      </c>
      <c r="H1214" s="12">
        <v>7815.0</v>
      </c>
      <c r="I1214" s="12">
        <v>3.0</v>
      </c>
      <c r="J1214" s="12">
        <v>0.0</v>
      </c>
      <c r="K1214" s="11" t="s">
        <v>21</v>
      </c>
      <c r="L1214" s="7">
        <v>39642.39741898148</v>
      </c>
      <c r="M1214" s="13" t="s">
        <v>325</v>
      </c>
      <c r="N1214" s="13" t="s">
        <v>326</v>
      </c>
      <c r="O1214" s="10" t="str">
        <f>HYPERLINK("https://pbs.twimg.com/profile_images/701102020061753344/5zH70uem_normal.jpg","View")</f>
        <v>View</v>
      </c>
      <c r="P1214" s="14"/>
    </row>
    <row r="1215">
      <c r="A1215" s="7">
        <v>42433.85208333333</v>
      </c>
      <c r="B1215" s="8" t="str">
        <f>HYPERLINK("https://twitter.com/magmidd","@magmidd")</f>
        <v>@magmidd</v>
      </c>
      <c r="C1215" s="9" t="s">
        <v>636</v>
      </c>
      <c r="D1215" s="9" t="s">
        <v>1266</v>
      </c>
      <c r="E1215" s="10" t="str">
        <f>HYPERLINK("https://twitter.com/magmidd/status/705942658397515776","705942658397515776")</f>
        <v>705942658397515776</v>
      </c>
      <c r="F1215" s="11" t="s">
        <v>148</v>
      </c>
      <c r="G1215" s="12">
        <v>1385.0</v>
      </c>
      <c r="H1215" s="12">
        <v>1353.0</v>
      </c>
      <c r="I1215" s="12">
        <v>0.0</v>
      </c>
      <c r="J1215" s="12">
        <v>3.0</v>
      </c>
      <c r="K1215" s="11" t="s">
        <v>21</v>
      </c>
      <c r="L1215" s="7">
        <v>41511.60082175926</v>
      </c>
      <c r="M1215" s="13" t="s">
        <v>197</v>
      </c>
      <c r="N1215" s="13" t="s">
        <v>638</v>
      </c>
      <c r="O1215" s="10" t="str">
        <f>HYPERLINK("https://pbs.twimg.com/profile_images/378800000450415007/82bcc7d0cab85e8d5920dbf5ded6715e_normal.jpeg","View")</f>
        <v>View</v>
      </c>
      <c r="P1215" s="14"/>
    </row>
    <row r="1216">
      <c r="A1216" s="7">
        <v>42433.85223379629</v>
      </c>
      <c r="B1216" s="8" t="str">
        <f>HYPERLINK("https://twitter.com/amanda_lyons","@amanda_lyons")</f>
        <v>@amanda_lyons</v>
      </c>
      <c r="C1216" s="9" t="s">
        <v>465</v>
      </c>
      <c r="D1216" s="9" t="s">
        <v>1160</v>
      </c>
      <c r="E1216" s="10" t="str">
        <f>HYPERLINK("https://twitter.com/amanda_lyons/status/705942713368236032","705942713368236032")</f>
        <v>705942713368236032</v>
      </c>
      <c r="F1216" s="11" t="s">
        <v>148</v>
      </c>
      <c r="G1216" s="12">
        <v>1280.0</v>
      </c>
      <c r="H1216" s="12">
        <v>1557.0</v>
      </c>
      <c r="I1216" s="12">
        <v>9.0</v>
      </c>
      <c r="J1216" s="12">
        <v>0.0</v>
      </c>
      <c r="K1216" s="11" t="s">
        <v>21</v>
      </c>
      <c r="L1216" s="7">
        <v>40590.512395833335</v>
      </c>
      <c r="M1216" s="13" t="s">
        <v>213</v>
      </c>
      <c r="N1216" s="13" t="s">
        <v>467</v>
      </c>
      <c r="O1216" s="10" t="str">
        <f>HYPERLINK("https://pbs.twimg.com/profile_images/1246380212/manda_normal.jpg","View")</f>
        <v>View</v>
      </c>
      <c r="P1216" s="14"/>
    </row>
    <row r="1217">
      <c r="A1217" s="7">
        <v>42433.852488425924</v>
      </c>
      <c r="B1217" s="8" t="str">
        <f t="shared" ref="B1217:B1218" si="259">HYPERLINK("https://twitter.com/erfagen","@erfagen")</f>
        <v>@erfagen</v>
      </c>
      <c r="C1217" s="9" t="s">
        <v>124</v>
      </c>
      <c r="D1217" s="9" t="s">
        <v>1267</v>
      </c>
      <c r="E1217" s="10" t="str">
        <f>HYPERLINK("https://twitter.com/erfagen/status/705942808427945985","705942808427945985")</f>
        <v>705942808427945985</v>
      </c>
      <c r="F1217" s="11" t="s">
        <v>26</v>
      </c>
      <c r="G1217" s="12">
        <v>1055.0</v>
      </c>
      <c r="H1217" s="12">
        <v>2055.0</v>
      </c>
      <c r="I1217" s="12">
        <v>2.0</v>
      </c>
      <c r="J1217" s="12">
        <v>6.0</v>
      </c>
      <c r="K1217" s="11" t="s">
        <v>21</v>
      </c>
      <c r="L1217" s="7">
        <v>40524.93576388889</v>
      </c>
      <c r="M1217" s="13" t="s">
        <v>125</v>
      </c>
      <c r="N1217" s="13" t="s">
        <v>126</v>
      </c>
      <c r="O1217" s="10" t="str">
        <f t="shared" ref="O1217:O1218" si="260">HYPERLINK("https://pbs.twimg.com/profile_images/638086945722249217/mid_S_BQ_normal.jpg","View")</f>
        <v>View</v>
      </c>
      <c r="P1217" s="14"/>
    </row>
    <row r="1218">
      <c r="A1218" s="7">
        <v>42433.85261574074</v>
      </c>
      <c r="B1218" s="8" t="str">
        <f t="shared" si="259"/>
        <v>@erfagen</v>
      </c>
      <c r="C1218" s="9" t="s">
        <v>124</v>
      </c>
      <c r="D1218" s="9" t="s">
        <v>1264</v>
      </c>
      <c r="E1218" s="10" t="str">
        <f>HYPERLINK("https://twitter.com/erfagen/status/705942852463943680","705942852463943680")</f>
        <v>705942852463943680</v>
      </c>
      <c r="F1218" s="11" t="s">
        <v>26</v>
      </c>
      <c r="G1218" s="12">
        <v>1055.0</v>
      </c>
      <c r="H1218" s="12">
        <v>2055.0</v>
      </c>
      <c r="I1218" s="12">
        <v>3.0</v>
      </c>
      <c r="J1218" s="12">
        <v>0.0</v>
      </c>
      <c r="K1218" s="11" t="s">
        <v>21</v>
      </c>
      <c r="L1218" s="7">
        <v>40524.93576388889</v>
      </c>
      <c r="M1218" s="13" t="s">
        <v>125</v>
      </c>
      <c r="N1218" s="13" t="s">
        <v>126</v>
      </c>
      <c r="O1218" s="10" t="str">
        <f t="shared" si="260"/>
        <v>View</v>
      </c>
      <c r="P1218" s="14"/>
    </row>
    <row r="1219">
      <c r="A1219" s="7">
        <v>42433.852685185186</v>
      </c>
      <c r="B1219" s="8" t="str">
        <f>HYPERLINK("https://twitter.com/juliegpeterson","@juliegpeterson")</f>
        <v>@juliegpeterson</v>
      </c>
      <c r="C1219" s="9" t="s">
        <v>24</v>
      </c>
      <c r="D1219" s="9" t="s">
        <v>1268</v>
      </c>
      <c r="E1219" s="10" t="str">
        <f>HYPERLINK("https://twitter.com/juliegpeterson/status/705942877629779968","705942877629779968")</f>
        <v>705942877629779968</v>
      </c>
      <c r="F1219" s="11" t="s">
        <v>26</v>
      </c>
      <c r="G1219" s="12">
        <v>239.0</v>
      </c>
      <c r="H1219" s="12">
        <v>775.0</v>
      </c>
      <c r="I1219" s="12">
        <v>2.0</v>
      </c>
      <c r="J1219" s="12">
        <v>0.0</v>
      </c>
      <c r="K1219" s="11" t="s">
        <v>21</v>
      </c>
      <c r="L1219" s="7">
        <v>41208.65523148148</v>
      </c>
      <c r="M1219" s="13" t="s">
        <v>22</v>
      </c>
      <c r="N1219" s="13" t="s">
        <v>27</v>
      </c>
      <c r="O1219" s="10" t="str">
        <f>HYPERLINK("https://pbs.twimg.com/profile_images/609765839051452416/GNW0wSt0_normal.jpg","View")</f>
        <v>View</v>
      </c>
      <c r="P1219" s="14"/>
    </row>
    <row r="1220">
      <c r="A1220" s="7">
        <v>42433.852731481486</v>
      </c>
      <c r="B1220" s="8" t="str">
        <f>HYPERLINK("https://twitter.com/magmidd","@magmidd")</f>
        <v>@magmidd</v>
      </c>
      <c r="C1220" s="9" t="s">
        <v>636</v>
      </c>
      <c r="D1220" s="9" t="s">
        <v>1264</v>
      </c>
      <c r="E1220" s="10" t="str">
        <f>HYPERLINK("https://twitter.com/magmidd/status/705942894071275520","705942894071275520")</f>
        <v>705942894071275520</v>
      </c>
      <c r="F1220" s="11" t="s">
        <v>148</v>
      </c>
      <c r="G1220" s="12">
        <v>1385.0</v>
      </c>
      <c r="H1220" s="12">
        <v>1353.0</v>
      </c>
      <c r="I1220" s="12">
        <v>3.0</v>
      </c>
      <c r="J1220" s="12">
        <v>0.0</v>
      </c>
      <c r="K1220" s="11" t="s">
        <v>21</v>
      </c>
      <c r="L1220" s="7">
        <v>41511.60082175926</v>
      </c>
      <c r="M1220" s="13" t="s">
        <v>197</v>
      </c>
      <c r="N1220" s="13" t="s">
        <v>638</v>
      </c>
      <c r="O1220" s="10" t="str">
        <f>HYPERLINK("https://pbs.twimg.com/profile_images/378800000450415007/82bcc7d0cab85e8d5920dbf5ded6715e_normal.jpeg","View")</f>
        <v>View</v>
      </c>
      <c r="P1220" s="14"/>
    </row>
    <row r="1221">
      <c r="A1221" s="7">
        <v>42433.853217592594</v>
      </c>
      <c r="B1221" s="8" t="str">
        <f>HYPERLINK("https://twitter.com/CitizenWald","@CitizenWald")</f>
        <v>@CitizenWald</v>
      </c>
      <c r="C1221" s="9" t="s">
        <v>668</v>
      </c>
      <c r="D1221" s="9" t="s">
        <v>1269</v>
      </c>
      <c r="E1221" s="10" t="str">
        <f>HYPERLINK("https://twitter.com/CitizenWald/status/705943069418504192","705943069418504192")</f>
        <v>705943069418504192</v>
      </c>
      <c r="F1221" s="11" t="s">
        <v>26</v>
      </c>
      <c r="G1221" s="12">
        <v>2335.0</v>
      </c>
      <c r="H1221" s="12">
        <v>2535.0</v>
      </c>
      <c r="I1221" s="12">
        <v>0.0</v>
      </c>
      <c r="J1221" s="12">
        <v>3.0</v>
      </c>
      <c r="K1221" s="11" t="s">
        <v>21</v>
      </c>
      <c r="L1221" s="7">
        <v>39373.01613425926</v>
      </c>
      <c r="M1221" s="13" t="s">
        <v>22</v>
      </c>
      <c r="N1221" s="13" t="s">
        <v>669</v>
      </c>
      <c r="O1221" s="10" t="str">
        <f>HYPERLINK("https://pbs.twimg.com/profile_images/661220280564486144/ZxUrdRVS_normal.jpg","View")</f>
        <v>View</v>
      </c>
      <c r="P1221" s="14"/>
    </row>
    <row r="1222">
      <c r="A1222" s="7">
        <v>42433.85344907407</v>
      </c>
      <c r="B1222" s="8" t="str">
        <f>HYPERLINK("https://twitter.com/abreimaier","@abreimaier")</f>
        <v>@abreimaier</v>
      </c>
      <c r="C1222" s="9" t="s">
        <v>1219</v>
      </c>
      <c r="D1222" s="9" t="s">
        <v>1270</v>
      </c>
      <c r="E1222" s="10" t="str">
        <f>HYPERLINK("https://twitter.com/abreimaier/status/705943152755089408","705943152755089408")</f>
        <v>705943152755089408</v>
      </c>
      <c r="F1222" s="11" t="s">
        <v>26</v>
      </c>
      <c r="G1222" s="12">
        <v>112.0</v>
      </c>
      <c r="H1222" s="12">
        <v>224.0</v>
      </c>
      <c r="I1222" s="12">
        <v>0.0</v>
      </c>
      <c r="J1222" s="12">
        <v>4.0</v>
      </c>
      <c r="K1222" s="11" t="s">
        <v>21</v>
      </c>
      <c r="L1222" s="7">
        <v>41342.326261574075</v>
      </c>
      <c r="M1222" s="13" t="s">
        <v>200</v>
      </c>
      <c r="N1222" s="13" t="s">
        <v>1221</v>
      </c>
      <c r="O1222" s="10" t="str">
        <f>HYPERLINK("https://pbs.twimg.com/profile_images/3357790300/e80f72cc154c4bfa4bc8dc718fbc525b_normal.jpeg","View")</f>
        <v>View</v>
      </c>
      <c r="P1222" s="14"/>
    </row>
    <row r="1223">
      <c r="A1223" s="7">
        <v>42433.85355324074</v>
      </c>
      <c r="B1223" s="8" t="str">
        <f>HYPERLINK("https://twitter.com/GHAUmass","@GHAUmass")</f>
        <v>@GHAUmass</v>
      </c>
      <c r="C1223" s="9" t="s">
        <v>30</v>
      </c>
      <c r="D1223" s="9" t="s">
        <v>1271</v>
      </c>
      <c r="E1223" s="10" t="str">
        <f>HYPERLINK("https://twitter.com/GHAUmass/status/705943192189988864","705943192189988864")</f>
        <v>705943192189988864</v>
      </c>
      <c r="F1223" s="11" t="s">
        <v>26</v>
      </c>
      <c r="G1223" s="12">
        <v>68.0</v>
      </c>
      <c r="H1223" s="12">
        <v>100.0</v>
      </c>
      <c r="I1223" s="12">
        <v>2.0</v>
      </c>
      <c r="J1223" s="12">
        <v>0.0</v>
      </c>
      <c r="K1223" s="11" t="s">
        <v>21</v>
      </c>
      <c r="L1223" s="7">
        <v>42152.65289351852</v>
      </c>
      <c r="M1223" s="13" t="s">
        <v>22</v>
      </c>
      <c r="N1223" s="13" t="s">
        <v>32</v>
      </c>
      <c r="O1223" s="10" t="str">
        <f>HYPERLINK("https://pbs.twimg.com/profile_images/604060333590855682/Fk6r1D7d_normal.jpg","View")</f>
        <v>View</v>
      </c>
      <c r="P1223" s="14"/>
    </row>
    <row r="1224">
      <c r="A1224" s="7">
        <v>42433.853842592594</v>
      </c>
      <c r="B1224" s="8" t="str">
        <f t="shared" ref="B1224:B1228" si="261">HYPERLINK("https://twitter.com/umassph","@umassph")</f>
        <v>@umassph</v>
      </c>
      <c r="C1224" s="9" t="s">
        <v>121</v>
      </c>
      <c r="D1224" s="9" t="s">
        <v>1268</v>
      </c>
      <c r="E1224" s="10" t="str">
        <f>HYPERLINK("https://twitter.com/umassph/status/705943297466957825","705943297466957825")</f>
        <v>705943297466957825</v>
      </c>
      <c r="F1224" s="11" t="s">
        <v>26</v>
      </c>
      <c r="G1224" s="12">
        <v>693.0</v>
      </c>
      <c r="H1224" s="12">
        <v>242.0</v>
      </c>
      <c r="I1224" s="12">
        <v>2.0</v>
      </c>
      <c r="J1224" s="12">
        <v>0.0</v>
      </c>
      <c r="K1224" s="11" t="s">
        <v>21</v>
      </c>
      <c r="L1224" s="7">
        <v>40242.52853009259</v>
      </c>
      <c r="M1224" s="13" t="s">
        <v>22</v>
      </c>
      <c r="N1224" s="13" t="s">
        <v>123</v>
      </c>
      <c r="O1224" s="10" t="str">
        <f t="shared" ref="O1224:O1228" si="262">HYPERLINK("https://pbs.twimg.com/profile_images/3583165575/54f0bc87a29b2ae8587193829ce07299_normal.jpeg","View")</f>
        <v>View</v>
      </c>
      <c r="P1224" s="14"/>
    </row>
    <row r="1225">
      <c r="A1225" s="7">
        <v>42433.85434027778</v>
      </c>
      <c r="B1225" s="8" t="str">
        <f t="shared" si="261"/>
        <v>@umassph</v>
      </c>
      <c r="C1225" s="9" t="s">
        <v>121</v>
      </c>
      <c r="D1225" s="9" t="s">
        <v>1224</v>
      </c>
      <c r="E1225" s="10" t="str">
        <f>HYPERLINK("https://twitter.com/umassph/status/705943476618272768","705943476618272768")</f>
        <v>705943476618272768</v>
      </c>
      <c r="F1225" s="11" t="s">
        <v>26</v>
      </c>
      <c r="G1225" s="12">
        <v>693.0</v>
      </c>
      <c r="H1225" s="12">
        <v>242.0</v>
      </c>
      <c r="I1225" s="12">
        <v>2.0</v>
      </c>
      <c r="J1225" s="12">
        <v>0.0</v>
      </c>
      <c r="K1225" s="11" t="s">
        <v>21</v>
      </c>
      <c r="L1225" s="7">
        <v>40242.52853009259</v>
      </c>
      <c r="M1225" s="13" t="s">
        <v>22</v>
      </c>
      <c r="N1225" s="13" t="s">
        <v>123</v>
      </c>
      <c r="O1225" s="10" t="str">
        <f t="shared" si="262"/>
        <v>View</v>
      </c>
      <c r="P1225" s="14"/>
    </row>
    <row r="1226">
      <c r="A1226" s="7">
        <v>42433.85488425926</v>
      </c>
      <c r="B1226" s="8" t="str">
        <f t="shared" si="261"/>
        <v>@umassph</v>
      </c>
      <c r="C1226" s="9" t="s">
        <v>121</v>
      </c>
      <c r="D1226" s="9" t="s">
        <v>1272</v>
      </c>
      <c r="E1226" s="10" t="str">
        <f>HYPERLINK("https://twitter.com/umassph/status/705943676233621504","705943676233621504")</f>
        <v>705943676233621504</v>
      </c>
      <c r="F1226" s="11" t="s">
        <v>26</v>
      </c>
      <c r="G1226" s="12">
        <v>693.0</v>
      </c>
      <c r="H1226" s="12">
        <v>242.0</v>
      </c>
      <c r="I1226" s="12">
        <v>1.0</v>
      </c>
      <c r="J1226" s="12">
        <v>0.0</v>
      </c>
      <c r="K1226" s="11" t="s">
        <v>21</v>
      </c>
      <c r="L1226" s="7">
        <v>40242.52853009259</v>
      </c>
      <c r="M1226" s="13" t="s">
        <v>22</v>
      </c>
      <c r="N1226" s="13" t="s">
        <v>123</v>
      </c>
      <c r="O1226" s="10" t="str">
        <f t="shared" si="262"/>
        <v>View</v>
      </c>
      <c r="P1226" s="14"/>
    </row>
    <row r="1227">
      <c r="A1227" s="7">
        <v>42433.85496527777</v>
      </c>
      <c r="B1227" s="8" t="str">
        <f t="shared" si="261"/>
        <v>@umassph</v>
      </c>
      <c r="C1227" s="9" t="s">
        <v>121</v>
      </c>
      <c r="D1227" s="9" t="s">
        <v>1160</v>
      </c>
      <c r="E1227" s="10" t="str">
        <f>HYPERLINK("https://twitter.com/umassph/status/705943705652477952","705943705652477952")</f>
        <v>705943705652477952</v>
      </c>
      <c r="F1227" s="11" t="s">
        <v>26</v>
      </c>
      <c r="G1227" s="12">
        <v>693.0</v>
      </c>
      <c r="H1227" s="12">
        <v>242.0</v>
      </c>
      <c r="I1227" s="12">
        <v>9.0</v>
      </c>
      <c r="J1227" s="12">
        <v>0.0</v>
      </c>
      <c r="K1227" s="11" t="s">
        <v>21</v>
      </c>
      <c r="L1227" s="7">
        <v>40242.52853009259</v>
      </c>
      <c r="M1227" s="13" t="s">
        <v>22</v>
      </c>
      <c r="N1227" s="13" t="s">
        <v>123</v>
      </c>
      <c r="O1227" s="10" t="str">
        <f t="shared" si="262"/>
        <v>View</v>
      </c>
      <c r="P1227" s="14"/>
    </row>
    <row r="1228">
      <c r="A1228" s="7">
        <v>42433.85533564815</v>
      </c>
      <c r="B1228" s="8" t="str">
        <f t="shared" si="261"/>
        <v>@umassph</v>
      </c>
      <c r="C1228" s="9" t="s">
        <v>121</v>
      </c>
      <c r="D1228" s="9" t="s">
        <v>1273</v>
      </c>
      <c r="E1228" s="10" t="str">
        <f>HYPERLINK("https://twitter.com/umassph/status/705943839429758976","705943839429758976")</f>
        <v>705943839429758976</v>
      </c>
      <c r="F1228" s="11" t="s">
        <v>26</v>
      </c>
      <c r="G1228" s="12">
        <v>693.0</v>
      </c>
      <c r="H1228" s="12">
        <v>242.0</v>
      </c>
      <c r="I1228" s="12">
        <v>1.0</v>
      </c>
      <c r="J1228" s="12">
        <v>0.0</v>
      </c>
      <c r="K1228" s="11" t="s">
        <v>21</v>
      </c>
      <c r="L1228" s="7">
        <v>40242.52853009259</v>
      </c>
      <c r="M1228" s="13" t="s">
        <v>22</v>
      </c>
      <c r="N1228" s="13" t="s">
        <v>123</v>
      </c>
      <c r="O1228" s="10" t="str">
        <f t="shared" si="262"/>
        <v>View</v>
      </c>
      <c r="P1228" s="14"/>
    </row>
    <row r="1229">
      <c r="A1229" s="7">
        <v>42433.85545138889</v>
      </c>
      <c r="B1229" s="8" t="str">
        <f>HYPERLINK("https://twitter.com/JimGrossmanAHA","@JimGrossmanAHA")</f>
        <v>@JimGrossmanAHA</v>
      </c>
      <c r="C1229" s="9" t="s">
        <v>278</v>
      </c>
      <c r="D1229" s="9" t="s">
        <v>1274</v>
      </c>
      <c r="E1229" s="10" t="str">
        <f>HYPERLINK("https://twitter.com/JimGrossmanAHA/status/705943879841882112","705943879841882112")</f>
        <v>705943879841882112</v>
      </c>
      <c r="F1229" s="11" t="s">
        <v>31</v>
      </c>
      <c r="G1229" s="12">
        <v>2241.0</v>
      </c>
      <c r="H1229" s="12">
        <v>368.0</v>
      </c>
      <c r="I1229" s="12">
        <v>2.0</v>
      </c>
      <c r="J1229" s="12">
        <v>8.0</v>
      </c>
      <c r="K1229" s="11" t="s">
        <v>21</v>
      </c>
      <c r="L1229" s="7">
        <v>41576.36603009259</v>
      </c>
      <c r="M1229" s="13" t="s">
        <v>279</v>
      </c>
      <c r="N1229" s="13" t="s">
        <v>280</v>
      </c>
      <c r="O1229" s="10" t="str">
        <f>HYPERLINK("https://pbs.twimg.com/profile_images/378800000667891782/44d7b181c077bf16ab07b242f7ad81b9_normal.png","View")</f>
        <v>View</v>
      </c>
      <c r="P1229" s="14"/>
    </row>
    <row r="1230">
      <c r="A1230" s="7">
        <v>42433.85594907407</v>
      </c>
      <c r="B1230" s="8" t="str">
        <f>HYPERLINK("https://twitter.com/abreimaier","@abreimaier")</f>
        <v>@abreimaier</v>
      </c>
      <c r="C1230" s="9" t="s">
        <v>1219</v>
      </c>
      <c r="D1230" s="9" t="s">
        <v>1275</v>
      </c>
      <c r="E1230" s="10" t="str">
        <f>HYPERLINK("https://twitter.com/abreimaier/status/705944060532490240","705944060532490240")</f>
        <v>705944060532490240</v>
      </c>
      <c r="F1230" s="11" t="s">
        <v>26</v>
      </c>
      <c r="G1230" s="12">
        <v>112.0</v>
      </c>
      <c r="H1230" s="12">
        <v>224.0</v>
      </c>
      <c r="I1230" s="12">
        <v>4.0</v>
      </c>
      <c r="J1230" s="12">
        <v>4.0</v>
      </c>
      <c r="K1230" s="11" t="s">
        <v>21</v>
      </c>
      <c r="L1230" s="7">
        <v>41342.326261574075</v>
      </c>
      <c r="M1230" s="13" t="s">
        <v>200</v>
      </c>
      <c r="N1230" s="13" t="s">
        <v>1221</v>
      </c>
      <c r="O1230" s="10" t="str">
        <f>HYPERLINK("https://pbs.twimg.com/profile_images/3357790300/e80f72cc154c4bfa4bc8dc718fbc525b_normal.jpeg","View")</f>
        <v>View</v>
      </c>
      <c r="P1230" s="14"/>
    </row>
    <row r="1231">
      <c r="A1231" s="7">
        <v>42433.85699074074</v>
      </c>
      <c r="B1231" s="8" t="str">
        <f>HYPERLINK("https://twitter.com/JL_McPherson_","@JL_McPherson_")</f>
        <v>@JL_McPherson_</v>
      </c>
      <c r="C1231" s="9" t="s">
        <v>297</v>
      </c>
      <c r="D1231" s="9" t="s">
        <v>1245</v>
      </c>
      <c r="E1231" s="10" t="str">
        <f>HYPERLINK("https://twitter.com/JL_McPherson_/status/705944437818466304","705944437818466304")</f>
        <v>705944437818466304</v>
      </c>
      <c r="F1231" s="11" t="s">
        <v>26</v>
      </c>
      <c r="G1231" s="12">
        <v>144.0</v>
      </c>
      <c r="H1231" s="12">
        <v>415.0</v>
      </c>
      <c r="I1231" s="12">
        <v>4.0</v>
      </c>
      <c r="J1231" s="12">
        <v>0.0</v>
      </c>
      <c r="K1231" s="11" t="s">
        <v>21</v>
      </c>
      <c r="L1231" s="7">
        <v>40607.711226851854</v>
      </c>
      <c r="M1231" s="13" t="s">
        <v>298</v>
      </c>
      <c r="N1231" s="13" t="s">
        <v>299</v>
      </c>
      <c r="O1231" s="10" t="str">
        <f>HYPERLINK("https://pbs.twimg.com/profile_images/562649272173068288/zFENKIgW_normal.png","View")</f>
        <v>View</v>
      </c>
      <c r="P1231" s="14"/>
    </row>
    <row r="1232">
      <c r="A1232" s="7">
        <v>42433.864282407405</v>
      </c>
      <c r="B1232" s="8" t="str">
        <f>HYPERLINK("https://twitter.com/OriginalLizz","@OriginalLizz")</f>
        <v>@OriginalLizz</v>
      </c>
      <c r="C1232" s="9" t="s">
        <v>1276</v>
      </c>
      <c r="D1232" s="9" t="s">
        <v>1277</v>
      </c>
      <c r="E1232" s="10" t="str">
        <f>HYPERLINK("https://twitter.com/OriginalLizz/status/705947079743512576","705947079743512576")</f>
        <v>705947079743512576</v>
      </c>
      <c r="F1232" s="11" t="s">
        <v>31</v>
      </c>
      <c r="G1232" s="12">
        <v>202.0</v>
      </c>
      <c r="H1232" s="12">
        <v>507.0</v>
      </c>
      <c r="I1232" s="12">
        <v>1.0</v>
      </c>
      <c r="J1232" s="12">
        <v>0.0</v>
      </c>
      <c r="K1232" s="11" t="s">
        <v>21</v>
      </c>
      <c r="L1232" s="7">
        <v>41885.57365740741</v>
      </c>
      <c r="M1232" s="13" t="s">
        <v>1278</v>
      </c>
      <c r="N1232" s="13" t="s">
        <v>1279</v>
      </c>
      <c r="O1232" s="10" t="str">
        <f>HYPERLINK("https://pbs.twimg.com/profile_images/507519369509756928/wgLxn605_normal.jpeg","View")</f>
        <v>View</v>
      </c>
      <c r="P1232" s="14"/>
    </row>
    <row r="1233">
      <c r="A1233" s="7">
        <v>42433.86560185185</v>
      </c>
      <c r="B1233" s="8" t="str">
        <f>HYPERLINK("https://twitter.com/BDFlynt","@BDFlynt")</f>
        <v>@BDFlynt</v>
      </c>
      <c r="C1233" s="9" t="s">
        <v>1280</v>
      </c>
      <c r="D1233" s="9" t="s">
        <v>505</v>
      </c>
      <c r="E1233" s="10" t="str">
        <f>HYPERLINK("https://twitter.com/BDFlynt/status/705947559601131520","705947559601131520")</f>
        <v>705947559601131520</v>
      </c>
      <c r="F1233" s="11" t="s">
        <v>148</v>
      </c>
      <c r="G1233" s="12">
        <v>564.0</v>
      </c>
      <c r="H1233" s="12">
        <v>546.0</v>
      </c>
      <c r="I1233" s="12">
        <v>7.0</v>
      </c>
      <c r="J1233" s="12">
        <v>0.0</v>
      </c>
      <c r="K1233" s="11" t="s">
        <v>21</v>
      </c>
      <c r="L1233" s="7">
        <v>41303.57951388889</v>
      </c>
      <c r="M1233" s="15"/>
      <c r="N1233" s="13" t="s">
        <v>1281</v>
      </c>
      <c r="O1233" s="10" t="str">
        <f>HYPERLINK("https://pbs.twimg.com/profile_images/3646205989/58e1d7f445ffe16510b0cb9e8bb77c10_normal.jpeg","View")</f>
        <v>View</v>
      </c>
      <c r="P1233" s="14"/>
    </row>
    <row r="1234">
      <c r="A1234" s="7">
        <v>42433.866435185184</v>
      </c>
      <c r="B1234" s="8" t="str">
        <f>HYPERLINK("https://twitter.com/CMorganGrefe","@CMorganGrefe")</f>
        <v>@CMorganGrefe</v>
      </c>
      <c r="C1234" s="9" t="s">
        <v>1282</v>
      </c>
      <c r="D1234" s="9" t="s">
        <v>1194</v>
      </c>
      <c r="E1234" s="10" t="str">
        <f>HYPERLINK("https://twitter.com/CMorganGrefe/status/705947860764856320","705947860764856320")</f>
        <v>705947860764856320</v>
      </c>
      <c r="F1234" s="11" t="s">
        <v>148</v>
      </c>
      <c r="G1234" s="12">
        <v>111.0</v>
      </c>
      <c r="H1234" s="12">
        <v>96.0</v>
      </c>
      <c r="I1234" s="12">
        <v>5.0</v>
      </c>
      <c r="J1234" s="12">
        <v>0.0</v>
      </c>
      <c r="K1234" s="11" t="s">
        <v>21</v>
      </c>
      <c r="L1234" s="7">
        <v>41479.60728009259</v>
      </c>
      <c r="M1234" s="13" t="s">
        <v>1283</v>
      </c>
      <c r="N1234" s="13" t="s">
        <v>1284</v>
      </c>
      <c r="O1234" s="10" t="str">
        <f>HYPERLINK("https://pbs.twimg.com/profile_images/486495849162084353/7KHHQOqE_normal.jpeg","View")</f>
        <v>View</v>
      </c>
      <c r="P1234" s="14"/>
    </row>
    <row r="1235">
      <c r="A1235" s="7">
        <v>42433.86974537037</v>
      </c>
      <c r="B1235" s="8" t="str">
        <f>HYPERLINK("https://twitter.com/historein","@historein")</f>
        <v>@historein</v>
      </c>
      <c r="C1235" s="9" t="s">
        <v>172</v>
      </c>
      <c r="D1235" s="9" t="s">
        <v>1285</v>
      </c>
      <c r="E1235" s="10" t="str">
        <f>HYPERLINK("https://twitter.com/historein/status/705949061120139264","705949061120139264")</f>
        <v>705949061120139264</v>
      </c>
      <c r="F1235" s="11" t="s">
        <v>31</v>
      </c>
      <c r="G1235" s="12">
        <v>641.0</v>
      </c>
      <c r="H1235" s="12">
        <v>753.0</v>
      </c>
      <c r="I1235" s="12">
        <v>0.0</v>
      </c>
      <c r="J1235" s="12">
        <v>4.0</v>
      </c>
      <c r="K1235" s="11" t="s">
        <v>21</v>
      </c>
      <c r="L1235" s="7">
        <v>40416.68083333333</v>
      </c>
      <c r="M1235" s="13" t="s">
        <v>35</v>
      </c>
      <c r="N1235" s="13" t="s">
        <v>174</v>
      </c>
      <c r="O1235" s="10" t="str">
        <f>HYPERLINK("https://pbs.twimg.com/profile_images/636901483401904128/cxbavncr_normal.jpg","View")</f>
        <v>View</v>
      </c>
      <c r="P1235" s="14"/>
    </row>
    <row r="1236">
      <c r="A1236" s="7">
        <v>42433.87243055555</v>
      </c>
      <c r="B1236" s="8" t="str">
        <f>HYPERLINK("https://twitter.com/amanda_lyons","@amanda_lyons")</f>
        <v>@amanda_lyons</v>
      </c>
      <c r="C1236" s="9" t="s">
        <v>465</v>
      </c>
      <c r="D1236" s="9" t="s">
        <v>832</v>
      </c>
      <c r="E1236" s="10" t="str">
        <f>HYPERLINK("https://twitter.com/amanda_lyons/status/705950033741533185","705950033741533185")</f>
        <v>705950033741533185</v>
      </c>
      <c r="F1236" s="11" t="s">
        <v>148</v>
      </c>
      <c r="G1236" s="12">
        <v>1280.0</v>
      </c>
      <c r="H1236" s="12">
        <v>1557.0</v>
      </c>
      <c r="I1236" s="12">
        <v>8.0</v>
      </c>
      <c r="J1236" s="12">
        <v>0.0</v>
      </c>
      <c r="K1236" s="11" t="s">
        <v>21</v>
      </c>
      <c r="L1236" s="7">
        <v>40590.512395833335</v>
      </c>
      <c r="M1236" s="13" t="s">
        <v>213</v>
      </c>
      <c r="N1236" s="13" t="s">
        <v>467</v>
      </c>
      <c r="O1236" s="10" t="str">
        <f>HYPERLINK("https://pbs.twimg.com/profile_images/1246380212/manda_normal.jpg","View")</f>
        <v>View</v>
      </c>
      <c r="P1236" s="14"/>
    </row>
    <row r="1237">
      <c r="A1237" s="7">
        <v>42433.874085648145</v>
      </c>
      <c r="B1237" s="8" t="str">
        <f>HYPERLINK("https://twitter.com/gordonbelt","@gordonbelt")</f>
        <v>@gordonbelt</v>
      </c>
      <c r="C1237" s="9" t="s">
        <v>624</v>
      </c>
      <c r="D1237" s="9" t="s">
        <v>482</v>
      </c>
      <c r="E1237" s="10" t="str">
        <f>HYPERLINK("https://twitter.com/gordonbelt/status/705950632625176576","705950632625176576")</f>
        <v>705950632625176576</v>
      </c>
      <c r="F1237" s="11" t="s">
        <v>26</v>
      </c>
      <c r="G1237" s="12">
        <v>1640.0</v>
      </c>
      <c r="H1237" s="12">
        <v>321.0</v>
      </c>
      <c r="I1237" s="12">
        <v>13.0</v>
      </c>
      <c r="J1237" s="12">
        <v>0.0</v>
      </c>
      <c r="K1237" s="11" t="s">
        <v>21</v>
      </c>
      <c r="L1237" s="7">
        <v>39917.48914351852</v>
      </c>
      <c r="M1237" s="13" t="s">
        <v>625</v>
      </c>
      <c r="N1237" s="13" t="s">
        <v>626</v>
      </c>
      <c r="O1237" s="10" t="str">
        <f>HYPERLINK("https://pbs.twimg.com/profile_images/378800000469463126/6dec739d56d67e4b13de3f9a0030de80_normal.jpeg","View")</f>
        <v>View</v>
      </c>
      <c r="P1237" s="14"/>
    </row>
    <row r="1238">
      <c r="A1238" s="7">
        <v>42433.87476851852</v>
      </c>
      <c r="B1238" s="8" t="str">
        <f>HYPERLINK("https://twitter.com/magmidd","@magmidd")</f>
        <v>@magmidd</v>
      </c>
      <c r="C1238" s="9" t="s">
        <v>636</v>
      </c>
      <c r="D1238" s="9" t="s">
        <v>1286</v>
      </c>
      <c r="E1238" s="10" t="str">
        <f>HYPERLINK("https://twitter.com/magmidd/status/705950880911138817","705950880911138817")</f>
        <v>705950880911138817</v>
      </c>
      <c r="F1238" s="11" t="s">
        <v>148</v>
      </c>
      <c r="G1238" s="12">
        <v>1385.0</v>
      </c>
      <c r="H1238" s="12">
        <v>1353.0</v>
      </c>
      <c r="I1238" s="12">
        <v>0.0</v>
      </c>
      <c r="J1238" s="12">
        <v>7.0</v>
      </c>
      <c r="K1238" s="11" t="s">
        <v>21</v>
      </c>
      <c r="L1238" s="7">
        <v>41511.60082175926</v>
      </c>
      <c r="M1238" s="13" t="s">
        <v>197</v>
      </c>
      <c r="N1238" s="13" t="s">
        <v>638</v>
      </c>
      <c r="O1238" s="10" t="str">
        <f>HYPERLINK("https://pbs.twimg.com/profile_images/378800000450415007/82bcc7d0cab85e8d5920dbf5ded6715e_normal.jpeg","View")</f>
        <v>View</v>
      </c>
      <c r="P1238" s="14"/>
    </row>
    <row r="1239">
      <c r="A1239" s="7">
        <v>42433.87515046296</v>
      </c>
      <c r="B1239" s="8" t="str">
        <f>HYPERLINK("https://twitter.com/Claire_Blaylock","@Claire_Blaylock")</f>
        <v>@Claire_Blaylock</v>
      </c>
      <c r="C1239" s="9" t="s">
        <v>1287</v>
      </c>
      <c r="D1239" s="9" t="s">
        <v>1245</v>
      </c>
      <c r="E1239" s="10" t="str">
        <f>HYPERLINK("https://twitter.com/Claire_Blaylock/status/705951017280507908","705951017280507908")</f>
        <v>705951017280507908</v>
      </c>
      <c r="F1239" s="11" t="s">
        <v>26</v>
      </c>
      <c r="G1239" s="12">
        <v>58.0</v>
      </c>
      <c r="H1239" s="12">
        <v>221.0</v>
      </c>
      <c r="I1239" s="12">
        <v>4.0</v>
      </c>
      <c r="J1239" s="12">
        <v>0.0</v>
      </c>
      <c r="K1239" s="11" t="s">
        <v>21</v>
      </c>
      <c r="L1239" s="7">
        <v>41596.74787037037</v>
      </c>
      <c r="M1239" s="15"/>
      <c r="N1239" s="13" t="s">
        <v>1288</v>
      </c>
      <c r="O1239" s="10" t="str">
        <f>HYPERLINK("https://pbs.twimg.com/profile_images/378800000772835830/ebd92c1b5a6f3d3b9ce895f316518474_normal.jpeg","View")</f>
        <v>View</v>
      </c>
      <c r="P1239" s="14"/>
    </row>
    <row r="1240">
      <c r="A1240" s="7">
        <v>42433.87569444445</v>
      </c>
      <c r="B1240" s="8" t="str">
        <f>HYPERLINK("https://twitter.com/amanda_lyons","@amanda_lyons")</f>
        <v>@amanda_lyons</v>
      </c>
      <c r="C1240" s="9" t="s">
        <v>465</v>
      </c>
      <c r="D1240" s="9" t="s">
        <v>1124</v>
      </c>
      <c r="E1240" s="10" t="str">
        <f>HYPERLINK("https://twitter.com/amanda_lyons/status/705951214152916992","705951214152916992")</f>
        <v>705951214152916992</v>
      </c>
      <c r="F1240" s="11" t="s">
        <v>148</v>
      </c>
      <c r="G1240" s="12">
        <v>1280.0</v>
      </c>
      <c r="H1240" s="12">
        <v>1557.0</v>
      </c>
      <c r="I1240" s="12">
        <v>3.0</v>
      </c>
      <c r="J1240" s="12">
        <v>0.0</v>
      </c>
      <c r="K1240" s="11" t="s">
        <v>21</v>
      </c>
      <c r="L1240" s="7">
        <v>40590.512395833335</v>
      </c>
      <c r="M1240" s="13" t="s">
        <v>213</v>
      </c>
      <c r="N1240" s="13" t="s">
        <v>467</v>
      </c>
      <c r="O1240" s="10" t="str">
        <f>HYPERLINK("https://pbs.twimg.com/profile_images/1246380212/manda_normal.jpg","View")</f>
        <v>View</v>
      </c>
      <c r="P1240" s="14"/>
    </row>
    <row r="1241">
      <c r="A1241" s="7">
        <v>42433.88291666667</v>
      </c>
      <c r="B1241" s="8" t="str">
        <f t="shared" ref="B1241:B1242" si="263">HYPERLINK("https://twitter.com/frankhenzen","@frankhenzen")</f>
        <v>@frankhenzen</v>
      </c>
      <c r="C1241" s="9" t="s">
        <v>1289</v>
      </c>
      <c r="D1241" s="9" t="s">
        <v>482</v>
      </c>
      <c r="E1241" s="10" t="str">
        <f>HYPERLINK("https://twitter.com/frankhenzen/status/705953832421990400","705953832421990400")</f>
        <v>705953832421990400</v>
      </c>
      <c r="F1241" s="11" t="s">
        <v>26</v>
      </c>
      <c r="G1241" s="12">
        <v>407.0</v>
      </c>
      <c r="H1241" s="12">
        <v>2425.0</v>
      </c>
      <c r="I1241" s="12">
        <v>13.0</v>
      </c>
      <c r="J1241" s="12">
        <v>0.0</v>
      </c>
      <c r="K1241" s="11" t="s">
        <v>21</v>
      </c>
      <c r="L1241" s="7">
        <v>41238.94332175926</v>
      </c>
      <c r="M1241" s="13" t="s">
        <v>1290</v>
      </c>
      <c r="N1241" s="13" t="s">
        <v>1291</v>
      </c>
      <c r="O1241" s="10" t="str">
        <f t="shared" ref="O1241:O1242" si="264">HYPERLINK("https://pbs.twimg.com/profile_images/378800000267912943/0769ab656548cb7eea7100a67863b1d1_normal.jpeg","View")</f>
        <v>View</v>
      </c>
      <c r="P1241" s="14"/>
    </row>
    <row r="1242">
      <c r="A1242" s="7">
        <v>42433.882997685185</v>
      </c>
      <c r="B1242" s="8" t="str">
        <f t="shared" si="263"/>
        <v>@frankhenzen</v>
      </c>
      <c r="C1242" s="9" t="s">
        <v>1289</v>
      </c>
      <c r="D1242" s="9" t="s">
        <v>798</v>
      </c>
      <c r="E1242" s="10" t="str">
        <f>HYPERLINK("https://twitter.com/frankhenzen/status/705953861798854661","705953861798854661")</f>
        <v>705953861798854661</v>
      </c>
      <c r="F1242" s="11" t="s">
        <v>26</v>
      </c>
      <c r="G1242" s="12">
        <v>407.0</v>
      </c>
      <c r="H1242" s="12">
        <v>2425.0</v>
      </c>
      <c r="I1242" s="12">
        <v>2.0</v>
      </c>
      <c r="J1242" s="12">
        <v>0.0</v>
      </c>
      <c r="K1242" s="11" t="s">
        <v>21</v>
      </c>
      <c r="L1242" s="7">
        <v>41238.94332175926</v>
      </c>
      <c r="M1242" s="13" t="s">
        <v>1290</v>
      </c>
      <c r="N1242" s="13" t="s">
        <v>1291</v>
      </c>
      <c r="O1242" s="10" t="str">
        <f t="shared" si="264"/>
        <v>View</v>
      </c>
      <c r="P1242" s="14"/>
    </row>
    <row r="1243">
      <c r="A1243" s="7">
        <v>42433.883877314816</v>
      </c>
      <c r="B1243" s="8" t="str">
        <f>HYPERLINK("https://twitter.com/prologuepast","@prologuepast")</f>
        <v>@prologuepast</v>
      </c>
      <c r="C1243" s="9" t="s">
        <v>1292</v>
      </c>
      <c r="D1243" s="9" t="s">
        <v>736</v>
      </c>
      <c r="E1243" s="10" t="str">
        <f>HYPERLINK("https://twitter.com/prologuepast/status/705954179496460288","705954179496460288")</f>
        <v>705954179496460288</v>
      </c>
      <c r="F1243" s="11" t="s">
        <v>31</v>
      </c>
      <c r="G1243" s="12">
        <v>2406.0</v>
      </c>
      <c r="H1243" s="12">
        <v>2542.0</v>
      </c>
      <c r="I1243" s="12">
        <v>8.0</v>
      </c>
      <c r="J1243" s="12">
        <v>0.0</v>
      </c>
      <c r="K1243" s="11" t="s">
        <v>21</v>
      </c>
      <c r="L1243" s="7">
        <v>40658.968831018516</v>
      </c>
      <c r="M1243" s="13" t="s">
        <v>1293</v>
      </c>
      <c r="N1243" s="13" t="s">
        <v>1294</v>
      </c>
      <c r="O1243" s="10" t="str">
        <f>HYPERLINK("https://pbs.twimg.com/profile_images/1325963049/futureSMALL_normal.jpg","View")</f>
        <v>View</v>
      </c>
      <c r="P1243" s="14"/>
    </row>
    <row r="1244">
      <c r="A1244" s="7">
        <v>42433.88594907407</v>
      </c>
      <c r="B1244" s="8" t="str">
        <f t="shared" ref="B1244:B1250" si="265">HYPERLINK("https://twitter.com/JulieThePH","@JulieThePH")</f>
        <v>@JulieThePH</v>
      </c>
      <c r="C1244" s="9" t="s">
        <v>211</v>
      </c>
      <c r="D1244" s="9" t="s">
        <v>1295</v>
      </c>
      <c r="E1244" s="10" t="str">
        <f>HYPERLINK("https://twitter.com/JulieThePH/status/705954932046831617","705954932046831617")</f>
        <v>705954932046831617</v>
      </c>
      <c r="F1244" s="11" t="s">
        <v>148</v>
      </c>
      <c r="G1244" s="12">
        <v>1234.0</v>
      </c>
      <c r="H1244" s="12">
        <v>1386.0</v>
      </c>
      <c r="I1244" s="12">
        <v>1.0</v>
      </c>
      <c r="J1244" s="12">
        <v>0.0</v>
      </c>
      <c r="K1244" s="11" t="s">
        <v>21</v>
      </c>
      <c r="L1244" s="7">
        <v>40718.66918981481</v>
      </c>
      <c r="M1244" s="13" t="s">
        <v>213</v>
      </c>
      <c r="N1244" s="13" t="s">
        <v>214</v>
      </c>
      <c r="O1244" s="10" t="str">
        <f t="shared" ref="O1244:O1250" si="266">HYPERLINK("https://pbs.twimg.com/profile_images/596509974005686273/AqBblwMR_normal.jpg","View")</f>
        <v>View</v>
      </c>
      <c r="P1244" s="14"/>
    </row>
    <row r="1245">
      <c r="A1245" s="7">
        <v>42433.88611111111</v>
      </c>
      <c r="B1245" s="8" t="str">
        <f t="shared" si="265"/>
        <v>@JulieThePH</v>
      </c>
      <c r="C1245" s="9" t="s">
        <v>211</v>
      </c>
      <c r="D1245" s="9" t="s">
        <v>1296</v>
      </c>
      <c r="E1245" s="10" t="str">
        <f>HYPERLINK("https://twitter.com/JulieThePH/status/705954990985244672","705954990985244672")</f>
        <v>705954990985244672</v>
      </c>
      <c r="F1245" s="11" t="s">
        <v>148</v>
      </c>
      <c r="G1245" s="12">
        <v>1234.0</v>
      </c>
      <c r="H1245" s="12">
        <v>1386.0</v>
      </c>
      <c r="I1245" s="12">
        <v>2.0</v>
      </c>
      <c r="J1245" s="12">
        <v>0.0</v>
      </c>
      <c r="K1245" s="11" t="s">
        <v>21</v>
      </c>
      <c r="L1245" s="7">
        <v>40718.66918981481</v>
      </c>
      <c r="M1245" s="13" t="s">
        <v>213</v>
      </c>
      <c r="N1245" s="13" t="s">
        <v>214</v>
      </c>
      <c r="O1245" s="10" t="str">
        <f t="shared" si="266"/>
        <v>View</v>
      </c>
      <c r="P1245" s="14"/>
    </row>
    <row r="1246">
      <c r="A1246" s="7">
        <v>42433.88622685186</v>
      </c>
      <c r="B1246" s="8" t="str">
        <f t="shared" si="265"/>
        <v>@JulieThePH</v>
      </c>
      <c r="C1246" s="9" t="s">
        <v>211</v>
      </c>
      <c r="D1246" s="9" t="s">
        <v>1208</v>
      </c>
      <c r="E1246" s="10" t="str">
        <f>HYPERLINK("https://twitter.com/JulieThePH/status/705955032928276480","705955032928276480")</f>
        <v>705955032928276480</v>
      </c>
      <c r="F1246" s="11" t="s">
        <v>148</v>
      </c>
      <c r="G1246" s="12">
        <v>1234.0</v>
      </c>
      <c r="H1246" s="12">
        <v>1386.0</v>
      </c>
      <c r="I1246" s="12">
        <v>9.0</v>
      </c>
      <c r="J1246" s="12">
        <v>0.0</v>
      </c>
      <c r="K1246" s="11" t="s">
        <v>21</v>
      </c>
      <c r="L1246" s="7">
        <v>40718.66918981481</v>
      </c>
      <c r="M1246" s="13" t="s">
        <v>213</v>
      </c>
      <c r="N1246" s="13" t="s">
        <v>214</v>
      </c>
      <c r="O1246" s="10" t="str">
        <f t="shared" si="266"/>
        <v>View</v>
      </c>
      <c r="P1246" s="14"/>
    </row>
    <row r="1247">
      <c r="A1247" s="7">
        <v>42433.88638888889</v>
      </c>
      <c r="B1247" s="8" t="str">
        <f t="shared" si="265"/>
        <v>@JulieThePH</v>
      </c>
      <c r="C1247" s="9" t="s">
        <v>211</v>
      </c>
      <c r="D1247" s="9" t="s">
        <v>1217</v>
      </c>
      <c r="E1247" s="10" t="str">
        <f>HYPERLINK("https://twitter.com/JulieThePH/status/705955090276999168","705955090276999168")</f>
        <v>705955090276999168</v>
      </c>
      <c r="F1247" s="11" t="s">
        <v>148</v>
      </c>
      <c r="G1247" s="12">
        <v>1234.0</v>
      </c>
      <c r="H1247" s="12">
        <v>1386.0</v>
      </c>
      <c r="I1247" s="12">
        <v>2.0</v>
      </c>
      <c r="J1247" s="12">
        <v>0.0</v>
      </c>
      <c r="K1247" s="11" t="s">
        <v>21</v>
      </c>
      <c r="L1247" s="7">
        <v>40718.66918981481</v>
      </c>
      <c r="M1247" s="13" t="s">
        <v>213</v>
      </c>
      <c r="N1247" s="13" t="s">
        <v>214</v>
      </c>
      <c r="O1247" s="10" t="str">
        <f t="shared" si="266"/>
        <v>View</v>
      </c>
      <c r="P1247" s="14"/>
    </row>
    <row r="1248">
      <c r="A1248" s="7">
        <v>42433.88648148148</v>
      </c>
      <c r="B1248" s="8" t="str">
        <f t="shared" si="265"/>
        <v>@JulieThePH</v>
      </c>
      <c r="C1248" s="9" t="s">
        <v>211</v>
      </c>
      <c r="D1248" s="9" t="s">
        <v>1194</v>
      </c>
      <c r="E1248" s="10" t="str">
        <f>HYPERLINK("https://twitter.com/JulieThePH/status/705955126658342913","705955126658342913")</f>
        <v>705955126658342913</v>
      </c>
      <c r="F1248" s="11" t="s">
        <v>148</v>
      </c>
      <c r="G1248" s="12">
        <v>1234.0</v>
      </c>
      <c r="H1248" s="12">
        <v>1386.0</v>
      </c>
      <c r="I1248" s="12">
        <v>5.0</v>
      </c>
      <c r="J1248" s="12">
        <v>0.0</v>
      </c>
      <c r="K1248" s="11" t="s">
        <v>21</v>
      </c>
      <c r="L1248" s="7">
        <v>40718.66918981481</v>
      </c>
      <c r="M1248" s="13" t="s">
        <v>213</v>
      </c>
      <c r="N1248" s="13" t="s">
        <v>214</v>
      </c>
      <c r="O1248" s="10" t="str">
        <f t="shared" si="266"/>
        <v>View</v>
      </c>
      <c r="P1248" s="14"/>
    </row>
    <row r="1249">
      <c r="A1249" s="7">
        <v>42433.88716435185</v>
      </c>
      <c r="B1249" s="8" t="str">
        <f t="shared" si="265"/>
        <v>@JulieThePH</v>
      </c>
      <c r="C1249" s="9" t="s">
        <v>211</v>
      </c>
      <c r="D1249" s="9" t="s">
        <v>1297</v>
      </c>
      <c r="E1249" s="10" t="str">
        <f>HYPERLINK("https://twitter.com/JulieThePH/status/705955371270201344","705955371270201344")</f>
        <v>705955371270201344</v>
      </c>
      <c r="F1249" s="11" t="s">
        <v>148</v>
      </c>
      <c r="G1249" s="12">
        <v>1234.0</v>
      </c>
      <c r="H1249" s="12">
        <v>1386.0</v>
      </c>
      <c r="I1249" s="12">
        <v>1.0</v>
      </c>
      <c r="J1249" s="12">
        <v>0.0</v>
      </c>
      <c r="K1249" s="11" t="s">
        <v>21</v>
      </c>
      <c r="L1249" s="7">
        <v>40718.66918981481</v>
      </c>
      <c r="M1249" s="13" t="s">
        <v>213</v>
      </c>
      <c r="N1249" s="13" t="s">
        <v>214</v>
      </c>
      <c r="O1249" s="10" t="str">
        <f t="shared" si="266"/>
        <v>View</v>
      </c>
      <c r="P1249" s="14"/>
    </row>
    <row r="1250">
      <c r="A1250" s="7">
        <v>42433.88740740741</v>
      </c>
      <c r="B1250" s="8" t="str">
        <f t="shared" si="265"/>
        <v>@JulieThePH</v>
      </c>
      <c r="C1250" s="9" t="s">
        <v>211</v>
      </c>
      <c r="D1250" s="9" t="s">
        <v>1161</v>
      </c>
      <c r="E1250" s="10" t="str">
        <f>HYPERLINK("https://twitter.com/JulieThePH/status/705955461674213376","705955461674213376")</f>
        <v>705955461674213376</v>
      </c>
      <c r="F1250" s="11" t="s">
        <v>148</v>
      </c>
      <c r="G1250" s="12">
        <v>1234.0</v>
      </c>
      <c r="H1250" s="12">
        <v>1386.0</v>
      </c>
      <c r="I1250" s="12">
        <v>2.0</v>
      </c>
      <c r="J1250" s="12">
        <v>0.0</v>
      </c>
      <c r="K1250" s="11" t="s">
        <v>21</v>
      </c>
      <c r="L1250" s="7">
        <v>40718.66918981481</v>
      </c>
      <c r="M1250" s="13" t="s">
        <v>213</v>
      </c>
      <c r="N1250" s="13" t="s">
        <v>214</v>
      </c>
      <c r="O1250" s="10" t="str">
        <f t="shared" si="266"/>
        <v>View</v>
      </c>
      <c r="P1250" s="14"/>
    </row>
    <row r="1251">
      <c r="A1251" s="7">
        <v>42433.887604166666</v>
      </c>
      <c r="B1251" s="8" t="str">
        <f t="shared" ref="B1251:B1253" si="267">HYPERLINK("https://twitter.com/samueljredman","@samueljredman")</f>
        <v>@samueljredman</v>
      </c>
      <c r="C1251" s="9" t="s">
        <v>158</v>
      </c>
      <c r="D1251" s="9" t="s">
        <v>1298</v>
      </c>
      <c r="E1251" s="10" t="str">
        <f>HYPERLINK("https://twitter.com/samueljredman/status/705955530599239680","705955530599239680")</f>
        <v>705955530599239680</v>
      </c>
      <c r="F1251" s="11" t="s">
        <v>26</v>
      </c>
      <c r="G1251" s="12">
        <v>5623.0</v>
      </c>
      <c r="H1251" s="12">
        <v>5355.0</v>
      </c>
      <c r="I1251" s="12">
        <v>1.0</v>
      </c>
      <c r="J1251" s="12">
        <v>3.0</v>
      </c>
      <c r="K1251" s="11" t="s">
        <v>21</v>
      </c>
      <c r="L1251" s="7">
        <v>40584.98517361111</v>
      </c>
      <c r="M1251" s="13" t="s">
        <v>160</v>
      </c>
      <c r="N1251" s="13" t="s">
        <v>161</v>
      </c>
      <c r="O1251" s="10" t="str">
        <f t="shared" ref="O1251:O1253" si="268">HYPERLINK("https://pbs.twimg.com/profile_images/548193870278688768/8Dq7gW3U_normal.png","View")</f>
        <v>View</v>
      </c>
      <c r="P1251" s="14"/>
    </row>
    <row r="1252">
      <c r="A1252" s="7">
        <v>42433.88824074074</v>
      </c>
      <c r="B1252" s="8" t="str">
        <f t="shared" si="267"/>
        <v>@samueljredman</v>
      </c>
      <c r="C1252" s="9" t="s">
        <v>158</v>
      </c>
      <c r="D1252" s="9" t="s">
        <v>1299</v>
      </c>
      <c r="E1252" s="10" t="str">
        <f>HYPERLINK("https://twitter.com/samueljredman/status/705955764305842176","705955764305842176")</f>
        <v>705955764305842176</v>
      </c>
      <c r="F1252" s="11" t="s">
        <v>26</v>
      </c>
      <c r="G1252" s="12">
        <v>5623.0</v>
      </c>
      <c r="H1252" s="12">
        <v>5355.0</v>
      </c>
      <c r="I1252" s="12">
        <v>3.0</v>
      </c>
      <c r="J1252" s="12">
        <v>0.0</v>
      </c>
      <c r="K1252" s="11" t="s">
        <v>21</v>
      </c>
      <c r="L1252" s="7">
        <v>40584.98517361111</v>
      </c>
      <c r="M1252" s="13" t="s">
        <v>160</v>
      </c>
      <c r="N1252" s="13" t="s">
        <v>161</v>
      </c>
      <c r="O1252" s="10" t="str">
        <f t="shared" si="268"/>
        <v>View</v>
      </c>
      <c r="P1252" s="14"/>
    </row>
    <row r="1253">
      <c r="A1253" s="7">
        <v>42433.88836805556</v>
      </c>
      <c r="B1253" s="8" t="str">
        <f t="shared" si="267"/>
        <v>@samueljredman</v>
      </c>
      <c r="C1253" s="9" t="s">
        <v>158</v>
      </c>
      <c r="D1253" s="9" t="s">
        <v>1247</v>
      </c>
      <c r="E1253" s="10" t="str">
        <f>HYPERLINK("https://twitter.com/samueljredman/status/705955808446693377","705955808446693377")</f>
        <v>705955808446693377</v>
      </c>
      <c r="F1253" s="11" t="s">
        <v>26</v>
      </c>
      <c r="G1253" s="12">
        <v>5623.0</v>
      </c>
      <c r="H1253" s="12">
        <v>5355.0</v>
      </c>
      <c r="I1253" s="12">
        <v>2.0</v>
      </c>
      <c r="J1253" s="12">
        <v>0.0</v>
      </c>
      <c r="K1253" s="11" t="s">
        <v>21</v>
      </c>
      <c r="L1253" s="7">
        <v>40584.98517361111</v>
      </c>
      <c r="M1253" s="13" t="s">
        <v>160</v>
      </c>
      <c r="N1253" s="13" t="s">
        <v>161</v>
      </c>
      <c r="O1253" s="10" t="str">
        <f t="shared" si="268"/>
        <v>View</v>
      </c>
      <c r="P1253" s="14"/>
    </row>
    <row r="1254">
      <c r="A1254" s="7">
        <v>42433.88946759259</v>
      </c>
      <c r="B1254" s="8" t="str">
        <f t="shared" ref="B1254:B1255" si="269">HYPERLINK("https://twitter.com/JohnFea1","@JohnFea1")</f>
        <v>@JohnFea1</v>
      </c>
      <c r="C1254" s="9" t="s">
        <v>118</v>
      </c>
      <c r="D1254" s="9" t="s">
        <v>1300</v>
      </c>
      <c r="E1254" s="10" t="str">
        <f>HYPERLINK("https://twitter.com/JohnFea1/status/705956208486776832","705956208486776832")</f>
        <v>705956208486776832</v>
      </c>
      <c r="F1254" s="11" t="s">
        <v>31</v>
      </c>
      <c r="G1254" s="12">
        <v>2903.0</v>
      </c>
      <c r="H1254" s="12">
        <v>1628.0</v>
      </c>
      <c r="I1254" s="12">
        <v>2.0</v>
      </c>
      <c r="J1254" s="12">
        <v>0.0</v>
      </c>
      <c r="K1254" s="11" t="s">
        <v>21</v>
      </c>
      <c r="L1254" s="7">
        <v>41009.84005787037</v>
      </c>
      <c r="M1254" s="15"/>
      <c r="N1254" s="13" t="s">
        <v>120</v>
      </c>
      <c r="O1254" s="10" t="str">
        <f t="shared" ref="O1254:O1255" si="270">HYPERLINK("https://pbs.twimg.com/profile_images/2090305941/Fea_speaking_normal.jpg","View")</f>
        <v>View</v>
      </c>
      <c r="P1254" s="14"/>
    </row>
    <row r="1255">
      <c r="A1255" s="7">
        <v>42433.89052083333</v>
      </c>
      <c r="B1255" s="8" t="str">
        <f t="shared" si="269"/>
        <v>@JohnFea1</v>
      </c>
      <c r="C1255" s="9" t="s">
        <v>118</v>
      </c>
      <c r="D1255" s="9" t="s">
        <v>1301</v>
      </c>
      <c r="E1255" s="10" t="str">
        <f>HYPERLINK("https://twitter.com/JohnFea1/status/705956590587932672","705956590587932672")</f>
        <v>705956590587932672</v>
      </c>
      <c r="F1255" s="11" t="s">
        <v>31</v>
      </c>
      <c r="G1255" s="12">
        <v>2903.0</v>
      </c>
      <c r="H1255" s="12">
        <v>1628.0</v>
      </c>
      <c r="I1255" s="12">
        <v>2.0</v>
      </c>
      <c r="J1255" s="12">
        <v>0.0</v>
      </c>
      <c r="K1255" s="11" t="s">
        <v>21</v>
      </c>
      <c r="L1255" s="7">
        <v>41009.84005787037</v>
      </c>
      <c r="M1255" s="15"/>
      <c r="N1255" s="13" t="s">
        <v>120</v>
      </c>
      <c r="O1255" s="10" t="str">
        <f t="shared" si="270"/>
        <v>View</v>
      </c>
      <c r="P1255" s="14"/>
    </row>
    <row r="1256">
      <c r="A1256" s="7">
        <v>42433.890694444446</v>
      </c>
      <c r="B1256" s="8" t="str">
        <f>HYPERLINK("https://twitter.com/DavidKieran2","@DavidKieran2")</f>
        <v>@DavidKieran2</v>
      </c>
      <c r="C1256" s="9" t="s">
        <v>1302</v>
      </c>
      <c r="D1256" s="9" t="s">
        <v>1301</v>
      </c>
      <c r="E1256" s="10" t="str">
        <f>HYPERLINK("https://twitter.com/DavidKieran2/status/705956651551952896","705956651551952896")</f>
        <v>705956651551952896</v>
      </c>
      <c r="F1256" s="11" t="s">
        <v>31</v>
      </c>
      <c r="G1256" s="12">
        <v>442.0</v>
      </c>
      <c r="H1256" s="12">
        <v>1110.0</v>
      </c>
      <c r="I1256" s="12">
        <v>2.0</v>
      </c>
      <c r="J1256" s="12">
        <v>0.0</v>
      </c>
      <c r="K1256" s="11" t="s">
        <v>21</v>
      </c>
      <c r="L1256" s="7">
        <v>41460.37666666666</v>
      </c>
      <c r="M1256" s="13" t="s">
        <v>1303</v>
      </c>
      <c r="N1256" s="13" t="s">
        <v>1304</v>
      </c>
      <c r="O1256" s="10" t="str">
        <f>HYPERLINK("https://pbs.twimg.com/profile_images/558743318675210240/-qdSq-CW_normal.jpeg","View")</f>
        <v>View</v>
      </c>
      <c r="P1256" s="14"/>
    </row>
    <row r="1257">
      <c r="A1257" s="7">
        <v>42433.89115740741</v>
      </c>
      <c r="B1257" s="8" t="str">
        <f t="shared" ref="B1257:B1258" si="271">HYPERLINK("https://twitter.com/JohnFea1","@JohnFea1")</f>
        <v>@JohnFea1</v>
      </c>
      <c r="C1257" s="9" t="s">
        <v>118</v>
      </c>
      <c r="D1257" s="9" t="s">
        <v>1296</v>
      </c>
      <c r="E1257" s="10" t="str">
        <f>HYPERLINK("https://twitter.com/JohnFea1/status/705956818229534720","705956818229534720")</f>
        <v>705956818229534720</v>
      </c>
      <c r="F1257" s="11" t="s">
        <v>31</v>
      </c>
      <c r="G1257" s="12">
        <v>2903.0</v>
      </c>
      <c r="H1257" s="12">
        <v>1628.0</v>
      </c>
      <c r="I1257" s="12">
        <v>2.0</v>
      </c>
      <c r="J1257" s="12">
        <v>0.0</v>
      </c>
      <c r="K1257" s="11" t="s">
        <v>21</v>
      </c>
      <c r="L1257" s="7">
        <v>41009.84005787037</v>
      </c>
      <c r="M1257" s="15"/>
      <c r="N1257" s="13" t="s">
        <v>120</v>
      </c>
      <c r="O1257" s="10" t="str">
        <f t="shared" ref="O1257:O1258" si="272">HYPERLINK("https://pbs.twimg.com/profile_images/2090305941/Fea_speaking_normal.jpg","View")</f>
        <v>View</v>
      </c>
      <c r="P1257" s="14"/>
    </row>
    <row r="1258">
      <c r="A1258" s="7">
        <v>42433.89193287037</v>
      </c>
      <c r="B1258" s="8" t="str">
        <f t="shared" si="271"/>
        <v>@JohnFea1</v>
      </c>
      <c r="C1258" s="9" t="s">
        <v>118</v>
      </c>
      <c r="D1258" s="9" t="s">
        <v>1160</v>
      </c>
      <c r="E1258" s="10" t="str">
        <f>HYPERLINK("https://twitter.com/JohnFea1/status/705957101097635840","705957101097635840")</f>
        <v>705957101097635840</v>
      </c>
      <c r="F1258" s="11" t="s">
        <v>31</v>
      </c>
      <c r="G1258" s="12">
        <v>2903.0</v>
      </c>
      <c r="H1258" s="12">
        <v>1628.0</v>
      </c>
      <c r="I1258" s="12">
        <v>9.0</v>
      </c>
      <c r="J1258" s="12">
        <v>0.0</v>
      </c>
      <c r="K1258" s="11" t="s">
        <v>21</v>
      </c>
      <c r="L1258" s="7">
        <v>41009.84005787037</v>
      </c>
      <c r="M1258" s="15"/>
      <c r="N1258" s="13" t="s">
        <v>120</v>
      </c>
      <c r="O1258" s="10" t="str">
        <f t="shared" si="272"/>
        <v>View</v>
      </c>
      <c r="P1258" s="14"/>
    </row>
    <row r="1259">
      <c r="A1259" s="7">
        <v>42433.89204861112</v>
      </c>
      <c r="B1259" s="8" t="str">
        <f>HYPERLINK("https://twitter.com/MaryMahoney123","@MaryMahoney123")</f>
        <v>@MaryMahoney123</v>
      </c>
      <c r="C1259" s="9" t="s">
        <v>1305</v>
      </c>
      <c r="D1259" s="9" t="s">
        <v>935</v>
      </c>
      <c r="E1259" s="10" t="str">
        <f>HYPERLINK("https://twitter.com/MaryMahoney123/status/705957142709334016","705957142709334016")</f>
        <v>705957142709334016</v>
      </c>
      <c r="F1259" s="11" t="s">
        <v>26</v>
      </c>
      <c r="G1259" s="12">
        <v>74.0</v>
      </c>
      <c r="H1259" s="12">
        <v>344.0</v>
      </c>
      <c r="I1259" s="12">
        <v>3.0</v>
      </c>
      <c r="J1259" s="12">
        <v>0.0</v>
      </c>
      <c r="K1259" s="11" t="s">
        <v>21</v>
      </c>
      <c r="L1259" s="7">
        <v>40036.94269675926</v>
      </c>
      <c r="M1259" s="13" t="s">
        <v>1306</v>
      </c>
      <c r="N1259" s="13" t="s">
        <v>1307</v>
      </c>
      <c r="O1259" s="10" t="str">
        <f>HYPERLINK("https://pbs.twimg.com/profile_images/705222524813103104/tNDTi1aI_normal.jpg","View")</f>
        <v>View</v>
      </c>
      <c r="P1259" s="14"/>
    </row>
    <row r="1260">
      <c r="A1260" s="7">
        <v>42433.89399305556</v>
      </c>
      <c r="B1260" s="8" t="str">
        <f>HYPERLINK("https://twitter.com/JohnFea1","@JohnFea1")</f>
        <v>@JohnFea1</v>
      </c>
      <c r="C1260" s="9" t="s">
        <v>118</v>
      </c>
      <c r="D1260" s="9" t="s">
        <v>1040</v>
      </c>
      <c r="E1260" s="10" t="str">
        <f>HYPERLINK("https://twitter.com/JohnFea1/status/705957847746617344","705957847746617344")</f>
        <v>705957847746617344</v>
      </c>
      <c r="F1260" s="11" t="s">
        <v>31</v>
      </c>
      <c r="G1260" s="12">
        <v>2903.0</v>
      </c>
      <c r="H1260" s="12">
        <v>1628.0</v>
      </c>
      <c r="I1260" s="12">
        <v>2.0</v>
      </c>
      <c r="J1260" s="12">
        <v>0.0</v>
      </c>
      <c r="K1260" s="11" t="s">
        <v>21</v>
      </c>
      <c r="L1260" s="7">
        <v>41009.84005787037</v>
      </c>
      <c r="M1260" s="15"/>
      <c r="N1260" s="13" t="s">
        <v>120</v>
      </c>
      <c r="O1260" s="10" t="str">
        <f>HYPERLINK("https://pbs.twimg.com/profile_images/2090305941/Fea_speaking_normal.jpg","View")</f>
        <v>View</v>
      </c>
      <c r="P1260" s="14"/>
    </row>
    <row r="1261">
      <c r="A1261" s="7">
        <v>42433.89546296296</v>
      </c>
      <c r="B1261" s="8" t="str">
        <f t="shared" ref="B1261:B1262" si="273">HYPERLINK("https://twitter.com/GHAUmass","@GHAUmass")</f>
        <v>@GHAUmass</v>
      </c>
      <c r="C1261" s="9" t="s">
        <v>30</v>
      </c>
      <c r="D1261" s="9" t="s">
        <v>1308</v>
      </c>
      <c r="E1261" s="10" t="str">
        <f>HYPERLINK("https://twitter.com/GHAUmass/status/705958380750278660","705958380750278660")</f>
        <v>705958380750278660</v>
      </c>
      <c r="F1261" s="11" t="s">
        <v>26</v>
      </c>
      <c r="G1261" s="12">
        <v>68.0</v>
      </c>
      <c r="H1261" s="12">
        <v>100.0</v>
      </c>
      <c r="I1261" s="12">
        <v>1.0</v>
      </c>
      <c r="J1261" s="12">
        <v>0.0</v>
      </c>
      <c r="K1261" s="11" t="s">
        <v>21</v>
      </c>
      <c r="L1261" s="7">
        <v>42152.65289351852</v>
      </c>
      <c r="M1261" s="13" t="s">
        <v>22</v>
      </c>
      <c r="N1261" s="13" t="s">
        <v>32</v>
      </c>
      <c r="O1261" s="10" t="str">
        <f t="shared" ref="O1261:O1262" si="274">HYPERLINK("https://pbs.twimg.com/profile_images/604060333590855682/Fk6r1D7d_normal.jpg","View")</f>
        <v>View</v>
      </c>
      <c r="P1261" s="14"/>
    </row>
    <row r="1262">
      <c r="A1262" s="7">
        <v>42433.8956712963</v>
      </c>
      <c r="B1262" s="8" t="str">
        <f t="shared" si="273"/>
        <v>@GHAUmass</v>
      </c>
      <c r="C1262" s="9" t="s">
        <v>30</v>
      </c>
      <c r="D1262" s="9" t="s">
        <v>1309</v>
      </c>
      <c r="E1262" s="10" t="str">
        <f>HYPERLINK("https://twitter.com/GHAUmass/status/705958454431592448","705958454431592448")</f>
        <v>705958454431592448</v>
      </c>
      <c r="F1262" s="11" t="s">
        <v>26</v>
      </c>
      <c r="G1262" s="12">
        <v>68.0</v>
      </c>
      <c r="H1262" s="12">
        <v>100.0</v>
      </c>
      <c r="I1262" s="12">
        <v>4.0</v>
      </c>
      <c r="J1262" s="12">
        <v>0.0</v>
      </c>
      <c r="K1262" s="11" t="s">
        <v>21</v>
      </c>
      <c r="L1262" s="7">
        <v>42152.65289351852</v>
      </c>
      <c r="M1262" s="13" t="s">
        <v>22</v>
      </c>
      <c r="N1262" s="13" t="s">
        <v>32</v>
      </c>
      <c r="O1262" s="10" t="str">
        <f t="shared" si="274"/>
        <v>View</v>
      </c>
      <c r="P1262" s="14"/>
    </row>
    <row r="1263">
      <c r="A1263" s="7">
        <v>42433.8971875</v>
      </c>
      <c r="B1263" s="8" t="str">
        <f t="shared" ref="B1263:B1264" si="275">HYPERLINK("https://twitter.com/JulieThePH","@JulieThePH")</f>
        <v>@JulieThePH</v>
      </c>
      <c r="C1263" s="9" t="s">
        <v>211</v>
      </c>
      <c r="D1263" s="9" t="s">
        <v>1310</v>
      </c>
      <c r="E1263" s="10" t="str">
        <f>HYPERLINK("https://twitter.com/JulieThePH/status/705959004250501120","705959004250501120")</f>
        <v>705959004250501120</v>
      </c>
      <c r="F1263" s="11" t="s">
        <v>31</v>
      </c>
      <c r="G1263" s="12">
        <v>1234.0</v>
      </c>
      <c r="H1263" s="12">
        <v>1386.0</v>
      </c>
      <c r="I1263" s="12">
        <v>1.0</v>
      </c>
      <c r="J1263" s="12">
        <v>0.0</v>
      </c>
      <c r="K1263" s="11" t="s">
        <v>21</v>
      </c>
      <c r="L1263" s="7">
        <v>40718.66918981481</v>
      </c>
      <c r="M1263" s="13" t="s">
        <v>213</v>
      </c>
      <c r="N1263" s="13" t="s">
        <v>214</v>
      </c>
      <c r="O1263" s="10" t="str">
        <f t="shared" ref="O1263:O1264" si="276">HYPERLINK("https://pbs.twimg.com/profile_images/596509974005686273/AqBblwMR_normal.jpg","View")</f>
        <v>View</v>
      </c>
      <c r="P1263" s="14"/>
    </row>
    <row r="1264">
      <c r="A1264" s="7">
        <v>42433.90143518518</v>
      </c>
      <c r="B1264" s="8" t="str">
        <f t="shared" si="275"/>
        <v>@JulieThePH</v>
      </c>
      <c r="C1264" s="9" t="s">
        <v>211</v>
      </c>
      <c r="D1264" s="9" t="s">
        <v>1311</v>
      </c>
      <c r="E1264" s="10" t="str">
        <f>HYPERLINK("https://twitter.com/JulieThePH/status/705960544482795520","705960544482795520")</f>
        <v>705960544482795520</v>
      </c>
      <c r="F1264" s="11" t="s">
        <v>31</v>
      </c>
      <c r="G1264" s="12">
        <v>1234.0</v>
      </c>
      <c r="H1264" s="12">
        <v>1386.0</v>
      </c>
      <c r="I1264" s="12">
        <v>1.0</v>
      </c>
      <c r="J1264" s="12">
        <v>3.0</v>
      </c>
      <c r="K1264" s="11" t="s">
        <v>21</v>
      </c>
      <c r="L1264" s="7">
        <v>40718.66918981481</v>
      </c>
      <c r="M1264" s="13" t="s">
        <v>213</v>
      </c>
      <c r="N1264" s="13" t="s">
        <v>214</v>
      </c>
      <c r="O1264" s="10" t="str">
        <f t="shared" si="276"/>
        <v>View</v>
      </c>
      <c r="P1264" s="14"/>
    </row>
    <row r="1265">
      <c r="A1265" s="7">
        <v>42433.901979166665</v>
      </c>
      <c r="B1265" s="8" t="str">
        <f>HYPERLINK("https://twitter.com/JasonSteinhauer","@JasonSteinhauer")</f>
        <v>@JasonSteinhauer</v>
      </c>
      <c r="C1265" s="9" t="s">
        <v>37</v>
      </c>
      <c r="D1265" s="9" t="s">
        <v>1312</v>
      </c>
      <c r="E1265" s="10" t="str">
        <f>HYPERLINK("https://twitter.com/JasonSteinhauer/status/705960741782855680","705960741782855680")</f>
        <v>705960741782855680</v>
      </c>
      <c r="F1265" s="11" t="s">
        <v>31</v>
      </c>
      <c r="G1265" s="12">
        <v>1302.0</v>
      </c>
      <c r="H1265" s="12">
        <v>1315.0</v>
      </c>
      <c r="I1265" s="12">
        <v>0.0</v>
      </c>
      <c r="J1265" s="12">
        <v>1.0</v>
      </c>
      <c r="K1265" s="11" t="s">
        <v>21</v>
      </c>
      <c r="L1265" s="7">
        <v>41169.51726851852</v>
      </c>
      <c r="M1265" s="13" t="s">
        <v>39</v>
      </c>
      <c r="N1265" s="13" t="s">
        <v>40</v>
      </c>
      <c r="O1265" s="10" t="str">
        <f>HYPERLINK("https://pbs.twimg.com/profile_images/531574951107518465/AvUhkliP_normal.jpeg","View")</f>
        <v>View</v>
      </c>
      <c r="P1265" s="14"/>
    </row>
    <row r="1266">
      <c r="A1266" s="7">
        <v>42433.91092592593</v>
      </c>
      <c r="B1266" s="8" t="str">
        <f>HYPERLINK("https://twitter.com/samueljredman","@samueljredman")</f>
        <v>@samueljredman</v>
      </c>
      <c r="C1266" s="9" t="s">
        <v>158</v>
      </c>
      <c r="D1266" s="9" t="s">
        <v>1265</v>
      </c>
      <c r="E1266" s="10" t="str">
        <f>HYPERLINK("https://twitter.com/samueljredman/status/705963984328003585","705963984328003585")</f>
        <v>705963984328003585</v>
      </c>
      <c r="F1266" s="11" t="s">
        <v>31</v>
      </c>
      <c r="G1266" s="12">
        <v>5623.0</v>
      </c>
      <c r="H1266" s="12">
        <v>5355.0</v>
      </c>
      <c r="I1266" s="12">
        <v>3.0</v>
      </c>
      <c r="J1266" s="12">
        <v>0.0</v>
      </c>
      <c r="K1266" s="11" t="s">
        <v>21</v>
      </c>
      <c r="L1266" s="7">
        <v>40584.98517361111</v>
      </c>
      <c r="M1266" s="13" t="s">
        <v>160</v>
      </c>
      <c r="N1266" s="13" t="s">
        <v>161</v>
      </c>
      <c r="O1266" s="10" t="str">
        <f>HYPERLINK("https://pbs.twimg.com/profile_images/548193870278688768/8Dq7gW3U_normal.png","View")</f>
        <v>View</v>
      </c>
      <c r="P1266" s="14"/>
    </row>
    <row r="1267">
      <c r="A1267" s="7">
        <v>42433.911516203705</v>
      </c>
      <c r="B1267" s="8" t="str">
        <f>HYPERLINK("https://twitter.com/JeanniInABottle","@JeanniInABottle")</f>
        <v>@JeanniInABottle</v>
      </c>
      <c r="C1267" s="9" t="s">
        <v>1313</v>
      </c>
      <c r="D1267" s="9" t="s">
        <v>1265</v>
      </c>
      <c r="E1267" s="10" t="str">
        <f>HYPERLINK("https://twitter.com/JeanniInABottle/status/705964196467376128","705964196467376128")</f>
        <v>705964196467376128</v>
      </c>
      <c r="F1267" s="11" t="s">
        <v>148</v>
      </c>
      <c r="G1267" s="12">
        <v>283.0</v>
      </c>
      <c r="H1267" s="12">
        <v>590.0</v>
      </c>
      <c r="I1267" s="12">
        <v>3.0</v>
      </c>
      <c r="J1267" s="12">
        <v>0.0</v>
      </c>
      <c r="K1267" s="11" t="s">
        <v>21</v>
      </c>
      <c r="L1267" s="7">
        <v>40398.64549768518</v>
      </c>
      <c r="M1267" s="13" t="s">
        <v>1314</v>
      </c>
      <c r="N1267" s="13" t="s">
        <v>1315</v>
      </c>
      <c r="O1267" s="10" t="str">
        <f>HYPERLINK("https://pbs.twimg.com/profile_images/701591023227547648/t0uMlufA_normal.jpg","View")</f>
        <v>View</v>
      </c>
      <c r="P1267" s="14"/>
    </row>
    <row r="1268">
      <c r="A1268" s="7">
        <v>42433.914884259255</v>
      </c>
      <c r="B1268" s="8" t="str">
        <f t="shared" ref="B1268:B1269" si="277">HYPERLINK("https://twitter.com/aglassofhistory","@aglassofhistory")</f>
        <v>@aglassofhistory</v>
      </c>
      <c r="C1268" s="9" t="s">
        <v>53</v>
      </c>
      <c r="D1268" s="9" t="s">
        <v>1316</v>
      </c>
      <c r="E1268" s="10" t="str">
        <f>HYPERLINK("https://twitter.com/aglassofhistory/status/705965416665972737","705965416665972737")</f>
        <v>705965416665972737</v>
      </c>
      <c r="F1268" s="11" t="s">
        <v>148</v>
      </c>
      <c r="G1268" s="12">
        <v>400.0</v>
      </c>
      <c r="H1268" s="12">
        <v>733.0</v>
      </c>
      <c r="I1268" s="12">
        <v>0.0</v>
      </c>
      <c r="J1268" s="12">
        <v>1.0</v>
      </c>
      <c r="K1268" s="11" t="s">
        <v>21</v>
      </c>
      <c r="L1268" s="7">
        <v>41697.65762731482</v>
      </c>
      <c r="M1268" s="13" t="s">
        <v>55</v>
      </c>
      <c r="N1268" s="13" t="s">
        <v>56</v>
      </c>
      <c r="O1268" s="10" t="str">
        <f t="shared" ref="O1268:O1269" si="278">HYPERLINK("https://pbs.twimg.com/profile_images/611592888816898048/cGMlIfmz_normal.jpg","View")</f>
        <v>View</v>
      </c>
      <c r="P1268" s="14"/>
    </row>
    <row r="1269">
      <c r="A1269" s="7">
        <v>42433.91541666667</v>
      </c>
      <c r="B1269" s="8" t="str">
        <f t="shared" si="277"/>
        <v>@aglassofhistory</v>
      </c>
      <c r="C1269" s="9" t="s">
        <v>53</v>
      </c>
      <c r="D1269" s="9" t="s">
        <v>1102</v>
      </c>
      <c r="E1269" s="10" t="str">
        <f>HYPERLINK("https://twitter.com/aglassofhistory/status/705965609616543744","705965609616543744")</f>
        <v>705965609616543744</v>
      </c>
      <c r="F1269" s="11" t="s">
        <v>148</v>
      </c>
      <c r="G1269" s="12">
        <v>400.0</v>
      </c>
      <c r="H1269" s="12">
        <v>733.0</v>
      </c>
      <c r="I1269" s="12">
        <v>2.0</v>
      </c>
      <c r="J1269" s="12">
        <v>0.0</v>
      </c>
      <c r="K1269" s="11" t="s">
        <v>21</v>
      </c>
      <c r="L1269" s="7">
        <v>41697.65762731482</v>
      </c>
      <c r="M1269" s="13" t="s">
        <v>55</v>
      </c>
      <c r="N1269" s="13" t="s">
        <v>56</v>
      </c>
      <c r="O1269" s="10" t="str">
        <f t="shared" si="278"/>
        <v>View</v>
      </c>
      <c r="P1269" s="14"/>
    </row>
    <row r="1270">
      <c r="A1270" s="7">
        <v>42433.918807870374</v>
      </c>
      <c r="B1270" s="8" t="str">
        <f>HYPERLINK("https://twitter.com/justinokc","@justinokc")</f>
        <v>@justinokc</v>
      </c>
      <c r="C1270" s="9" t="s">
        <v>58</v>
      </c>
      <c r="D1270" s="9" t="s">
        <v>1317</v>
      </c>
      <c r="E1270" s="10" t="str">
        <f>HYPERLINK("https://twitter.com/justinokc/status/705966841848528896","705966841848528896")</f>
        <v>705966841848528896</v>
      </c>
      <c r="F1270" s="11" t="s">
        <v>102</v>
      </c>
      <c r="G1270" s="12">
        <v>444.0</v>
      </c>
      <c r="H1270" s="12">
        <v>1740.0</v>
      </c>
      <c r="I1270" s="12">
        <v>0.0</v>
      </c>
      <c r="J1270" s="12">
        <v>1.0</v>
      </c>
      <c r="K1270" s="11" t="s">
        <v>21</v>
      </c>
      <c r="L1270" s="7">
        <v>41206.658113425925</v>
      </c>
      <c r="M1270" s="13" t="s">
        <v>59</v>
      </c>
      <c r="N1270" s="13" t="s">
        <v>60</v>
      </c>
      <c r="O1270" s="10" t="str">
        <f>HYPERLINK("https://pbs.twimg.com/profile_images/423134042364858369/GukeR_9H_normal.jpeg","View")</f>
        <v>View</v>
      </c>
      <c r="P1270" s="14"/>
    </row>
    <row r="1271">
      <c r="A1271" s="7">
        <v>42433.926886574074</v>
      </c>
      <c r="B1271" s="8" t="str">
        <f t="shared" ref="B1271:B1272" si="279">HYPERLINK("https://twitter.com/erfagen","@erfagen")</f>
        <v>@erfagen</v>
      </c>
      <c r="C1271" s="9" t="s">
        <v>124</v>
      </c>
      <c r="D1271" s="9" t="s">
        <v>1309</v>
      </c>
      <c r="E1271" s="10" t="str">
        <f>HYPERLINK("https://twitter.com/erfagen/status/705969766079598592","705969766079598592")</f>
        <v>705969766079598592</v>
      </c>
      <c r="F1271" s="11" t="s">
        <v>26</v>
      </c>
      <c r="G1271" s="12">
        <v>1055.0</v>
      </c>
      <c r="H1271" s="12">
        <v>2055.0</v>
      </c>
      <c r="I1271" s="12">
        <v>4.0</v>
      </c>
      <c r="J1271" s="12">
        <v>0.0</v>
      </c>
      <c r="K1271" s="11" t="s">
        <v>21</v>
      </c>
      <c r="L1271" s="7">
        <v>40524.93576388889</v>
      </c>
      <c r="M1271" s="13" t="s">
        <v>125</v>
      </c>
      <c r="N1271" s="13" t="s">
        <v>126</v>
      </c>
      <c r="O1271" s="10" t="str">
        <f t="shared" ref="O1271:O1272" si="280">HYPERLINK("https://pbs.twimg.com/profile_images/638086945722249217/mid_S_BQ_normal.jpg","View")</f>
        <v>View</v>
      </c>
      <c r="P1271" s="14"/>
    </row>
    <row r="1272">
      <c r="A1272" s="7">
        <v>42433.92774305555</v>
      </c>
      <c r="B1272" s="8" t="str">
        <f t="shared" si="279"/>
        <v>@erfagen</v>
      </c>
      <c r="C1272" s="9" t="s">
        <v>124</v>
      </c>
      <c r="D1272" s="9" t="s">
        <v>1318</v>
      </c>
      <c r="E1272" s="10" t="str">
        <f>HYPERLINK("https://twitter.com/erfagen/status/705970079314415616","705970079314415616")</f>
        <v>705970079314415616</v>
      </c>
      <c r="F1272" s="11" t="s">
        <v>26</v>
      </c>
      <c r="G1272" s="12">
        <v>1055.0</v>
      </c>
      <c r="H1272" s="12">
        <v>2055.0</v>
      </c>
      <c r="I1272" s="12">
        <v>0.0</v>
      </c>
      <c r="J1272" s="12">
        <v>1.0</v>
      </c>
      <c r="K1272" s="11" t="s">
        <v>21</v>
      </c>
      <c r="L1272" s="7">
        <v>40524.93576388889</v>
      </c>
      <c r="M1272" s="13" t="s">
        <v>125</v>
      </c>
      <c r="N1272" s="13" t="s">
        <v>126</v>
      </c>
      <c r="O1272" s="10" t="str">
        <f t="shared" si="280"/>
        <v>View</v>
      </c>
      <c r="P1272" s="14"/>
    </row>
    <row r="1273">
      <c r="A1273" s="7">
        <v>42433.93011574074</v>
      </c>
      <c r="B1273" s="8" t="str">
        <f>HYPERLINK("https://twitter.com/JasonSteinhauer","@JasonSteinhauer")</f>
        <v>@JasonSteinhauer</v>
      </c>
      <c r="C1273" s="9" t="s">
        <v>37</v>
      </c>
      <c r="D1273" s="9" t="s">
        <v>1319</v>
      </c>
      <c r="E1273" s="10" t="str">
        <f>HYPERLINK("https://twitter.com/JasonSteinhauer/status/705970935782834176","705970935782834176")</f>
        <v>705970935782834176</v>
      </c>
      <c r="F1273" s="11" t="s">
        <v>31</v>
      </c>
      <c r="G1273" s="12">
        <v>1302.0</v>
      </c>
      <c r="H1273" s="12">
        <v>1315.0</v>
      </c>
      <c r="I1273" s="12">
        <v>3.0</v>
      </c>
      <c r="J1273" s="12">
        <v>2.0</v>
      </c>
      <c r="K1273" s="11" t="s">
        <v>21</v>
      </c>
      <c r="L1273" s="7">
        <v>41169.51726851852</v>
      </c>
      <c r="M1273" s="13" t="s">
        <v>39</v>
      </c>
      <c r="N1273" s="13" t="s">
        <v>40</v>
      </c>
      <c r="O1273" s="10" t="str">
        <f>HYPERLINK("https://pbs.twimg.com/profile_images/531574951107518465/AvUhkliP_normal.jpeg","View")</f>
        <v>View</v>
      </c>
      <c r="P1273" s="14"/>
    </row>
    <row r="1274">
      <c r="A1274" s="7">
        <v>42433.93436342593</v>
      </c>
      <c r="B1274" s="8" t="str">
        <f>HYPERLINK("https://twitter.com/lamaryanne","@lamaryanne")</f>
        <v>@lamaryanne</v>
      </c>
      <c r="C1274" s="9" t="s">
        <v>1320</v>
      </c>
      <c r="D1274" s="9" t="s">
        <v>1321</v>
      </c>
      <c r="E1274" s="10" t="str">
        <f>HYPERLINK("https://twitter.com/lamaryanne/status/705972476744966144","705972476744966144")</f>
        <v>705972476744966144</v>
      </c>
      <c r="F1274" s="11" t="s">
        <v>148</v>
      </c>
      <c r="G1274" s="12">
        <v>122.0</v>
      </c>
      <c r="H1274" s="12">
        <v>296.0</v>
      </c>
      <c r="I1274" s="12">
        <v>1.0</v>
      </c>
      <c r="J1274" s="12">
        <v>0.0</v>
      </c>
      <c r="K1274" s="11" t="s">
        <v>21</v>
      </c>
      <c r="L1274" s="7">
        <v>39926.87115740741</v>
      </c>
      <c r="M1274" s="13" t="s">
        <v>1322</v>
      </c>
      <c r="N1274" s="13" t="s">
        <v>1323</v>
      </c>
      <c r="O1274" s="10" t="str">
        <f>HYPERLINK("https://pbs.twimg.com/profile_images/597136197706625024/fK0AXFCy_normal.jpg","View")</f>
        <v>View</v>
      </c>
      <c r="P1274" s="14"/>
    </row>
    <row r="1275">
      <c r="A1275" s="7">
        <v>42433.935335648144</v>
      </c>
      <c r="B1275" s="8" t="str">
        <f>HYPERLINK("https://twitter.com/ATErickson","@ATErickson")</f>
        <v>@ATErickson</v>
      </c>
      <c r="C1275" s="9" t="s">
        <v>387</v>
      </c>
      <c r="D1275" s="9" t="s">
        <v>1194</v>
      </c>
      <c r="E1275" s="10" t="str">
        <f>HYPERLINK("https://twitter.com/ATErickson/status/705972828349272064","705972828349272064")</f>
        <v>705972828349272064</v>
      </c>
      <c r="F1275" s="11" t="s">
        <v>26</v>
      </c>
      <c r="G1275" s="12">
        <v>346.0</v>
      </c>
      <c r="H1275" s="12">
        <v>389.0</v>
      </c>
      <c r="I1275" s="12">
        <v>5.0</v>
      </c>
      <c r="J1275" s="12">
        <v>0.0</v>
      </c>
      <c r="K1275" s="11" t="s">
        <v>21</v>
      </c>
      <c r="L1275" s="7">
        <v>40120.57623842593</v>
      </c>
      <c r="M1275" s="13" t="s">
        <v>389</v>
      </c>
      <c r="N1275" s="13" t="s">
        <v>390</v>
      </c>
      <c r="O1275" s="10" t="str">
        <f>HYPERLINK("https://pbs.twimg.com/profile_images/686322140753301505/1O3R49E1_normal.jpg","View")</f>
        <v>View</v>
      </c>
      <c r="P1275" s="14"/>
    </row>
    <row r="1276">
      <c r="A1276" s="7">
        <v>42433.936574074076</v>
      </c>
      <c r="B1276" s="8" t="str">
        <f>HYPERLINK("https://twitter.com/RMGallenberger","@RMGallenberger")</f>
        <v>@RMGallenberger</v>
      </c>
      <c r="C1276" s="9" t="s">
        <v>1324</v>
      </c>
      <c r="D1276" s="9" t="s">
        <v>1325</v>
      </c>
      <c r="E1276" s="10" t="str">
        <f>HYPERLINK("https://twitter.com/RMGallenberger/status/705973278771433472","705973278771433472")</f>
        <v>705973278771433472</v>
      </c>
      <c r="F1276" s="11" t="s">
        <v>31</v>
      </c>
      <c r="G1276" s="12">
        <v>15.0</v>
      </c>
      <c r="H1276" s="12">
        <v>37.0</v>
      </c>
      <c r="I1276" s="12">
        <v>0.0</v>
      </c>
      <c r="J1276" s="12">
        <v>0.0</v>
      </c>
      <c r="K1276" s="11" t="s">
        <v>21</v>
      </c>
      <c r="L1276" s="7">
        <v>42420.328310185185</v>
      </c>
      <c r="M1276" s="15"/>
      <c r="N1276" s="13" t="s">
        <v>1326</v>
      </c>
      <c r="O1276" s="10" t="str">
        <f>HYPERLINK("https://abs.twimg.com/sticky/default_profile_images/default_profile_6_normal.png","View")</f>
        <v>View</v>
      </c>
      <c r="P1276" s="14"/>
    </row>
    <row r="1277">
      <c r="A1277" s="7">
        <v>42433.940775462965</v>
      </c>
      <c r="B1277" s="8" t="str">
        <f>HYPERLINK("https://twitter.com/KSW_la","@KSW_la")</f>
        <v>@KSW_la</v>
      </c>
      <c r="C1277" s="9" t="s">
        <v>1327</v>
      </c>
      <c r="D1277" s="9" t="s">
        <v>1245</v>
      </c>
      <c r="E1277" s="10" t="str">
        <f>HYPERLINK("https://twitter.com/KSW_la/status/705974800452182016","705974800452182016")</f>
        <v>705974800452182016</v>
      </c>
      <c r="F1277" s="11" t="s">
        <v>26</v>
      </c>
      <c r="G1277" s="12">
        <v>36.0</v>
      </c>
      <c r="H1277" s="12">
        <v>151.0</v>
      </c>
      <c r="I1277" s="12">
        <v>4.0</v>
      </c>
      <c r="J1277" s="12">
        <v>0.0</v>
      </c>
      <c r="K1277" s="11" t="s">
        <v>21</v>
      </c>
      <c r="L1277" s="7">
        <v>41375.82189814815</v>
      </c>
      <c r="M1277" s="15"/>
      <c r="N1277" s="15"/>
      <c r="O1277" s="10" t="str">
        <f>HYPERLINK("https://abs.twimg.com/sticky/default_profile_images/default_profile_5_normal.png","View")</f>
        <v>View</v>
      </c>
      <c r="P1277" s="14"/>
    </row>
    <row r="1278">
      <c r="A1278" s="7">
        <v>42433.941157407404</v>
      </c>
      <c r="B1278" s="8" t="str">
        <f>HYPERLINK("https://twitter.com/allisonhorrocks","@allisonhorrocks")</f>
        <v>@allisonhorrocks</v>
      </c>
      <c r="C1278" s="9" t="s">
        <v>105</v>
      </c>
      <c r="D1278" s="9" t="s">
        <v>603</v>
      </c>
      <c r="E1278" s="10" t="str">
        <f>HYPERLINK("https://twitter.com/allisonhorrocks/status/705974939908706305","705974939908706305")</f>
        <v>705974939908706305</v>
      </c>
      <c r="F1278" s="11" t="s">
        <v>26</v>
      </c>
      <c r="G1278" s="12">
        <v>122.0</v>
      </c>
      <c r="H1278" s="12">
        <v>260.0</v>
      </c>
      <c r="I1278" s="12">
        <v>4.0</v>
      </c>
      <c r="J1278" s="12">
        <v>0.0</v>
      </c>
      <c r="K1278" s="11" t="s">
        <v>21</v>
      </c>
      <c r="L1278" s="7">
        <v>39874.8815625</v>
      </c>
      <c r="M1278" s="13" t="s">
        <v>106</v>
      </c>
      <c r="N1278" s="13" t="s">
        <v>107</v>
      </c>
      <c r="O1278" s="10" t="str">
        <f>HYPERLINK("https://pbs.twimg.com/profile_images/562279222522032128/-phaZgxO_normal.jpeg","View")</f>
        <v>View</v>
      </c>
      <c r="P1278" s="14"/>
    </row>
    <row r="1279">
      <c r="A1279" s="7">
        <v>42433.94127314815</v>
      </c>
      <c r="B1279" s="8" t="str">
        <f>HYPERLINK("https://twitter.com/GHAUmass","@GHAUmass")</f>
        <v>@GHAUmass</v>
      </c>
      <c r="C1279" s="9" t="s">
        <v>30</v>
      </c>
      <c r="D1279" s="9" t="s">
        <v>1328</v>
      </c>
      <c r="E1279" s="10" t="str">
        <f>HYPERLINK("https://twitter.com/GHAUmass/status/705974978932580352","705974978932580352")</f>
        <v>705974978932580352</v>
      </c>
      <c r="F1279" s="11" t="s">
        <v>26</v>
      </c>
      <c r="G1279" s="12">
        <v>68.0</v>
      </c>
      <c r="H1279" s="12">
        <v>100.0</v>
      </c>
      <c r="I1279" s="12">
        <v>3.0</v>
      </c>
      <c r="J1279" s="12">
        <v>0.0</v>
      </c>
      <c r="K1279" s="11" t="s">
        <v>21</v>
      </c>
      <c r="L1279" s="7">
        <v>42152.65289351852</v>
      </c>
      <c r="M1279" s="13" t="s">
        <v>22</v>
      </c>
      <c r="N1279" s="13" t="s">
        <v>32</v>
      </c>
      <c r="O1279" s="10" t="str">
        <f>HYPERLINK("https://pbs.twimg.com/profile_images/604060333590855682/Fk6r1D7d_normal.jpg","View")</f>
        <v>View</v>
      </c>
      <c r="P1279" s="14"/>
    </row>
    <row r="1280">
      <c r="A1280" s="7">
        <v>42433.94265046297</v>
      </c>
      <c r="B1280" s="8" t="str">
        <f>HYPERLINK("https://twitter.com/nicolebelolan","@nicolebelolan")</f>
        <v>@nicolebelolan</v>
      </c>
      <c r="C1280" s="9" t="s">
        <v>1329</v>
      </c>
      <c r="D1280" s="9" t="s">
        <v>882</v>
      </c>
      <c r="E1280" s="10" t="str">
        <f>HYPERLINK("https://twitter.com/nicolebelolan/status/705975479535345664","705975479535345664")</f>
        <v>705975479535345664</v>
      </c>
      <c r="F1280" s="11" t="s">
        <v>26</v>
      </c>
      <c r="G1280" s="12">
        <v>664.0</v>
      </c>
      <c r="H1280" s="12">
        <v>1189.0</v>
      </c>
      <c r="I1280" s="12">
        <v>2.0</v>
      </c>
      <c r="J1280" s="12">
        <v>0.0</v>
      </c>
      <c r="K1280" s="11" t="s">
        <v>21</v>
      </c>
      <c r="L1280" s="7">
        <v>41278.814780092594</v>
      </c>
      <c r="M1280" s="13" t="s">
        <v>1330</v>
      </c>
      <c r="N1280" s="13" t="s">
        <v>1331</v>
      </c>
      <c r="O1280" s="10" t="str">
        <f>HYPERLINK("https://pbs.twimg.com/profile_images/627952946601459712/3TKA59o0_normal.jpg","View")</f>
        <v>View</v>
      </c>
      <c r="P1280" s="14"/>
    </row>
    <row r="1281">
      <c r="A1281" s="7">
        <v>42433.943564814814</v>
      </c>
      <c r="B1281" s="8" t="str">
        <f t="shared" ref="B1281:B1283" si="281">HYPERLINK("https://twitter.com/justinokc","@justinokc")</f>
        <v>@justinokc</v>
      </c>
      <c r="C1281" s="9" t="s">
        <v>58</v>
      </c>
      <c r="D1281" s="9" t="s">
        <v>1328</v>
      </c>
      <c r="E1281" s="10" t="str">
        <f>HYPERLINK("https://twitter.com/justinokc/status/705975812747452416","705975812747452416")</f>
        <v>705975812747452416</v>
      </c>
      <c r="F1281" s="11" t="s">
        <v>102</v>
      </c>
      <c r="G1281" s="12">
        <v>444.0</v>
      </c>
      <c r="H1281" s="12">
        <v>1740.0</v>
      </c>
      <c r="I1281" s="12">
        <v>3.0</v>
      </c>
      <c r="J1281" s="12">
        <v>0.0</v>
      </c>
      <c r="K1281" s="11" t="s">
        <v>21</v>
      </c>
      <c r="L1281" s="7">
        <v>41206.658113425925</v>
      </c>
      <c r="M1281" s="13" t="s">
        <v>59</v>
      </c>
      <c r="N1281" s="13" t="s">
        <v>60</v>
      </c>
      <c r="O1281" s="10" t="str">
        <f t="shared" ref="O1281:O1283" si="282">HYPERLINK("https://pbs.twimg.com/profile_images/423134042364858369/GukeR_9H_normal.jpeg","View")</f>
        <v>View</v>
      </c>
      <c r="P1281" s="14"/>
    </row>
    <row r="1282">
      <c r="A1282" s="7">
        <v>42433.94375</v>
      </c>
      <c r="B1282" s="8" t="str">
        <f t="shared" si="281"/>
        <v>@justinokc</v>
      </c>
      <c r="C1282" s="9" t="s">
        <v>58</v>
      </c>
      <c r="D1282" s="9" t="s">
        <v>1309</v>
      </c>
      <c r="E1282" s="10" t="str">
        <f>HYPERLINK("https://twitter.com/justinokc/status/705975879072002048","705975879072002048")</f>
        <v>705975879072002048</v>
      </c>
      <c r="F1282" s="11" t="s">
        <v>102</v>
      </c>
      <c r="G1282" s="12">
        <v>444.0</v>
      </c>
      <c r="H1282" s="12">
        <v>1740.0</v>
      </c>
      <c r="I1282" s="12">
        <v>4.0</v>
      </c>
      <c r="J1282" s="12">
        <v>0.0</v>
      </c>
      <c r="K1282" s="11" t="s">
        <v>21</v>
      </c>
      <c r="L1282" s="7">
        <v>41206.658113425925</v>
      </c>
      <c r="M1282" s="13" t="s">
        <v>59</v>
      </c>
      <c r="N1282" s="13" t="s">
        <v>60</v>
      </c>
      <c r="O1282" s="10" t="str">
        <f t="shared" si="282"/>
        <v>View</v>
      </c>
      <c r="P1282" s="14"/>
    </row>
    <row r="1283">
      <c r="A1283" s="7">
        <v>42433.9437962963</v>
      </c>
      <c r="B1283" s="8" t="str">
        <f t="shared" si="281"/>
        <v>@justinokc</v>
      </c>
      <c r="C1283" s="9" t="s">
        <v>58</v>
      </c>
      <c r="D1283" s="9" t="s">
        <v>1271</v>
      </c>
      <c r="E1283" s="10" t="str">
        <f>HYPERLINK("https://twitter.com/justinokc/status/705975895807234048","705975895807234048")</f>
        <v>705975895807234048</v>
      </c>
      <c r="F1283" s="11" t="s">
        <v>102</v>
      </c>
      <c r="G1283" s="12">
        <v>444.0</v>
      </c>
      <c r="H1283" s="12">
        <v>1740.0</v>
      </c>
      <c r="I1283" s="12">
        <v>2.0</v>
      </c>
      <c r="J1283" s="12">
        <v>0.0</v>
      </c>
      <c r="K1283" s="11" t="s">
        <v>21</v>
      </c>
      <c r="L1283" s="7">
        <v>41206.658113425925</v>
      </c>
      <c r="M1283" s="13" t="s">
        <v>59</v>
      </c>
      <c r="N1283" s="13" t="s">
        <v>60</v>
      </c>
      <c r="O1283" s="10" t="str">
        <f t="shared" si="282"/>
        <v>View</v>
      </c>
      <c r="P1283" s="14"/>
    </row>
    <row r="1284">
      <c r="A1284" s="7">
        <v>42433.94383101852</v>
      </c>
      <c r="B1284" s="8" t="str">
        <f>HYPERLINK("https://twitter.com/kathleenmaho","@kathleenmaho")</f>
        <v>@kathleenmaho</v>
      </c>
      <c r="C1284" s="9" t="s">
        <v>1332</v>
      </c>
      <c r="D1284" s="9" t="s">
        <v>1333</v>
      </c>
      <c r="E1284" s="10" t="str">
        <f>HYPERLINK("https://twitter.com/kathleenmaho/status/705975906041511937","705975906041511937")</f>
        <v>705975906041511937</v>
      </c>
      <c r="F1284" s="11" t="s">
        <v>26</v>
      </c>
      <c r="G1284" s="12">
        <v>59.0</v>
      </c>
      <c r="H1284" s="12">
        <v>106.0</v>
      </c>
      <c r="I1284" s="12">
        <v>0.0</v>
      </c>
      <c r="J1284" s="12">
        <v>2.0</v>
      </c>
      <c r="K1284" s="11" t="s">
        <v>21</v>
      </c>
      <c r="L1284" s="7">
        <v>40237.56459490741</v>
      </c>
      <c r="M1284" s="13" t="s">
        <v>1334</v>
      </c>
      <c r="N1284" s="15"/>
      <c r="O1284" s="10" t="str">
        <f>HYPERLINK("https://pbs.twimg.com/profile_images/701284256308445184/aN59p2Zn_normal.jpg","View")</f>
        <v>View</v>
      </c>
      <c r="P1284" s="14"/>
    </row>
    <row r="1285">
      <c r="A1285" s="7">
        <v>42433.94388888888</v>
      </c>
      <c r="B1285" s="8" t="str">
        <f>HYPERLINK("https://twitter.com/justinokc","@justinokc")</f>
        <v>@justinokc</v>
      </c>
      <c r="C1285" s="9" t="s">
        <v>58</v>
      </c>
      <c r="D1285" s="9" t="s">
        <v>1299</v>
      </c>
      <c r="E1285" s="10" t="str">
        <f>HYPERLINK("https://twitter.com/justinokc/status/705975928015294464","705975928015294464")</f>
        <v>705975928015294464</v>
      </c>
      <c r="F1285" s="11" t="s">
        <v>102</v>
      </c>
      <c r="G1285" s="12">
        <v>444.0</v>
      </c>
      <c r="H1285" s="12">
        <v>1740.0</v>
      </c>
      <c r="I1285" s="12">
        <v>3.0</v>
      </c>
      <c r="J1285" s="12">
        <v>0.0</v>
      </c>
      <c r="K1285" s="11" t="s">
        <v>21</v>
      </c>
      <c r="L1285" s="7">
        <v>41206.658113425925</v>
      </c>
      <c r="M1285" s="13" t="s">
        <v>59</v>
      </c>
      <c r="N1285" s="13" t="s">
        <v>60</v>
      </c>
      <c r="O1285" s="10" t="str">
        <f>HYPERLINK("https://pbs.twimg.com/profile_images/423134042364858369/GukeR_9H_normal.jpeg","View")</f>
        <v>View</v>
      </c>
      <c r="P1285" s="14"/>
    </row>
    <row r="1286">
      <c r="A1286" s="7">
        <v>42433.951574074075</v>
      </c>
      <c r="B1286" s="8" t="str">
        <f t="shared" ref="B1286:B1287" si="283">HYPERLINK("https://twitter.com/allisonhorrocks","@allisonhorrocks")</f>
        <v>@allisonhorrocks</v>
      </c>
      <c r="C1286" s="9" t="s">
        <v>105</v>
      </c>
      <c r="D1286" s="9" t="s">
        <v>728</v>
      </c>
      <c r="E1286" s="10" t="str">
        <f>HYPERLINK("https://twitter.com/allisonhorrocks/status/705978714148962304","705978714148962304")</f>
        <v>705978714148962304</v>
      </c>
      <c r="F1286" s="11" t="s">
        <v>26</v>
      </c>
      <c r="G1286" s="12">
        <v>122.0</v>
      </c>
      <c r="H1286" s="12">
        <v>260.0</v>
      </c>
      <c r="I1286" s="12">
        <v>4.0</v>
      </c>
      <c r="J1286" s="12">
        <v>0.0</v>
      </c>
      <c r="K1286" s="11" t="s">
        <v>21</v>
      </c>
      <c r="L1286" s="7">
        <v>39874.8815625</v>
      </c>
      <c r="M1286" s="13" t="s">
        <v>106</v>
      </c>
      <c r="N1286" s="13" t="s">
        <v>107</v>
      </c>
      <c r="O1286" s="10" t="str">
        <f t="shared" ref="O1286:O1287" si="284">HYPERLINK("https://pbs.twimg.com/profile_images/562279222522032128/-phaZgxO_normal.jpeg","View")</f>
        <v>View</v>
      </c>
      <c r="P1286" s="14"/>
    </row>
    <row r="1287">
      <c r="A1287" s="7">
        <v>42433.95314814815</v>
      </c>
      <c r="B1287" s="8" t="str">
        <f t="shared" si="283"/>
        <v>@allisonhorrocks</v>
      </c>
      <c r="C1287" s="9" t="s">
        <v>105</v>
      </c>
      <c r="D1287" s="9" t="s">
        <v>1335</v>
      </c>
      <c r="E1287" s="10" t="str">
        <f>HYPERLINK("https://twitter.com/allisonhorrocks/status/705979282816962562","705979282816962562")</f>
        <v>705979282816962562</v>
      </c>
      <c r="F1287" s="11" t="s">
        <v>26</v>
      </c>
      <c r="G1287" s="12">
        <v>122.0</v>
      </c>
      <c r="H1287" s="12">
        <v>260.0</v>
      </c>
      <c r="I1287" s="12">
        <v>0.0</v>
      </c>
      <c r="J1287" s="12">
        <v>2.0</v>
      </c>
      <c r="K1287" s="11" t="s">
        <v>21</v>
      </c>
      <c r="L1287" s="7">
        <v>39874.8815625</v>
      </c>
      <c r="M1287" s="13" t="s">
        <v>106</v>
      </c>
      <c r="N1287" s="13" t="s">
        <v>107</v>
      </c>
      <c r="O1287" s="10" t="str">
        <f t="shared" si="284"/>
        <v>View</v>
      </c>
      <c r="P1287" s="14"/>
    </row>
    <row r="1288">
      <c r="A1288" s="7">
        <v>42433.95462962963</v>
      </c>
      <c r="B1288" s="8" t="str">
        <f>HYPERLINK("https://twitter.com/megankatenelson","@megankatenelson")</f>
        <v>@megankatenelson</v>
      </c>
      <c r="C1288" s="9" t="s">
        <v>1336</v>
      </c>
      <c r="D1288" s="9" t="s">
        <v>736</v>
      </c>
      <c r="E1288" s="10" t="str">
        <f>HYPERLINK("https://twitter.com/megankatenelson/status/705979821440937985","705979821440937985")</f>
        <v>705979821440937985</v>
      </c>
      <c r="F1288" s="11" t="s">
        <v>26</v>
      </c>
      <c r="G1288" s="12">
        <v>2562.0</v>
      </c>
      <c r="H1288" s="12">
        <v>700.0</v>
      </c>
      <c r="I1288" s="12">
        <v>8.0</v>
      </c>
      <c r="J1288" s="12">
        <v>0.0</v>
      </c>
      <c r="K1288" s="11" t="s">
        <v>21</v>
      </c>
      <c r="L1288" s="7">
        <v>41022.82420138889</v>
      </c>
      <c r="M1288" s="13" t="s">
        <v>1337</v>
      </c>
      <c r="N1288" s="13" t="s">
        <v>1338</v>
      </c>
      <c r="O1288" s="10" t="str">
        <f>HYPERLINK("https://pbs.twimg.com/profile_images/2768245700/ffc5be4c2667555f148c99d59e6ce83d_normal.jpeg","View")</f>
        <v>View</v>
      </c>
      <c r="P1288" s="14"/>
    </row>
    <row r="1289">
      <c r="A1289" s="7">
        <v>42433.95962962963</v>
      </c>
      <c r="B1289" s="8" t="str">
        <f>HYPERLINK("https://twitter.com/aglassofhistory","@aglassofhistory")</f>
        <v>@aglassofhistory</v>
      </c>
      <c r="C1289" s="9" t="s">
        <v>53</v>
      </c>
      <c r="D1289" s="9" t="s">
        <v>1339</v>
      </c>
      <c r="E1289" s="10" t="str">
        <f>HYPERLINK("https://twitter.com/aglassofhistory/status/705981634198282240","705981634198282240")</f>
        <v>705981634198282240</v>
      </c>
      <c r="F1289" s="11" t="s">
        <v>148</v>
      </c>
      <c r="G1289" s="12">
        <v>400.0</v>
      </c>
      <c r="H1289" s="12">
        <v>733.0</v>
      </c>
      <c r="I1289" s="12">
        <v>1.0</v>
      </c>
      <c r="J1289" s="12">
        <v>1.0</v>
      </c>
      <c r="K1289" s="11" t="s">
        <v>21</v>
      </c>
      <c r="L1289" s="7">
        <v>41697.65762731482</v>
      </c>
      <c r="M1289" s="13" t="s">
        <v>55</v>
      </c>
      <c r="N1289" s="13" t="s">
        <v>56</v>
      </c>
      <c r="O1289" s="10" t="str">
        <f>HYPERLINK("https://pbs.twimg.com/profile_images/611592888816898048/cGMlIfmz_normal.jpg","View")</f>
        <v>View</v>
      </c>
      <c r="P1289" s="14"/>
    </row>
    <row r="1290">
      <c r="A1290" s="7">
        <v>42433.96033564815</v>
      </c>
      <c r="B1290" s="8" t="str">
        <f>HYPERLINK("https://twitter.com/GHAUmass","@GHAUmass")</f>
        <v>@GHAUmass</v>
      </c>
      <c r="C1290" s="9" t="s">
        <v>30</v>
      </c>
      <c r="D1290" s="9" t="s">
        <v>1340</v>
      </c>
      <c r="E1290" s="10" t="str">
        <f>HYPERLINK("https://twitter.com/GHAUmass/status/705981890898083841","705981890898083841")</f>
        <v>705981890898083841</v>
      </c>
      <c r="F1290" s="11" t="s">
        <v>26</v>
      </c>
      <c r="G1290" s="12">
        <v>68.0</v>
      </c>
      <c r="H1290" s="12">
        <v>100.0</v>
      </c>
      <c r="I1290" s="12">
        <v>1.0</v>
      </c>
      <c r="J1290" s="12">
        <v>0.0</v>
      </c>
      <c r="K1290" s="11" t="s">
        <v>21</v>
      </c>
      <c r="L1290" s="7">
        <v>42152.65289351852</v>
      </c>
      <c r="M1290" s="13" t="s">
        <v>22</v>
      </c>
      <c r="N1290" s="13" t="s">
        <v>32</v>
      </c>
      <c r="O1290" s="10" t="str">
        <f>HYPERLINK("https://pbs.twimg.com/profile_images/604060333590855682/Fk6r1D7d_normal.jpg","View")</f>
        <v>View</v>
      </c>
      <c r="P1290" s="14"/>
    </row>
    <row r="1291">
      <c r="A1291" s="7">
        <v>42433.96665509259</v>
      </c>
      <c r="B1291" s="8" t="str">
        <f>HYPERLINK("https://twitter.com/rappaport8","@rappaport8")</f>
        <v>@rappaport8</v>
      </c>
      <c r="C1291" s="9" t="s">
        <v>1341</v>
      </c>
      <c r="D1291" s="9" t="s">
        <v>736</v>
      </c>
      <c r="E1291" s="10" t="str">
        <f>HYPERLINK("https://twitter.com/rappaport8/status/705984181029875712","705984181029875712")</f>
        <v>705984181029875712</v>
      </c>
      <c r="F1291" s="11" t="s">
        <v>26</v>
      </c>
      <c r="G1291" s="12">
        <v>203.0</v>
      </c>
      <c r="H1291" s="12">
        <v>428.0</v>
      </c>
      <c r="I1291" s="12">
        <v>8.0</v>
      </c>
      <c r="J1291" s="12">
        <v>0.0</v>
      </c>
      <c r="K1291" s="11" t="s">
        <v>21</v>
      </c>
      <c r="L1291" s="7">
        <v>41938.92072916667</v>
      </c>
      <c r="M1291" s="13" t="s">
        <v>1342</v>
      </c>
      <c r="N1291" s="13" t="s">
        <v>1343</v>
      </c>
      <c r="O1291" s="10" t="str">
        <f>HYPERLINK("https://pbs.twimg.com/profile_images/644297617137004544/tdkWY9fd_normal.jpg","View")</f>
        <v>View</v>
      </c>
      <c r="P1291" s="14"/>
    </row>
    <row r="1292">
      <c r="A1292" s="7">
        <v>42434.02987268519</v>
      </c>
      <c r="B1292" s="8" t="str">
        <f>HYPERLINK("https://twitter.com/samueljredman","@samueljredman")</f>
        <v>@samueljredman</v>
      </c>
      <c r="C1292" s="9" t="s">
        <v>158</v>
      </c>
      <c r="D1292" s="9" t="s">
        <v>1309</v>
      </c>
      <c r="E1292" s="10" t="str">
        <f>HYPERLINK("https://twitter.com/samueljredman/status/706007089609613312","706007089609613312")</f>
        <v>706007089609613312</v>
      </c>
      <c r="F1292" s="11" t="s">
        <v>26</v>
      </c>
      <c r="G1292" s="12">
        <v>5623.0</v>
      </c>
      <c r="H1292" s="12">
        <v>5355.0</v>
      </c>
      <c r="I1292" s="12">
        <v>4.0</v>
      </c>
      <c r="J1292" s="12">
        <v>0.0</v>
      </c>
      <c r="K1292" s="11" t="s">
        <v>21</v>
      </c>
      <c r="L1292" s="7">
        <v>40584.98517361111</v>
      </c>
      <c r="M1292" s="13" t="s">
        <v>160</v>
      </c>
      <c r="N1292" s="13" t="s">
        <v>161</v>
      </c>
      <c r="O1292" s="10" t="str">
        <f>HYPERLINK("https://pbs.twimg.com/profile_images/548193870278688768/8Dq7gW3U_normal.png","View")</f>
        <v>View</v>
      </c>
      <c r="P1292" s="14"/>
    </row>
    <row r="1293">
      <c r="A1293" s="7">
        <v>42434.142118055555</v>
      </c>
      <c r="B1293" s="8" t="str">
        <f>HYPERLINK("https://twitter.com/DanielleReed8","@DanielleReed8")</f>
        <v>@DanielleReed8</v>
      </c>
      <c r="C1293" s="9" t="s">
        <v>1344</v>
      </c>
      <c r="D1293" s="9" t="s">
        <v>1345</v>
      </c>
      <c r="E1293" s="10" t="str">
        <f>HYPERLINK("https://twitter.com/DanielleReed8/status/706047764501831680","706047764501831680")</f>
        <v>706047764501831680</v>
      </c>
      <c r="F1293" s="11" t="s">
        <v>26</v>
      </c>
      <c r="G1293" s="12">
        <v>1084.0</v>
      </c>
      <c r="H1293" s="12">
        <v>1732.0</v>
      </c>
      <c r="I1293" s="12">
        <v>1.0</v>
      </c>
      <c r="J1293" s="12">
        <v>0.0</v>
      </c>
      <c r="K1293" s="11" t="s">
        <v>21</v>
      </c>
      <c r="L1293" s="7">
        <v>40912.502800925926</v>
      </c>
      <c r="M1293" s="13" t="s">
        <v>1346</v>
      </c>
      <c r="N1293" s="13" t="s">
        <v>1347</v>
      </c>
      <c r="O1293" s="10" t="str">
        <f>HYPERLINK("https://pbs.twimg.com/profile_images/3244875760/3874bc7bb4330d5c7a802b37ecec2aae_normal.jpeg","View")</f>
        <v>View</v>
      </c>
      <c r="P1293" s="14"/>
    </row>
    <row r="1294">
      <c r="A1294" s="7">
        <v>42434.255949074075</v>
      </c>
      <c r="B1294" s="8" t="str">
        <f>HYPERLINK("https://twitter.com/jp5morin","@jp5morin")</f>
        <v>@jp5morin</v>
      </c>
      <c r="C1294" s="9" t="s">
        <v>1348</v>
      </c>
      <c r="D1294" s="9" t="s">
        <v>1349</v>
      </c>
      <c r="E1294" s="10" t="str">
        <f>HYPERLINK("https://twitter.com/jp5morin/status/706089016601477120","706089016601477120")</f>
        <v>706089016601477120</v>
      </c>
      <c r="F1294" s="11" t="s">
        <v>31</v>
      </c>
      <c r="G1294" s="12">
        <v>210.0</v>
      </c>
      <c r="H1294" s="12">
        <v>142.0</v>
      </c>
      <c r="I1294" s="12">
        <v>2.0</v>
      </c>
      <c r="J1294" s="12">
        <v>1.0</v>
      </c>
      <c r="K1294" s="11" t="s">
        <v>21</v>
      </c>
      <c r="L1294" s="7">
        <v>40956.825057870374</v>
      </c>
      <c r="M1294" s="13" t="s">
        <v>1350</v>
      </c>
      <c r="N1294" s="13" t="s">
        <v>1351</v>
      </c>
      <c r="O1294" s="10" t="str">
        <f>HYPERLINK("https://pbs.twimg.com/profile_images/615838990827167744/4mzyCX5f_normal.jpg","View")</f>
        <v>View</v>
      </c>
      <c r="P1294" s="14"/>
    </row>
    <row r="1295">
      <c r="A1295" s="7">
        <v>42434.26576388889</v>
      </c>
      <c r="B1295" s="8" t="str">
        <f t="shared" ref="B1295:B1296" si="285">HYPERLINK("https://twitter.com/alucchesi","@alucchesi")</f>
        <v>@alucchesi</v>
      </c>
      <c r="C1295" s="9" t="s">
        <v>1352</v>
      </c>
      <c r="D1295" s="9" t="s">
        <v>1353</v>
      </c>
      <c r="E1295" s="10" t="str">
        <f>HYPERLINK("https://twitter.com/alucchesi/status/706092570691182592","706092570691182592")</f>
        <v>706092570691182592</v>
      </c>
      <c r="F1295" s="11" t="s">
        <v>26</v>
      </c>
      <c r="G1295" s="12">
        <v>1986.0</v>
      </c>
      <c r="H1295" s="12">
        <v>1197.0</v>
      </c>
      <c r="I1295" s="12">
        <v>2.0</v>
      </c>
      <c r="J1295" s="12">
        <v>0.0</v>
      </c>
      <c r="K1295" s="11" t="s">
        <v>21</v>
      </c>
      <c r="L1295" s="7">
        <v>39854.23202546296</v>
      </c>
      <c r="M1295" s="13" t="s">
        <v>1354</v>
      </c>
      <c r="N1295" s="13" t="s">
        <v>1355</v>
      </c>
      <c r="O1295" s="10" t="str">
        <f t="shared" ref="O1295:O1296" si="286">HYPERLINK("https://pbs.twimg.com/profile_images/696535450790576128/f7Gi3WsP_normal.jpg","View")</f>
        <v>View</v>
      </c>
      <c r="P1295" s="14"/>
    </row>
    <row r="1296">
      <c r="A1296" s="7">
        <v>42434.26949074074</v>
      </c>
      <c r="B1296" s="8" t="str">
        <f t="shared" si="285"/>
        <v>@alucchesi</v>
      </c>
      <c r="C1296" s="9" t="s">
        <v>1352</v>
      </c>
      <c r="D1296" s="9" t="s">
        <v>1356</v>
      </c>
      <c r="E1296" s="10" t="str">
        <f>HYPERLINK("https://twitter.com/alucchesi/status/706093924654383104","706093924654383104")</f>
        <v>706093924654383104</v>
      </c>
      <c r="F1296" s="11" t="s">
        <v>26</v>
      </c>
      <c r="G1296" s="12">
        <v>1986.0</v>
      </c>
      <c r="H1296" s="12">
        <v>1197.0</v>
      </c>
      <c r="I1296" s="12">
        <v>1.0</v>
      </c>
      <c r="J1296" s="12">
        <v>0.0</v>
      </c>
      <c r="K1296" s="11" t="s">
        <v>21</v>
      </c>
      <c r="L1296" s="7">
        <v>39854.23202546296</v>
      </c>
      <c r="M1296" s="13" t="s">
        <v>1354</v>
      </c>
      <c r="N1296" s="13" t="s">
        <v>1355</v>
      </c>
      <c r="O1296" s="10" t="str">
        <f t="shared" si="286"/>
        <v>View</v>
      </c>
      <c r="P1296" s="14"/>
    </row>
    <row r="1297">
      <c r="A1297" s="7">
        <v>42434.276238425926</v>
      </c>
      <c r="B1297" s="8" t="str">
        <f t="shared" ref="B1297:B1298" si="287">HYPERLINK("https://twitter.com/MarlaAtUmass","@MarlaAtUmass")</f>
        <v>@MarlaAtUmass</v>
      </c>
      <c r="C1297" s="9" t="s">
        <v>45</v>
      </c>
      <c r="D1297" s="9" t="s">
        <v>1357</v>
      </c>
      <c r="E1297" s="10" t="str">
        <f>HYPERLINK("https://twitter.com/MarlaAtUmass/status/706096369476444160","706096369476444160")</f>
        <v>706096369476444160</v>
      </c>
      <c r="F1297" s="11" t="s">
        <v>102</v>
      </c>
      <c r="G1297" s="12">
        <v>1993.0</v>
      </c>
      <c r="H1297" s="12">
        <v>1647.0</v>
      </c>
      <c r="I1297" s="12">
        <v>1.0</v>
      </c>
      <c r="J1297" s="12">
        <v>0.0</v>
      </c>
      <c r="K1297" s="11" t="s">
        <v>21</v>
      </c>
      <c r="L1297" s="7">
        <v>40125.78074074074</v>
      </c>
      <c r="M1297" s="15"/>
      <c r="N1297" s="13" t="s">
        <v>47</v>
      </c>
      <c r="O1297" s="10" t="str">
        <f t="shared" ref="O1297:O1298" si="288">HYPERLINK("https://pbs.twimg.com/profile_images/565429960/Betsy_Twitter_normal.jpg","View")</f>
        <v>View</v>
      </c>
      <c r="P1297" s="14"/>
    </row>
    <row r="1298">
      <c r="A1298" s="7">
        <v>42434.27952546296</v>
      </c>
      <c r="B1298" s="8" t="str">
        <f t="shared" si="287"/>
        <v>@MarlaAtUmass</v>
      </c>
      <c r="C1298" s="9" t="s">
        <v>45</v>
      </c>
      <c r="D1298" s="9" t="s">
        <v>1358</v>
      </c>
      <c r="E1298" s="10" t="str">
        <f>HYPERLINK("https://twitter.com/MarlaAtUmass/status/706097558045724672","706097558045724672")</f>
        <v>706097558045724672</v>
      </c>
      <c r="F1298" s="11" t="s">
        <v>102</v>
      </c>
      <c r="G1298" s="12">
        <v>1993.0</v>
      </c>
      <c r="H1298" s="12">
        <v>1647.0</v>
      </c>
      <c r="I1298" s="12">
        <v>1.0</v>
      </c>
      <c r="J1298" s="12">
        <v>1.0</v>
      </c>
      <c r="K1298" s="11" t="s">
        <v>21</v>
      </c>
      <c r="L1298" s="7">
        <v>40125.78074074074</v>
      </c>
      <c r="M1298" s="15"/>
      <c r="N1298" s="13" t="s">
        <v>47</v>
      </c>
      <c r="O1298" s="10" t="str">
        <f t="shared" si="288"/>
        <v>View</v>
      </c>
      <c r="P1298" s="14"/>
    </row>
    <row r="1299">
      <c r="A1299" s="7">
        <v>42434.280590277776</v>
      </c>
      <c r="B1299" s="8" t="str">
        <f>HYPERLINK("https://twitter.com/samueljredman","@samueljredman")</f>
        <v>@samueljredman</v>
      </c>
      <c r="C1299" s="9" t="s">
        <v>158</v>
      </c>
      <c r="D1299" s="9" t="s">
        <v>1359</v>
      </c>
      <c r="E1299" s="10" t="str">
        <f>HYPERLINK("https://twitter.com/samueljredman/status/706097946803224576","706097946803224576")</f>
        <v>706097946803224576</v>
      </c>
      <c r="F1299" s="11" t="s">
        <v>31</v>
      </c>
      <c r="G1299" s="12">
        <v>5623.0</v>
      </c>
      <c r="H1299" s="12">
        <v>5355.0</v>
      </c>
      <c r="I1299" s="12">
        <v>1.0</v>
      </c>
      <c r="J1299" s="12">
        <v>0.0</v>
      </c>
      <c r="K1299" s="11" t="s">
        <v>21</v>
      </c>
      <c r="L1299" s="7">
        <v>40584.98517361111</v>
      </c>
      <c r="M1299" s="13" t="s">
        <v>160</v>
      </c>
      <c r="N1299" s="13" t="s">
        <v>161</v>
      </c>
      <c r="O1299" s="10" t="str">
        <f>HYPERLINK("https://pbs.twimg.com/profile_images/548193870278688768/8Dq7gW3U_normal.png","View")</f>
        <v>View</v>
      </c>
      <c r="P1299" s="14"/>
    </row>
    <row r="1300">
      <c r="A1300" s="7">
        <v>42434.28643518519</v>
      </c>
      <c r="B1300" s="8" t="str">
        <f>HYPERLINK("https://twitter.com/jomac1867","@jomac1867")</f>
        <v>@jomac1867</v>
      </c>
      <c r="C1300" s="9" t="s">
        <v>1191</v>
      </c>
      <c r="D1300" s="9" t="s">
        <v>1353</v>
      </c>
      <c r="E1300" s="10" t="str">
        <f>HYPERLINK("https://twitter.com/jomac1867/status/706100062699577344","706100062699577344")</f>
        <v>706100062699577344</v>
      </c>
      <c r="F1300" s="11" t="s">
        <v>102</v>
      </c>
      <c r="G1300" s="12">
        <v>1547.0</v>
      </c>
      <c r="H1300" s="12">
        <v>2043.0</v>
      </c>
      <c r="I1300" s="12">
        <v>2.0</v>
      </c>
      <c r="J1300" s="12">
        <v>0.0</v>
      </c>
      <c r="K1300" s="11" t="s">
        <v>21</v>
      </c>
      <c r="L1300" s="7">
        <v>40050.75034722222</v>
      </c>
      <c r="M1300" s="13" t="s">
        <v>1192</v>
      </c>
      <c r="N1300" s="13" t="s">
        <v>1193</v>
      </c>
      <c r="O1300" s="10" t="str">
        <f>HYPERLINK("https://pbs.twimg.com/profile_images/674233655779328000/QFONMQg9_normal.jpg","View")</f>
        <v>View</v>
      </c>
      <c r="P1300" s="14"/>
    </row>
    <row r="1301">
      <c r="A1301" s="7">
        <v>42434.30472222222</v>
      </c>
      <c r="B1301" s="8" t="str">
        <f>HYPERLINK("https://twitter.com/evfaue_faue","@evfaue_faue")</f>
        <v>@evfaue_faue</v>
      </c>
      <c r="C1301" s="9" t="s">
        <v>1360</v>
      </c>
      <c r="D1301" s="9" t="s">
        <v>1328</v>
      </c>
      <c r="E1301" s="10" t="str">
        <f>HYPERLINK("https://twitter.com/evfaue_faue/status/706106690291236865","706106690291236865")</f>
        <v>706106690291236865</v>
      </c>
      <c r="F1301" s="11" t="s">
        <v>26</v>
      </c>
      <c r="G1301" s="12">
        <v>183.0</v>
      </c>
      <c r="H1301" s="12">
        <v>233.0</v>
      </c>
      <c r="I1301" s="12">
        <v>3.0</v>
      </c>
      <c r="J1301" s="12">
        <v>0.0</v>
      </c>
      <c r="K1301" s="11" t="s">
        <v>21</v>
      </c>
      <c r="L1301" s="7">
        <v>41209.28469907407</v>
      </c>
      <c r="M1301" s="13" t="s">
        <v>1361</v>
      </c>
      <c r="N1301" s="13" t="s">
        <v>1362</v>
      </c>
      <c r="O1301" s="10" t="str">
        <f>HYPERLINK("https://pbs.twimg.com/profile_images/517068162261475328/STzSsAhL_normal.jpeg","View")</f>
        <v>View</v>
      </c>
      <c r="P1301" s="14"/>
    </row>
    <row r="1302">
      <c r="A1302" s="7">
        <v>42434.30913194444</v>
      </c>
      <c r="B1302" s="8" t="str">
        <f>HYPERLINK("https://twitter.com/MarlaAtUmass","@MarlaAtUmass")</f>
        <v>@MarlaAtUmass</v>
      </c>
      <c r="C1302" s="9" t="s">
        <v>45</v>
      </c>
      <c r="D1302" s="9" t="s">
        <v>1363</v>
      </c>
      <c r="E1302" s="10" t="str">
        <f>HYPERLINK("https://twitter.com/MarlaAtUmass/status/706108288845352960","706108288845352960")</f>
        <v>706108288845352960</v>
      </c>
      <c r="F1302" s="11" t="s">
        <v>453</v>
      </c>
      <c r="G1302" s="12">
        <v>1993.0</v>
      </c>
      <c r="H1302" s="12">
        <v>1647.0</v>
      </c>
      <c r="I1302" s="12">
        <v>0.0</v>
      </c>
      <c r="J1302" s="12">
        <v>1.0</v>
      </c>
      <c r="K1302" s="11" t="s">
        <v>21</v>
      </c>
      <c r="L1302" s="7">
        <v>40125.78074074074</v>
      </c>
      <c r="M1302" s="15"/>
      <c r="N1302" s="13" t="s">
        <v>47</v>
      </c>
      <c r="O1302" s="10" t="str">
        <f>HYPERLINK("https://pbs.twimg.com/profile_images/565429960/Betsy_Twitter_normal.jpg","View")</f>
        <v>View</v>
      </c>
      <c r="P1302" s="14"/>
    </row>
    <row r="1303">
      <c r="A1303" s="7">
        <v>42434.3155787037</v>
      </c>
      <c r="B1303" s="8" t="str">
        <f>HYPERLINK("https://twitter.com/MedeaCulpa","@MedeaCulpa")</f>
        <v>@MedeaCulpa</v>
      </c>
      <c r="C1303" s="9" t="s">
        <v>811</v>
      </c>
      <c r="D1303" s="9" t="s">
        <v>1364</v>
      </c>
      <c r="E1303" s="10" t="str">
        <f>HYPERLINK("https://twitter.com/MedeaCulpa/status/706110624707833856","706110624707833856")</f>
        <v>706110624707833856</v>
      </c>
      <c r="F1303" s="11" t="s">
        <v>148</v>
      </c>
      <c r="G1303" s="12">
        <v>971.0</v>
      </c>
      <c r="H1303" s="12">
        <v>424.0</v>
      </c>
      <c r="I1303" s="12">
        <v>1.0</v>
      </c>
      <c r="J1303" s="12">
        <v>1.0</v>
      </c>
      <c r="K1303" s="11" t="s">
        <v>21</v>
      </c>
      <c r="L1303" s="7">
        <v>39894.5790625</v>
      </c>
      <c r="M1303" s="13" t="s">
        <v>813</v>
      </c>
      <c r="N1303" s="13" t="s">
        <v>814</v>
      </c>
      <c r="O1303" s="10" t="str">
        <f>HYPERLINK("https://pbs.twimg.com/profile_images/702272676837068800/xO5D7apz_normal.jpg","View")</f>
        <v>View</v>
      </c>
      <c r="P1303" s="14"/>
    </row>
    <row r="1304">
      <c r="A1304" s="7">
        <v>42434.315937499996</v>
      </c>
      <c r="B1304" s="8" t="str">
        <f>HYPERLINK("https://twitter.com/JulioCapoJr","@JulioCapoJr")</f>
        <v>@JulioCapoJr</v>
      </c>
      <c r="C1304" s="9" t="s">
        <v>1365</v>
      </c>
      <c r="D1304" s="9" t="s">
        <v>1054</v>
      </c>
      <c r="E1304" s="10" t="str">
        <f>HYPERLINK("https://twitter.com/JulioCapoJr/status/706110753955254272","706110753955254272")</f>
        <v>706110753955254272</v>
      </c>
      <c r="F1304" s="11" t="s">
        <v>26</v>
      </c>
      <c r="G1304" s="12">
        <v>243.0</v>
      </c>
      <c r="H1304" s="12">
        <v>225.0</v>
      </c>
      <c r="I1304" s="12">
        <v>2.0</v>
      </c>
      <c r="J1304" s="12">
        <v>0.0</v>
      </c>
      <c r="K1304" s="11" t="s">
        <v>21</v>
      </c>
      <c r="L1304" s="7">
        <v>39957.63148148148</v>
      </c>
      <c r="M1304" s="13" t="s">
        <v>143</v>
      </c>
      <c r="N1304" s="13" t="s">
        <v>1366</v>
      </c>
      <c r="O1304" s="10" t="str">
        <f>HYPERLINK("https://pbs.twimg.com/profile_images/446458450932150274/5bSg3mny_normal.jpeg","View")</f>
        <v>View</v>
      </c>
      <c r="P1304" s="14"/>
    </row>
    <row r="1305">
      <c r="A1305" s="7">
        <v>42434.31670138889</v>
      </c>
      <c r="B1305" s="8" t="str">
        <f>HYPERLINK("https://twitter.com/fefenifi","@fefenifi")</f>
        <v>@fefenifi</v>
      </c>
      <c r="C1305" s="9" t="s">
        <v>789</v>
      </c>
      <c r="D1305" s="9" t="s">
        <v>1367</v>
      </c>
      <c r="E1305" s="10" t="str">
        <f>HYPERLINK("https://twitter.com/fefenifi/status/706111031488065538","706111031488065538")</f>
        <v>706111031488065538</v>
      </c>
      <c r="F1305" s="11" t="s">
        <v>26</v>
      </c>
      <c r="G1305" s="12">
        <v>44.0</v>
      </c>
      <c r="H1305" s="12">
        <v>113.0</v>
      </c>
      <c r="I1305" s="12">
        <v>1.0</v>
      </c>
      <c r="J1305" s="12">
        <v>0.0</v>
      </c>
      <c r="K1305" s="11" t="s">
        <v>21</v>
      </c>
      <c r="L1305" s="7">
        <v>42357.812696759254</v>
      </c>
      <c r="M1305" s="13" t="s">
        <v>791</v>
      </c>
      <c r="N1305" s="13" t="s">
        <v>792</v>
      </c>
      <c r="O1305" s="10" t="str">
        <f>HYPERLINK("https://pbs.twimg.com/profile_images/678387998577135616/E7-0NNJV_normal.jpg","View")</f>
        <v>View</v>
      </c>
      <c r="P1305" s="14"/>
    </row>
    <row r="1306">
      <c r="A1306" s="7">
        <v>42434.319444444445</v>
      </c>
      <c r="B1306" s="8" t="str">
        <f>HYPERLINK("https://twitter.com/jmadelman","@jmadelman")</f>
        <v>@jmadelman</v>
      </c>
      <c r="C1306" s="9" t="s">
        <v>155</v>
      </c>
      <c r="D1306" s="9" t="s">
        <v>1208</v>
      </c>
      <c r="E1306" s="10" t="str">
        <f>HYPERLINK("https://twitter.com/jmadelman/status/706112025961865216","706112025961865216")</f>
        <v>706112025961865216</v>
      </c>
      <c r="F1306" s="11" t="s">
        <v>26</v>
      </c>
      <c r="G1306" s="12">
        <v>2676.0</v>
      </c>
      <c r="H1306" s="12">
        <v>1258.0</v>
      </c>
      <c r="I1306" s="12">
        <v>9.0</v>
      </c>
      <c r="J1306" s="12">
        <v>0.0</v>
      </c>
      <c r="K1306" s="11" t="s">
        <v>21</v>
      </c>
      <c r="L1306" s="7">
        <v>40198.888761574075</v>
      </c>
      <c r="M1306" s="13" t="s">
        <v>156</v>
      </c>
      <c r="N1306" s="13" t="s">
        <v>157</v>
      </c>
      <c r="O1306" s="10" t="str">
        <f>HYPERLINK("https://pbs.twimg.com/profile_images/633292774570201089/pdNFZfya_normal.jpg","View")</f>
        <v>View</v>
      </c>
      <c r="P1306" s="14"/>
    </row>
    <row r="1307">
      <c r="A1307" s="7">
        <v>42434.32508101852</v>
      </c>
      <c r="B1307" s="8" t="str">
        <f>HYPERLINK("https://twitter.com/TradeCardCarl","@TradeCardCarl")</f>
        <v>@TradeCardCarl</v>
      </c>
      <c r="C1307" s="9" t="s">
        <v>538</v>
      </c>
      <c r="D1307" s="9" t="s">
        <v>1368</v>
      </c>
      <c r="E1307" s="10" t="str">
        <f>HYPERLINK("https://twitter.com/TradeCardCarl/status/706114069909118976","706114069909118976")</f>
        <v>706114069909118976</v>
      </c>
      <c r="F1307" s="11" t="s">
        <v>26</v>
      </c>
      <c r="G1307" s="12">
        <v>375.0</v>
      </c>
      <c r="H1307" s="12">
        <v>270.0</v>
      </c>
      <c r="I1307" s="12">
        <v>1.0</v>
      </c>
      <c r="J1307" s="12">
        <v>0.0</v>
      </c>
      <c r="K1307" s="11" t="s">
        <v>21</v>
      </c>
      <c r="L1307" s="7">
        <v>42157.74815972222</v>
      </c>
      <c r="M1307" s="13" t="s">
        <v>539</v>
      </c>
      <c r="N1307" s="13" t="s">
        <v>540</v>
      </c>
      <c r="O1307" s="10" t="str">
        <f>HYPERLINK("https://pbs.twimg.com/profile_images/605887014114754560/z-GNNui4_normal.jpg","View")</f>
        <v>View</v>
      </c>
      <c r="P1307" s="14"/>
    </row>
    <row r="1308">
      <c r="A1308" s="7">
        <v>42434.32581018518</v>
      </c>
      <c r="B1308" s="8" t="str">
        <f t="shared" ref="B1308:B1309" si="289">HYPERLINK("https://twitter.com/GHAUmass","@GHAUmass")</f>
        <v>@GHAUmass</v>
      </c>
      <c r="C1308" s="9" t="s">
        <v>30</v>
      </c>
      <c r="D1308" s="9" t="s">
        <v>1369</v>
      </c>
      <c r="E1308" s="10" t="str">
        <f>HYPERLINK("https://twitter.com/GHAUmass/status/706114330933239809","706114330933239809")</f>
        <v>706114330933239809</v>
      </c>
      <c r="F1308" s="11" t="s">
        <v>26</v>
      </c>
      <c r="G1308" s="12">
        <v>68.0</v>
      </c>
      <c r="H1308" s="12">
        <v>100.0</v>
      </c>
      <c r="I1308" s="12">
        <v>1.0</v>
      </c>
      <c r="J1308" s="12">
        <v>0.0</v>
      </c>
      <c r="K1308" s="11" t="s">
        <v>21</v>
      </c>
      <c r="L1308" s="7">
        <v>42152.65289351852</v>
      </c>
      <c r="M1308" s="13" t="s">
        <v>22</v>
      </c>
      <c r="N1308" s="13" t="s">
        <v>32</v>
      </c>
      <c r="O1308" s="10" t="str">
        <f t="shared" ref="O1308:O1309" si="290">HYPERLINK("https://pbs.twimg.com/profile_images/604060333590855682/Fk6r1D7d_normal.jpg","View")</f>
        <v>View</v>
      </c>
      <c r="P1308" s="14"/>
    </row>
    <row r="1309">
      <c r="A1309" s="7">
        <v>42434.32590277778</v>
      </c>
      <c r="B1309" s="8" t="str">
        <f t="shared" si="289"/>
        <v>@GHAUmass</v>
      </c>
      <c r="C1309" s="9" t="s">
        <v>30</v>
      </c>
      <c r="D1309" s="9" t="s">
        <v>1370</v>
      </c>
      <c r="E1309" s="10" t="str">
        <f>HYPERLINK("https://twitter.com/GHAUmass/status/706114364223463425","706114364223463425")</f>
        <v>706114364223463425</v>
      </c>
      <c r="F1309" s="11" t="s">
        <v>26</v>
      </c>
      <c r="G1309" s="12">
        <v>68.0</v>
      </c>
      <c r="H1309" s="12">
        <v>100.0</v>
      </c>
      <c r="I1309" s="12">
        <v>1.0</v>
      </c>
      <c r="J1309" s="12">
        <v>0.0</v>
      </c>
      <c r="K1309" s="11" t="s">
        <v>21</v>
      </c>
      <c r="L1309" s="7">
        <v>42152.65289351852</v>
      </c>
      <c r="M1309" s="13" t="s">
        <v>22</v>
      </c>
      <c r="N1309" s="13" t="s">
        <v>32</v>
      </c>
      <c r="O1309" s="10" t="str">
        <f t="shared" si="290"/>
        <v>View</v>
      </c>
      <c r="P1309" s="14"/>
    </row>
    <row r="1310">
      <c r="A1310" s="7">
        <v>42434.328993055555</v>
      </c>
      <c r="B1310" s="8" t="str">
        <f>HYPERLINK("https://twitter.com/cherylharned","@cherylharned")</f>
        <v>@cherylharned</v>
      </c>
      <c r="C1310" s="9" t="s">
        <v>1371</v>
      </c>
      <c r="D1310" s="9" t="s">
        <v>1372</v>
      </c>
      <c r="E1310" s="10" t="str">
        <f>HYPERLINK("https://twitter.com/cherylharned/status/706115485201371136","706115485201371136")</f>
        <v>706115485201371136</v>
      </c>
      <c r="F1310" s="11" t="s">
        <v>26</v>
      </c>
      <c r="G1310" s="12">
        <v>99.0</v>
      </c>
      <c r="H1310" s="12">
        <v>407.0</v>
      </c>
      <c r="I1310" s="12">
        <v>0.0</v>
      </c>
      <c r="J1310" s="12">
        <v>0.0</v>
      </c>
      <c r="K1310" s="11" t="s">
        <v>21</v>
      </c>
      <c r="L1310" s="7">
        <v>41373.45469907408</v>
      </c>
      <c r="M1310" s="15"/>
      <c r="N1310" s="13" t="s">
        <v>1373</v>
      </c>
      <c r="O1310" s="10" t="str">
        <f>HYPERLINK("https://pbs.twimg.com/profile_images/535167858204893184/DNz9ruRN_normal.jpeg","View")</f>
        <v>View</v>
      </c>
      <c r="P1310" s="14"/>
    </row>
    <row r="1311">
      <c r="A1311" s="7">
        <v>42434.33556712963</v>
      </c>
      <c r="B1311" s="8" t="str">
        <f>HYPERLINK("https://twitter.com/pastpunditry","@pastpunditry")</f>
        <v>@pastpunditry</v>
      </c>
      <c r="C1311" s="9" t="s">
        <v>92</v>
      </c>
      <c r="D1311" s="9" t="s">
        <v>1374</v>
      </c>
      <c r="E1311" s="10" t="str">
        <f>HYPERLINK("https://twitter.com/pastpunditry/status/706117870409924608","706117870409924608")</f>
        <v>706117870409924608</v>
      </c>
      <c r="F1311" s="11" t="s">
        <v>77</v>
      </c>
      <c r="G1311" s="12">
        <v>890.0</v>
      </c>
      <c r="H1311" s="12">
        <v>378.0</v>
      </c>
      <c r="I1311" s="12">
        <v>1.0</v>
      </c>
      <c r="J1311" s="12">
        <v>0.0</v>
      </c>
      <c r="K1311" s="11" t="s">
        <v>21</v>
      </c>
      <c r="L1311" s="7">
        <v>40283.384351851855</v>
      </c>
      <c r="M1311" s="13" t="s">
        <v>94</v>
      </c>
      <c r="N1311" s="13" t="s">
        <v>95</v>
      </c>
      <c r="O1311" s="10" t="str">
        <f>HYPERLINK("https://pbs.twimg.com/profile_images/704873222802636800/7aFEMOY5_normal.jpg","View")</f>
        <v>View</v>
      </c>
      <c r="P1311" s="14"/>
    </row>
    <row r="1312">
      <c r="A1312" s="7">
        <v>42434.33565972222</v>
      </c>
      <c r="B1312" s="8" t="str">
        <f t="shared" ref="B1312:B1313" si="291">HYPERLINK("https://twitter.com/cherylharned","@cherylharned")</f>
        <v>@cherylharned</v>
      </c>
      <c r="C1312" s="9" t="s">
        <v>1371</v>
      </c>
      <c r="D1312" s="9" t="s">
        <v>1375</v>
      </c>
      <c r="E1312" s="10" t="str">
        <f>HYPERLINK("https://twitter.com/cherylharned/status/706117901175164928","706117901175164928")</f>
        <v>706117901175164928</v>
      </c>
      <c r="F1312" s="11" t="s">
        <v>26</v>
      </c>
      <c r="G1312" s="12">
        <v>99.0</v>
      </c>
      <c r="H1312" s="12">
        <v>407.0</v>
      </c>
      <c r="I1312" s="12">
        <v>1.0</v>
      </c>
      <c r="J1312" s="12">
        <v>1.0</v>
      </c>
      <c r="K1312" s="11" t="s">
        <v>21</v>
      </c>
      <c r="L1312" s="7">
        <v>41373.45469907408</v>
      </c>
      <c r="M1312" s="15"/>
      <c r="N1312" s="13" t="s">
        <v>1373</v>
      </c>
      <c r="O1312" s="10" t="str">
        <f t="shared" ref="O1312:O1313" si="292">HYPERLINK("https://pbs.twimg.com/profile_images/535167858204893184/DNz9ruRN_normal.jpeg","View")</f>
        <v>View</v>
      </c>
      <c r="P1312" s="14"/>
    </row>
    <row r="1313">
      <c r="A1313" s="7">
        <v>42434.33751157408</v>
      </c>
      <c r="B1313" s="8" t="str">
        <f t="shared" si="291"/>
        <v>@cherylharned</v>
      </c>
      <c r="C1313" s="9" t="s">
        <v>1371</v>
      </c>
      <c r="D1313" s="9" t="s">
        <v>1376</v>
      </c>
      <c r="E1313" s="10" t="str">
        <f>HYPERLINK("https://twitter.com/cherylharned/status/706118573970886656","706118573970886656")</f>
        <v>706118573970886656</v>
      </c>
      <c r="F1313" s="11" t="s">
        <v>26</v>
      </c>
      <c r="G1313" s="12">
        <v>99.0</v>
      </c>
      <c r="H1313" s="12">
        <v>407.0</v>
      </c>
      <c r="I1313" s="12">
        <v>1.0</v>
      </c>
      <c r="J1313" s="12">
        <v>0.0</v>
      </c>
      <c r="K1313" s="11" t="s">
        <v>21</v>
      </c>
      <c r="L1313" s="7">
        <v>41373.45469907408</v>
      </c>
      <c r="M1313" s="15"/>
      <c r="N1313" s="13" t="s">
        <v>1373</v>
      </c>
      <c r="O1313" s="10" t="str">
        <f t="shared" si="292"/>
        <v>View</v>
      </c>
      <c r="P1313" s="14"/>
    </row>
    <row r="1314">
      <c r="A1314" s="7">
        <v>42434.34377314815</v>
      </c>
      <c r="B1314" s="8" t="str">
        <f>HYPERLINK("https://twitter.com/mubarberino","@mubarberino")</f>
        <v>@mubarberino</v>
      </c>
      <c r="C1314" s="9" t="s">
        <v>1377</v>
      </c>
      <c r="D1314" s="9" t="s">
        <v>1208</v>
      </c>
      <c r="E1314" s="10" t="str">
        <f>HYPERLINK("https://twitter.com/mubarberino/status/706120840434176000","706120840434176000")</f>
        <v>706120840434176000</v>
      </c>
      <c r="F1314" s="11" t="s">
        <v>148</v>
      </c>
      <c r="G1314" s="12">
        <v>555.0</v>
      </c>
      <c r="H1314" s="12">
        <v>786.0</v>
      </c>
      <c r="I1314" s="12">
        <v>9.0</v>
      </c>
      <c r="J1314" s="12">
        <v>0.0</v>
      </c>
      <c r="K1314" s="11" t="s">
        <v>21</v>
      </c>
      <c r="L1314" s="7">
        <v>40005.48962962963</v>
      </c>
      <c r="M1314" s="13" t="s">
        <v>1378</v>
      </c>
      <c r="N1314" s="13" t="s">
        <v>1379</v>
      </c>
      <c r="O1314" s="10" t="str">
        <f>HYPERLINK("https://pbs.twimg.com/profile_images/3589049977/99b9697d3528b5c52cea9aa0070370e5_normal.jpeg","View")</f>
        <v>View</v>
      </c>
      <c r="P1314" s="14"/>
    </row>
    <row r="1315">
      <c r="A1315" s="7">
        <v>42434.34758101852</v>
      </c>
      <c r="B1315" s="8" t="str">
        <f>HYPERLINK("https://twitter.com/GHAUmass","@GHAUmass")</f>
        <v>@GHAUmass</v>
      </c>
      <c r="C1315" s="9" t="s">
        <v>30</v>
      </c>
      <c r="D1315" s="9" t="s">
        <v>1380</v>
      </c>
      <c r="E1315" s="10" t="str">
        <f>HYPERLINK("https://twitter.com/GHAUmass/status/706122223048892416","706122223048892416")</f>
        <v>706122223048892416</v>
      </c>
      <c r="F1315" s="11" t="s">
        <v>31</v>
      </c>
      <c r="G1315" s="12">
        <v>68.0</v>
      </c>
      <c r="H1315" s="12">
        <v>100.0</v>
      </c>
      <c r="I1315" s="12">
        <v>1.0</v>
      </c>
      <c r="J1315" s="12">
        <v>0.0</v>
      </c>
      <c r="K1315" s="11" t="s">
        <v>21</v>
      </c>
      <c r="L1315" s="7">
        <v>42152.65289351852</v>
      </c>
      <c r="M1315" s="13" t="s">
        <v>22</v>
      </c>
      <c r="N1315" s="13" t="s">
        <v>32</v>
      </c>
      <c r="O1315" s="10" t="str">
        <f>HYPERLINK("https://pbs.twimg.com/profile_images/604060333590855682/Fk6r1D7d_normal.jpg","View")</f>
        <v>View</v>
      </c>
      <c r="P1315" s="14"/>
    </row>
    <row r="1316">
      <c r="A1316" s="7">
        <v>42434.34769675926</v>
      </c>
      <c r="B1316" s="8" t="str">
        <f>HYPERLINK("https://twitter.com/juliegpeterson","@juliegpeterson")</f>
        <v>@juliegpeterson</v>
      </c>
      <c r="C1316" s="9" t="s">
        <v>24</v>
      </c>
      <c r="D1316" s="9" t="s">
        <v>1381</v>
      </c>
      <c r="E1316" s="10" t="str">
        <f>HYPERLINK("https://twitter.com/juliegpeterson/status/706122264987770881","706122264987770881")</f>
        <v>706122264987770881</v>
      </c>
      <c r="F1316" s="11" t="s">
        <v>26</v>
      </c>
      <c r="G1316" s="12">
        <v>239.0</v>
      </c>
      <c r="H1316" s="12">
        <v>775.0</v>
      </c>
      <c r="I1316" s="12">
        <v>0.0</v>
      </c>
      <c r="J1316" s="12">
        <v>0.0</v>
      </c>
      <c r="K1316" s="11" t="s">
        <v>21</v>
      </c>
      <c r="L1316" s="7">
        <v>41208.65523148148</v>
      </c>
      <c r="M1316" s="13" t="s">
        <v>22</v>
      </c>
      <c r="N1316" s="13" t="s">
        <v>27</v>
      </c>
      <c r="O1316" s="10" t="str">
        <f>HYPERLINK("https://pbs.twimg.com/profile_images/609765839051452416/GNW0wSt0_normal.jpg","View")</f>
        <v>View</v>
      </c>
      <c r="P1316" s="14"/>
    </row>
    <row r="1317">
      <c r="A1317" s="7">
        <v>42434.35465277778</v>
      </c>
      <c r="B1317" s="8" t="str">
        <f>HYPERLINK("https://twitter.com/NickBrownAuthor","@NickBrownAuthor")</f>
        <v>@NickBrownAuthor</v>
      </c>
      <c r="C1317" s="9" t="s">
        <v>1382</v>
      </c>
      <c r="D1317" s="9" t="s">
        <v>1383</v>
      </c>
      <c r="E1317" s="10" t="str">
        <f>HYPERLINK("https://twitter.com/NickBrownAuthor/status/706124783918956544","706124783918956544")</f>
        <v>706124783918956544</v>
      </c>
      <c r="F1317" s="11" t="s">
        <v>31</v>
      </c>
      <c r="G1317" s="12">
        <v>1484.0</v>
      </c>
      <c r="H1317" s="12">
        <v>1924.0</v>
      </c>
      <c r="I1317" s="12">
        <v>0.0</v>
      </c>
      <c r="J1317" s="12">
        <v>0.0</v>
      </c>
      <c r="K1317" s="11" t="s">
        <v>21</v>
      </c>
      <c r="L1317" s="7">
        <v>41358.43918981482</v>
      </c>
      <c r="M1317" s="13" t="s">
        <v>1384</v>
      </c>
      <c r="N1317" s="13" t="s">
        <v>1385</v>
      </c>
      <c r="O1317" s="10" t="str">
        <f>HYPERLINK("https://pbs.twimg.com/profile_images/3429109899/7b1290e07101b43b52049d0218ae5eaa_normal.jpeg","View")</f>
        <v>View</v>
      </c>
      <c r="P1317" s="14"/>
    </row>
    <row r="1318">
      <c r="A1318" s="7">
        <v>42434.355891203704</v>
      </c>
      <c r="B1318" s="8" t="str">
        <f>HYPERLINK("https://twitter.com/cherylharned","@cherylharned")</f>
        <v>@cherylharned</v>
      </c>
      <c r="C1318" s="9" t="s">
        <v>1371</v>
      </c>
      <c r="D1318" s="9" t="s">
        <v>1386</v>
      </c>
      <c r="E1318" s="10" t="str">
        <f>HYPERLINK("https://twitter.com/cherylharned/status/706125233573515264","706125233573515264")</f>
        <v>706125233573515264</v>
      </c>
      <c r="F1318" s="11" t="s">
        <v>26</v>
      </c>
      <c r="G1318" s="12">
        <v>99.0</v>
      </c>
      <c r="H1318" s="12">
        <v>407.0</v>
      </c>
      <c r="I1318" s="12">
        <v>2.0</v>
      </c>
      <c r="J1318" s="12">
        <v>3.0</v>
      </c>
      <c r="K1318" s="11" t="s">
        <v>21</v>
      </c>
      <c r="L1318" s="7">
        <v>41373.45469907408</v>
      </c>
      <c r="M1318" s="15"/>
      <c r="N1318" s="13" t="s">
        <v>1373</v>
      </c>
      <c r="O1318" s="10" t="str">
        <f>HYPERLINK("https://pbs.twimg.com/profile_images/535167858204893184/DNz9ruRN_normal.jpeg","View")</f>
        <v>View</v>
      </c>
      <c r="P1318" s="14"/>
    </row>
    <row r="1319">
      <c r="A1319" s="7">
        <v>42434.355937500004</v>
      </c>
      <c r="B1319" s="8" t="str">
        <f>HYPERLINK("https://twitter.com/magmidd","@magmidd")</f>
        <v>@magmidd</v>
      </c>
      <c r="C1319" s="9" t="s">
        <v>636</v>
      </c>
      <c r="D1319" s="9" t="s">
        <v>1387</v>
      </c>
      <c r="E1319" s="10" t="str">
        <f>HYPERLINK("https://twitter.com/magmidd/status/706125252124930049","706125252124930049")</f>
        <v>706125252124930049</v>
      </c>
      <c r="F1319" s="11" t="s">
        <v>148</v>
      </c>
      <c r="G1319" s="12">
        <v>1385.0</v>
      </c>
      <c r="H1319" s="12">
        <v>1353.0</v>
      </c>
      <c r="I1319" s="12">
        <v>0.0</v>
      </c>
      <c r="J1319" s="12">
        <v>2.0</v>
      </c>
      <c r="K1319" s="11" t="s">
        <v>21</v>
      </c>
      <c r="L1319" s="7">
        <v>41511.60082175926</v>
      </c>
      <c r="M1319" s="13" t="s">
        <v>197</v>
      </c>
      <c r="N1319" s="13" t="s">
        <v>638</v>
      </c>
      <c r="O1319" s="10" t="str">
        <f>HYPERLINK("https://pbs.twimg.com/profile_images/378800000450415007/82bcc7d0cab85e8d5920dbf5ded6715e_normal.jpeg","View")</f>
        <v>View</v>
      </c>
      <c r="P1319" s="14"/>
    </row>
    <row r="1320">
      <c r="A1320" s="7">
        <v>42434.35700231481</v>
      </c>
      <c r="B1320" s="8" t="str">
        <f t="shared" ref="B1320:B1321" si="293">HYPERLINK("https://twitter.com/MedeaCulpa","@MedeaCulpa")</f>
        <v>@MedeaCulpa</v>
      </c>
      <c r="C1320" s="9" t="s">
        <v>811</v>
      </c>
      <c r="D1320" s="9" t="s">
        <v>1388</v>
      </c>
      <c r="E1320" s="10" t="str">
        <f>HYPERLINK("https://twitter.com/MedeaCulpa/status/706125636272783361","706125636272783361")</f>
        <v>706125636272783361</v>
      </c>
      <c r="F1320" s="11" t="s">
        <v>148</v>
      </c>
      <c r="G1320" s="12">
        <v>971.0</v>
      </c>
      <c r="H1320" s="12">
        <v>424.0</v>
      </c>
      <c r="I1320" s="12">
        <v>1.0</v>
      </c>
      <c r="J1320" s="12">
        <v>0.0</v>
      </c>
      <c r="K1320" s="11" t="s">
        <v>21</v>
      </c>
      <c r="L1320" s="7">
        <v>39894.5790625</v>
      </c>
      <c r="M1320" s="13" t="s">
        <v>813</v>
      </c>
      <c r="N1320" s="13" t="s">
        <v>814</v>
      </c>
      <c r="O1320" s="10" t="str">
        <f t="shared" ref="O1320:O1321" si="294">HYPERLINK("https://pbs.twimg.com/profile_images/702272676837068800/xO5D7apz_normal.jpg","View")</f>
        <v>View</v>
      </c>
      <c r="P1320" s="14"/>
    </row>
    <row r="1321">
      <c r="A1321" s="7">
        <v>42434.35927083333</v>
      </c>
      <c r="B1321" s="8" t="str">
        <f t="shared" si="293"/>
        <v>@MedeaCulpa</v>
      </c>
      <c r="C1321" s="9" t="s">
        <v>811</v>
      </c>
      <c r="D1321" s="9" t="s">
        <v>1389</v>
      </c>
      <c r="E1321" s="10" t="str">
        <f>HYPERLINK("https://twitter.com/MedeaCulpa/status/706126457316184064","706126457316184064")</f>
        <v>706126457316184064</v>
      </c>
      <c r="F1321" s="11" t="s">
        <v>148</v>
      </c>
      <c r="G1321" s="12">
        <v>971.0</v>
      </c>
      <c r="H1321" s="12">
        <v>424.0</v>
      </c>
      <c r="I1321" s="12">
        <v>1.0</v>
      </c>
      <c r="J1321" s="12">
        <v>0.0</v>
      </c>
      <c r="K1321" s="11" t="s">
        <v>21</v>
      </c>
      <c r="L1321" s="7">
        <v>39894.5790625</v>
      </c>
      <c r="M1321" s="13" t="s">
        <v>813</v>
      </c>
      <c r="N1321" s="13" t="s">
        <v>814</v>
      </c>
      <c r="O1321" s="10" t="str">
        <f t="shared" si="294"/>
        <v>View</v>
      </c>
      <c r="P1321" s="14"/>
    </row>
    <row r="1322">
      <c r="A1322" s="7">
        <v>42434.35943287037</v>
      </c>
      <c r="B1322" s="8" t="str">
        <f>HYPERLINK("https://twitter.com/20sto60sMaia","@20sto60sMaia")</f>
        <v>@20sto60sMaia</v>
      </c>
      <c r="C1322" s="9" t="s">
        <v>1390</v>
      </c>
      <c r="D1322" s="9" t="s">
        <v>1391</v>
      </c>
      <c r="E1322" s="10" t="str">
        <f>HYPERLINK("https://twitter.com/20sto60sMaia/status/706126516980228098","706126516980228098")</f>
        <v>706126516980228098</v>
      </c>
      <c r="F1322" s="11" t="s">
        <v>31</v>
      </c>
      <c r="G1322" s="12">
        <v>22.0</v>
      </c>
      <c r="H1322" s="12">
        <v>68.0</v>
      </c>
      <c r="I1322" s="12">
        <v>1.0</v>
      </c>
      <c r="J1322" s="12">
        <v>0.0</v>
      </c>
      <c r="K1322" s="11" t="s">
        <v>21</v>
      </c>
      <c r="L1322" s="7">
        <v>42381.87462962963</v>
      </c>
      <c r="M1322" s="13" t="s">
        <v>539</v>
      </c>
      <c r="N1322" s="13" t="s">
        <v>1392</v>
      </c>
      <c r="O1322" s="10" t="str">
        <f>HYPERLINK("https://pbs.twimg.com/profile_images/687113621231529984/qLnmIKIk_normal.jpg","View")</f>
        <v>View</v>
      </c>
      <c r="P1322" s="14"/>
    </row>
    <row r="1323">
      <c r="A1323" s="7">
        <v>42434.360127314816</v>
      </c>
      <c r="B1323" s="8" t="str">
        <f>HYPERLINK("https://twitter.com/magmidd","@magmidd")</f>
        <v>@magmidd</v>
      </c>
      <c r="C1323" s="9" t="s">
        <v>636</v>
      </c>
      <c r="D1323" s="9" t="s">
        <v>1393</v>
      </c>
      <c r="E1323" s="10" t="str">
        <f>HYPERLINK("https://twitter.com/magmidd/status/706126770320351232","706126770320351232")</f>
        <v>706126770320351232</v>
      </c>
      <c r="F1323" s="11" t="s">
        <v>148</v>
      </c>
      <c r="G1323" s="12">
        <v>1385.0</v>
      </c>
      <c r="H1323" s="12">
        <v>1353.0</v>
      </c>
      <c r="I1323" s="12">
        <v>0.0</v>
      </c>
      <c r="J1323" s="12">
        <v>1.0</v>
      </c>
      <c r="K1323" s="11" t="s">
        <v>21</v>
      </c>
      <c r="L1323" s="7">
        <v>41511.60082175926</v>
      </c>
      <c r="M1323" s="13" t="s">
        <v>197</v>
      </c>
      <c r="N1323" s="13" t="s">
        <v>638</v>
      </c>
      <c r="O1323" s="10" t="str">
        <f>HYPERLINK("https://pbs.twimg.com/profile_images/378800000450415007/82bcc7d0cab85e8d5920dbf5ded6715e_normal.jpeg","View")</f>
        <v>View</v>
      </c>
      <c r="P1323" s="14"/>
    </row>
    <row r="1324">
      <c r="A1324" s="7">
        <v>42434.36111111111</v>
      </c>
      <c r="B1324" s="8" t="str">
        <f t="shared" ref="B1324:B1326" si="295">HYPERLINK("https://twitter.com/MedeaCulpa","@MedeaCulpa")</f>
        <v>@MedeaCulpa</v>
      </c>
      <c r="C1324" s="9" t="s">
        <v>811</v>
      </c>
      <c r="D1324" s="9" t="s">
        <v>1394</v>
      </c>
      <c r="E1324" s="10" t="str">
        <f>HYPERLINK("https://twitter.com/MedeaCulpa/status/706127125196247042","706127125196247042")</f>
        <v>706127125196247042</v>
      </c>
      <c r="F1324" s="11" t="s">
        <v>148</v>
      </c>
      <c r="G1324" s="12">
        <v>971.0</v>
      </c>
      <c r="H1324" s="12">
        <v>424.0</v>
      </c>
      <c r="I1324" s="12">
        <v>2.0</v>
      </c>
      <c r="J1324" s="12">
        <v>1.0</v>
      </c>
      <c r="K1324" s="11" t="s">
        <v>21</v>
      </c>
      <c r="L1324" s="7">
        <v>39894.5790625</v>
      </c>
      <c r="M1324" s="13" t="s">
        <v>813</v>
      </c>
      <c r="N1324" s="13" t="s">
        <v>814</v>
      </c>
      <c r="O1324" s="10" t="str">
        <f t="shared" ref="O1324:O1326" si="296">HYPERLINK("https://pbs.twimg.com/profile_images/702272676837068800/xO5D7apz_normal.jpg","View")</f>
        <v>View</v>
      </c>
      <c r="P1324" s="14"/>
    </row>
    <row r="1325">
      <c r="A1325" s="7">
        <v>42434.36256944445</v>
      </c>
      <c r="B1325" s="8" t="str">
        <f t="shared" si="295"/>
        <v>@MedeaCulpa</v>
      </c>
      <c r="C1325" s="9" t="s">
        <v>811</v>
      </c>
      <c r="D1325" s="9" t="s">
        <v>1395</v>
      </c>
      <c r="E1325" s="10" t="str">
        <f>HYPERLINK("https://twitter.com/MedeaCulpa/status/706127651954630656","706127651954630656")</f>
        <v>706127651954630656</v>
      </c>
      <c r="F1325" s="11" t="s">
        <v>148</v>
      </c>
      <c r="G1325" s="12">
        <v>971.0</v>
      </c>
      <c r="H1325" s="12">
        <v>424.0</v>
      </c>
      <c r="I1325" s="12">
        <v>1.0</v>
      </c>
      <c r="J1325" s="12">
        <v>0.0</v>
      </c>
      <c r="K1325" s="11" t="s">
        <v>21</v>
      </c>
      <c r="L1325" s="7">
        <v>39894.5790625</v>
      </c>
      <c r="M1325" s="13" t="s">
        <v>813</v>
      </c>
      <c r="N1325" s="13" t="s">
        <v>814</v>
      </c>
      <c r="O1325" s="10" t="str">
        <f t="shared" si="296"/>
        <v>View</v>
      </c>
      <c r="P1325" s="14"/>
    </row>
    <row r="1326">
      <c r="A1326" s="7">
        <v>42434.36359953704</v>
      </c>
      <c r="B1326" s="8" t="str">
        <f t="shared" si="295"/>
        <v>@MedeaCulpa</v>
      </c>
      <c r="C1326" s="9" t="s">
        <v>811</v>
      </c>
      <c r="D1326" s="9" t="s">
        <v>1396</v>
      </c>
      <c r="E1326" s="10" t="str">
        <f>HYPERLINK("https://twitter.com/MedeaCulpa/status/706128028527685632","706128028527685632")</f>
        <v>706128028527685632</v>
      </c>
      <c r="F1326" s="11" t="s">
        <v>148</v>
      </c>
      <c r="G1326" s="12">
        <v>971.0</v>
      </c>
      <c r="H1326" s="12">
        <v>424.0</v>
      </c>
      <c r="I1326" s="12">
        <v>1.0</v>
      </c>
      <c r="J1326" s="12">
        <v>0.0</v>
      </c>
      <c r="K1326" s="11" t="s">
        <v>21</v>
      </c>
      <c r="L1326" s="7">
        <v>39894.5790625</v>
      </c>
      <c r="M1326" s="13" t="s">
        <v>813</v>
      </c>
      <c r="N1326" s="13" t="s">
        <v>814</v>
      </c>
      <c r="O1326" s="10" t="str">
        <f t="shared" si="296"/>
        <v>View</v>
      </c>
      <c r="P1326" s="14"/>
    </row>
    <row r="1327">
      <c r="A1327" s="7">
        <v>42434.36368055556</v>
      </c>
      <c r="B1327" s="8" t="str">
        <f>HYPERLINK("https://twitter.com/Ravon_Ashley","@Ravon_Ashley")</f>
        <v>@Ravon_Ashley</v>
      </c>
      <c r="C1327" s="9" t="s">
        <v>1397</v>
      </c>
      <c r="D1327" s="9" t="s">
        <v>896</v>
      </c>
      <c r="E1327" s="10" t="str">
        <f>HYPERLINK("https://twitter.com/Ravon_Ashley/status/706128058210627584","706128058210627584")</f>
        <v>706128058210627584</v>
      </c>
      <c r="F1327" s="11" t="s">
        <v>26</v>
      </c>
      <c r="G1327" s="12">
        <v>625.0</v>
      </c>
      <c r="H1327" s="12">
        <v>860.0</v>
      </c>
      <c r="I1327" s="12">
        <v>10.0</v>
      </c>
      <c r="J1327" s="12">
        <v>0.0</v>
      </c>
      <c r="K1327" s="11" t="s">
        <v>21</v>
      </c>
      <c r="L1327" s="7">
        <v>41797.832141203704</v>
      </c>
      <c r="M1327" s="13" t="s">
        <v>1398</v>
      </c>
      <c r="N1327" s="13" t="s">
        <v>1399</v>
      </c>
      <c r="O1327" s="10" t="str">
        <f>HYPERLINK("https://pbs.twimg.com/profile_images/698618357755551745/q55PDqjo_normal.jpg","View")</f>
        <v>View</v>
      </c>
      <c r="P1327" s="14"/>
    </row>
    <row r="1328">
      <c r="A1328" s="7">
        <v>42434.364641203705</v>
      </c>
      <c r="B1328" s="8" t="str">
        <f>HYPERLINK("https://twitter.com/MedeaCulpa","@MedeaCulpa")</f>
        <v>@MedeaCulpa</v>
      </c>
      <c r="C1328" s="9" t="s">
        <v>811</v>
      </c>
      <c r="D1328" s="9" t="s">
        <v>1400</v>
      </c>
      <c r="E1328" s="10" t="str">
        <f>HYPERLINK("https://twitter.com/MedeaCulpa/status/706128403905323008","706128403905323008")</f>
        <v>706128403905323008</v>
      </c>
      <c r="F1328" s="11" t="s">
        <v>148</v>
      </c>
      <c r="G1328" s="12">
        <v>971.0</v>
      </c>
      <c r="H1328" s="12">
        <v>424.0</v>
      </c>
      <c r="I1328" s="12">
        <v>1.0</v>
      </c>
      <c r="J1328" s="12">
        <v>0.0</v>
      </c>
      <c r="K1328" s="11" t="s">
        <v>21</v>
      </c>
      <c r="L1328" s="7">
        <v>39894.5790625</v>
      </c>
      <c r="M1328" s="13" t="s">
        <v>813</v>
      </c>
      <c r="N1328" s="13" t="s">
        <v>814</v>
      </c>
      <c r="O1328" s="10" t="str">
        <f>HYPERLINK("https://pbs.twimg.com/profile_images/702272676837068800/xO5D7apz_normal.jpg","View")</f>
        <v>View</v>
      </c>
      <c r="P1328" s="14"/>
    </row>
    <row r="1329">
      <c r="A1329" s="7">
        <v>42434.36482638889</v>
      </c>
      <c r="B1329" s="8" t="str">
        <f>HYPERLINK("https://twitter.com/2brwngirls","@2brwngirls")</f>
        <v>@2brwngirls</v>
      </c>
      <c r="C1329" s="9" t="s">
        <v>1401</v>
      </c>
      <c r="D1329" s="9" t="s">
        <v>896</v>
      </c>
      <c r="E1329" s="10" t="str">
        <f>HYPERLINK("https://twitter.com/2brwngirls/status/706128470200299522","706128470200299522")</f>
        <v>706128470200299522</v>
      </c>
      <c r="F1329" s="11" t="s">
        <v>26</v>
      </c>
      <c r="G1329" s="12">
        <v>1061.0</v>
      </c>
      <c r="H1329" s="12">
        <v>1249.0</v>
      </c>
      <c r="I1329" s="12">
        <v>10.0</v>
      </c>
      <c r="J1329" s="12">
        <v>0.0</v>
      </c>
      <c r="K1329" s="11" t="s">
        <v>21</v>
      </c>
      <c r="L1329" s="7">
        <v>42084.77658564815</v>
      </c>
      <c r="M1329" s="13" t="s">
        <v>1398</v>
      </c>
      <c r="N1329" s="13" t="s">
        <v>1402</v>
      </c>
      <c r="O1329" s="10" t="str">
        <f>HYPERLINK("https://pbs.twimg.com/profile_images/592353555853357057/w2U8qYNX_normal.png","View")</f>
        <v>View</v>
      </c>
      <c r="P1329" s="14"/>
    </row>
    <row r="1330">
      <c r="A1330" s="7">
        <v>42434.36614583334</v>
      </c>
      <c r="B1330" s="8" t="str">
        <f>HYPERLINK("https://twitter.com/MelanieKiechle","@MelanieKiechle")</f>
        <v>@MelanieKiechle</v>
      </c>
      <c r="C1330" s="9" t="s">
        <v>1403</v>
      </c>
      <c r="D1330" s="9" t="s">
        <v>1208</v>
      </c>
      <c r="E1330" s="10" t="str">
        <f>HYPERLINK("https://twitter.com/MelanieKiechle/status/706128949282279424","706128949282279424")</f>
        <v>706128949282279424</v>
      </c>
      <c r="F1330" s="11" t="s">
        <v>26</v>
      </c>
      <c r="G1330" s="12">
        <v>143.0</v>
      </c>
      <c r="H1330" s="12">
        <v>244.0</v>
      </c>
      <c r="I1330" s="12">
        <v>9.0</v>
      </c>
      <c r="J1330" s="12">
        <v>0.0</v>
      </c>
      <c r="K1330" s="11" t="s">
        <v>21</v>
      </c>
      <c r="L1330" s="7">
        <v>42093.53653935185</v>
      </c>
      <c r="M1330" s="13" t="s">
        <v>1404</v>
      </c>
      <c r="N1330" s="13" t="s">
        <v>1405</v>
      </c>
      <c r="O1330" s="10" t="str">
        <f>HYPERLINK("https://pbs.twimg.com/profile_images/582971468058791936/-AjbqTgD_normal.jpg","View")</f>
        <v>View</v>
      </c>
      <c r="P1330" s="14"/>
    </row>
    <row r="1331">
      <c r="A1331" s="7">
        <v>42434.36642361111</v>
      </c>
      <c r="B1331" s="8" t="str">
        <f>HYPERLINK("https://twitter.com/MarlaAtUmass","@MarlaAtUmass")</f>
        <v>@MarlaAtUmass</v>
      </c>
      <c r="C1331" s="9" t="s">
        <v>45</v>
      </c>
      <c r="D1331" s="9" t="s">
        <v>1406</v>
      </c>
      <c r="E1331" s="10" t="str">
        <f>HYPERLINK("https://twitter.com/MarlaAtUmass/status/706129048628551682","706129048628551682")</f>
        <v>706129048628551682</v>
      </c>
      <c r="F1331" s="11" t="s">
        <v>453</v>
      </c>
      <c r="G1331" s="12">
        <v>1993.0</v>
      </c>
      <c r="H1331" s="12">
        <v>1647.0</v>
      </c>
      <c r="I1331" s="12">
        <v>1.0</v>
      </c>
      <c r="J1331" s="12">
        <v>0.0</v>
      </c>
      <c r="K1331" s="11" t="s">
        <v>21</v>
      </c>
      <c r="L1331" s="7">
        <v>40125.78074074074</v>
      </c>
      <c r="M1331" s="15"/>
      <c r="N1331" s="13" t="s">
        <v>47</v>
      </c>
      <c r="O1331" s="10" t="str">
        <f>HYPERLINK("https://pbs.twimg.com/profile_images/565429960/Betsy_Twitter_normal.jpg","View")</f>
        <v>View</v>
      </c>
      <c r="P1331" s="14"/>
    </row>
    <row r="1332">
      <c r="A1332" s="7">
        <v>42434.367638888885</v>
      </c>
      <c r="B1332" s="8" t="str">
        <f t="shared" ref="B1332:B1333" si="297">HYPERLINK("https://twitter.com/MedeaCulpa","@MedeaCulpa")</f>
        <v>@MedeaCulpa</v>
      </c>
      <c r="C1332" s="9" t="s">
        <v>811</v>
      </c>
      <c r="D1332" s="9" t="s">
        <v>1407</v>
      </c>
      <c r="E1332" s="10" t="str">
        <f>HYPERLINK("https://twitter.com/MedeaCulpa/status/706129490703941632","706129490703941632")</f>
        <v>706129490703941632</v>
      </c>
      <c r="F1332" s="11" t="s">
        <v>148</v>
      </c>
      <c r="G1332" s="12">
        <v>971.0</v>
      </c>
      <c r="H1332" s="12">
        <v>424.0</v>
      </c>
      <c r="I1332" s="12">
        <v>1.0</v>
      </c>
      <c r="J1332" s="12">
        <v>1.0</v>
      </c>
      <c r="K1332" s="11" t="s">
        <v>21</v>
      </c>
      <c r="L1332" s="7">
        <v>39894.5790625</v>
      </c>
      <c r="M1332" s="13" t="s">
        <v>813</v>
      </c>
      <c r="N1332" s="13" t="s">
        <v>814</v>
      </c>
      <c r="O1332" s="10" t="str">
        <f t="shared" ref="O1332:O1333" si="298">HYPERLINK("https://pbs.twimg.com/profile_images/702272676837068800/xO5D7apz_normal.jpg","View")</f>
        <v>View</v>
      </c>
      <c r="P1332" s="14"/>
    </row>
    <row r="1333">
      <c r="A1333" s="7">
        <v>42434.368680555555</v>
      </c>
      <c r="B1333" s="8" t="str">
        <f t="shared" si="297"/>
        <v>@MedeaCulpa</v>
      </c>
      <c r="C1333" s="9" t="s">
        <v>811</v>
      </c>
      <c r="D1333" s="9" t="s">
        <v>1408</v>
      </c>
      <c r="E1333" s="10" t="str">
        <f>HYPERLINK("https://twitter.com/MedeaCulpa/status/706129869151805440","706129869151805440")</f>
        <v>706129869151805440</v>
      </c>
      <c r="F1333" s="11" t="s">
        <v>148</v>
      </c>
      <c r="G1333" s="12">
        <v>971.0</v>
      </c>
      <c r="H1333" s="12">
        <v>424.0</v>
      </c>
      <c r="I1333" s="12">
        <v>2.0</v>
      </c>
      <c r="J1333" s="12">
        <v>1.0</v>
      </c>
      <c r="K1333" s="11" t="s">
        <v>21</v>
      </c>
      <c r="L1333" s="7">
        <v>39894.5790625</v>
      </c>
      <c r="M1333" s="13" t="s">
        <v>813</v>
      </c>
      <c r="N1333" s="13" t="s">
        <v>814</v>
      </c>
      <c r="O1333" s="10" t="str">
        <f t="shared" si="298"/>
        <v>View</v>
      </c>
      <c r="P1333" s="14"/>
    </row>
    <row r="1334">
      <c r="A1334" s="7">
        <v>42434.37113425926</v>
      </c>
      <c r="B1334" s="8" t="str">
        <f>HYPERLINK("https://twitter.com/cherylharned","@cherylharned")</f>
        <v>@cherylharned</v>
      </c>
      <c r="C1334" s="9" t="s">
        <v>1371</v>
      </c>
      <c r="D1334" s="9" t="s">
        <v>1409</v>
      </c>
      <c r="E1334" s="10" t="str">
        <f>HYPERLINK("https://twitter.com/cherylharned/status/706130757106929664","706130757106929664")</f>
        <v>706130757106929664</v>
      </c>
      <c r="F1334" s="11" t="s">
        <v>26</v>
      </c>
      <c r="G1334" s="12">
        <v>99.0</v>
      </c>
      <c r="H1334" s="12">
        <v>407.0</v>
      </c>
      <c r="I1334" s="12">
        <v>0.0</v>
      </c>
      <c r="J1334" s="12">
        <v>1.0</v>
      </c>
      <c r="K1334" s="11" t="s">
        <v>21</v>
      </c>
      <c r="L1334" s="7">
        <v>41373.45469907408</v>
      </c>
      <c r="M1334" s="15"/>
      <c r="N1334" s="13" t="s">
        <v>1373</v>
      </c>
      <c r="O1334" s="10" t="str">
        <f>HYPERLINK("https://pbs.twimg.com/profile_images/535167858204893184/DNz9ruRN_normal.jpeg","View")</f>
        <v>View</v>
      </c>
      <c r="P1334" s="14"/>
    </row>
    <row r="1335">
      <c r="A1335" s="7">
        <v>42434.37222222222</v>
      </c>
      <c r="B1335" s="8" t="str">
        <f>HYPERLINK("https://twitter.com/MarlaAtUmass","@MarlaAtUmass")</f>
        <v>@MarlaAtUmass</v>
      </c>
      <c r="C1335" s="9" t="s">
        <v>45</v>
      </c>
      <c r="D1335" s="9" t="s">
        <v>1410</v>
      </c>
      <c r="E1335" s="10" t="str">
        <f>HYPERLINK("https://twitter.com/MarlaAtUmass/status/706131152118136832","706131152118136832")</f>
        <v>706131152118136832</v>
      </c>
      <c r="F1335" s="11" t="s">
        <v>26</v>
      </c>
      <c r="G1335" s="12">
        <v>1993.0</v>
      </c>
      <c r="H1335" s="12">
        <v>1647.0</v>
      </c>
      <c r="I1335" s="12">
        <v>4.0</v>
      </c>
      <c r="J1335" s="12">
        <v>5.0</v>
      </c>
      <c r="K1335" s="11" t="s">
        <v>21</v>
      </c>
      <c r="L1335" s="7">
        <v>40125.78074074074</v>
      </c>
      <c r="M1335" s="15"/>
      <c r="N1335" s="13" t="s">
        <v>47</v>
      </c>
      <c r="O1335" s="10" t="str">
        <f>HYPERLINK("https://pbs.twimg.com/profile_images/565429960/Betsy_Twitter_normal.jpg","View")</f>
        <v>View</v>
      </c>
      <c r="P1335" s="14"/>
    </row>
    <row r="1336">
      <c r="A1336" s="7">
        <v>42434.37553240741</v>
      </c>
      <c r="B1336" s="8" t="str">
        <f>HYPERLINK("https://twitter.com/yoruba69","@yoruba69")</f>
        <v>@yoruba69</v>
      </c>
      <c r="C1336" s="9" t="s">
        <v>1411</v>
      </c>
      <c r="D1336" s="9" t="s">
        <v>1412</v>
      </c>
      <c r="E1336" s="10" t="str">
        <f>HYPERLINK("https://twitter.com/yoruba69/status/706132351559065600","706132351559065600")</f>
        <v>706132351559065600</v>
      </c>
      <c r="F1336" s="11" t="s">
        <v>148</v>
      </c>
      <c r="G1336" s="12">
        <v>2239.0</v>
      </c>
      <c r="H1336" s="12">
        <v>2238.0</v>
      </c>
      <c r="I1336" s="12">
        <v>2.0</v>
      </c>
      <c r="J1336" s="12">
        <v>0.0</v>
      </c>
      <c r="K1336" s="11" t="s">
        <v>21</v>
      </c>
      <c r="L1336" s="7">
        <v>41049.3821875</v>
      </c>
      <c r="M1336" s="13" t="s">
        <v>1413</v>
      </c>
      <c r="N1336" s="13" t="s">
        <v>1414</v>
      </c>
      <c r="O1336" s="10" t="str">
        <f>HYPERLINK("https://pbs.twimg.com/profile_images/622453632278089728/laexYIBB_normal.jpg","View")</f>
        <v>View</v>
      </c>
      <c r="P1336" s="14"/>
    </row>
    <row r="1337">
      <c r="A1337" s="7">
        <v>42434.376435185186</v>
      </c>
      <c r="B1337" s="8" t="str">
        <f>HYPERLINK("https://twitter.com/erippel8","@erippel8")</f>
        <v>@erippel8</v>
      </c>
      <c r="C1337" s="9" t="s">
        <v>1415</v>
      </c>
      <c r="D1337" s="9" t="s">
        <v>1416</v>
      </c>
      <c r="E1337" s="10" t="str">
        <f>HYPERLINK("https://twitter.com/erippel8/status/706132678970634240","706132678970634240")</f>
        <v>706132678970634240</v>
      </c>
      <c r="F1337" s="11" t="s">
        <v>31</v>
      </c>
      <c r="G1337" s="12">
        <v>177.0</v>
      </c>
      <c r="H1337" s="12">
        <v>287.0</v>
      </c>
      <c r="I1337" s="12">
        <v>0.0</v>
      </c>
      <c r="J1337" s="12">
        <v>1.0</v>
      </c>
      <c r="K1337" s="11" t="s">
        <v>21</v>
      </c>
      <c r="L1337" s="7">
        <v>41279.50915509259</v>
      </c>
      <c r="M1337" s="13" t="s">
        <v>1417</v>
      </c>
      <c r="N1337" s="13" t="s">
        <v>1418</v>
      </c>
      <c r="O1337" s="10" t="str">
        <f>HYPERLINK("https://pbs.twimg.com/profile_images/592498810208784385/AC1TjaTg_normal.jpg","View")</f>
        <v>View</v>
      </c>
      <c r="P1337" s="14"/>
    </row>
    <row r="1338">
      <c r="A1338" s="7">
        <v>42434.37719907408</v>
      </c>
      <c r="B1338" s="8" t="str">
        <f>HYPERLINK("https://twitter.com/JulieThePH","@JulieThePH")</f>
        <v>@JulieThePH</v>
      </c>
      <c r="C1338" s="9" t="s">
        <v>211</v>
      </c>
      <c r="D1338" s="9" t="s">
        <v>1419</v>
      </c>
      <c r="E1338" s="10" t="str">
        <f>HYPERLINK("https://twitter.com/JulieThePH/status/706132956729974784","706132956729974784")</f>
        <v>706132956729974784</v>
      </c>
      <c r="F1338" s="11" t="s">
        <v>31</v>
      </c>
      <c r="G1338" s="12">
        <v>1234.0</v>
      </c>
      <c r="H1338" s="12">
        <v>1386.0</v>
      </c>
      <c r="I1338" s="12">
        <v>0.0</v>
      </c>
      <c r="J1338" s="12">
        <v>1.0</v>
      </c>
      <c r="K1338" s="11" t="s">
        <v>21</v>
      </c>
      <c r="L1338" s="7">
        <v>40718.66918981481</v>
      </c>
      <c r="M1338" s="13" t="s">
        <v>213</v>
      </c>
      <c r="N1338" s="13" t="s">
        <v>214</v>
      </c>
      <c r="O1338" s="10" t="str">
        <f>HYPERLINK("https://pbs.twimg.com/profile_images/596509974005686273/AqBblwMR_normal.jpg","View")</f>
        <v>View</v>
      </c>
      <c r="P1338" s="14"/>
    </row>
    <row r="1339">
      <c r="A1339" s="7">
        <v>42434.37768518519</v>
      </c>
      <c r="B1339" s="8" t="str">
        <f>HYPERLINK("https://twitter.com/pastpunditry","@pastpunditry")</f>
        <v>@pastpunditry</v>
      </c>
      <c r="C1339" s="9" t="s">
        <v>92</v>
      </c>
      <c r="D1339" s="9" t="s">
        <v>1420</v>
      </c>
      <c r="E1339" s="10" t="str">
        <f>HYPERLINK("https://twitter.com/pastpunditry/status/706133132173508608","706133132173508608")</f>
        <v>706133132173508608</v>
      </c>
      <c r="F1339" s="11" t="s">
        <v>77</v>
      </c>
      <c r="G1339" s="12">
        <v>890.0</v>
      </c>
      <c r="H1339" s="12">
        <v>378.0</v>
      </c>
      <c r="I1339" s="12">
        <v>4.0</v>
      </c>
      <c r="J1339" s="12">
        <v>0.0</v>
      </c>
      <c r="K1339" s="11" t="s">
        <v>21</v>
      </c>
      <c r="L1339" s="7">
        <v>40283.384351851855</v>
      </c>
      <c r="M1339" s="13" t="s">
        <v>94</v>
      </c>
      <c r="N1339" s="13" t="s">
        <v>95</v>
      </c>
      <c r="O1339" s="10" t="str">
        <f>HYPERLINK("https://pbs.twimg.com/profile_images/704873222802636800/7aFEMOY5_normal.jpg","View")</f>
        <v>View</v>
      </c>
      <c r="P1339" s="14"/>
    </row>
    <row r="1340">
      <c r="A1340" s="7">
        <v>42434.37782407408</v>
      </c>
      <c r="B1340" s="8" t="str">
        <f t="shared" ref="B1340:B1341" si="299">HYPERLINK("https://twitter.com/JulieThePH","@JulieThePH")</f>
        <v>@JulieThePH</v>
      </c>
      <c r="C1340" s="9" t="s">
        <v>211</v>
      </c>
      <c r="D1340" s="9" t="s">
        <v>1420</v>
      </c>
      <c r="E1340" s="10" t="str">
        <f>HYPERLINK("https://twitter.com/JulieThePH/status/706133183511838722","706133183511838722")</f>
        <v>706133183511838722</v>
      </c>
      <c r="F1340" s="11" t="s">
        <v>31</v>
      </c>
      <c r="G1340" s="12">
        <v>1234.0</v>
      </c>
      <c r="H1340" s="12">
        <v>1386.0</v>
      </c>
      <c r="I1340" s="12">
        <v>4.0</v>
      </c>
      <c r="J1340" s="12">
        <v>0.0</v>
      </c>
      <c r="K1340" s="11" t="s">
        <v>21</v>
      </c>
      <c r="L1340" s="7">
        <v>40718.66918981481</v>
      </c>
      <c r="M1340" s="13" t="s">
        <v>213</v>
      </c>
      <c r="N1340" s="13" t="s">
        <v>214</v>
      </c>
      <c r="O1340" s="10" t="str">
        <f t="shared" ref="O1340:O1341" si="300">HYPERLINK("https://pbs.twimg.com/profile_images/596509974005686273/AqBblwMR_normal.jpg","View")</f>
        <v>View</v>
      </c>
      <c r="P1340" s="14"/>
    </row>
    <row r="1341">
      <c r="A1341" s="7">
        <v>42434.378009259264</v>
      </c>
      <c r="B1341" s="8" t="str">
        <f t="shared" si="299"/>
        <v>@JulieThePH</v>
      </c>
      <c r="C1341" s="9" t="s">
        <v>211</v>
      </c>
      <c r="D1341" s="9" t="s">
        <v>1421</v>
      </c>
      <c r="E1341" s="10" t="str">
        <f>HYPERLINK("https://twitter.com/JulieThePH/status/706133249219756032","706133249219756032")</f>
        <v>706133249219756032</v>
      </c>
      <c r="F1341" s="11" t="s">
        <v>31</v>
      </c>
      <c r="G1341" s="12">
        <v>1234.0</v>
      </c>
      <c r="H1341" s="12">
        <v>1386.0</v>
      </c>
      <c r="I1341" s="12">
        <v>1.0</v>
      </c>
      <c r="J1341" s="12">
        <v>0.0</v>
      </c>
      <c r="K1341" s="11" t="s">
        <v>21</v>
      </c>
      <c r="L1341" s="7">
        <v>40718.66918981481</v>
      </c>
      <c r="M1341" s="13" t="s">
        <v>213</v>
      </c>
      <c r="N1341" s="13" t="s">
        <v>214</v>
      </c>
      <c r="O1341" s="10" t="str">
        <f t="shared" si="300"/>
        <v>View</v>
      </c>
      <c r="P1341" s="14"/>
    </row>
    <row r="1342">
      <c r="A1342" s="7">
        <v>42434.378333333334</v>
      </c>
      <c r="B1342" s="8" t="str">
        <f>HYPERLINK("https://twitter.com/jamiaw","@jamiaw")</f>
        <v>@jamiaw</v>
      </c>
      <c r="C1342" s="9" t="s">
        <v>324</v>
      </c>
      <c r="D1342" s="9" t="s">
        <v>1422</v>
      </c>
      <c r="E1342" s="10" t="str">
        <f>HYPERLINK("https://twitter.com/jamiaw/status/706133366089850880","706133366089850880")</f>
        <v>706133366089850880</v>
      </c>
      <c r="F1342" s="11" t="s">
        <v>26</v>
      </c>
      <c r="G1342" s="12">
        <v>11336.0</v>
      </c>
      <c r="H1342" s="12">
        <v>7815.0</v>
      </c>
      <c r="I1342" s="12">
        <v>1.0</v>
      </c>
      <c r="J1342" s="12">
        <v>0.0</v>
      </c>
      <c r="K1342" s="11" t="s">
        <v>21</v>
      </c>
      <c r="L1342" s="7">
        <v>39642.39741898148</v>
      </c>
      <c r="M1342" s="13" t="s">
        <v>325</v>
      </c>
      <c r="N1342" s="13" t="s">
        <v>326</v>
      </c>
      <c r="O1342" s="10" t="str">
        <f>HYPERLINK("https://pbs.twimg.com/profile_images/701102020061753344/5zH70uem_normal.jpg","View")</f>
        <v>View</v>
      </c>
      <c r="P1342" s="14"/>
    </row>
    <row r="1343">
      <c r="A1343" s="7">
        <v>42434.37872685185</v>
      </c>
      <c r="B1343" s="8" t="str">
        <f>HYPERLINK("https://twitter.com/pastpunditry","@pastpunditry")</f>
        <v>@pastpunditry</v>
      </c>
      <c r="C1343" s="9" t="s">
        <v>92</v>
      </c>
      <c r="D1343" s="9" t="s">
        <v>1423</v>
      </c>
      <c r="E1343" s="10" t="str">
        <f>HYPERLINK("https://twitter.com/pastpunditry/status/706133508444520449","706133508444520449")</f>
        <v>706133508444520449</v>
      </c>
      <c r="F1343" s="11" t="s">
        <v>77</v>
      </c>
      <c r="G1343" s="12">
        <v>890.0</v>
      </c>
      <c r="H1343" s="12">
        <v>378.0</v>
      </c>
      <c r="I1343" s="12">
        <v>1.0</v>
      </c>
      <c r="J1343" s="12">
        <v>1.0</v>
      </c>
      <c r="K1343" s="11" t="s">
        <v>21</v>
      </c>
      <c r="L1343" s="7">
        <v>40283.384351851855</v>
      </c>
      <c r="M1343" s="13" t="s">
        <v>94</v>
      </c>
      <c r="N1343" s="13" t="s">
        <v>95</v>
      </c>
      <c r="O1343" s="10" t="str">
        <f>HYPERLINK("https://pbs.twimg.com/profile_images/704873222802636800/7aFEMOY5_normal.jpg","View")</f>
        <v>View</v>
      </c>
      <c r="P1343" s="14"/>
    </row>
    <row r="1344">
      <c r="A1344" s="7">
        <v>42434.378807870366</v>
      </c>
      <c r="B1344" s="8" t="str">
        <f>HYPERLINK("https://twitter.com/jbjhistory","@jbjhistory")</f>
        <v>@jbjhistory</v>
      </c>
      <c r="C1344" s="9" t="s">
        <v>70</v>
      </c>
      <c r="D1344" s="9" t="s">
        <v>1424</v>
      </c>
      <c r="E1344" s="10" t="str">
        <f>HYPERLINK("https://twitter.com/jbjhistory/status/706133536491880449","706133536491880449")</f>
        <v>706133536491880449</v>
      </c>
      <c r="F1344" s="11" t="s">
        <v>31</v>
      </c>
      <c r="G1344" s="12">
        <v>496.0</v>
      </c>
      <c r="H1344" s="12">
        <v>914.0</v>
      </c>
      <c r="I1344" s="12">
        <v>0.0</v>
      </c>
      <c r="J1344" s="12">
        <v>1.0</v>
      </c>
      <c r="K1344" s="11" t="s">
        <v>21</v>
      </c>
      <c r="L1344" s="7">
        <v>41022.75231481482</v>
      </c>
      <c r="M1344" s="13" t="s">
        <v>73</v>
      </c>
      <c r="N1344" s="13" t="s">
        <v>74</v>
      </c>
      <c r="O1344" s="10" t="str">
        <f>HYPERLINK("https://pbs.twimg.com/profile_images/572584579542691840/6QE8hkeK_normal.jpeg","View")</f>
        <v>View</v>
      </c>
      <c r="P1344" s="14"/>
    </row>
    <row r="1345">
      <c r="A1345" s="7">
        <v>42434.37892361111</v>
      </c>
      <c r="B1345" s="8" t="str">
        <f>HYPERLINK("https://twitter.com/JulieThePH","@JulieThePH")</f>
        <v>@JulieThePH</v>
      </c>
      <c r="C1345" s="9" t="s">
        <v>211</v>
      </c>
      <c r="D1345" s="9" t="s">
        <v>1425</v>
      </c>
      <c r="E1345" s="10" t="str">
        <f>HYPERLINK("https://twitter.com/JulieThePH/status/706133580049682433","706133580049682433")</f>
        <v>706133580049682433</v>
      </c>
      <c r="F1345" s="11" t="s">
        <v>31</v>
      </c>
      <c r="G1345" s="12">
        <v>1234.0</v>
      </c>
      <c r="H1345" s="12">
        <v>1386.0</v>
      </c>
      <c r="I1345" s="12">
        <v>4.0</v>
      </c>
      <c r="J1345" s="12">
        <v>4.0</v>
      </c>
      <c r="K1345" s="11" t="s">
        <v>21</v>
      </c>
      <c r="L1345" s="7">
        <v>40718.66918981481</v>
      </c>
      <c r="M1345" s="13" t="s">
        <v>213</v>
      </c>
      <c r="N1345" s="13" t="s">
        <v>214</v>
      </c>
      <c r="O1345" s="10" t="str">
        <f>HYPERLINK("https://pbs.twimg.com/profile_images/596509974005686273/AqBblwMR_normal.jpg","View")</f>
        <v>View</v>
      </c>
      <c r="P1345" s="14"/>
    </row>
    <row r="1346">
      <c r="A1346" s="7">
        <v>42434.37896990741</v>
      </c>
      <c r="B1346" s="8" t="str">
        <f t="shared" ref="B1346:B1347" si="301">HYPERLINK("https://twitter.com/pastpunditry","@pastpunditry")</f>
        <v>@pastpunditry</v>
      </c>
      <c r="C1346" s="9" t="s">
        <v>92</v>
      </c>
      <c r="D1346" s="9" t="s">
        <v>1426</v>
      </c>
      <c r="E1346" s="10" t="str">
        <f>HYPERLINK("https://twitter.com/pastpunditry/status/706133598886367232","706133598886367232")</f>
        <v>706133598886367232</v>
      </c>
      <c r="F1346" s="11" t="s">
        <v>77</v>
      </c>
      <c r="G1346" s="12">
        <v>890.0</v>
      </c>
      <c r="H1346" s="12">
        <v>378.0</v>
      </c>
      <c r="I1346" s="12">
        <v>4.0</v>
      </c>
      <c r="J1346" s="12">
        <v>0.0</v>
      </c>
      <c r="K1346" s="11" t="s">
        <v>21</v>
      </c>
      <c r="L1346" s="7">
        <v>40283.384351851855</v>
      </c>
      <c r="M1346" s="13" t="s">
        <v>94</v>
      </c>
      <c r="N1346" s="13" t="s">
        <v>95</v>
      </c>
      <c r="O1346" s="10" t="str">
        <f t="shared" ref="O1346:O1347" si="302">HYPERLINK("https://pbs.twimg.com/profile_images/704873222802636800/7aFEMOY5_normal.jpg","View")</f>
        <v>View</v>
      </c>
      <c r="P1346" s="14"/>
    </row>
    <row r="1347">
      <c r="A1347" s="7">
        <v>42434.37949074074</v>
      </c>
      <c r="B1347" s="8" t="str">
        <f t="shared" si="301"/>
        <v>@pastpunditry</v>
      </c>
      <c r="C1347" s="9" t="s">
        <v>92</v>
      </c>
      <c r="D1347" s="9" t="s">
        <v>1427</v>
      </c>
      <c r="E1347" s="10" t="str">
        <f>HYPERLINK("https://twitter.com/pastpunditry/status/706133787344834560","706133787344834560")</f>
        <v>706133787344834560</v>
      </c>
      <c r="F1347" s="11" t="s">
        <v>77</v>
      </c>
      <c r="G1347" s="12">
        <v>890.0</v>
      </c>
      <c r="H1347" s="12">
        <v>378.0</v>
      </c>
      <c r="I1347" s="12">
        <v>0.0</v>
      </c>
      <c r="J1347" s="12">
        <v>0.0</v>
      </c>
      <c r="K1347" s="11" t="s">
        <v>21</v>
      </c>
      <c r="L1347" s="7">
        <v>40283.384351851855</v>
      </c>
      <c r="M1347" s="13" t="s">
        <v>94</v>
      </c>
      <c r="N1347" s="13" t="s">
        <v>95</v>
      </c>
      <c r="O1347" s="10" t="str">
        <f t="shared" si="302"/>
        <v>View</v>
      </c>
      <c r="P1347" s="14"/>
    </row>
    <row r="1348">
      <c r="A1348" s="7">
        <v>42434.37954861111</v>
      </c>
      <c r="B1348" s="8" t="str">
        <f>HYPERLINK("https://twitter.com/allisonhorrocks","@allisonhorrocks")</f>
        <v>@allisonhorrocks</v>
      </c>
      <c r="C1348" s="9" t="s">
        <v>105</v>
      </c>
      <c r="D1348" s="9" t="s">
        <v>1428</v>
      </c>
      <c r="E1348" s="10" t="str">
        <f>HYPERLINK("https://twitter.com/allisonhorrocks/status/706133806248534016","706133806248534016")</f>
        <v>706133806248534016</v>
      </c>
      <c r="F1348" s="11" t="s">
        <v>26</v>
      </c>
      <c r="G1348" s="12">
        <v>122.0</v>
      </c>
      <c r="H1348" s="12">
        <v>260.0</v>
      </c>
      <c r="I1348" s="12">
        <v>1.0</v>
      </c>
      <c r="J1348" s="12">
        <v>0.0</v>
      </c>
      <c r="K1348" s="11" t="s">
        <v>21</v>
      </c>
      <c r="L1348" s="7">
        <v>39874.8815625</v>
      </c>
      <c r="M1348" s="13" t="s">
        <v>106</v>
      </c>
      <c r="N1348" s="13" t="s">
        <v>107</v>
      </c>
      <c r="O1348" s="10" t="str">
        <f>HYPERLINK("https://pbs.twimg.com/profile_images/562279222522032128/-phaZgxO_normal.jpeg","View")</f>
        <v>View</v>
      </c>
      <c r="P1348" s="14"/>
    </row>
    <row r="1349">
      <c r="A1349" s="7">
        <v>42434.38005787037</v>
      </c>
      <c r="B1349" s="8" t="str">
        <f t="shared" ref="B1349:B1350" si="303">HYPERLINK("https://twitter.com/pastpunditry","@pastpunditry")</f>
        <v>@pastpunditry</v>
      </c>
      <c r="C1349" s="9" t="s">
        <v>92</v>
      </c>
      <c r="D1349" s="9" t="s">
        <v>1429</v>
      </c>
      <c r="E1349" s="10" t="str">
        <f>HYPERLINK("https://twitter.com/pastpunditry/status/706133991213146112","706133991213146112")</f>
        <v>706133991213146112</v>
      </c>
      <c r="F1349" s="11" t="s">
        <v>77</v>
      </c>
      <c r="G1349" s="12">
        <v>890.0</v>
      </c>
      <c r="H1349" s="12">
        <v>378.0</v>
      </c>
      <c r="I1349" s="12">
        <v>1.0</v>
      </c>
      <c r="J1349" s="12">
        <v>0.0</v>
      </c>
      <c r="K1349" s="11" t="s">
        <v>21</v>
      </c>
      <c r="L1349" s="7">
        <v>40283.384351851855</v>
      </c>
      <c r="M1349" s="13" t="s">
        <v>94</v>
      </c>
      <c r="N1349" s="13" t="s">
        <v>95</v>
      </c>
      <c r="O1349" s="10" t="str">
        <f t="shared" ref="O1349:O1350" si="304">HYPERLINK("https://pbs.twimg.com/profile_images/704873222802636800/7aFEMOY5_normal.jpg","View")</f>
        <v>View</v>
      </c>
      <c r="P1349" s="14"/>
    </row>
    <row r="1350">
      <c r="A1350" s="7">
        <v>42434.380636574075</v>
      </c>
      <c r="B1350" s="8" t="str">
        <f t="shared" si="303"/>
        <v>@pastpunditry</v>
      </c>
      <c r="C1350" s="9" t="s">
        <v>92</v>
      </c>
      <c r="D1350" s="9" t="s">
        <v>1430</v>
      </c>
      <c r="E1350" s="10" t="str">
        <f>HYPERLINK("https://twitter.com/pastpunditry/status/706134200596963328","706134200596963328")</f>
        <v>706134200596963328</v>
      </c>
      <c r="F1350" s="11" t="s">
        <v>77</v>
      </c>
      <c r="G1350" s="12">
        <v>890.0</v>
      </c>
      <c r="H1350" s="12">
        <v>378.0</v>
      </c>
      <c r="I1350" s="12">
        <v>2.0</v>
      </c>
      <c r="J1350" s="12">
        <v>1.0</v>
      </c>
      <c r="K1350" s="11" t="s">
        <v>21</v>
      </c>
      <c r="L1350" s="7">
        <v>40283.384351851855</v>
      </c>
      <c r="M1350" s="13" t="s">
        <v>94</v>
      </c>
      <c r="N1350" s="13" t="s">
        <v>95</v>
      </c>
      <c r="O1350" s="10" t="str">
        <f t="shared" si="304"/>
        <v>View</v>
      </c>
      <c r="P1350" s="14"/>
    </row>
    <row r="1351">
      <c r="A1351" s="7">
        <v>42434.381018518514</v>
      </c>
      <c r="B1351" s="8" t="str">
        <f>HYPERLINK("https://twitter.com/JulieThePH","@JulieThePH")</f>
        <v>@JulieThePH</v>
      </c>
      <c r="C1351" s="9" t="s">
        <v>211</v>
      </c>
      <c r="D1351" s="9" t="s">
        <v>1431</v>
      </c>
      <c r="E1351" s="10" t="str">
        <f>HYPERLINK("https://twitter.com/JulieThePH/status/706134340531527680","706134340531527680")</f>
        <v>706134340531527680</v>
      </c>
      <c r="F1351" s="11" t="s">
        <v>31</v>
      </c>
      <c r="G1351" s="12">
        <v>1234.0</v>
      </c>
      <c r="H1351" s="12">
        <v>1386.0</v>
      </c>
      <c r="I1351" s="12">
        <v>2.0</v>
      </c>
      <c r="J1351" s="12">
        <v>0.0</v>
      </c>
      <c r="K1351" s="11" t="s">
        <v>21</v>
      </c>
      <c r="L1351" s="7">
        <v>40718.66918981481</v>
      </c>
      <c r="M1351" s="13" t="s">
        <v>213</v>
      </c>
      <c r="N1351" s="13" t="s">
        <v>214</v>
      </c>
      <c r="O1351" s="10" t="str">
        <f>HYPERLINK("https://pbs.twimg.com/profile_images/596509974005686273/AqBblwMR_normal.jpg","View")</f>
        <v>View</v>
      </c>
      <c r="P1351" s="14"/>
    </row>
    <row r="1352">
      <c r="A1352" s="7">
        <v>42434.38121527778</v>
      </c>
      <c r="B1352" s="8" t="str">
        <f>HYPERLINK("https://twitter.com/pastpunditry","@pastpunditry")</f>
        <v>@pastpunditry</v>
      </c>
      <c r="C1352" s="9" t="s">
        <v>92</v>
      </c>
      <c r="D1352" s="9" t="s">
        <v>1432</v>
      </c>
      <c r="E1352" s="10" t="str">
        <f>HYPERLINK("https://twitter.com/pastpunditry/status/706134412094742533","706134412094742533")</f>
        <v>706134412094742533</v>
      </c>
      <c r="F1352" s="11" t="s">
        <v>77</v>
      </c>
      <c r="G1352" s="12">
        <v>890.0</v>
      </c>
      <c r="H1352" s="12">
        <v>378.0</v>
      </c>
      <c r="I1352" s="12">
        <v>0.0</v>
      </c>
      <c r="J1352" s="12">
        <v>0.0</v>
      </c>
      <c r="K1352" s="11" t="s">
        <v>21</v>
      </c>
      <c r="L1352" s="7">
        <v>40283.384351851855</v>
      </c>
      <c r="M1352" s="13" t="s">
        <v>94</v>
      </c>
      <c r="N1352" s="13" t="s">
        <v>95</v>
      </c>
      <c r="O1352" s="10" t="str">
        <f>HYPERLINK("https://pbs.twimg.com/profile_images/704873222802636800/7aFEMOY5_normal.jpg","View")</f>
        <v>View</v>
      </c>
      <c r="P1352" s="14"/>
    </row>
    <row r="1353">
      <c r="A1353" s="7">
        <v>42434.38266203704</v>
      </c>
      <c r="B1353" s="8" t="str">
        <f>HYPERLINK("https://twitter.com/magmidd","@magmidd")</f>
        <v>@magmidd</v>
      </c>
      <c r="C1353" s="9" t="s">
        <v>636</v>
      </c>
      <c r="D1353" s="9" t="s">
        <v>1426</v>
      </c>
      <c r="E1353" s="10" t="str">
        <f>HYPERLINK("https://twitter.com/magmidd/status/706134935338422272","706134935338422272")</f>
        <v>706134935338422272</v>
      </c>
      <c r="F1353" s="11" t="s">
        <v>148</v>
      </c>
      <c r="G1353" s="12">
        <v>1385.0</v>
      </c>
      <c r="H1353" s="12">
        <v>1353.0</v>
      </c>
      <c r="I1353" s="12">
        <v>4.0</v>
      </c>
      <c r="J1353" s="12">
        <v>0.0</v>
      </c>
      <c r="K1353" s="11" t="s">
        <v>21</v>
      </c>
      <c r="L1353" s="7">
        <v>41511.60082175926</v>
      </c>
      <c r="M1353" s="13" t="s">
        <v>197</v>
      </c>
      <c r="N1353" s="13" t="s">
        <v>638</v>
      </c>
      <c r="O1353" s="10" t="str">
        <f>HYPERLINK("https://pbs.twimg.com/profile_images/378800000450415007/82bcc7d0cab85e8d5920dbf5ded6715e_normal.jpeg","View")</f>
        <v>View</v>
      </c>
      <c r="P1353" s="14"/>
    </row>
    <row r="1354">
      <c r="A1354" s="7">
        <v>42434.38313657408</v>
      </c>
      <c r="B1354" s="8" t="str">
        <f t="shared" ref="B1354:B1355" si="305">HYPERLINK("https://twitter.com/pastpunditry","@pastpunditry")</f>
        <v>@pastpunditry</v>
      </c>
      <c r="C1354" s="9" t="s">
        <v>92</v>
      </c>
      <c r="D1354" s="9" t="s">
        <v>1433</v>
      </c>
      <c r="E1354" s="10" t="str">
        <f>HYPERLINK("https://twitter.com/pastpunditry/status/706135105518112769","706135105518112769")</f>
        <v>706135105518112769</v>
      </c>
      <c r="F1354" s="11" t="s">
        <v>77</v>
      </c>
      <c r="G1354" s="12">
        <v>890.0</v>
      </c>
      <c r="H1354" s="12">
        <v>378.0</v>
      </c>
      <c r="I1354" s="12">
        <v>1.0</v>
      </c>
      <c r="J1354" s="12">
        <v>0.0</v>
      </c>
      <c r="K1354" s="11" t="s">
        <v>21</v>
      </c>
      <c r="L1354" s="7">
        <v>40283.384351851855</v>
      </c>
      <c r="M1354" s="13" t="s">
        <v>94</v>
      </c>
      <c r="N1354" s="13" t="s">
        <v>95</v>
      </c>
      <c r="O1354" s="10" t="str">
        <f t="shared" ref="O1354:O1355" si="306">HYPERLINK("https://pbs.twimg.com/profile_images/704873222802636800/7aFEMOY5_normal.jpg","View")</f>
        <v>View</v>
      </c>
      <c r="P1354" s="14"/>
    </row>
    <row r="1355">
      <c r="A1355" s="7">
        <v>42434.38380787037</v>
      </c>
      <c r="B1355" s="8" t="str">
        <f t="shared" si="305"/>
        <v>@pastpunditry</v>
      </c>
      <c r="C1355" s="9" t="s">
        <v>92</v>
      </c>
      <c r="D1355" s="9" t="s">
        <v>1434</v>
      </c>
      <c r="E1355" s="10" t="str">
        <f>HYPERLINK("https://twitter.com/pastpunditry/status/706135348733157380","706135348733157380")</f>
        <v>706135348733157380</v>
      </c>
      <c r="F1355" s="11" t="s">
        <v>77</v>
      </c>
      <c r="G1355" s="12">
        <v>890.0</v>
      </c>
      <c r="H1355" s="12">
        <v>378.0</v>
      </c>
      <c r="I1355" s="12">
        <v>2.0</v>
      </c>
      <c r="J1355" s="12">
        <v>0.0</v>
      </c>
      <c r="K1355" s="11" t="s">
        <v>21</v>
      </c>
      <c r="L1355" s="7">
        <v>40283.384351851855</v>
      </c>
      <c r="M1355" s="13" t="s">
        <v>94</v>
      </c>
      <c r="N1355" s="13" t="s">
        <v>95</v>
      </c>
      <c r="O1355" s="10" t="str">
        <f t="shared" si="306"/>
        <v>View</v>
      </c>
      <c r="P1355" s="14"/>
    </row>
    <row r="1356">
      <c r="A1356" s="7">
        <v>42434.384259259255</v>
      </c>
      <c r="B1356" s="8" t="str">
        <f>HYPERLINK("https://twitter.com/cherylharned","@cherylharned")</f>
        <v>@cherylharned</v>
      </c>
      <c r="C1356" s="9" t="s">
        <v>1371</v>
      </c>
      <c r="D1356" s="9" t="s">
        <v>1435</v>
      </c>
      <c r="E1356" s="10" t="str">
        <f>HYPERLINK("https://twitter.com/cherylharned/status/706135514387255300","706135514387255300")</f>
        <v>706135514387255300</v>
      </c>
      <c r="F1356" s="11" t="s">
        <v>31</v>
      </c>
      <c r="G1356" s="12">
        <v>99.0</v>
      </c>
      <c r="H1356" s="12">
        <v>407.0</v>
      </c>
      <c r="I1356" s="12">
        <v>0.0</v>
      </c>
      <c r="J1356" s="12">
        <v>1.0</v>
      </c>
      <c r="K1356" s="11" t="s">
        <v>21</v>
      </c>
      <c r="L1356" s="7">
        <v>41373.45469907408</v>
      </c>
      <c r="M1356" s="15"/>
      <c r="N1356" s="13" t="s">
        <v>1373</v>
      </c>
      <c r="O1356" s="10" t="str">
        <f>HYPERLINK("https://pbs.twimg.com/profile_images/535167858204893184/DNz9ruRN_normal.jpeg","View")</f>
        <v>View</v>
      </c>
      <c r="P1356" s="14"/>
    </row>
    <row r="1357">
      <c r="A1357" s="7">
        <v>42434.38440972222</v>
      </c>
      <c r="B1357" s="8" t="str">
        <f>HYPERLINK("https://twitter.com/pastpunditry","@pastpunditry")</f>
        <v>@pastpunditry</v>
      </c>
      <c r="C1357" s="9" t="s">
        <v>92</v>
      </c>
      <c r="D1357" s="9" t="s">
        <v>1436</v>
      </c>
      <c r="E1357" s="10" t="str">
        <f>HYPERLINK("https://twitter.com/pastpunditry/status/706135569374564354","706135569374564354")</f>
        <v>706135569374564354</v>
      </c>
      <c r="F1357" s="11" t="s">
        <v>77</v>
      </c>
      <c r="G1357" s="12">
        <v>890.0</v>
      </c>
      <c r="H1357" s="12">
        <v>378.0</v>
      </c>
      <c r="I1357" s="12">
        <v>7.0</v>
      </c>
      <c r="J1357" s="12">
        <v>2.0</v>
      </c>
      <c r="K1357" s="11" t="s">
        <v>21</v>
      </c>
      <c r="L1357" s="7">
        <v>40283.384351851855</v>
      </c>
      <c r="M1357" s="13" t="s">
        <v>94</v>
      </c>
      <c r="N1357" s="13" t="s">
        <v>95</v>
      </c>
      <c r="O1357" s="10" t="str">
        <f>HYPERLINK("https://pbs.twimg.com/profile_images/704873222802636800/7aFEMOY5_normal.jpg","View")</f>
        <v>View</v>
      </c>
      <c r="P1357" s="14"/>
    </row>
    <row r="1358">
      <c r="A1358" s="7">
        <v>42434.38474537037</v>
      </c>
      <c r="B1358" s="8" t="str">
        <f>HYPERLINK("https://twitter.com/JulieThePH","@JulieThePH")</f>
        <v>@JulieThePH</v>
      </c>
      <c r="C1358" s="9" t="s">
        <v>211</v>
      </c>
      <c r="D1358" s="9" t="s">
        <v>1437</v>
      </c>
      <c r="E1358" s="10" t="str">
        <f>HYPERLINK("https://twitter.com/JulieThePH/status/706135689021227008","706135689021227008")</f>
        <v>706135689021227008</v>
      </c>
      <c r="F1358" s="11" t="s">
        <v>31</v>
      </c>
      <c r="G1358" s="12">
        <v>1234.0</v>
      </c>
      <c r="H1358" s="12">
        <v>1386.0</v>
      </c>
      <c r="I1358" s="12">
        <v>2.0</v>
      </c>
      <c r="J1358" s="12">
        <v>0.0</v>
      </c>
      <c r="K1358" s="11" t="s">
        <v>21</v>
      </c>
      <c r="L1358" s="7">
        <v>40718.66918981481</v>
      </c>
      <c r="M1358" s="13" t="s">
        <v>213</v>
      </c>
      <c r="N1358" s="13" t="s">
        <v>214</v>
      </c>
      <c r="O1358" s="10" t="str">
        <f>HYPERLINK("https://pbs.twimg.com/profile_images/596509974005686273/AqBblwMR_normal.jpg","View")</f>
        <v>View</v>
      </c>
      <c r="P1358" s="14"/>
    </row>
    <row r="1359">
      <c r="A1359" s="7">
        <v>42434.38505787037</v>
      </c>
      <c r="B1359" s="8" t="str">
        <f t="shared" ref="B1359:B1360" si="307">HYPERLINK("https://twitter.com/pastpunditry","@pastpunditry")</f>
        <v>@pastpunditry</v>
      </c>
      <c r="C1359" s="9" t="s">
        <v>92</v>
      </c>
      <c r="D1359" s="9" t="s">
        <v>1438</v>
      </c>
      <c r="E1359" s="10" t="str">
        <f>HYPERLINK("https://twitter.com/pastpunditry/status/706135801248268288","706135801248268288")</f>
        <v>706135801248268288</v>
      </c>
      <c r="F1359" s="11" t="s">
        <v>77</v>
      </c>
      <c r="G1359" s="12">
        <v>890.0</v>
      </c>
      <c r="H1359" s="12">
        <v>378.0</v>
      </c>
      <c r="I1359" s="12">
        <v>1.0</v>
      </c>
      <c r="J1359" s="12">
        <v>4.0</v>
      </c>
      <c r="K1359" s="11" t="s">
        <v>21</v>
      </c>
      <c r="L1359" s="7">
        <v>40283.384351851855</v>
      </c>
      <c r="M1359" s="13" t="s">
        <v>94</v>
      </c>
      <c r="N1359" s="13" t="s">
        <v>95</v>
      </c>
      <c r="O1359" s="10" t="str">
        <f t="shared" ref="O1359:O1360" si="308">HYPERLINK("https://pbs.twimg.com/profile_images/704873222802636800/7aFEMOY5_normal.jpg","View")</f>
        <v>View</v>
      </c>
      <c r="P1359" s="14"/>
    </row>
    <row r="1360">
      <c r="A1360" s="7">
        <v>42434.38543981481</v>
      </c>
      <c r="B1360" s="8" t="str">
        <f t="shared" si="307"/>
        <v>@pastpunditry</v>
      </c>
      <c r="C1360" s="9" t="s">
        <v>92</v>
      </c>
      <c r="D1360" s="9" t="s">
        <v>1439</v>
      </c>
      <c r="E1360" s="10" t="str">
        <f>HYPERLINK("https://twitter.com/pastpunditry/status/706135940704681985","706135940704681985")</f>
        <v>706135940704681985</v>
      </c>
      <c r="F1360" s="11" t="s">
        <v>77</v>
      </c>
      <c r="G1360" s="12">
        <v>890.0</v>
      </c>
      <c r="H1360" s="12">
        <v>378.0</v>
      </c>
      <c r="I1360" s="12">
        <v>0.0</v>
      </c>
      <c r="J1360" s="12">
        <v>1.0</v>
      </c>
      <c r="K1360" s="11" t="s">
        <v>21</v>
      </c>
      <c r="L1360" s="7">
        <v>40283.384351851855</v>
      </c>
      <c r="M1360" s="13" t="s">
        <v>94</v>
      </c>
      <c r="N1360" s="13" t="s">
        <v>95</v>
      </c>
      <c r="O1360" s="10" t="str">
        <f t="shared" si="308"/>
        <v>View</v>
      </c>
      <c r="P1360" s="14"/>
    </row>
    <row r="1361">
      <c r="A1361" s="7">
        <v>42434.38547453703</v>
      </c>
      <c r="B1361" s="8" t="str">
        <f>HYPERLINK("https://twitter.com/SelenaMMoon","@SelenaMMoon")</f>
        <v>@SelenaMMoon</v>
      </c>
      <c r="C1361" s="9" t="s">
        <v>1440</v>
      </c>
      <c r="D1361" s="9" t="s">
        <v>1441</v>
      </c>
      <c r="E1361" s="10" t="str">
        <f>HYPERLINK("https://twitter.com/SelenaMMoon/status/706135954503950337","706135954503950337")</f>
        <v>706135954503950337</v>
      </c>
      <c r="F1361" s="11" t="s">
        <v>148</v>
      </c>
      <c r="G1361" s="12">
        <v>94.0</v>
      </c>
      <c r="H1361" s="12">
        <v>306.0</v>
      </c>
      <c r="I1361" s="12">
        <v>0.0</v>
      </c>
      <c r="J1361" s="12">
        <v>0.0</v>
      </c>
      <c r="K1361" s="11" t="s">
        <v>21</v>
      </c>
      <c r="L1361" s="7">
        <v>42348.51746527778</v>
      </c>
      <c r="M1361" s="15"/>
      <c r="N1361" s="13" t="s">
        <v>1442</v>
      </c>
      <c r="O1361" s="10" t="str">
        <f>HYPERLINK("https://pbs.twimg.com/profile_images/675332082030280704/gQfq9RVj_normal.jpg","View")</f>
        <v>View</v>
      </c>
      <c r="P1361" s="14"/>
    </row>
    <row r="1362">
      <c r="A1362" s="7">
        <v>42434.38569444444</v>
      </c>
      <c r="B1362" s="8" t="str">
        <f>HYPERLINK("https://twitter.com/JulieThePH","@JulieThePH")</f>
        <v>@JulieThePH</v>
      </c>
      <c r="C1362" s="9" t="s">
        <v>211</v>
      </c>
      <c r="D1362" s="9" t="s">
        <v>1443</v>
      </c>
      <c r="E1362" s="10" t="str">
        <f>HYPERLINK("https://twitter.com/JulieThePH/status/706136031796568064","706136031796568064")</f>
        <v>706136031796568064</v>
      </c>
      <c r="F1362" s="11" t="s">
        <v>31</v>
      </c>
      <c r="G1362" s="12">
        <v>1234.0</v>
      </c>
      <c r="H1362" s="12">
        <v>1386.0</v>
      </c>
      <c r="I1362" s="12">
        <v>1.0</v>
      </c>
      <c r="J1362" s="12">
        <v>3.0</v>
      </c>
      <c r="K1362" s="11" t="s">
        <v>21</v>
      </c>
      <c r="L1362" s="7">
        <v>40718.66918981481</v>
      </c>
      <c r="M1362" s="13" t="s">
        <v>213</v>
      </c>
      <c r="N1362" s="13" t="s">
        <v>214</v>
      </c>
      <c r="O1362" s="10" t="str">
        <f>HYPERLINK("https://pbs.twimg.com/profile_images/596509974005686273/AqBblwMR_normal.jpg","View")</f>
        <v>View</v>
      </c>
      <c r="P1362" s="14"/>
    </row>
    <row r="1363">
      <c r="A1363" s="7">
        <v>42434.38576388889</v>
      </c>
      <c r="B1363" s="8" t="str">
        <f>HYPERLINK("https://twitter.com/pastpunditry","@pastpunditry")</f>
        <v>@pastpunditry</v>
      </c>
      <c r="C1363" s="9" t="s">
        <v>92</v>
      </c>
      <c r="D1363" s="9" t="s">
        <v>1444</v>
      </c>
      <c r="E1363" s="10" t="str">
        <f>HYPERLINK("https://twitter.com/pastpunditry/status/706136060326191105","706136060326191105")</f>
        <v>706136060326191105</v>
      </c>
      <c r="F1363" s="11" t="s">
        <v>77</v>
      </c>
      <c r="G1363" s="12">
        <v>890.0</v>
      </c>
      <c r="H1363" s="12">
        <v>378.0</v>
      </c>
      <c r="I1363" s="12">
        <v>1.0</v>
      </c>
      <c r="J1363" s="12">
        <v>0.0</v>
      </c>
      <c r="K1363" s="11" t="s">
        <v>21</v>
      </c>
      <c r="L1363" s="7">
        <v>40283.384351851855</v>
      </c>
      <c r="M1363" s="13" t="s">
        <v>94</v>
      </c>
      <c r="N1363" s="13" t="s">
        <v>95</v>
      </c>
      <c r="O1363" s="10" t="str">
        <f>HYPERLINK("https://pbs.twimg.com/profile_images/704873222802636800/7aFEMOY5_normal.jpg","View")</f>
        <v>View</v>
      </c>
      <c r="P1363" s="14"/>
    </row>
    <row r="1364">
      <c r="A1364" s="7">
        <v>42434.38604166667</v>
      </c>
      <c r="B1364" s="8" t="str">
        <f>HYPERLINK("https://twitter.com/hollymsolis","@hollymsolis")</f>
        <v>@hollymsolis</v>
      </c>
      <c r="C1364" s="9" t="s">
        <v>1445</v>
      </c>
      <c r="D1364" s="9" t="s">
        <v>896</v>
      </c>
      <c r="E1364" s="10" t="str">
        <f>HYPERLINK("https://twitter.com/hollymsolis/status/706136158888005634","706136158888005634")</f>
        <v>706136158888005634</v>
      </c>
      <c r="F1364" s="11" t="s">
        <v>26</v>
      </c>
      <c r="G1364" s="12">
        <v>120.0</v>
      </c>
      <c r="H1364" s="12">
        <v>235.0</v>
      </c>
      <c r="I1364" s="12">
        <v>10.0</v>
      </c>
      <c r="J1364" s="12">
        <v>0.0</v>
      </c>
      <c r="K1364" s="11" t="s">
        <v>21</v>
      </c>
      <c r="L1364" s="7">
        <v>40994.64928240741</v>
      </c>
      <c r="M1364" s="13" t="s">
        <v>138</v>
      </c>
      <c r="N1364" s="13" t="s">
        <v>1446</v>
      </c>
      <c r="O1364" s="10" t="str">
        <f>HYPERLINK("https://pbs.twimg.com/profile_images/563040278030712832/FIJIXZlI_normal.jpeg","View")</f>
        <v>View</v>
      </c>
      <c r="P1364" s="14"/>
    </row>
    <row r="1365">
      <c r="A1365" s="7">
        <v>42434.38667824074</v>
      </c>
      <c r="B1365" s="8" t="str">
        <f>HYPERLINK("https://twitter.com/rschles","@rschles")</f>
        <v>@rschles</v>
      </c>
      <c r="C1365" s="9" t="s">
        <v>1447</v>
      </c>
      <c r="D1365" s="9" t="s">
        <v>1448</v>
      </c>
      <c r="E1365" s="10" t="str">
        <f>HYPERLINK("https://twitter.com/rschles/status/706136389805592576","706136389805592576")</f>
        <v>706136389805592576</v>
      </c>
      <c r="F1365" s="11" t="s">
        <v>26</v>
      </c>
      <c r="G1365" s="12">
        <v>2326.0</v>
      </c>
      <c r="H1365" s="12">
        <v>1752.0</v>
      </c>
      <c r="I1365" s="12">
        <v>7.0</v>
      </c>
      <c r="J1365" s="12">
        <v>0.0</v>
      </c>
      <c r="K1365" s="11" t="s">
        <v>21</v>
      </c>
      <c r="L1365" s="7">
        <v>39957.95328703704</v>
      </c>
      <c r="M1365" s="13" t="s">
        <v>279</v>
      </c>
      <c r="N1365" s="13" t="s">
        <v>1449</v>
      </c>
      <c r="O1365" s="10" t="str">
        <f>HYPERLINK("https://pbs.twimg.com/profile_images/229153763/robert_normal.jpg","View")</f>
        <v>View</v>
      </c>
      <c r="P1365" s="14"/>
    </row>
    <row r="1366">
      <c r="A1366" s="7">
        <v>42434.386828703704</v>
      </c>
      <c r="B1366" s="8" t="str">
        <f>HYPERLINK("https://twitter.com/pastpunditry","@pastpunditry")</f>
        <v>@pastpunditry</v>
      </c>
      <c r="C1366" s="9" t="s">
        <v>92</v>
      </c>
      <c r="D1366" s="9" t="s">
        <v>1450</v>
      </c>
      <c r="E1366" s="10" t="str">
        <f>HYPERLINK("https://twitter.com/pastpunditry/status/706136445178789892","706136445178789892")</f>
        <v>706136445178789892</v>
      </c>
      <c r="F1366" s="11" t="s">
        <v>77</v>
      </c>
      <c r="G1366" s="12">
        <v>890.0</v>
      </c>
      <c r="H1366" s="12">
        <v>378.0</v>
      </c>
      <c r="I1366" s="12">
        <v>0.0</v>
      </c>
      <c r="J1366" s="12">
        <v>0.0</v>
      </c>
      <c r="K1366" s="11" t="s">
        <v>21</v>
      </c>
      <c r="L1366" s="7">
        <v>40283.384351851855</v>
      </c>
      <c r="M1366" s="13" t="s">
        <v>94</v>
      </c>
      <c r="N1366" s="13" t="s">
        <v>95</v>
      </c>
      <c r="O1366" s="10" t="str">
        <f>HYPERLINK("https://pbs.twimg.com/profile_images/704873222802636800/7aFEMOY5_normal.jpg","View")</f>
        <v>View</v>
      </c>
      <c r="P1366" s="14"/>
    </row>
    <row r="1367">
      <c r="A1367" s="7">
        <v>42434.38686342593</v>
      </c>
      <c r="B1367" s="8" t="str">
        <f>HYPERLINK("https://twitter.com/samueljredman","@samueljredman")</f>
        <v>@samueljredman</v>
      </c>
      <c r="C1367" s="9" t="s">
        <v>158</v>
      </c>
      <c r="D1367" s="9" t="s">
        <v>1448</v>
      </c>
      <c r="E1367" s="10" t="str">
        <f>HYPERLINK("https://twitter.com/samueljredman/status/706136459242246144","706136459242246144")</f>
        <v>706136459242246144</v>
      </c>
      <c r="F1367" s="11" t="s">
        <v>26</v>
      </c>
      <c r="G1367" s="12">
        <v>5623.0</v>
      </c>
      <c r="H1367" s="12">
        <v>5355.0</v>
      </c>
      <c r="I1367" s="12">
        <v>7.0</v>
      </c>
      <c r="J1367" s="12">
        <v>0.0</v>
      </c>
      <c r="K1367" s="11" t="s">
        <v>21</v>
      </c>
      <c r="L1367" s="7">
        <v>40584.98517361111</v>
      </c>
      <c r="M1367" s="13" t="s">
        <v>160</v>
      </c>
      <c r="N1367" s="13" t="s">
        <v>161</v>
      </c>
      <c r="O1367" s="10" t="str">
        <f>HYPERLINK("https://pbs.twimg.com/profile_images/548193870278688768/8Dq7gW3U_normal.png","View")</f>
        <v>View</v>
      </c>
      <c r="P1367" s="14"/>
    </row>
    <row r="1368">
      <c r="A1368" s="7">
        <v>42434.38688657407</v>
      </c>
      <c r="B1368" s="8" t="str">
        <f>HYPERLINK("https://twitter.com/Adventurstorian","@Adventurstorian")</f>
        <v>@Adventurstorian</v>
      </c>
      <c r="C1368" s="9" t="s">
        <v>1451</v>
      </c>
      <c r="D1368" s="9" t="s">
        <v>1431</v>
      </c>
      <c r="E1368" s="10" t="str">
        <f>HYPERLINK("https://twitter.com/Adventurstorian/status/706136463964934144","706136463964934144")</f>
        <v>706136463964934144</v>
      </c>
      <c r="F1368" s="11" t="s">
        <v>31</v>
      </c>
      <c r="G1368" s="12">
        <v>221.0</v>
      </c>
      <c r="H1368" s="12">
        <v>395.0</v>
      </c>
      <c r="I1368" s="12">
        <v>2.0</v>
      </c>
      <c r="J1368" s="12">
        <v>0.0</v>
      </c>
      <c r="K1368" s="11" t="s">
        <v>21</v>
      </c>
      <c r="L1368" s="7">
        <v>40738.8746875</v>
      </c>
      <c r="M1368" s="15"/>
      <c r="N1368" s="13" t="s">
        <v>1452</v>
      </c>
      <c r="O1368" s="10" t="str">
        <f>HYPERLINK("https://pbs.twimg.com/profile_images/1796915225/henriette-browne-young-girl-writing-at-her-desk-with-birds_normal.jpg","View")</f>
        <v>View</v>
      </c>
      <c r="P1368" s="14"/>
    </row>
    <row r="1369">
      <c r="A1369" s="7">
        <v>42434.386921296296</v>
      </c>
      <c r="B1369" s="8" t="str">
        <f t="shared" ref="B1369:B1372" si="309">HYPERLINK("https://twitter.com/samueljredman","@samueljredman")</f>
        <v>@samueljredman</v>
      </c>
      <c r="C1369" s="9" t="s">
        <v>158</v>
      </c>
      <c r="D1369" s="9" t="s">
        <v>1437</v>
      </c>
      <c r="E1369" s="10" t="str">
        <f>HYPERLINK("https://twitter.com/samueljredman/status/706136479995666432","706136479995666432")</f>
        <v>706136479995666432</v>
      </c>
      <c r="F1369" s="11" t="s">
        <v>26</v>
      </c>
      <c r="G1369" s="12">
        <v>5623.0</v>
      </c>
      <c r="H1369" s="12">
        <v>5355.0</v>
      </c>
      <c r="I1369" s="12">
        <v>2.0</v>
      </c>
      <c r="J1369" s="12">
        <v>0.0</v>
      </c>
      <c r="K1369" s="11" t="s">
        <v>21</v>
      </c>
      <c r="L1369" s="7">
        <v>40584.98517361111</v>
      </c>
      <c r="M1369" s="13" t="s">
        <v>160</v>
      </c>
      <c r="N1369" s="13" t="s">
        <v>161</v>
      </c>
      <c r="O1369" s="10" t="str">
        <f t="shared" ref="O1369:O1372" si="310">HYPERLINK("https://pbs.twimg.com/profile_images/548193870278688768/8Dq7gW3U_normal.png","View")</f>
        <v>View</v>
      </c>
      <c r="P1369" s="14"/>
    </row>
    <row r="1370">
      <c r="A1370" s="7">
        <v>42434.38699074074</v>
      </c>
      <c r="B1370" s="8" t="str">
        <f t="shared" si="309"/>
        <v>@samueljredman</v>
      </c>
      <c r="C1370" s="9" t="s">
        <v>158</v>
      </c>
      <c r="D1370" s="9" t="s">
        <v>1453</v>
      </c>
      <c r="E1370" s="10" t="str">
        <f>HYPERLINK("https://twitter.com/samueljredman/status/706136505648062464","706136505648062464")</f>
        <v>706136505648062464</v>
      </c>
      <c r="F1370" s="11" t="s">
        <v>26</v>
      </c>
      <c r="G1370" s="12">
        <v>5623.0</v>
      </c>
      <c r="H1370" s="12">
        <v>5355.0</v>
      </c>
      <c r="I1370" s="12">
        <v>1.0</v>
      </c>
      <c r="J1370" s="12">
        <v>0.0</v>
      </c>
      <c r="K1370" s="11" t="s">
        <v>21</v>
      </c>
      <c r="L1370" s="7">
        <v>40584.98517361111</v>
      </c>
      <c r="M1370" s="13" t="s">
        <v>160</v>
      </c>
      <c r="N1370" s="13" t="s">
        <v>161</v>
      </c>
      <c r="O1370" s="10" t="str">
        <f t="shared" si="310"/>
        <v>View</v>
      </c>
      <c r="P1370" s="14"/>
    </row>
    <row r="1371">
      <c r="A1371" s="7">
        <v>42434.387083333335</v>
      </c>
      <c r="B1371" s="8" t="str">
        <f t="shared" si="309"/>
        <v>@samueljredman</v>
      </c>
      <c r="C1371" s="9" t="s">
        <v>158</v>
      </c>
      <c r="D1371" s="9" t="s">
        <v>1454</v>
      </c>
      <c r="E1371" s="10" t="str">
        <f>HYPERLINK("https://twitter.com/samueljredman/status/706136537822601221","706136537822601221")</f>
        <v>706136537822601221</v>
      </c>
      <c r="F1371" s="11" t="s">
        <v>26</v>
      </c>
      <c r="G1371" s="12">
        <v>5623.0</v>
      </c>
      <c r="H1371" s="12">
        <v>5355.0</v>
      </c>
      <c r="I1371" s="12">
        <v>1.0</v>
      </c>
      <c r="J1371" s="12">
        <v>0.0</v>
      </c>
      <c r="K1371" s="11" t="s">
        <v>21</v>
      </c>
      <c r="L1371" s="7">
        <v>40584.98517361111</v>
      </c>
      <c r="M1371" s="13" t="s">
        <v>160</v>
      </c>
      <c r="N1371" s="13" t="s">
        <v>161</v>
      </c>
      <c r="O1371" s="10" t="str">
        <f t="shared" si="310"/>
        <v>View</v>
      </c>
      <c r="P1371" s="14"/>
    </row>
    <row r="1372">
      <c r="A1372" s="7">
        <v>42434.387349537035</v>
      </c>
      <c r="B1372" s="8" t="str">
        <f t="shared" si="309"/>
        <v>@samueljredman</v>
      </c>
      <c r="C1372" s="9" t="s">
        <v>158</v>
      </c>
      <c r="D1372" s="9" t="s">
        <v>1426</v>
      </c>
      <c r="E1372" s="10" t="str">
        <f>HYPERLINK("https://twitter.com/samueljredman/status/706136632001433600","706136632001433600")</f>
        <v>706136632001433600</v>
      </c>
      <c r="F1372" s="11" t="s">
        <v>26</v>
      </c>
      <c r="G1372" s="12">
        <v>5623.0</v>
      </c>
      <c r="H1372" s="12">
        <v>5355.0</v>
      </c>
      <c r="I1372" s="12">
        <v>4.0</v>
      </c>
      <c r="J1372" s="12">
        <v>0.0</v>
      </c>
      <c r="K1372" s="11" t="s">
        <v>21</v>
      </c>
      <c r="L1372" s="7">
        <v>40584.98517361111</v>
      </c>
      <c r="M1372" s="13" t="s">
        <v>160</v>
      </c>
      <c r="N1372" s="13" t="s">
        <v>161</v>
      </c>
      <c r="O1372" s="10" t="str">
        <f t="shared" si="310"/>
        <v>View</v>
      </c>
      <c r="P1372" s="14"/>
    </row>
    <row r="1373">
      <c r="A1373" s="7">
        <v>42434.38741898148</v>
      </c>
      <c r="B1373" s="8" t="str">
        <f>HYPERLINK("https://twitter.com/pastpunditry","@pastpunditry")</f>
        <v>@pastpunditry</v>
      </c>
      <c r="C1373" s="9" t="s">
        <v>92</v>
      </c>
      <c r="D1373" s="9" t="s">
        <v>1455</v>
      </c>
      <c r="E1373" s="10" t="str">
        <f>HYPERLINK("https://twitter.com/pastpunditry/status/706136659188908032","706136659188908032")</f>
        <v>706136659188908032</v>
      </c>
      <c r="F1373" s="11" t="s">
        <v>77</v>
      </c>
      <c r="G1373" s="12">
        <v>890.0</v>
      </c>
      <c r="H1373" s="12">
        <v>378.0</v>
      </c>
      <c r="I1373" s="12">
        <v>0.0</v>
      </c>
      <c r="J1373" s="12">
        <v>0.0</v>
      </c>
      <c r="K1373" s="11" t="s">
        <v>21</v>
      </c>
      <c r="L1373" s="7">
        <v>40283.384351851855</v>
      </c>
      <c r="M1373" s="13" t="s">
        <v>94</v>
      </c>
      <c r="N1373" s="13" t="s">
        <v>95</v>
      </c>
      <c r="O1373" s="10" t="str">
        <f>HYPERLINK("https://pbs.twimg.com/profile_images/704873222802636800/7aFEMOY5_normal.jpg","View")</f>
        <v>View</v>
      </c>
      <c r="P1373" s="14"/>
    </row>
    <row r="1374">
      <c r="A1374" s="7">
        <v>42434.387557870374</v>
      </c>
      <c r="B1374" s="8" t="str">
        <f t="shared" ref="B1374:B1375" si="311">HYPERLINK("https://twitter.com/samueljredman","@samueljredman")</f>
        <v>@samueljredman</v>
      </c>
      <c r="C1374" s="9" t="s">
        <v>158</v>
      </c>
      <c r="D1374" s="9" t="s">
        <v>1456</v>
      </c>
      <c r="E1374" s="10" t="str">
        <f>HYPERLINK("https://twitter.com/samueljredman/status/706136707956088832","706136707956088832")</f>
        <v>706136707956088832</v>
      </c>
      <c r="F1374" s="11" t="s">
        <v>26</v>
      </c>
      <c r="G1374" s="12">
        <v>5623.0</v>
      </c>
      <c r="H1374" s="12">
        <v>5355.0</v>
      </c>
      <c r="I1374" s="12">
        <v>1.0</v>
      </c>
      <c r="J1374" s="12">
        <v>0.0</v>
      </c>
      <c r="K1374" s="11" t="s">
        <v>21</v>
      </c>
      <c r="L1374" s="7">
        <v>40584.98517361111</v>
      </c>
      <c r="M1374" s="13" t="s">
        <v>160</v>
      </c>
      <c r="N1374" s="13" t="s">
        <v>161</v>
      </c>
      <c r="O1374" s="10" t="str">
        <f t="shared" ref="O1374:O1375" si="312">HYPERLINK("https://pbs.twimg.com/profile_images/548193870278688768/8Dq7gW3U_normal.png","View")</f>
        <v>View</v>
      </c>
      <c r="P1374" s="14"/>
    </row>
    <row r="1375">
      <c r="A1375" s="7">
        <v>42434.387604166666</v>
      </c>
      <c r="B1375" s="8" t="str">
        <f t="shared" si="311"/>
        <v>@samueljredman</v>
      </c>
      <c r="C1375" s="9" t="s">
        <v>158</v>
      </c>
      <c r="D1375" s="9" t="s">
        <v>1420</v>
      </c>
      <c r="E1375" s="10" t="str">
        <f>HYPERLINK("https://twitter.com/samueljredman/status/706136724427120640","706136724427120640")</f>
        <v>706136724427120640</v>
      </c>
      <c r="F1375" s="11" t="s">
        <v>26</v>
      </c>
      <c r="G1375" s="12">
        <v>5623.0</v>
      </c>
      <c r="H1375" s="12">
        <v>5355.0</v>
      </c>
      <c r="I1375" s="12">
        <v>4.0</v>
      </c>
      <c r="J1375" s="12">
        <v>0.0</v>
      </c>
      <c r="K1375" s="11" t="s">
        <v>21</v>
      </c>
      <c r="L1375" s="7">
        <v>40584.98517361111</v>
      </c>
      <c r="M1375" s="13" t="s">
        <v>160</v>
      </c>
      <c r="N1375" s="13" t="s">
        <v>161</v>
      </c>
      <c r="O1375" s="10" t="str">
        <f t="shared" si="312"/>
        <v>View</v>
      </c>
      <c r="P1375" s="14"/>
    </row>
    <row r="1376">
      <c r="A1376" s="7">
        <v>42434.388333333336</v>
      </c>
      <c r="B1376" s="8" t="str">
        <f t="shared" ref="B1376:B1377" si="313">HYPERLINK("https://twitter.com/pastpunditry","@pastpunditry")</f>
        <v>@pastpunditry</v>
      </c>
      <c r="C1376" s="9" t="s">
        <v>92</v>
      </c>
      <c r="D1376" s="9" t="s">
        <v>1457</v>
      </c>
      <c r="E1376" s="10" t="str">
        <f>HYPERLINK("https://twitter.com/pastpunditry/status/706136988714463232","706136988714463232")</f>
        <v>706136988714463232</v>
      </c>
      <c r="F1376" s="11" t="s">
        <v>77</v>
      </c>
      <c r="G1376" s="12">
        <v>890.0</v>
      </c>
      <c r="H1376" s="12">
        <v>378.0</v>
      </c>
      <c r="I1376" s="12">
        <v>0.0</v>
      </c>
      <c r="J1376" s="12">
        <v>0.0</v>
      </c>
      <c r="K1376" s="11" t="s">
        <v>21</v>
      </c>
      <c r="L1376" s="7">
        <v>40283.384351851855</v>
      </c>
      <c r="M1376" s="13" t="s">
        <v>94</v>
      </c>
      <c r="N1376" s="13" t="s">
        <v>95</v>
      </c>
      <c r="O1376" s="10" t="str">
        <f t="shared" ref="O1376:O1377" si="314">HYPERLINK("https://pbs.twimg.com/profile_images/704873222802636800/7aFEMOY5_normal.jpg","View")</f>
        <v>View</v>
      </c>
      <c r="P1376" s="14"/>
    </row>
    <row r="1377">
      <c r="A1377" s="7">
        <v>42434.38890046296</v>
      </c>
      <c r="B1377" s="8" t="str">
        <f t="shared" si="313"/>
        <v>@pastpunditry</v>
      </c>
      <c r="C1377" s="9" t="s">
        <v>92</v>
      </c>
      <c r="D1377" s="9" t="s">
        <v>1458</v>
      </c>
      <c r="E1377" s="10" t="str">
        <f>HYPERLINK("https://twitter.com/pastpunditry/status/706137193966931968","706137193966931968")</f>
        <v>706137193966931968</v>
      </c>
      <c r="F1377" s="11" t="s">
        <v>77</v>
      </c>
      <c r="G1377" s="12">
        <v>890.0</v>
      </c>
      <c r="H1377" s="12">
        <v>378.0</v>
      </c>
      <c r="I1377" s="12">
        <v>0.0</v>
      </c>
      <c r="J1377" s="12">
        <v>0.0</v>
      </c>
      <c r="K1377" s="11" t="s">
        <v>21</v>
      </c>
      <c r="L1377" s="7">
        <v>40283.384351851855</v>
      </c>
      <c r="M1377" s="13" t="s">
        <v>94</v>
      </c>
      <c r="N1377" s="13" t="s">
        <v>95</v>
      </c>
      <c r="O1377" s="10" t="str">
        <f t="shared" si="314"/>
        <v>View</v>
      </c>
      <c r="P1377" s="14"/>
    </row>
    <row r="1378">
      <c r="A1378" s="7">
        <v>42434.38958333334</v>
      </c>
      <c r="B1378" s="8" t="str">
        <f>HYPERLINK("https://twitter.com/JulieThePH","@JulieThePH")</f>
        <v>@JulieThePH</v>
      </c>
      <c r="C1378" s="9" t="s">
        <v>211</v>
      </c>
      <c r="D1378" s="9" t="s">
        <v>1459</v>
      </c>
      <c r="E1378" s="10" t="str">
        <f>HYPERLINK("https://twitter.com/JulieThePH/status/706137445008580609","706137445008580609")</f>
        <v>706137445008580609</v>
      </c>
      <c r="F1378" s="11" t="s">
        <v>31</v>
      </c>
      <c r="G1378" s="12">
        <v>1234.0</v>
      </c>
      <c r="H1378" s="12">
        <v>1386.0</v>
      </c>
      <c r="I1378" s="12">
        <v>1.0</v>
      </c>
      <c r="J1378" s="12">
        <v>3.0</v>
      </c>
      <c r="K1378" s="11" t="s">
        <v>21</v>
      </c>
      <c r="L1378" s="7">
        <v>40718.66918981481</v>
      </c>
      <c r="M1378" s="13" t="s">
        <v>213</v>
      </c>
      <c r="N1378" s="13" t="s">
        <v>214</v>
      </c>
      <c r="O1378" s="10" t="str">
        <f>HYPERLINK("https://pbs.twimg.com/profile_images/596509974005686273/AqBblwMR_normal.jpg","View")</f>
        <v>View</v>
      </c>
      <c r="P1378" s="14"/>
    </row>
    <row r="1379">
      <c r="A1379" s="7">
        <v>42434.38966435185</v>
      </c>
      <c r="B1379" s="8" t="str">
        <f>HYPERLINK("https://twitter.com/pastpunditry","@pastpunditry")</f>
        <v>@pastpunditry</v>
      </c>
      <c r="C1379" s="9" t="s">
        <v>92</v>
      </c>
      <c r="D1379" s="9" t="s">
        <v>1460</v>
      </c>
      <c r="E1379" s="10" t="str">
        <f>HYPERLINK("https://twitter.com/pastpunditry/status/706137473324343296","706137473324343296")</f>
        <v>706137473324343296</v>
      </c>
      <c r="F1379" s="11" t="s">
        <v>77</v>
      </c>
      <c r="G1379" s="12">
        <v>890.0</v>
      </c>
      <c r="H1379" s="12">
        <v>378.0</v>
      </c>
      <c r="I1379" s="12">
        <v>1.0</v>
      </c>
      <c r="J1379" s="12">
        <v>0.0</v>
      </c>
      <c r="K1379" s="11" t="s">
        <v>21</v>
      </c>
      <c r="L1379" s="7">
        <v>40283.384351851855</v>
      </c>
      <c r="M1379" s="13" t="s">
        <v>94</v>
      </c>
      <c r="N1379" s="13" t="s">
        <v>95</v>
      </c>
      <c r="O1379" s="10" t="str">
        <f>HYPERLINK("https://pbs.twimg.com/profile_images/704873222802636800/7aFEMOY5_normal.jpg","View")</f>
        <v>View</v>
      </c>
      <c r="P1379" s="14"/>
    </row>
    <row r="1380">
      <c r="A1380" s="7">
        <v>42434.39001157407</v>
      </c>
      <c r="B1380" s="8" t="str">
        <f>HYPERLINK("https://twitter.com/kramermj","@kramermj")</f>
        <v>@kramermj</v>
      </c>
      <c r="C1380" s="9" t="s">
        <v>1461</v>
      </c>
      <c r="D1380" s="9" t="s">
        <v>97</v>
      </c>
      <c r="E1380" s="10" t="str">
        <f>HYPERLINK("https://twitter.com/kramermj/status/706137597207298048","706137597207298048")</f>
        <v>706137597207298048</v>
      </c>
      <c r="F1380" s="11" t="s">
        <v>26</v>
      </c>
      <c r="G1380" s="12">
        <v>1683.0</v>
      </c>
      <c r="H1380" s="12">
        <v>2113.0</v>
      </c>
      <c r="I1380" s="12">
        <v>8.0</v>
      </c>
      <c r="J1380" s="12">
        <v>0.0</v>
      </c>
      <c r="K1380" s="11" t="s">
        <v>21</v>
      </c>
      <c r="L1380" s="7">
        <v>40619.945393518516</v>
      </c>
      <c r="M1380" s="13" t="s">
        <v>1462</v>
      </c>
      <c r="N1380" s="13" t="s">
        <v>1463</v>
      </c>
      <c r="O1380" s="10" t="str">
        <f>HYPERLINK("https://pbs.twimg.com/profile_images/3336454280/0c9d442a2158d076953a8a71c89854d7_normal.jpeg","View")</f>
        <v>View</v>
      </c>
      <c r="P1380" s="14"/>
    </row>
    <row r="1381">
      <c r="A1381" s="7">
        <v>42434.39074074074</v>
      </c>
      <c r="B1381" s="8" t="str">
        <f t="shared" ref="B1381:B1385" si="315">HYPERLINK("https://twitter.com/pastpunditry","@pastpunditry")</f>
        <v>@pastpunditry</v>
      </c>
      <c r="C1381" s="9" t="s">
        <v>92</v>
      </c>
      <c r="D1381" s="9" t="s">
        <v>1464</v>
      </c>
      <c r="E1381" s="10" t="str">
        <f>HYPERLINK("https://twitter.com/pastpunditry/status/706137861540724736","706137861540724736")</f>
        <v>706137861540724736</v>
      </c>
      <c r="F1381" s="11" t="s">
        <v>77</v>
      </c>
      <c r="G1381" s="12">
        <v>890.0</v>
      </c>
      <c r="H1381" s="12">
        <v>378.0</v>
      </c>
      <c r="I1381" s="12">
        <v>0.0</v>
      </c>
      <c r="J1381" s="12">
        <v>0.0</v>
      </c>
      <c r="K1381" s="11" t="s">
        <v>21</v>
      </c>
      <c r="L1381" s="7">
        <v>40283.384351851855</v>
      </c>
      <c r="M1381" s="13" t="s">
        <v>94</v>
      </c>
      <c r="N1381" s="13" t="s">
        <v>95</v>
      </c>
      <c r="O1381" s="10" t="str">
        <f t="shared" ref="O1381:O1385" si="316">HYPERLINK("https://pbs.twimg.com/profile_images/704873222802636800/7aFEMOY5_normal.jpg","View")</f>
        <v>View</v>
      </c>
      <c r="P1381" s="14"/>
    </row>
    <row r="1382">
      <c r="A1382" s="7">
        <v>42434.391377314816</v>
      </c>
      <c r="B1382" s="8" t="str">
        <f t="shared" si="315"/>
        <v>@pastpunditry</v>
      </c>
      <c r="C1382" s="9" t="s">
        <v>92</v>
      </c>
      <c r="D1382" s="9" t="s">
        <v>1465</v>
      </c>
      <c r="E1382" s="10" t="str">
        <f>HYPERLINK("https://twitter.com/pastpunditry/status/706138093594791936","706138093594791936")</f>
        <v>706138093594791936</v>
      </c>
      <c r="F1382" s="11" t="s">
        <v>77</v>
      </c>
      <c r="G1382" s="12">
        <v>890.0</v>
      </c>
      <c r="H1382" s="12">
        <v>378.0</v>
      </c>
      <c r="I1382" s="12">
        <v>0.0</v>
      </c>
      <c r="J1382" s="12">
        <v>0.0</v>
      </c>
      <c r="K1382" s="11" t="s">
        <v>21</v>
      </c>
      <c r="L1382" s="7">
        <v>40283.384351851855</v>
      </c>
      <c r="M1382" s="13" t="s">
        <v>94</v>
      </c>
      <c r="N1382" s="13" t="s">
        <v>95</v>
      </c>
      <c r="O1382" s="10" t="str">
        <f t="shared" si="316"/>
        <v>View</v>
      </c>
      <c r="P1382" s="14"/>
    </row>
    <row r="1383">
      <c r="A1383" s="7">
        <v>42434.39171296296</v>
      </c>
      <c r="B1383" s="8" t="str">
        <f t="shared" si="315"/>
        <v>@pastpunditry</v>
      </c>
      <c r="C1383" s="9" t="s">
        <v>92</v>
      </c>
      <c r="D1383" s="9" t="s">
        <v>1466</v>
      </c>
      <c r="E1383" s="10" t="str">
        <f>HYPERLINK("https://twitter.com/pastpunditry/status/706138216106205184","706138216106205184")</f>
        <v>706138216106205184</v>
      </c>
      <c r="F1383" s="11" t="s">
        <v>77</v>
      </c>
      <c r="G1383" s="12">
        <v>890.0</v>
      </c>
      <c r="H1383" s="12">
        <v>378.0</v>
      </c>
      <c r="I1383" s="12">
        <v>1.0</v>
      </c>
      <c r="J1383" s="12">
        <v>0.0</v>
      </c>
      <c r="K1383" s="11" t="s">
        <v>21</v>
      </c>
      <c r="L1383" s="7">
        <v>40283.384351851855</v>
      </c>
      <c r="M1383" s="13" t="s">
        <v>94</v>
      </c>
      <c r="N1383" s="13" t="s">
        <v>95</v>
      </c>
      <c r="O1383" s="10" t="str">
        <f t="shared" si="316"/>
        <v>View</v>
      </c>
      <c r="P1383" s="14"/>
    </row>
    <row r="1384">
      <c r="A1384" s="7">
        <v>42434.392175925925</v>
      </c>
      <c r="B1384" s="8" t="str">
        <f t="shared" si="315"/>
        <v>@pastpunditry</v>
      </c>
      <c r="C1384" s="9" t="s">
        <v>92</v>
      </c>
      <c r="D1384" s="9" t="s">
        <v>1467</v>
      </c>
      <c r="E1384" s="10" t="str">
        <f>HYPERLINK("https://twitter.com/pastpunditry/status/706138383320535040","706138383320535040")</f>
        <v>706138383320535040</v>
      </c>
      <c r="F1384" s="11" t="s">
        <v>77</v>
      </c>
      <c r="G1384" s="12">
        <v>890.0</v>
      </c>
      <c r="H1384" s="12">
        <v>378.0</v>
      </c>
      <c r="I1384" s="12">
        <v>2.0</v>
      </c>
      <c r="J1384" s="12">
        <v>1.0</v>
      </c>
      <c r="K1384" s="11" t="s">
        <v>21</v>
      </c>
      <c r="L1384" s="7">
        <v>40283.384351851855</v>
      </c>
      <c r="M1384" s="13" t="s">
        <v>94</v>
      </c>
      <c r="N1384" s="13" t="s">
        <v>95</v>
      </c>
      <c r="O1384" s="10" t="str">
        <f t="shared" si="316"/>
        <v>View</v>
      </c>
      <c r="P1384" s="14"/>
    </row>
    <row r="1385">
      <c r="A1385" s="7">
        <v>42434.392488425925</v>
      </c>
      <c r="B1385" s="8" t="str">
        <f t="shared" si="315"/>
        <v>@pastpunditry</v>
      </c>
      <c r="C1385" s="9" t="s">
        <v>92</v>
      </c>
      <c r="D1385" s="9" t="s">
        <v>1468</v>
      </c>
      <c r="E1385" s="10" t="str">
        <f>HYPERLINK("https://twitter.com/pastpunditry/status/706138494712807425","706138494712807425")</f>
        <v>706138494712807425</v>
      </c>
      <c r="F1385" s="11" t="s">
        <v>77</v>
      </c>
      <c r="G1385" s="12">
        <v>890.0</v>
      </c>
      <c r="H1385" s="12">
        <v>378.0</v>
      </c>
      <c r="I1385" s="12">
        <v>0.0</v>
      </c>
      <c r="J1385" s="12">
        <v>2.0</v>
      </c>
      <c r="K1385" s="11" t="s">
        <v>21</v>
      </c>
      <c r="L1385" s="7">
        <v>40283.384351851855</v>
      </c>
      <c r="M1385" s="13" t="s">
        <v>94</v>
      </c>
      <c r="N1385" s="13" t="s">
        <v>95</v>
      </c>
      <c r="O1385" s="10" t="str">
        <f t="shared" si="316"/>
        <v>View</v>
      </c>
      <c r="P1385" s="14"/>
    </row>
    <row r="1386">
      <c r="A1386" s="7">
        <v>42434.3925</v>
      </c>
      <c r="B1386" s="8" t="str">
        <f>HYPERLINK("https://twitter.com/Trundlebedtales","@Trundlebedtales")</f>
        <v>@Trundlebedtales</v>
      </c>
      <c r="C1386" s="9" t="s">
        <v>1469</v>
      </c>
      <c r="D1386" s="9" t="s">
        <v>1470</v>
      </c>
      <c r="E1386" s="10" t="str">
        <f>HYPERLINK("https://twitter.com/Trundlebedtales/status/706138499515191301","706138499515191301")</f>
        <v>706138499515191301</v>
      </c>
      <c r="F1386" s="11" t="s">
        <v>31</v>
      </c>
      <c r="G1386" s="12">
        <v>1656.0</v>
      </c>
      <c r="H1386" s="12">
        <v>2102.0</v>
      </c>
      <c r="I1386" s="12">
        <v>1.0</v>
      </c>
      <c r="J1386" s="12">
        <v>0.0</v>
      </c>
      <c r="K1386" s="11" t="s">
        <v>21</v>
      </c>
      <c r="L1386" s="7">
        <v>40294.543958333335</v>
      </c>
      <c r="M1386" s="13" t="s">
        <v>1471</v>
      </c>
      <c r="N1386" s="13" t="s">
        <v>1472</v>
      </c>
      <c r="O1386" s="10" t="str">
        <f>HYPERLINK("https://pbs.twimg.com/profile_images/858149323/Business-Suit_normal.jpg","View")</f>
        <v>View</v>
      </c>
      <c r="P1386" s="14"/>
    </row>
    <row r="1387">
      <c r="A1387" s="7">
        <v>42434.39336805556</v>
      </c>
      <c r="B1387" s="8" t="str">
        <f>HYPERLINK("https://twitter.com/jamiaw","@jamiaw")</f>
        <v>@jamiaw</v>
      </c>
      <c r="C1387" s="9" t="s">
        <v>324</v>
      </c>
      <c r="D1387" s="9" t="s">
        <v>1473</v>
      </c>
      <c r="E1387" s="10" t="str">
        <f>HYPERLINK("https://twitter.com/jamiaw/status/706138814012588033","706138814012588033")</f>
        <v>706138814012588033</v>
      </c>
      <c r="F1387" s="11" t="s">
        <v>26</v>
      </c>
      <c r="G1387" s="12">
        <v>11336.0</v>
      </c>
      <c r="H1387" s="12">
        <v>7815.0</v>
      </c>
      <c r="I1387" s="12">
        <v>2.0</v>
      </c>
      <c r="J1387" s="12">
        <v>0.0</v>
      </c>
      <c r="K1387" s="11" t="s">
        <v>21</v>
      </c>
      <c r="L1387" s="7">
        <v>39642.39741898148</v>
      </c>
      <c r="M1387" s="13" t="s">
        <v>325</v>
      </c>
      <c r="N1387" s="13" t="s">
        <v>326</v>
      </c>
      <c r="O1387" s="10" t="str">
        <f>HYPERLINK("https://pbs.twimg.com/profile_images/701102020061753344/5zH70uem_normal.jpg","View")</f>
        <v>View</v>
      </c>
      <c r="P1387" s="14"/>
    </row>
    <row r="1388">
      <c r="A1388" s="7">
        <v>42434.39351851852</v>
      </c>
      <c r="B1388" s="8" t="str">
        <f t="shared" ref="B1388:B1389" si="317">HYPERLINK("https://twitter.com/pastpunditry","@pastpunditry")</f>
        <v>@pastpunditry</v>
      </c>
      <c r="C1388" s="9" t="s">
        <v>92</v>
      </c>
      <c r="D1388" s="9" t="s">
        <v>1474</v>
      </c>
      <c r="E1388" s="10" t="str">
        <f>HYPERLINK("https://twitter.com/pastpunditry/status/706138871055163394","706138871055163394")</f>
        <v>706138871055163394</v>
      </c>
      <c r="F1388" s="11" t="s">
        <v>77</v>
      </c>
      <c r="G1388" s="12">
        <v>890.0</v>
      </c>
      <c r="H1388" s="12">
        <v>378.0</v>
      </c>
      <c r="I1388" s="12">
        <v>0.0</v>
      </c>
      <c r="J1388" s="12">
        <v>1.0</v>
      </c>
      <c r="K1388" s="11" t="s">
        <v>21</v>
      </c>
      <c r="L1388" s="7">
        <v>40283.384351851855</v>
      </c>
      <c r="M1388" s="13" t="s">
        <v>94</v>
      </c>
      <c r="N1388" s="13" t="s">
        <v>95</v>
      </c>
      <c r="O1388" s="10" t="str">
        <f t="shared" ref="O1388:O1389" si="318">HYPERLINK("https://pbs.twimg.com/profile_images/704873222802636800/7aFEMOY5_normal.jpg","View")</f>
        <v>View</v>
      </c>
      <c r="P1388" s="14"/>
    </row>
    <row r="1389">
      <c r="A1389" s="7">
        <v>42434.39451388889</v>
      </c>
      <c r="B1389" s="8" t="str">
        <f t="shared" si="317"/>
        <v>@pastpunditry</v>
      </c>
      <c r="C1389" s="9" t="s">
        <v>92</v>
      </c>
      <c r="D1389" s="9" t="s">
        <v>1475</v>
      </c>
      <c r="E1389" s="10" t="str">
        <f>HYPERLINK("https://twitter.com/pastpunditry/status/706139228393054209","706139228393054209")</f>
        <v>706139228393054209</v>
      </c>
      <c r="F1389" s="11" t="s">
        <v>77</v>
      </c>
      <c r="G1389" s="12">
        <v>890.0</v>
      </c>
      <c r="H1389" s="12">
        <v>378.0</v>
      </c>
      <c r="I1389" s="12">
        <v>1.0</v>
      </c>
      <c r="J1389" s="12">
        <v>3.0</v>
      </c>
      <c r="K1389" s="11" t="s">
        <v>21</v>
      </c>
      <c r="L1389" s="7">
        <v>40283.384351851855</v>
      </c>
      <c r="M1389" s="13" t="s">
        <v>94</v>
      </c>
      <c r="N1389" s="13" t="s">
        <v>95</v>
      </c>
      <c r="O1389" s="10" t="str">
        <f t="shared" si="318"/>
        <v>View</v>
      </c>
      <c r="P1389" s="14"/>
    </row>
    <row r="1390">
      <c r="A1390" s="7">
        <v>42434.401226851856</v>
      </c>
      <c r="B1390" s="8" t="str">
        <f>HYPERLINK("https://twitter.com/aglassofhistory","@aglassofhistory")</f>
        <v>@aglassofhistory</v>
      </c>
      <c r="C1390" s="9" t="s">
        <v>53</v>
      </c>
      <c r="D1390" s="9" t="s">
        <v>1476</v>
      </c>
      <c r="E1390" s="10" t="str">
        <f>HYPERLINK("https://twitter.com/aglassofhistory/status/706141661840187393","706141661840187393")</f>
        <v>706141661840187393</v>
      </c>
      <c r="F1390" s="11" t="s">
        <v>148</v>
      </c>
      <c r="G1390" s="12">
        <v>400.0</v>
      </c>
      <c r="H1390" s="12">
        <v>733.0</v>
      </c>
      <c r="I1390" s="12">
        <v>1.0</v>
      </c>
      <c r="J1390" s="12">
        <v>0.0</v>
      </c>
      <c r="K1390" s="11" t="s">
        <v>21</v>
      </c>
      <c r="L1390" s="7">
        <v>41697.65762731482</v>
      </c>
      <c r="M1390" s="13" t="s">
        <v>55</v>
      </c>
      <c r="N1390" s="13" t="s">
        <v>56</v>
      </c>
      <c r="O1390" s="10" t="str">
        <f>HYPERLINK("https://pbs.twimg.com/profile_images/611592888816898048/cGMlIfmz_normal.jpg","View")</f>
        <v>View</v>
      </c>
      <c r="P1390" s="14"/>
    </row>
    <row r="1391">
      <c r="A1391" s="7">
        <v>42434.401724537034</v>
      </c>
      <c r="B1391" s="8" t="str">
        <f>HYPERLINK("https://twitter.com/rebekkahrubin","@rebekkahrubin")</f>
        <v>@rebekkahrubin</v>
      </c>
      <c r="C1391" s="9" t="s">
        <v>141</v>
      </c>
      <c r="D1391" s="9" t="s">
        <v>1477</v>
      </c>
      <c r="E1391" s="10" t="str">
        <f>HYPERLINK("https://twitter.com/rebekkahrubin/status/706141843612954624","706141843612954624")</f>
        <v>706141843612954624</v>
      </c>
      <c r="F1391" s="11" t="s">
        <v>31</v>
      </c>
      <c r="G1391" s="12">
        <v>492.0</v>
      </c>
      <c r="H1391" s="12">
        <v>1224.0</v>
      </c>
      <c r="I1391" s="12">
        <v>0.0</v>
      </c>
      <c r="J1391" s="12">
        <v>2.0</v>
      </c>
      <c r="K1391" s="11" t="s">
        <v>21</v>
      </c>
      <c r="L1391" s="7">
        <v>40411.521527777775</v>
      </c>
      <c r="M1391" s="13" t="s">
        <v>143</v>
      </c>
      <c r="N1391" s="13" t="s">
        <v>144</v>
      </c>
      <c r="O1391" s="10" t="str">
        <f>HYPERLINK("https://pbs.twimg.com/profile_images/700317732588408832/Ym_-neUi_normal.jpg","View")</f>
        <v>View</v>
      </c>
      <c r="P1391" s="14"/>
    </row>
    <row r="1392">
      <c r="A1392" s="7">
        <v>42434.40280092593</v>
      </c>
      <c r="B1392" s="8" t="str">
        <f>HYPERLINK("https://twitter.com/erfagen","@erfagen")</f>
        <v>@erfagen</v>
      </c>
      <c r="C1392" s="9" t="s">
        <v>124</v>
      </c>
      <c r="D1392" s="9" t="s">
        <v>1478</v>
      </c>
      <c r="E1392" s="10" t="str">
        <f>HYPERLINK("https://twitter.com/erfagen/status/706142234815635458","706142234815635458")</f>
        <v>706142234815635458</v>
      </c>
      <c r="F1392" s="11" t="s">
        <v>26</v>
      </c>
      <c r="G1392" s="12">
        <v>1055.0</v>
      </c>
      <c r="H1392" s="12">
        <v>2055.0</v>
      </c>
      <c r="I1392" s="12">
        <v>2.0</v>
      </c>
      <c r="J1392" s="12">
        <v>0.0</v>
      </c>
      <c r="K1392" s="11" t="s">
        <v>21</v>
      </c>
      <c r="L1392" s="7">
        <v>40524.93576388889</v>
      </c>
      <c r="M1392" s="13" t="s">
        <v>125</v>
      </c>
      <c r="N1392" s="13" t="s">
        <v>126</v>
      </c>
      <c r="O1392" s="10" t="str">
        <f>HYPERLINK("https://pbs.twimg.com/profile_images/638086945722249217/mid_S_BQ_normal.jpg","View")</f>
        <v>View</v>
      </c>
      <c r="P1392" s="14"/>
    </row>
    <row r="1393">
      <c r="A1393" s="7">
        <v>42434.40394675926</v>
      </c>
      <c r="B1393" s="8" t="str">
        <f>HYPERLINK("https://twitter.com/GHAUmass","@GHAUmass")</f>
        <v>@GHAUmass</v>
      </c>
      <c r="C1393" s="9" t="s">
        <v>30</v>
      </c>
      <c r="D1393" s="9" t="s">
        <v>1448</v>
      </c>
      <c r="E1393" s="10" t="str">
        <f>HYPERLINK("https://twitter.com/GHAUmass/status/706142647719751680","706142647719751680")</f>
        <v>706142647719751680</v>
      </c>
      <c r="F1393" s="11" t="s">
        <v>26</v>
      </c>
      <c r="G1393" s="12">
        <v>68.0</v>
      </c>
      <c r="H1393" s="12">
        <v>100.0</v>
      </c>
      <c r="I1393" s="12">
        <v>7.0</v>
      </c>
      <c r="J1393" s="12">
        <v>0.0</v>
      </c>
      <c r="K1393" s="11" t="s">
        <v>21</v>
      </c>
      <c r="L1393" s="7">
        <v>42152.65289351852</v>
      </c>
      <c r="M1393" s="13" t="s">
        <v>22</v>
      </c>
      <c r="N1393" s="13" t="s">
        <v>32</v>
      </c>
      <c r="O1393" s="10" t="str">
        <f>HYPERLINK("https://pbs.twimg.com/profile_images/604060333590855682/Fk6r1D7d_normal.jpg","View")</f>
        <v>View</v>
      </c>
      <c r="P1393" s="14"/>
    </row>
    <row r="1394">
      <c r="A1394" s="7">
        <v>42434.404456018514</v>
      </c>
      <c r="B1394" s="8" t="str">
        <f>HYPERLINK("https://twitter.com/NewTechPDX","@NewTechPDX")</f>
        <v>@NewTechPDX</v>
      </c>
      <c r="C1394" s="9" t="s">
        <v>1479</v>
      </c>
      <c r="D1394" s="9" t="s">
        <v>1473</v>
      </c>
      <c r="E1394" s="10" t="str">
        <f>HYPERLINK("https://twitter.com/NewTechPDX/status/706142830884851712","706142830884851712")</f>
        <v>706142830884851712</v>
      </c>
      <c r="F1394" s="11" t="s">
        <v>31</v>
      </c>
      <c r="G1394" s="12">
        <v>1529.0</v>
      </c>
      <c r="H1394" s="12">
        <v>1727.0</v>
      </c>
      <c r="I1394" s="12">
        <v>2.0</v>
      </c>
      <c r="J1394" s="12">
        <v>0.0</v>
      </c>
      <c r="K1394" s="11" t="s">
        <v>21</v>
      </c>
      <c r="L1394" s="7">
        <v>41664.14418981482</v>
      </c>
      <c r="M1394" s="13" t="s">
        <v>1480</v>
      </c>
      <c r="N1394" s="13" t="s">
        <v>1481</v>
      </c>
      <c r="O1394" s="10" t="str">
        <f>HYPERLINK("https://pbs.twimg.com/profile_images/544938475221311488/4d6LC4dX_normal.jpeg","View")</f>
        <v>View</v>
      </c>
      <c r="P1394" s="14"/>
    </row>
    <row r="1395">
      <c r="A1395" s="7">
        <v>42434.405</v>
      </c>
      <c r="B1395" s="8" t="str">
        <f t="shared" ref="B1395:B1405" si="319">HYPERLINK("https://twitter.com/GHAUmass","@GHAUmass")</f>
        <v>@GHAUmass</v>
      </c>
      <c r="C1395" s="9" t="s">
        <v>30</v>
      </c>
      <c r="D1395" s="9" t="s">
        <v>1482</v>
      </c>
      <c r="E1395" s="10" t="str">
        <f>HYPERLINK("https://twitter.com/GHAUmass/status/706143030101676032","706143030101676032")</f>
        <v>706143030101676032</v>
      </c>
      <c r="F1395" s="11" t="s">
        <v>26</v>
      </c>
      <c r="G1395" s="12">
        <v>68.0</v>
      </c>
      <c r="H1395" s="12">
        <v>100.0</v>
      </c>
      <c r="I1395" s="12">
        <v>2.0</v>
      </c>
      <c r="J1395" s="12">
        <v>0.0</v>
      </c>
      <c r="K1395" s="11" t="s">
        <v>21</v>
      </c>
      <c r="L1395" s="7">
        <v>42152.65289351852</v>
      </c>
      <c r="M1395" s="13" t="s">
        <v>22</v>
      </c>
      <c r="N1395" s="13" t="s">
        <v>32</v>
      </c>
      <c r="O1395" s="10" t="str">
        <f t="shared" ref="O1395:O1405" si="320">HYPERLINK("https://pbs.twimg.com/profile_images/604060333590855682/Fk6r1D7d_normal.jpg","View")</f>
        <v>View</v>
      </c>
      <c r="P1395" s="14"/>
    </row>
    <row r="1396">
      <c r="A1396" s="7">
        <v>42434.40503472222</v>
      </c>
      <c r="B1396" s="8" t="str">
        <f t="shared" si="319"/>
        <v>@GHAUmass</v>
      </c>
      <c r="C1396" s="9" t="s">
        <v>30</v>
      </c>
      <c r="D1396" s="9" t="s">
        <v>1483</v>
      </c>
      <c r="E1396" s="10" t="str">
        <f>HYPERLINK("https://twitter.com/GHAUmass/status/706143044475731968","706143044475731968")</f>
        <v>706143044475731968</v>
      </c>
      <c r="F1396" s="11" t="s">
        <v>26</v>
      </c>
      <c r="G1396" s="12">
        <v>68.0</v>
      </c>
      <c r="H1396" s="12">
        <v>100.0</v>
      </c>
      <c r="I1396" s="12">
        <v>1.0</v>
      </c>
      <c r="J1396" s="12">
        <v>0.0</v>
      </c>
      <c r="K1396" s="11" t="s">
        <v>21</v>
      </c>
      <c r="L1396" s="7">
        <v>42152.65289351852</v>
      </c>
      <c r="M1396" s="13" t="s">
        <v>22</v>
      </c>
      <c r="N1396" s="13" t="s">
        <v>32</v>
      </c>
      <c r="O1396" s="10" t="str">
        <f t="shared" si="320"/>
        <v>View</v>
      </c>
      <c r="P1396" s="14"/>
    </row>
    <row r="1397">
      <c r="A1397" s="7">
        <v>42434.405057870375</v>
      </c>
      <c r="B1397" s="8" t="str">
        <f t="shared" si="319"/>
        <v>@GHAUmass</v>
      </c>
      <c r="C1397" s="9" t="s">
        <v>30</v>
      </c>
      <c r="D1397" s="9" t="s">
        <v>1484</v>
      </c>
      <c r="E1397" s="10" t="str">
        <f>HYPERLINK("https://twitter.com/GHAUmass/status/706143051815768064","706143051815768064")</f>
        <v>706143051815768064</v>
      </c>
      <c r="F1397" s="11" t="s">
        <v>26</v>
      </c>
      <c r="G1397" s="12">
        <v>68.0</v>
      </c>
      <c r="H1397" s="12">
        <v>100.0</v>
      </c>
      <c r="I1397" s="12">
        <v>1.0</v>
      </c>
      <c r="J1397" s="12">
        <v>0.0</v>
      </c>
      <c r="K1397" s="11" t="s">
        <v>21</v>
      </c>
      <c r="L1397" s="7">
        <v>42152.65289351852</v>
      </c>
      <c r="M1397" s="13" t="s">
        <v>22</v>
      </c>
      <c r="N1397" s="13" t="s">
        <v>32</v>
      </c>
      <c r="O1397" s="10" t="str">
        <f t="shared" si="320"/>
        <v>View</v>
      </c>
      <c r="P1397" s="14"/>
    </row>
    <row r="1398">
      <c r="A1398" s="7">
        <v>42434.40516203704</v>
      </c>
      <c r="B1398" s="8" t="str">
        <f t="shared" si="319"/>
        <v>@GHAUmass</v>
      </c>
      <c r="C1398" s="9" t="s">
        <v>30</v>
      </c>
      <c r="D1398" s="9" t="s">
        <v>1485</v>
      </c>
      <c r="E1398" s="10" t="str">
        <f>HYPERLINK("https://twitter.com/GHAUmass/status/706143088260075521","706143088260075521")</f>
        <v>706143088260075521</v>
      </c>
      <c r="F1398" s="11" t="s">
        <v>26</v>
      </c>
      <c r="G1398" s="12">
        <v>68.0</v>
      </c>
      <c r="H1398" s="12">
        <v>100.0</v>
      </c>
      <c r="I1398" s="12">
        <v>1.0</v>
      </c>
      <c r="J1398" s="12">
        <v>0.0</v>
      </c>
      <c r="K1398" s="11" t="s">
        <v>21</v>
      </c>
      <c r="L1398" s="7">
        <v>42152.65289351852</v>
      </c>
      <c r="M1398" s="13" t="s">
        <v>22</v>
      </c>
      <c r="N1398" s="13" t="s">
        <v>32</v>
      </c>
      <c r="O1398" s="10" t="str">
        <f t="shared" si="320"/>
        <v>View</v>
      </c>
      <c r="P1398" s="14"/>
    </row>
    <row r="1399">
      <c r="A1399" s="7">
        <v>42434.405185185184</v>
      </c>
      <c r="B1399" s="8" t="str">
        <f t="shared" si="319"/>
        <v>@GHAUmass</v>
      </c>
      <c r="C1399" s="9" t="s">
        <v>30</v>
      </c>
      <c r="D1399" s="9" t="s">
        <v>1478</v>
      </c>
      <c r="E1399" s="10" t="str">
        <f>HYPERLINK("https://twitter.com/GHAUmass/status/706143097273638912","706143097273638912")</f>
        <v>706143097273638912</v>
      </c>
      <c r="F1399" s="11" t="s">
        <v>26</v>
      </c>
      <c r="G1399" s="12">
        <v>68.0</v>
      </c>
      <c r="H1399" s="12">
        <v>100.0</v>
      </c>
      <c r="I1399" s="12">
        <v>2.0</v>
      </c>
      <c r="J1399" s="12">
        <v>0.0</v>
      </c>
      <c r="K1399" s="11" t="s">
        <v>21</v>
      </c>
      <c r="L1399" s="7">
        <v>42152.65289351852</v>
      </c>
      <c r="M1399" s="13" t="s">
        <v>22</v>
      </c>
      <c r="N1399" s="13" t="s">
        <v>32</v>
      </c>
      <c r="O1399" s="10" t="str">
        <f t="shared" si="320"/>
        <v>View</v>
      </c>
      <c r="P1399" s="14"/>
    </row>
    <row r="1400">
      <c r="A1400" s="7">
        <v>42434.40528935185</v>
      </c>
      <c r="B1400" s="8" t="str">
        <f t="shared" si="319"/>
        <v>@GHAUmass</v>
      </c>
      <c r="C1400" s="9" t="s">
        <v>30</v>
      </c>
      <c r="D1400" s="9" t="s">
        <v>1486</v>
      </c>
      <c r="E1400" s="10" t="str">
        <f>HYPERLINK("https://twitter.com/GHAUmass/status/706143132740624385","706143132740624385")</f>
        <v>706143132740624385</v>
      </c>
      <c r="F1400" s="11" t="s">
        <v>26</v>
      </c>
      <c r="G1400" s="12">
        <v>68.0</v>
      </c>
      <c r="H1400" s="12">
        <v>100.0</v>
      </c>
      <c r="I1400" s="12">
        <v>1.0</v>
      </c>
      <c r="J1400" s="12">
        <v>0.0</v>
      </c>
      <c r="K1400" s="11" t="s">
        <v>21</v>
      </c>
      <c r="L1400" s="7">
        <v>42152.65289351852</v>
      </c>
      <c r="M1400" s="13" t="s">
        <v>22</v>
      </c>
      <c r="N1400" s="13" t="s">
        <v>32</v>
      </c>
      <c r="O1400" s="10" t="str">
        <f t="shared" si="320"/>
        <v>View</v>
      </c>
      <c r="P1400" s="14"/>
    </row>
    <row r="1401">
      <c r="A1401" s="7">
        <v>42434.4053587963</v>
      </c>
      <c r="B1401" s="8" t="str">
        <f t="shared" si="319"/>
        <v>@GHAUmass</v>
      </c>
      <c r="C1401" s="9" t="s">
        <v>30</v>
      </c>
      <c r="D1401" s="9" t="s">
        <v>1487</v>
      </c>
      <c r="E1401" s="10" t="str">
        <f>HYPERLINK("https://twitter.com/GHAUmass/status/706143161639374850","706143161639374850")</f>
        <v>706143161639374850</v>
      </c>
      <c r="F1401" s="11" t="s">
        <v>26</v>
      </c>
      <c r="G1401" s="12">
        <v>68.0</v>
      </c>
      <c r="H1401" s="12">
        <v>100.0</v>
      </c>
      <c r="I1401" s="12">
        <v>1.0</v>
      </c>
      <c r="J1401" s="12">
        <v>0.0</v>
      </c>
      <c r="K1401" s="11" t="s">
        <v>21</v>
      </c>
      <c r="L1401" s="7">
        <v>42152.65289351852</v>
      </c>
      <c r="M1401" s="13" t="s">
        <v>22</v>
      </c>
      <c r="N1401" s="13" t="s">
        <v>32</v>
      </c>
      <c r="O1401" s="10" t="str">
        <f t="shared" si="320"/>
        <v>View</v>
      </c>
      <c r="P1401" s="14"/>
    </row>
    <row r="1402">
      <c r="A1402" s="7">
        <v>42434.40552083333</v>
      </c>
      <c r="B1402" s="8" t="str">
        <f t="shared" si="319"/>
        <v>@GHAUmass</v>
      </c>
      <c r="C1402" s="9" t="s">
        <v>30</v>
      </c>
      <c r="D1402" s="9" t="s">
        <v>1488</v>
      </c>
      <c r="E1402" s="10" t="str">
        <f>HYPERLINK("https://twitter.com/GHAUmass/status/706143218124062721","706143218124062721")</f>
        <v>706143218124062721</v>
      </c>
      <c r="F1402" s="11" t="s">
        <v>26</v>
      </c>
      <c r="G1402" s="12">
        <v>68.0</v>
      </c>
      <c r="H1402" s="12">
        <v>100.0</v>
      </c>
      <c r="I1402" s="12">
        <v>1.0</v>
      </c>
      <c r="J1402" s="12">
        <v>0.0</v>
      </c>
      <c r="K1402" s="11" t="s">
        <v>21</v>
      </c>
      <c r="L1402" s="7">
        <v>42152.65289351852</v>
      </c>
      <c r="M1402" s="13" t="s">
        <v>22</v>
      </c>
      <c r="N1402" s="13" t="s">
        <v>32</v>
      </c>
      <c r="O1402" s="10" t="str">
        <f t="shared" si="320"/>
        <v>View</v>
      </c>
      <c r="P1402" s="14"/>
    </row>
    <row r="1403">
      <c r="A1403" s="7">
        <v>42434.40563657407</v>
      </c>
      <c r="B1403" s="8" t="str">
        <f t="shared" si="319"/>
        <v>@GHAUmass</v>
      </c>
      <c r="C1403" s="9" t="s">
        <v>30</v>
      </c>
      <c r="D1403" s="9" t="s">
        <v>1412</v>
      </c>
      <c r="E1403" s="10" t="str">
        <f>HYPERLINK("https://twitter.com/GHAUmass/status/706143261824524288","706143261824524288")</f>
        <v>706143261824524288</v>
      </c>
      <c r="F1403" s="11" t="s">
        <v>26</v>
      </c>
      <c r="G1403" s="12">
        <v>68.0</v>
      </c>
      <c r="H1403" s="12">
        <v>100.0</v>
      </c>
      <c r="I1403" s="12">
        <v>2.0</v>
      </c>
      <c r="J1403" s="12">
        <v>0.0</v>
      </c>
      <c r="K1403" s="11" t="s">
        <v>21</v>
      </c>
      <c r="L1403" s="7">
        <v>42152.65289351852</v>
      </c>
      <c r="M1403" s="13" t="s">
        <v>22</v>
      </c>
      <c r="N1403" s="13" t="s">
        <v>32</v>
      </c>
      <c r="O1403" s="10" t="str">
        <f t="shared" si="320"/>
        <v>View</v>
      </c>
      <c r="P1403" s="14"/>
    </row>
    <row r="1404">
      <c r="A1404" s="7">
        <v>42434.405798611115</v>
      </c>
      <c r="B1404" s="8" t="str">
        <f t="shared" si="319"/>
        <v>@GHAUmass</v>
      </c>
      <c r="C1404" s="9" t="s">
        <v>30</v>
      </c>
      <c r="D1404" s="9" t="s">
        <v>1420</v>
      </c>
      <c r="E1404" s="10" t="str">
        <f>HYPERLINK("https://twitter.com/GHAUmass/status/706143319508836352","706143319508836352")</f>
        <v>706143319508836352</v>
      </c>
      <c r="F1404" s="11" t="s">
        <v>26</v>
      </c>
      <c r="G1404" s="12">
        <v>68.0</v>
      </c>
      <c r="H1404" s="12">
        <v>100.0</v>
      </c>
      <c r="I1404" s="12">
        <v>4.0</v>
      </c>
      <c r="J1404" s="12">
        <v>0.0</v>
      </c>
      <c r="K1404" s="11" t="s">
        <v>21</v>
      </c>
      <c r="L1404" s="7">
        <v>42152.65289351852</v>
      </c>
      <c r="M1404" s="13" t="s">
        <v>22</v>
      </c>
      <c r="N1404" s="13" t="s">
        <v>32</v>
      </c>
      <c r="O1404" s="10" t="str">
        <f t="shared" si="320"/>
        <v>View</v>
      </c>
      <c r="P1404" s="14"/>
    </row>
    <row r="1405">
      <c r="A1405" s="7">
        <v>42434.40628472222</v>
      </c>
      <c r="B1405" s="8" t="str">
        <f t="shared" si="319"/>
        <v>@GHAUmass</v>
      </c>
      <c r="C1405" s="9" t="s">
        <v>30</v>
      </c>
      <c r="D1405" s="9" t="s">
        <v>1489</v>
      </c>
      <c r="E1405" s="10" t="str">
        <f>HYPERLINK("https://twitter.com/GHAUmass/status/706143494478426112","706143494478426112")</f>
        <v>706143494478426112</v>
      </c>
      <c r="F1405" s="11" t="s">
        <v>26</v>
      </c>
      <c r="G1405" s="12">
        <v>68.0</v>
      </c>
      <c r="H1405" s="12">
        <v>100.0</v>
      </c>
      <c r="I1405" s="12">
        <v>1.0</v>
      </c>
      <c r="J1405" s="12">
        <v>0.0</v>
      </c>
      <c r="K1405" s="11" t="s">
        <v>21</v>
      </c>
      <c r="L1405" s="7">
        <v>42152.65289351852</v>
      </c>
      <c r="M1405" s="13" t="s">
        <v>22</v>
      </c>
      <c r="N1405" s="13" t="s">
        <v>32</v>
      </c>
      <c r="O1405" s="10" t="str">
        <f t="shared" si="320"/>
        <v>View</v>
      </c>
      <c r="P1405" s="14"/>
    </row>
    <row r="1406">
      <c r="A1406" s="7">
        <v>42434.407430555555</v>
      </c>
      <c r="B1406" s="8" t="str">
        <f>HYPERLINK("https://twitter.com/rebekkahrubin","@rebekkahrubin")</f>
        <v>@rebekkahrubin</v>
      </c>
      <c r="C1406" s="9" t="s">
        <v>141</v>
      </c>
      <c r="D1406" s="9" t="s">
        <v>1490</v>
      </c>
      <c r="E1406" s="10" t="str">
        <f>HYPERLINK("https://twitter.com/rebekkahrubin/status/706143910737874944","706143910737874944")</f>
        <v>706143910737874944</v>
      </c>
      <c r="F1406" s="11" t="s">
        <v>31</v>
      </c>
      <c r="G1406" s="12">
        <v>492.0</v>
      </c>
      <c r="H1406" s="12">
        <v>1224.0</v>
      </c>
      <c r="I1406" s="12">
        <v>2.0</v>
      </c>
      <c r="J1406" s="12">
        <v>1.0</v>
      </c>
      <c r="K1406" s="11" t="s">
        <v>21</v>
      </c>
      <c r="L1406" s="7">
        <v>40411.521527777775</v>
      </c>
      <c r="M1406" s="13" t="s">
        <v>143</v>
      </c>
      <c r="N1406" s="13" t="s">
        <v>144</v>
      </c>
      <c r="O1406" s="10" t="str">
        <f>HYPERLINK("https://pbs.twimg.com/profile_images/700317732588408832/Ym_-neUi_normal.jpg","View")</f>
        <v>View</v>
      </c>
      <c r="P1406" s="14"/>
    </row>
    <row r="1407">
      <c r="A1407" s="7">
        <v>42434.40850694444</v>
      </c>
      <c r="B1407" s="8" t="str">
        <f>HYPERLINK("https://twitter.com/UMassHistory","@UMassHistory")</f>
        <v>@UMassHistory</v>
      </c>
      <c r="C1407" s="9" t="s">
        <v>18</v>
      </c>
      <c r="D1407" s="9" t="s">
        <v>1482</v>
      </c>
      <c r="E1407" s="10" t="str">
        <f>HYPERLINK("https://twitter.com/UMassHistory/status/706144300451700736","706144300451700736")</f>
        <v>706144300451700736</v>
      </c>
      <c r="F1407" s="11" t="s">
        <v>29</v>
      </c>
      <c r="G1407" s="12">
        <v>722.0</v>
      </c>
      <c r="H1407" s="12">
        <v>296.0</v>
      </c>
      <c r="I1407" s="12">
        <v>2.0</v>
      </c>
      <c r="J1407" s="12">
        <v>0.0</v>
      </c>
      <c r="K1407" s="11" t="s">
        <v>21</v>
      </c>
      <c r="L1407" s="7">
        <v>40408.38695601852</v>
      </c>
      <c r="M1407" s="13" t="s">
        <v>22</v>
      </c>
      <c r="N1407" s="13" t="s">
        <v>23</v>
      </c>
      <c r="O1407" s="10" t="str">
        <f>HYPERLINK("https://pbs.twimg.com/profile_images/3586356040/2875fe2e13ecc978a7c19bbf515b7847_normal.png","View")</f>
        <v>View</v>
      </c>
      <c r="P1407" s="14"/>
    </row>
    <row r="1408">
      <c r="A1408" s="7">
        <v>42434.40884259259</v>
      </c>
      <c r="B1408" s="8" t="str">
        <f>HYPERLINK("https://twitter.com/GHAUmass","@GHAUmass")</f>
        <v>@GHAUmass</v>
      </c>
      <c r="C1408" s="9" t="s">
        <v>30</v>
      </c>
      <c r="D1408" s="9" t="s">
        <v>1491</v>
      </c>
      <c r="E1408" s="10" t="str">
        <f>HYPERLINK("https://twitter.com/GHAUmass/status/706144422447214593","706144422447214593")</f>
        <v>706144422447214593</v>
      </c>
      <c r="F1408" s="11" t="s">
        <v>26</v>
      </c>
      <c r="G1408" s="12">
        <v>68.0</v>
      </c>
      <c r="H1408" s="12">
        <v>100.0</v>
      </c>
      <c r="I1408" s="12">
        <v>2.0</v>
      </c>
      <c r="J1408" s="12">
        <v>0.0</v>
      </c>
      <c r="K1408" s="11" t="s">
        <v>21</v>
      </c>
      <c r="L1408" s="7">
        <v>42152.65289351852</v>
      </c>
      <c r="M1408" s="13" t="s">
        <v>22</v>
      </c>
      <c r="N1408" s="13" t="s">
        <v>32</v>
      </c>
      <c r="O1408" s="10" t="str">
        <f>HYPERLINK("https://pbs.twimg.com/profile_images/604060333590855682/Fk6r1D7d_normal.jpg","View")</f>
        <v>View</v>
      </c>
      <c r="P1408" s="14"/>
    </row>
    <row r="1409">
      <c r="A1409" s="7">
        <v>42434.41175925926</v>
      </c>
      <c r="B1409" s="8" t="str">
        <f t="shared" ref="B1409:B1410" si="321">HYPERLINK("https://twitter.com/j3foley","@j3foley")</f>
        <v>@j3foley</v>
      </c>
      <c r="C1409" s="9" t="s">
        <v>1492</v>
      </c>
      <c r="D1409" s="9" t="s">
        <v>1493</v>
      </c>
      <c r="E1409" s="10" t="str">
        <f>HYPERLINK("https://twitter.com/j3foley/status/706145479256645632","706145479256645632")</f>
        <v>706145479256645632</v>
      </c>
      <c r="F1409" s="11" t="s">
        <v>26</v>
      </c>
      <c r="G1409" s="12">
        <v>152.0</v>
      </c>
      <c r="H1409" s="12">
        <v>290.0</v>
      </c>
      <c r="I1409" s="12">
        <v>0.0</v>
      </c>
      <c r="J1409" s="12">
        <v>0.0</v>
      </c>
      <c r="K1409" s="11" t="s">
        <v>21</v>
      </c>
      <c r="L1409" s="7">
        <v>40267.63636574074</v>
      </c>
      <c r="M1409" s="13" t="s">
        <v>252</v>
      </c>
      <c r="N1409" s="13" t="s">
        <v>1494</v>
      </c>
      <c r="O1409" s="10" t="str">
        <f t="shared" ref="O1409:O1410" si="322">HYPERLINK("https://pbs.twimg.com/profile_images/627686554861834241/UcDo7crN_normal.jpg","View")</f>
        <v>View</v>
      </c>
      <c r="P1409" s="14"/>
    </row>
    <row r="1410">
      <c r="A1410" s="7">
        <v>42434.412141203706</v>
      </c>
      <c r="B1410" s="8" t="str">
        <f t="shared" si="321"/>
        <v>@j3foley</v>
      </c>
      <c r="C1410" s="9" t="s">
        <v>1492</v>
      </c>
      <c r="D1410" s="9" t="s">
        <v>1495</v>
      </c>
      <c r="E1410" s="10" t="str">
        <f>HYPERLINK("https://twitter.com/j3foley/status/706145617396043777","706145617396043777")</f>
        <v>706145617396043777</v>
      </c>
      <c r="F1410" s="11" t="s">
        <v>26</v>
      </c>
      <c r="G1410" s="12">
        <v>152.0</v>
      </c>
      <c r="H1410" s="12">
        <v>290.0</v>
      </c>
      <c r="I1410" s="12">
        <v>1.0</v>
      </c>
      <c r="J1410" s="12">
        <v>0.0</v>
      </c>
      <c r="K1410" s="11" t="s">
        <v>21</v>
      </c>
      <c r="L1410" s="7">
        <v>40267.63636574074</v>
      </c>
      <c r="M1410" s="13" t="s">
        <v>252</v>
      </c>
      <c r="N1410" s="13" t="s">
        <v>1494</v>
      </c>
      <c r="O1410" s="10" t="str">
        <f t="shared" si="322"/>
        <v>View</v>
      </c>
      <c r="P1410" s="14"/>
    </row>
    <row r="1411">
      <c r="A1411" s="7">
        <v>42434.41366898148</v>
      </c>
      <c r="B1411" s="8" t="str">
        <f>HYPERLINK("https://twitter.com/rebekkahrubin","@rebekkahrubin")</f>
        <v>@rebekkahrubin</v>
      </c>
      <c r="C1411" s="9" t="s">
        <v>141</v>
      </c>
      <c r="D1411" s="9" t="s">
        <v>1496</v>
      </c>
      <c r="E1411" s="10" t="str">
        <f>HYPERLINK("https://twitter.com/rebekkahrubin/status/706146169823559680","706146169823559680")</f>
        <v>706146169823559680</v>
      </c>
      <c r="F1411" s="11" t="s">
        <v>31</v>
      </c>
      <c r="G1411" s="12">
        <v>492.0</v>
      </c>
      <c r="H1411" s="12">
        <v>1224.0</v>
      </c>
      <c r="I1411" s="12">
        <v>0.0</v>
      </c>
      <c r="J1411" s="12">
        <v>2.0</v>
      </c>
      <c r="K1411" s="11" t="s">
        <v>21</v>
      </c>
      <c r="L1411" s="7">
        <v>40411.521527777775</v>
      </c>
      <c r="M1411" s="13" t="s">
        <v>143</v>
      </c>
      <c r="N1411" s="13" t="s">
        <v>144</v>
      </c>
      <c r="O1411" s="10" t="str">
        <f>HYPERLINK("https://pbs.twimg.com/profile_images/700317732588408832/Ym_-neUi_normal.jpg","View")</f>
        <v>View</v>
      </c>
      <c r="P1411" s="14"/>
    </row>
    <row r="1412">
      <c r="A1412" s="7">
        <v>42434.41375</v>
      </c>
      <c r="B1412" s="8" t="str">
        <f>HYPERLINK("https://twitter.com/MairinOdle","@MairinOdle")</f>
        <v>@MairinOdle</v>
      </c>
      <c r="C1412" s="9" t="s">
        <v>1497</v>
      </c>
      <c r="D1412" s="9" t="s">
        <v>1208</v>
      </c>
      <c r="E1412" s="10" t="str">
        <f>HYPERLINK("https://twitter.com/MairinOdle/status/706146199859044352","706146199859044352")</f>
        <v>706146199859044352</v>
      </c>
      <c r="F1412" s="11" t="s">
        <v>26</v>
      </c>
      <c r="G1412" s="12">
        <v>166.0</v>
      </c>
      <c r="H1412" s="12">
        <v>190.0</v>
      </c>
      <c r="I1412" s="12">
        <v>9.0</v>
      </c>
      <c r="J1412" s="12">
        <v>0.0</v>
      </c>
      <c r="K1412" s="11" t="s">
        <v>21</v>
      </c>
      <c r="L1412" s="7">
        <v>41166.391226851854</v>
      </c>
      <c r="M1412" s="15"/>
      <c r="N1412" s="15"/>
      <c r="O1412" s="10" t="str">
        <f>HYPERLINK("https://pbs.twimg.com/profile_images/3579048433/05db027ecea24a966e56a8cbb2105e33_normal.jpeg","View")</f>
        <v>View</v>
      </c>
      <c r="P1412" s="14"/>
    </row>
    <row r="1413">
      <c r="A1413" s="7">
        <v>42434.414131944446</v>
      </c>
      <c r="B1413" s="8" t="str">
        <f>HYPERLINK("https://twitter.com/JimMoske","@JimMoske")</f>
        <v>@JimMoske</v>
      </c>
      <c r="C1413" s="9" t="s">
        <v>1498</v>
      </c>
      <c r="D1413" s="9" t="s">
        <v>1448</v>
      </c>
      <c r="E1413" s="10" t="str">
        <f>HYPERLINK("https://twitter.com/JimMoske/status/706146339743277060","706146339743277060")</f>
        <v>706146339743277060</v>
      </c>
      <c r="F1413" s="11" t="s">
        <v>26</v>
      </c>
      <c r="G1413" s="12">
        <v>501.0</v>
      </c>
      <c r="H1413" s="12">
        <v>374.0</v>
      </c>
      <c r="I1413" s="12">
        <v>7.0</v>
      </c>
      <c r="J1413" s="12">
        <v>0.0</v>
      </c>
      <c r="K1413" s="11" t="s">
        <v>21</v>
      </c>
      <c r="L1413" s="7">
        <v>41828.81983796296</v>
      </c>
      <c r="M1413" s="13" t="s">
        <v>1499</v>
      </c>
      <c r="N1413" s="13" t="s">
        <v>1500</v>
      </c>
      <c r="O1413" s="10" t="str">
        <f>HYPERLINK("https://pbs.twimg.com/profile_images/621804461862821889/RCXl8z2X_normal.jpg","View")</f>
        <v>View</v>
      </c>
      <c r="P1413" s="14"/>
    </row>
    <row r="1414">
      <c r="A1414" s="7">
        <v>42434.415868055556</v>
      </c>
      <c r="B1414" s="8" t="str">
        <f>HYPERLINK("https://twitter.com/cherylharned","@cherylharned")</f>
        <v>@cherylharned</v>
      </c>
      <c r="C1414" s="9" t="s">
        <v>1371</v>
      </c>
      <c r="D1414" s="9" t="s">
        <v>1448</v>
      </c>
      <c r="E1414" s="10" t="str">
        <f>HYPERLINK("https://twitter.com/cherylharned/status/706146966347124736","706146966347124736")</f>
        <v>706146966347124736</v>
      </c>
      <c r="F1414" s="11" t="s">
        <v>31</v>
      </c>
      <c r="G1414" s="12">
        <v>99.0</v>
      </c>
      <c r="H1414" s="12">
        <v>407.0</v>
      </c>
      <c r="I1414" s="12">
        <v>7.0</v>
      </c>
      <c r="J1414" s="12">
        <v>0.0</v>
      </c>
      <c r="K1414" s="11" t="s">
        <v>21</v>
      </c>
      <c r="L1414" s="7">
        <v>41373.45469907408</v>
      </c>
      <c r="M1414" s="15"/>
      <c r="N1414" s="13" t="s">
        <v>1373</v>
      </c>
      <c r="O1414" s="10" t="str">
        <f>HYPERLINK("https://pbs.twimg.com/profile_images/535167858204893184/DNz9ruRN_normal.jpeg","View")</f>
        <v>View</v>
      </c>
      <c r="P1414" s="14"/>
    </row>
    <row r="1415">
      <c r="A1415" s="7">
        <v>42434.41725694445</v>
      </c>
      <c r="B1415" s="8" t="str">
        <f>HYPERLINK("https://twitter.com/jamiaw","@jamiaw")</f>
        <v>@jamiaw</v>
      </c>
      <c r="C1415" s="9" t="s">
        <v>324</v>
      </c>
      <c r="D1415" s="9" t="s">
        <v>1501</v>
      </c>
      <c r="E1415" s="10" t="str">
        <f>HYPERLINK("https://twitter.com/jamiaw/status/706147469860728832","706147469860728832")</f>
        <v>706147469860728832</v>
      </c>
      <c r="F1415" s="11" t="s">
        <v>1502</v>
      </c>
      <c r="G1415" s="12">
        <v>11336.0</v>
      </c>
      <c r="H1415" s="12">
        <v>7815.0</v>
      </c>
      <c r="I1415" s="12">
        <v>0.0</v>
      </c>
      <c r="J1415" s="12">
        <v>1.0</v>
      </c>
      <c r="K1415" s="11" t="s">
        <v>21</v>
      </c>
      <c r="L1415" s="7">
        <v>39642.39741898148</v>
      </c>
      <c r="M1415" s="13" t="s">
        <v>325</v>
      </c>
      <c r="N1415" s="13" t="s">
        <v>326</v>
      </c>
      <c r="O1415" s="10" t="str">
        <f>HYPERLINK("https://pbs.twimg.com/profile_images/701102020061753344/5zH70uem_normal.jpg","View")</f>
        <v>View</v>
      </c>
      <c r="P1415" s="10" t="str">
        <f>HYPERLINK("http://ctrlq.org/maps/address/#42.38888889,-72.52777778","Map")</f>
        <v>Map</v>
      </c>
    </row>
    <row r="1416">
      <c r="A1416" s="7">
        <v>42434.418344907404</v>
      </c>
      <c r="B1416" s="8" t="str">
        <f>HYPERLINK("https://twitter.com/textcultures","@textcultures")</f>
        <v>@textcultures</v>
      </c>
      <c r="C1416" s="9" t="s">
        <v>1503</v>
      </c>
      <c r="D1416" s="9" t="s">
        <v>1448</v>
      </c>
      <c r="E1416" s="10" t="str">
        <f>HYPERLINK("https://twitter.com/textcultures/status/706147866570563586","706147866570563586")</f>
        <v>706147866570563586</v>
      </c>
      <c r="F1416" s="11" t="s">
        <v>148</v>
      </c>
      <c r="G1416" s="12">
        <v>1606.0</v>
      </c>
      <c r="H1416" s="12">
        <v>2723.0</v>
      </c>
      <c r="I1416" s="12">
        <v>7.0</v>
      </c>
      <c r="J1416" s="12">
        <v>0.0</v>
      </c>
      <c r="K1416" s="11" t="s">
        <v>21</v>
      </c>
      <c r="L1416" s="7">
        <v>41099.53003472222</v>
      </c>
      <c r="M1416" s="13" t="s">
        <v>1504</v>
      </c>
      <c r="N1416" s="13" t="s">
        <v>1505</v>
      </c>
      <c r="O1416" s="10" t="str">
        <f>HYPERLINK("https://pbs.twimg.com/profile_images/629227257479999488/SknIeg8e_normal.jpg","View")</f>
        <v>View</v>
      </c>
      <c r="P1416" s="14"/>
    </row>
    <row r="1417">
      <c r="A1417" s="7">
        <v>42434.41881944444</v>
      </c>
      <c r="B1417" s="8" t="str">
        <f>HYPERLINK("https://twitter.com/jamiaw","@jamiaw")</f>
        <v>@jamiaw</v>
      </c>
      <c r="C1417" s="9" t="s">
        <v>324</v>
      </c>
      <c r="D1417" s="9" t="s">
        <v>1491</v>
      </c>
      <c r="E1417" s="10" t="str">
        <f>HYPERLINK("https://twitter.com/jamiaw/status/706148039581372416","706148039581372416")</f>
        <v>706148039581372416</v>
      </c>
      <c r="F1417" s="11" t="s">
        <v>26</v>
      </c>
      <c r="G1417" s="12">
        <v>11336.0</v>
      </c>
      <c r="H1417" s="12">
        <v>7815.0</v>
      </c>
      <c r="I1417" s="12">
        <v>2.0</v>
      </c>
      <c r="J1417" s="12">
        <v>0.0</v>
      </c>
      <c r="K1417" s="11" t="s">
        <v>21</v>
      </c>
      <c r="L1417" s="7">
        <v>39642.39741898148</v>
      </c>
      <c r="M1417" s="13" t="s">
        <v>325</v>
      </c>
      <c r="N1417" s="13" t="s">
        <v>326</v>
      </c>
      <c r="O1417" s="10" t="str">
        <f>HYPERLINK("https://pbs.twimg.com/profile_images/701102020061753344/5zH70uem_normal.jpg","View")</f>
        <v>View</v>
      </c>
      <c r="P1417" s="14"/>
    </row>
    <row r="1418">
      <c r="A1418" s="7">
        <v>42434.4240162037</v>
      </c>
      <c r="B1418" s="8" t="str">
        <f t="shared" ref="B1418:B1419" si="323">HYPERLINK("https://twitter.com/pastpunditry","@pastpunditry")</f>
        <v>@pastpunditry</v>
      </c>
      <c r="C1418" s="9" t="s">
        <v>92</v>
      </c>
      <c r="D1418" s="9" t="s">
        <v>1506</v>
      </c>
      <c r="E1418" s="10" t="str">
        <f>HYPERLINK("https://twitter.com/pastpunditry/status/706149920206692353","706149920206692353")</f>
        <v>706149920206692353</v>
      </c>
      <c r="F1418" s="11" t="s">
        <v>77</v>
      </c>
      <c r="G1418" s="12">
        <v>890.0</v>
      </c>
      <c r="H1418" s="12">
        <v>378.0</v>
      </c>
      <c r="I1418" s="12">
        <v>3.0</v>
      </c>
      <c r="J1418" s="12">
        <v>4.0</v>
      </c>
      <c r="K1418" s="11" t="s">
        <v>21</v>
      </c>
      <c r="L1418" s="7">
        <v>40283.384351851855</v>
      </c>
      <c r="M1418" s="13" t="s">
        <v>94</v>
      </c>
      <c r="N1418" s="13" t="s">
        <v>95</v>
      </c>
      <c r="O1418" s="10" t="str">
        <f t="shared" ref="O1418:O1419" si="324">HYPERLINK("https://pbs.twimg.com/profile_images/704873222802636800/7aFEMOY5_normal.jpg","View")</f>
        <v>View</v>
      </c>
      <c r="P1418" s="14"/>
    </row>
    <row r="1419">
      <c r="A1419" s="7">
        <v>42434.4252662037</v>
      </c>
      <c r="B1419" s="8" t="str">
        <f t="shared" si="323"/>
        <v>@pastpunditry</v>
      </c>
      <c r="C1419" s="9" t="s">
        <v>92</v>
      </c>
      <c r="D1419" s="9" t="s">
        <v>1507</v>
      </c>
      <c r="E1419" s="10" t="str">
        <f>HYPERLINK("https://twitter.com/pastpunditry/status/706150374999265280","706150374999265280")</f>
        <v>706150374999265280</v>
      </c>
      <c r="F1419" s="11" t="s">
        <v>77</v>
      </c>
      <c r="G1419" s="12">
        <v>890.0</v>
      </c>
      <c r="H1419" s="12">
        <v>378.0</v>
      </c>
      <c r="I1419" s="12">
        <v>1.0</v>
      </c>
      <c r="J1419" s="12">
        <v>0.0</v>
      </c>
      <c r="K1419" s="11" t="s">
        <v>21</v>
      </c>
      <c r="L1419" s="7">
        <v>40283.384351851855</v>
      </c>
      <c r="M1419" s="13" t="s">
        <v>94</v>
      </c>
      <c r="N1419" s="13" t="s">
        <v>95</v>
      </c>
      <c r="O1419" s="10" t="str">
        <f t="shared" si="324"/>
        <v>View</v>
      </c>
      <c r="P1419" s="14"/>
    </row>
    <row r="1420">
      <c r="A1420" s="7">
        <v>42434.425891203704</v>
      </c>
      <c r="B1420" s="8" t="str">
        <f>HYPERLINK("https://twitter.com/aglassofhistory","@aglassofhistory")</f>
        <v>@aglassofhistory</v>
      </c>
      <c r="C1420" s="9" t="s">
        <v>53</v>
      </c>
      <c r="D1420" s="9" t="s">
        <v>1448</v>
      </c>
      <c r="E1420" s="10" t="str">
        <f>HYPERLINK("https://twitter.com/aglassofhistory/status/706150601902710784","706150601902710784")</f>
        <v>706150601902710784</v>
      </c>
      <c r="F1420" s="11" t="s">
        <v>148</v>
      </c>
      <c r="G1420" s="12">
        <v>400.0</v>
      </c>
      <c r="H1420" s="12">
        <v>733.0</v>
      </c>
      <c r="I1420" s="12">
        <v>7.0</v>
      </c>
      <c r="J1420" s="12">
        <v>0.0</v>
      </c>
      <c r="K1420" s="11" t="s">
        <v>21</v>
      </c>
      <c r="L1420" s="7">
        <v>41697.65762731482</v>
      </c>
      <c r="M1420" s="13" t="s">
        <v>55</v>
      </c>
      <c r="N1420" s="13" t="s">
        <v>56</v>
      </c>
      <c r="O1420" s="10" t="str">
        <f>HYPERLINK("https://pbs.twimg.com/profile_images/611592888816898048/cGMlIfmz_normal.jpg","View")</f>
        <v>View</v>
      </c>
      <c r="P1420" s="14"/>
    </row>
    <row r="1421">
      <c r="A1421" s="7">
        <v>42434.426250000004</v>
      </c>
      <c r="B1421" s="8" t="str">
        <f>HYPERLINK("https://twitter.com/pastpunditry","@pastpunditry")</f>
        <v>@pastpunditry</v>
      </c>
      <c r="C1421" s="9" t="s">
        <v>92</v>
      </c>
      <c r="D1421" s="9" t="s">
        <v>1508</v>
      </c>
      <c r="E1421" s="10" t="str">
        <f>HYPERLINK("https://twitter.com/pastpunditry/status/706150732332933121","706150732332933121")</f>
        <v>706150732332933121</v>
      </c>
      <c r="F1421" s="11" t="s">
        <v>77</v>
      </c>
      <c r="G1421" s="12">
        <v>890.0</v>
      </c>
      <c r="H1421" s="12">
        <v>378.0</v>
      </c>
      <c r="I1421" s="12">
        <v>1.0</v>
      </c>
      <c r="J1421" s="12">
        <v>1.0</v>
      </c>
      <c r="K1421" s="11" t="s">
        <v>21</v>
      </c>
      <c r="L1421" s="7">
        <v>40283.384351851855</v>
      </c>
      <c r="M1421" s="13" t="s">
        <v>94</v>
      </c>
      <c r="N1421" s="13" t="s">
        <v>95</v>
      </c>
      <c r="O1421" s="10" t="str">
        <f>HYPERLINK("https://pbs.twimg.com/profile_images/704873222802636800/7aFEMOY5_normal.jpg","View")</f>
        <v>View</v>
      </c>
      <c r="P1421" s="14"/>
    </row>
    <row r="1422">
      <c r="A1422" s="7">
        <v>42434.426412037035</v>
      </c>
      <c r="B1422" s="8" t="str">
        <f t="shared" ref="B1422:B1423" si="325">HYPERLINK("https://twitter.com/JulieThePH","@JulieThePH")</f>
        <v>@JulieThePH</v>
      </c>
      <c r="C1422" s="9" t="s">
        <v>211</v>
      </c>
      <c r="D1422" s="9" t="s">
        <v>1509</v>
      </c>
      <c r="E1422" s="10" t="str">
        <f>HYPERLINK("https://twitter.com/JulieThePH/status/706150790646337536","706150790646337536")</f>
        <v>706150790646337536</v>
      </c>
      <c r="F1422" s="11" t="s">
        <v>31</v>
      </c>
      <c r="G1422" s="12">
        <v>1234.0</v>
      </c>
      <c r="H1422" s="12">
        <v>1386.0</v>
      </c>
      <c r="I1422" s="12">
        <v>2.0</v>
      </c>
      <c r="J1422" s="12">
        <v>1.0</v>
      </c>
      <c r="K1422" s="11" t="s">
        <v>21</v>
      </c>
      <c r="L1422" s="7">
        <v>40718.66918981481</v>
      </c>
      <c r="M1422" s="13" t="s">
        <v>213</v>
      </c>
      <c r="N1422" s="13" t="s">
        <v>214</v>
      </c>
      <c r="O1422" s="10" t="str">
        <f t="shared" ref="O1422:O1423" si="326">HYPERLINK("https://pbs.twimg.com/profile_images/596509974005686273/AqBblwMR_normal.jpg","View")</f>
        <v>View</v>
      </c>
      <c r="P1422" s="14"/>
    </row>
    <row r="1423">
      <c r="A1423" s="7">
        <v>42434.42684027778</v>
      </c>
      <c r="B1423" s="8" t="str">
        <f t="shared" si="325"/>
        <v>@JulieThePH</v>
      </c>
      <c r="C1423" s="9" t="s">
        <v>211</v>
      </c>
      <c r="D1423" s="9" t="s">
        <v>1510</v>
      </c>
      <c r="E1423" s="10" t="str">
        <f>HYPERLINK("https://twitter.com/JulieThePH/status/706150942744420352","706150942744420352")</f>
        <v>706150942744420352</v>
      </c>
      <c r="F1423" s="11" t="s">
        <v>31</v>
      </c>
      <c r="G1423" s="12">
        <v>1234.0</v>
      </c>
      <c r="H1423" s="12">
        <v>1386.0</v>
      </c>
      <c r="I1423" s="12">
        <v>1.0</v>
      </c>
      <c r="J1423" s="12">
        <v>0.0</v>
      </c>
      <c r="K1423" s="11" t="s">
        <v>21</v>
      </c>
      <c r="L1423" s="7">
        <v>40718.66918981481</v>
      </c>
      <c r="M1423" s="13" t="s">
        <v>213</v>
      </c>
      <c r="N1423" s="13" t="s">
        <v>214</v>
      </c>
      <c r="O1423" s="10" t="str">
        <f t="shared" si="326"/>
        <v>View</v>
      </c>
      <c r="P1423" s="14"/>
    </row>
    <row r="1424">
      <c r="A1424" s="7">
        <v>42434.42710648148</v>
      </c>
      <c r="B1424" s="8" t="str">
        <f t="shared" ref="B1424:B1425" si="327">HYPERLINK("https://twitter.com/pastpunditry","@pastpunditry")</f>
        <v>@pastpunditry</v>
      </c>
      <c r="C1424" s="9" t="s">
        <v>92</v>
      </c>
      <c r="D1424" s="9" t="s">
        <v>1511</v>
      </c>
      <c r="E1424" s="10" t="str">
        <f>HYPERLINK("https://twitter.com/pastpunditry/status/706151042103255042","706151042103255042")</f>
        <v>706151042103255042</v>
      </c>
      <c r="F1424" s="11" t="s">
        <v>77</v>
      </c>
      <c r="G1424" s="12">
        <v>890.0</v>
      </c>
      <c r="H1424" s="12">
        <v>378.0</v>
      </c>
      <c r="I1424" s="12">
        <v>0.0</v>
      </c>
      <c r="J1424" s="12">
        <v>1.0</v>
      </c>
      <c r="K1424" s="11" t="s">
        <v>21</v>
      </c>
      <c r="L1424" s="7">
        <v>40283.384351851855</v>
      </c>
      <c r="M1424" s="13" t="s">
        <v>94</v>
      </c>
      <c r="N1424" s="13" t="s">
        <v>95</v>
      </c>
      <c r="O1424" s="10" t="str">
        <f t="shared" ref="O1424:O1425" si="328">HYPERLINK("https://pbs.twimg.com/profile_images/704873222802636800/7aFEMOY5_normal.jpg","View")</f>
        <v>View</v>
      </c>
      <c r="P1424" s="14"/>
    </row>
    <row r="1425">
      <c r="A1425" s="7">
        <v>42434.42716435185</v>
      </c>
      <c r="B1425" s="8" t="str">
        <f t="shared" si="327"/>
        <v>@pastpunditry</v>
      </c>
      <c r="C1425" s="9" t="s">
        <v>92</v>
      </c>
      <c r="D1425" s="9" t="s">
        <v>1512</v>
      </c>
      <c r="E1425" s="10" t="str">
        <f>HYPERLINK("https://twitter.com/pastpunditry/status/706151062026190849","706151062026190849")</f>
        <v>706151062026190849</v>
      </c>
      <c r="F1425" s="11" t="s">
        <v>77</v>
      </c>
      <c r="G1425" s="12">
        <v>890.0</v>
      </c>
      <c r="H1425" s="12">
        <v>378.0</v>
      </c>
      <c r="I1425" s="12">
        <v>2.0</v>
      </c>
      <c r="J1425" s="12">
        <v>0.0</v>
      </c>
      <c r="K1425" s="11" t="s">
        <v>21</v>
      </c>
      <c r="L1425" s="7">
        <v>40283.384351851855</v>
      </c>
      <c r="M1425" s="13" t="s">
        <v>94</v>
      </c>
      <c r="N1425" s="13" t="s">
        <v>95</v>
      </c>
      <c r="O1425" s="10" t="str">
        <f t="shared" si="328"/>
        <v>View</v>
      </c>
      <c r="P1425" s="14"/>
    </row>
    <row r="1426">
      <c r="A1426" s="7">
        <v>42434.42748842592</v>
      </c>
      <c r="B1426" s="8" t="str">
        <f>HYPERLINK("https://twitter.com/jamiaw","@jamiaw")</f>
        <v>@jamiaw</v>
      </c>
      <c r="C1426" s="9" t="s">
        <v>324</v>
      </c>
      <c r="D1426" s="9" t="s">
        <v>1513</v>
      </c>
      <c r="E1426" s="10" t="str">
        <f>HYPERLINK("https://twitter.com/jamiaw/status/706151180767006721","706151180767006721")</f>
        <v>706151180767006721</v>
      </c>
      <c r="F1426" s="11" t="s">
        <v>26</v>
      </c>
      <c r="G1426" s="12">
        <v>11336.0</v>
      </c>
      <c r="H1426" s="12">
        <v>7815.0</v>
      </c>
      <c r="I1426" s="12">
        <v>1.0</v>
      </c>
      <c r="J1426" s="12">
        <v>1.0</v>
      </c>
      <c r="K1426" s="11" t="s">
        <v>21</v>
      </c>
      <c r="L1426" s="7">
        <v>39642.39741898148</v>
      </c>
      <c r="M1426" s="13" t="s">
        <v>325</v>
      </c>
      <c r="N1426" s="13" t="s">
        <v>326</v>
      </c>
      <c r="O1426" s="10" t="str">
        <f>HYPERLINK("https://pbs.twimg.com/profile_images/701102020061753344/5zH70uem_normal.jpg","View")</f>
        <v>View</v>
      </c>
      <c r="P1426" s="14"/>
    </row>
    <row r="1427">
      <c r="A1427" s="7">
        <v>42434.42760416667</v>
      </c>
      <c r="B1427" s="8" t="str">
        <f>HYPERLINK("https://twitter.com/pastpunditry","@pastpunditry")</f>
        <v>@pastpunditry</v>
      </c>
      <c r="C1427" s="9" t="s">
        <v>92</v>
      </c>
      <c r="D1427" s="9" t="s">
        <v>1514</v>
      </c>
      <c r="E1427" s="10" t="str">
        <f>HYPERLINK("https://twitter.com/pastpunditry/status/706151221376229376","706151221376229376")</f>
        <v>706151221376229376</v>
      </c>
      <c r="F1427" s="11" t="s">
        <v>77</v>
      </c>
      <c r="G1427" s="12">
        <v>890.0</v>
      </c>
      <c r="H1427" s="12">
        <v>378.0</v>
      </c>
      <c r="I1427" s="12">
        <v>0.0</v>
      </c>
      <c r="J1427" s="12">
        <v>0.0</v>
      </c>
      <c r="K1427" s="11" t="s">
        <v>21</v>
      </c>
      <c r="L1427" s="7">
        <v>40283.384351851855</v>
      </c>
      <c r="M1427" s="13" t="s">
        <v>94</v>
      </c>
      <c r="N1427" s="13" t="s">
        <v>95</v>
      </c>
      <c r="O1427" s="10" t="str">
        <f>HYPERLINK("https://pbs.twimg.com/profile_images/704873222802636800/7aFEMOY5_normal.jpg","View")</f>
        <v>View</v>
      </c>
      <c r="P1427" s="14"/>
    </row>
    <row r="1428">
      <c r="A1428" s="7">
        <v>42434.42765046297</v>
      </c>
      <c r="B1428" s="8" t="str">
        <f>HYPERLINK("https://twitter.com/JimGrossmanAHA","@JimGrossmanAHA")</f>
        <v>@JimGrossmanAHA</v>
      </c>
      <c r="C1428" s="9" t="s">
        <v>278</v>
      </c>
      <c r="D1428" s="9" t="s">
        <v>1515</v>
      </c>
      <c r="E1428" s="10" t="str">
        <f>HYPERLINK("https://twitter.com/JimGrossmanAHA/status/706151238245748736","706151238245748736")</f>
        <v>706151238245748736</v>
      </c>
      <c r="F1428" s="11" t="s">
        <v>31</v>
      </c>
      <c r="G1428" s="12">
        <v>2241.0</v>
      </c>
      <c r="H1428" s="12">
        <v>368.0</v>
      </c>
      <c r="I1428" s="12">
        <v>6.0</v>
      </c>
      <c r="J1428" s="12">
        <v>6.0</v>
      </c>
      <c r="K1428" s="11" t="s">
        <v>21</v>
      </c>
      <c r="L1428" s="7">
        <v>41576.36603009259</v>
      </c>
      <c r="M1428" s="13" t="s">
        <v>279</v>
      </c>
      <c r="N1428" s="13" t="s">
        <v>280</v>
      </c>
      <c r="O1428" s="10" t="str">
        <f>HYPERLINK("https://pbs.twimg.com/profile_images/378800000667891782/44d7b181c077bf16ab07b242f7ad81b9_normal.png","View")</f>
        <v>View</v>
      </c>
      <c r="P1428" s="14"/>
    </row>
    <row r="1429">
      <c r="A1429" s="7">
        <v>42434.42795138889</v>
      </c>
      <c r="B1429" s="8" t="str">
        <f>HYPERLINK("https://twitter.com/RPShapardUNC","@RPShapardUNC")</f>
        <v>@RPShapardUNC</v>
      </c>
      <c r="C1429" s="9" t="s">
        <v>1516</v>
      </c>
      <c r="D1429" s="9" t="s">
        <v>1517</v>
      </c>
      <c r="E1429" s="10" t="str">
        <f>HYPERLINK("https://twitter.com/RPShapardUNC/status/706151347125673984","706151347125673984")</f>
        <v>706151347125673984</v>
      </c>
      <c r="F1429" s="11" t="s">
        <v>26</v>
      </c>
      <c r="G1429" s="12">
        <v>22.0</v>
      </c>
      <c r="H1429" s="12">
        <v>230.0</v>
      </c>
      <c r="I1429" s="12">
        <v>6.0</v>
      </c>
      <c r="J1429" s="12">
        <v>0.0</v>
      </c>
      <c r="K1429" s="11" t="s">
        <v>21</v>
      </c>
      <c r="L1429" s="7">
        <v>41942.46805555555</v>
      </c>
      <c r="M1429" s="13" t="s">
        <v>1518</v>
      </c>
      <c r="N1429" s="13" t="s">
        <v>1519</v>
      </c>
      <c r="O1429" s="10" t="str">
        <f>HYPERLINK("https://pbs.twimg.com/profile_images/702170386352492544/dy8Nwz3T_normal.jpg","View")</f>
        <v>View</v>
      </c>
      <c r="P1429" s="14"/>
    </row>
    <row r="1430">
      <c r="A1430" s="7">
        <v>42434.42800925926</v>
      </c>
      <c r="B1430" s="8" t="str">
        <f t="shared" ref="B1430:B1431" si="329">HYPERLINK("https://twitter.com/jamiaw","@jamiaw")</f>
        <v>@jamiaw</v>
      </c>
      <c r="C1430" s="9" t="s">
        <v>324</v>
      </c>
      <c r="D1430" s="9" t="s">
        <v>1512</v>
      </c>
      <c r="E1430" s="10" t="str">
        <f>HYPERLINK("https://twitter.com/jamiaw/status/706151367933620224","706151367933620224")</f>
        <v>706151367933620224</v>
      </c>
      <c r="F1430" s="11" t="s">
        <v>26</v>
      </c>
      <c r="G1430" s="12">
        <v>11336.0</v>
      </c>
      <c r="H1430" s="12">
        <v>7815.0</v>
      </c>
      <c r="I1430" s="12">
        <v>2.0</v>
      </c>
      <c r="J1430" s="12">
        <v>0.0</v>
      </c>
      <c r="K1430" s="11" t="s">
        <v>21</v>
      </c>
      <c r="L1430" s="7">
        <v>39642.39741898148</v>
      </c>
      <c r="M1430" s="13" t="s">
        <v>325</v>
      </c>
      <c r="N1430" s="13" t="s">
        <v>326</v>
      </c>
      <c r="O1430" s="10" t="str">
        <f t="shared" ref="O1430:O1431" si="330">HYPERLINK("https://pbs.twimg.com/profile_images/701102020061753344/5zH70uem_normal.jpg","View")</f>
        <v>View</v>
      </c>
      <c r="P1430" s="14"/>
    </row>
    <row r="1431">
      <c r="A1431" s="7">
        <v>42434.428125</v>
      </c>
      <c r="B1431" s="8" t="str">
        <f t="shared" si="329"/>
        <v>@jamiaw</v>
      </c>
      <c r="C1431" s="9" t="s">
        <v>324</v>
      </c>
      <c r="D1431" s="9" t="s">
        <v>1520</v>
      </c>
      <c r="E1431" s="10" t="str">
        <f>HYPERLINK("https://twitter.com/jamiaw/status/706151408387670016","706151408387670016")</f>
        <v>706151408387670016</v>
      </c>
      <c r="F1431" s="11" t="s">
        <v>26</v>
      </c>
      <c r="G1431" s="12">
        <v>11336.0</v>
      </c>
      <c r="H1431" s="12">
        <v>7815.0</v>
      </c>
      <c r="I1431" s="12">
        <v>1.0</v>
      </c>
      <c r="J1431" s="12">
        <v>0.0</v>
      </c>
      <c r="K1431" s="11" t="s">
        <v>21</v>
      </c>
      <c r="L1431" s="7">
        <v>39642.39741898148</v>
      </c>
      <c r="M1431" s="13" t="s">
        <v>325</v>
      </c>
      <c r="N1431" s="13" t="s">
        <v>326</v>
      </c>
      <c r="O1431" s="10" t="str">
        <f t="shared" si="330"/>
        <v>View</v>
      </c>
      <c r="P1431" s="14"/>
    </row>
    <row r="1432">
      <c r="A1432" s="7">
        <v>42434.42815972222</v>
      </c>
      <c r="B1432" s="8" t="str">
        <f t="shared" ref="B1432:B1433" si="331">HYPERLINK("https://twitter.com/rebekkahrubin","@rebekkahrubin")</f>
        <v>@rebekkahrubin</v>
      </c>
      <c r="C1432" s="9" t="s">
        <v>141</v>
      </c>
      <c r="D1432" s="9" t="s">
        <v>1521</v>
      </c>
      <c r="E1432" s="10" t="str">
        <f>HYPERLINK("https://twitter.com/rebekkahrubin/status/706151420907667457","706151420907667457")</f>
        <v>706151420907667457</v>
      </c>
      <c r="F1432" s="11" t="s">
        <v>31</v>
      </c>
      <c r="G1432" s="12">
        <v>492.0</v>
      </c>
      <c r="H1432" s="12">
        <v>1224.0</v>
      </c>
      <c r="I1432" s="12">
        <v>1.0</v>
      </c>
      <c r="J1432" s="12">
        <v>0.0</v>
      </c>
      <c r="K1432" s="11" t="s">
        <v>21</v>
      </c>
      <c r="L1432" s="7">
        <v>40411.521527777775</v>
      </c>
      <c r="M1432" s="13" t="s">
        <v>143</v>
      </c>
      <c r="N1432" s="13" t="s">
        <v>144</v>
      </c>
      <c r="O1432" s="10" t="str">
        <f t="shared" ref="O1432:O1433" si="332">HYPERLINK("https://pbs.twimg.com/profile_images/700317732588408832/Ym_-neUi_normal.jpg","View")</f>
        <v>View</v>
      </c>
      <c r="P1432" s="14"/>
    </row>
    <row r="1433">
      <c r="A1433" s="7">
        <v>42434.42878472222</v>
      </c>
      <c r="B1433" s="8" t="str">
        <f t="shared" si="331"/>
        <v>@rebekkahrubin</v>
      </c>
      <c r="C1433" s="9" t="s">
        <v>141</v>
      </c>
      <c r="D1433" s="9" t="s">
        <v>1522</v>
      </c>
      <c r="E1433" s="10" t="str">
        <f>HYPERLINK("https://twitter.com/rebekkahrubin/status/706151650776518657","706151650776518657")</f>
        <v>706151650776518657</v>
      </c>
      <c r="F1433" s="11" t="s">
        <v>31</v>
      </c>
      <c r="G1433" s="12">
        <v>492.0</v>
      </c>
      <c r="H1433" s="12">
        <v>1224.0</v>
      </c>
      <c r="I1433" s="12">
        <v>3.0</v>
      </c>
      <c r="J1433" s="12">
        <v>0.0</v>
      </c>
      <c r="K1433" s="11" t="s">
        <v>21</v>
      </c>
      <c r="L1433" s="7">
        <v>40411.521527777775</v>
      </c>
      <c r="M1433" s="13" t="s">
        <v>143</v>
      </c>
      <c r="N1433" s="13" t="s">
        <v>144</v>
      </c>
      <c r="O1433" s="10" t="str">
        <f t="shared" si="332"/>
        <v>View</v>
      </c>
      <c r="P1433" s="14"/>
    </row>
    <row r="1434">
      <c r="A1434" s="7">
        <v>42434.42998842592</v>
      </c>
      <c r="B1434" s="8" t="str">
        <f>HYPERLINK("https://twitter.com/SelenaMMoon","@SelenaMMoon")</f>
        <v>@SelenaMMoon</v>
      </c>
      <c r="C1434" s="9" t="s">
        <v>1440</v>
      </c>
      <c r="D1434" s="9" t="s">
        <v>1522</v>
      </c>
      <c r="E1434" s="10" t="str">
        <f>HYPERLINK("https://twitter.com/SelenaMMoon/status/706152086896033792","706152086896033792")</f>
        <v>706152086896033792</v>
      </c>
      <c r="F1434" s="11" t="s">
        <v>148</v>
      </c>
      <c r="G1434" s="12">
        <v>94.0</v>
      </c>
      <c r="H1434" s="12">
        <v>306.0</v>
      </c>
      <c r="I1434" s="12">
        <v>3.0</v>
      </c>
      <c r="J1434" s="12">
        <v>0.0</v>
      </c>
      <c r="K1434" s="11" t="s">
        <v>21</v>
      </c>
      <c r="L1434" s="7">
        <v>42348.51746527778</v>
      </c>
      <c r="M1434" s="15"/>
      <c r="N1434" s="13" t="s">
        <v>1442</v>
      </c>
      <c r="O1434" s="10" t="str">
        <f>HYPERLINK("https://pbs.twimg.com/profile_images/675332082030280704/gQfq9RVj_normal.jpg","View")</f>
        <v>View</v>
      </c>
      <c r="P1434" s="14"/>
    </row>
    <row r="1435">
      <c r="A1435" s="7">
        <v>42434.43026620371</v>
      </c>
      <c r="B1435" s="8" t="str">
        <f>HYPERLINK("https://twitter.com/pastpunditry","@pastpunditry")</f>
        <v>@pastpunditry</v>
      </c>
      <c r="C1435" s="9" t="s">
        <v>92</v>
      </c>
      <c r="D1435" s="9" t="s">
        <v>1523</v>
      </c>
      <c r="E1435" s="10" t="str">
        <f>HYPERLINK("https://twitter.com/pastpunditry/status/706152186393337858","706152186393337858")</f>
        <v>706152186393337858</v>
      </c>
      <c r="F1435" s="11" t="s">
        <v>77</v>
      </c>
      <c r="G1435" s="12">
        <v>890.0</v>
      </c>
      <c r="H1435" s="12">
        <v>378.0</v>
      </c>
      <c r="I1435" s="12">
        <v>0.0</v>
      </c>
      <c r="J1435" s="12">
        <v>0.0</v>
      </c>
      <c r="K1435" s="11" t="s">
        <v>21</v>
      </c>
      <c r="L1435" s="7">
        <v>40283.384351851855</v>
      </c>
      <c r="M1435" s="13" t="s">
        <v>94</v>
      </c>
      <c r="N1435" s="13" t="s">
        <v>95</v>
      </c>
      <c r="O1435" s="10" t="str">
        <f>HYPERLINK("https://pbs.twimg.com/profile_images/704873222802636800/7aFEMOY5_normal.jpg","View")</f>
        <v>View</v>
      </c>
      <c r="P1435" s="14"/>
    </row>
    <row r="1436">
      <c r="A1436" s="7">
        <v>42434.43037037037</v>
      </c>
      <c r="B1436" s="8" t="str">
        <f>HYPERLINK("https://twitter.com/erfagen","@erfagen")</f>
        <v>@erfagen</v>
      </c>
      <c r="C1436" s="9" t="s">
        <v>124</v>
      </c>
      <c r="D1436" s="9" t="s">
        <v>1300</v>
      </c>
      <c r="E1436" s="10" t="str">
        <f>HYPERLINK("https://twitter.com/erfagen/status/706152224662167552","706152224662167552")</f>
        <v>706152224662167552</v>
      </c>
      <c r="F1436" s="11" t="s">
        <v>26</v>
      </c>
      <c r="G1436" s="12">
        <v>1055.0</v>
      </c>
      <c r="H1436" s="12">
        <v>2055.0</v>
      </c>
      <c r="I1436" s="12">
        <v>2.0</v>
      </c>
      <c r="J1436" s="12">
        <v>0.0</v>
      </c>
      <c r="K1436" s="11" t="s">
        <v>21</v>
      </c>
      <c r="L1436" s="7">
        <v>40524.93576388889</v>
      </c>
      <c r="M1436" s="13" t="s">
        <v>125</v>
      </c>
      <c r="N1436" s="13" t="s">
        <v>126</v>
      </c>
      <c r="O1436" s="10" t="str">
        <f>HYPERLINK("https://pbs.twimg.com/profile_images/638086945722249217/mid_S_BQ_normal.jpg","View")</f>
        <v>View</v>
      </c>
      <c r="P1436" s="14"/>
    </row>
    <row r="1437">
      <c r="A1437" s="7">
        <v>42434.430706018524</v>
      </c>
      <c r="B1437" s="8" t="str">
        <f>HYPERLINK("https://twitter.com/JulieThePH","@JulieThePH")</f>
        <v>@JulieThePH</v>
      </c>
      <c r="C1437" s="9" t="s">
        <v>211</v>
      </c>
      <c r="D1437" s="9" t="s">
        <v>1524</v>
      </c>
      <c r="E1437" s="10" t="str">
        <f>HYPERLINK("https://twitter.com/JulieThePH/status/706152345256722432","706152345256722432")</f>
        <v>706152345256722432</v>
      </c>
      <c r="F1437" s="11" t="s">
        <v>31</v>
      </c>
      <c r="G1437" s="12">
        <v>1234.0</v>
      </c>
      <c r="H1437" s="12">
        <v>1386.0</v>
      </c>
      <c r="I1437" s="12">
        <v>0.0</v>
      </c>
      <c r="J1437" s="12">
        <v>1.0</v>
      </c>
      <c r="K1437" s="11" t="s">
        <v>21</v>
      </c>
      <c r="L1437" s="7">
        <v>40718.66918981481</v>
      </c>
      <c r="M1437" s="13" t="s">
        <v>213</v>
      </c>
      <c r="N1437" s="13" t="s">
        <v>214</v>
      </c>
      <c r="O1437" s="10" t="str">
        <f>HYPERLINK("https://pbs.twimg.com/profile_images/596509974005686273/AqBblwMR_normal.jpg","View")</f>
        <v>View</v>
      </c>
      <c r="P1437" s="14"/>
    </row>
    <row r="1438">
      <c r="A1438" s="7">
        <v>42434.43131944444</v>
      </c>
      <c r="B1438" s="8" t="str">
        <f t="shared" ref="B1438:B1439" si="333">HYPERLINK("https://twitter.com/pastpunditry","@pastpunditry")</f>
        <v>@pastpunditry</v>
      </c>
      <c r="C1438" s="9" t="s">
        <v>92</v>
      </c>
      <c r="D1438" s="9" t="s">
        <v>1525</v>
      </c>
      <c r="E1438" s="10" t="str">
        <f>HYPERLINK("https://twitter.com/pastpunditry/status/706152567240265728","706152567240265728")</f>
        <v>706152567240265728</v>
      </c>
      <c r="F1438" s="11" t="s">
        <v>77</v>
      </c>
      <c r="G1438" s="12">
        <v>890.0</v>
      </c>
      <c r="H1438" s="12">
        <v>378.0</v>
      </c>
      <c r="I1438" s="12">
        <v>1.0</v>
      </c>
      <c r="J1438" s="12">
        <v>0.0</v>
      </c>
      <c r="K1438" s="11" t="s">
        <v>21</v>
      </c>
      <c r="L1438" s="7">
        <v>40283.384351851855</v>
      </c>
      <c r="M1438" s="13" t="s">
        <v>94</v>
      </c>
      <c r="N1438" s="13" t="s">
        <v>95</v>
      </c>
      <c r="O1438" s="10" t="str">
        <f t="shared" ref="O1438:O1439" si="334">HYPERLINK("https://pbs.twimg.com/profile_images/704873222802636800/7aFEMOY5_normal.jpg","View")</f>
        <v>View</v>
      </c>
      <c r="P1438" s="14"/>
    </row>
    <row r="1439">
      <c r="A1439" s="7">
        <v>42434.43158564815</v>
      </c>
      <c r="B1439" s="8" t="str">
        <f t="shared" si="333"/>
        <v>@pastpunditry</v>
      </c>
      <c r="C1439" s="9" t="s">
        <v>92</v>
      </c>
      <c r="D1439" s="9" t="s">
        <v>1526</v>
      </c>
      <c r="E1439" s="10" t="str">
        <f>HYPERLINK("https://twitter.com/pastpunditry/status/706152663218520064","706152663218520064")</f>
        <v>706152663218520064</v>
      </c>
      <c r="F1439" s="11" t="s">
        <v>77</v>
      </c>
      <c r="G1439" s="12">
        <v>890.0</v>
      </c>
      <c r="H1439" s="12">
        <v>378.0</v>
      </c>
      <c r="I1439" s="12">
        <v>1.0</v>
      </c>
      <c r="J1439" s="12">
        <v>1.0</v>
      </c>
      <c r="K1439" s="11" t="s">
        <v>21</v>
      </c>
      <c r="L1439" s="7">
        <v>40283.384351851855</v>
      </c>
      <c r="M1439" s="13" t="s">
        <v>94</v>
      </c>
      <c r="N1439" s="13" t="s">
        <v>95</v>
      </c>
      <c r="O1439" s="10" t="str">
        <f t="shared" si="334"/>
        <v>View</v>
      </c>
      <c r="P1439" s="14"/>
    </row>
    <row r="1440">
      <c r="A1440" s="7">
        <v>42434.43177083333</v>
      </c>
      <c r="B1440" s="8" t="str">
        <f t="shared" ref="B1440:B1441" si="335">HYPERLINK("https://twitter.com/brianleechphd","@brianleechphd")</f>
        <v>@brianleechphd</v>
      </c>
      <c r="C1440" s="9" t="s">
        <v>226</v>
      </c>
      <c r="D1440" s="9" t="s">
        <v>1527</v>
      </c>
      <c r="E1440" s="10" t="str">
        <f>HYPERLINK("https://twitter.com/brianleechphd/status/706152733368254465","706152733368254465")</f>
        <v>706152733368254465</v>
      </c>
      <c r="F1440" s="11" t="s">
        <v>26</v>
      </c>
      <c r="G1440" s="12">
        <v>677.0</v>
      </c>
      <c r="H1440" s="12">
        <v>1499.0</v>
      </c>
      <c r="I1440" s="12">
        <v>1.0</v>
      </c>
      <c r="J1440" s="12">
        <v>0.0</v>
      </c>
      <c r="K1440" s="11" t="s">
        <v>21</v>
      </c>
      <c r="L1440" s="7">
        <v>41677.99570601852</v>
      </c>
      <c r="M1440" s="13" t="s">
        <v>227</v>
      </c>
      <c r="N1440" s="13" t="s">
        <v>228</v>
      </c>
      <c r="O1440" s="10" t="str">
        <f t="shared" ref="O1440:O1441" si="336">HYPERLINK("https://pbs.twimg.com/profile_images/629489328272592896/BDQ7tdkf_normal.jpg","View")</f>
        <v>View</v>
      </c>
      <c r="P1440" s="14"/>
    </row>
    <row r="1441">
      <c r="A1441" s="7">
        <v>42434.43179398148</v>
      </c>
      <c r="B1441" s="8" t="str">
        <f t="shared" si="335"/>
        <v>@brianleechphd</v>
      </c>
      <c r="C1441" s="9" t="s">
        <v>226</v>
      </c>
      <c r="D1441" s="9" t="s">
        <v>1528</v>
      </c>
      <c r="E1441" s="10" t="str">
        <f>HYPERLINK("https://twitter.com/brianleechphd/status/706152739512963072","706152739512963072")</f>
        <v>706152739512963072</v>
      </c>
      <c r="F1441" s="11" t="s">
        <v>26</v>
      </c>
      <c r="G1441" s="12">
        <v>677.0</v>
      </c>
      <c r="H1441" s="12">
        <v>1499.0</v>
      </c>
      <c r="I1441" s="12">
        <v>1.0</v>
      </c>
      <c r="J1441" s="12">
        <v>0.0</v>
      </c>
      <c r="K1441" s="11" t="s">
        <v>21</v>
      </c>
      <c r="L1441" s="7">
        <v>41677.99570601852</v>
      </c>
      <c r="M1441" s="13" t="s">
        <v>227</v>
      </c>
      <c r="N1441" s="13" t="s">
        <v>228</v>
      </c>
      <c r="O1441" s="10" t="str">
        <f t="shared" si="336"/>
        <v>View</v>
      </c>
      <c r="P1441" s="14"/>
    </row>
    <row r="1442">
      <c r="A1442" s="7">
        <v>42434.43232638889</v>
      </c>
      <c r="B1442" s="8" t="str">
        <f t="shared" ref="B1442:B1444" si="337">HYPERLINK("https://twitter.com/pastpunditry","@pastpunditry")</f>
        <v>@pastpunditry</v>
      </c>
      <c r="C1442" s="9" t="s">
        <v>92</v>
      </c>
      <c r="D1442" s="9" t="s">
        <v>1529</v>
      </c>
      <c r="E1442" s="10" t="str">
        <f>HYPERLINK("https://twitter.com/pastpunditry/status/706152930945191936","706152930945191936")</f>
        <v>706152930945191936</v>
      </c>
      <c r="F1442" s="11" t="s">
        <v>77</v>
      </c>
      <c r="G1442" s="12">
        <v>890.0</v>
      </c>
      <c r="H1442" s="12">
        <v>378.0</v>
      </c>
      <c r="I1442" s="12">
        <v>0.0</v>
      </c>
      <c r="J1442" s="12">
        <v>0.0</v>
      </c>
      <c r="K1442" s="11" t="s">
        <v>21</v>
      </c>
      <c r="L1442" s="7">
        <v>40283.384351851855</v>
      </c>
      <c r="M1442" s="13" t="s">
        <v>94</v>
      </c>
      <c r="N1442" s="13" t="s">
        <v>95</v>
      </c>
      <c r="O1442" s="10" t="str">
        <f t="shared" ref="O1442:O1444" si="338">HYPERLINK("https://pbs.twimg.com/profile_images/704873222802636800/7aFEMOY5_normal.jpg","View")</f>
        <v>View</v>
      </c>
      <c r="P1442" s="14"/>
    </row>
    <row r="1443">
      <c r="A1443" s="7">
        <v>42434.43256944444</v>
      </c>
      <c r="B1443" s="8" t="str">
        <f t="shared" si="337"/>
        <v>@pastpunditry</v>
      </c>
      <c r="C1443" s="9" t="s">
        <v>92</v>
      </c>
      <c r="D1443" s="9" t="s">
        <v>1530</v>
      </c>
      <c r="E1443" s="10" t="str">
        <f>HYPERLINK("https://twitter.com/pastpunditry/status/706153019562446849","706153019562446849")</f>
        <v>706153019562446849</v>
      </c>
      <c r="F1443" s="11" t="s">
        <v>77</v>
      </c>
      <c r="G1443" s="12">
        <v>890.0</v>
      </c>
      <c r="H1443" s="12">
        <v>378.0</v>
      </c>
      <c r="I1443" s="12">
        <v>0.0</v>
      </c>
      <c r="J1443" s="12">
        <v>0.0</v>
      </c>
      <c r="K1443" s="11" t="s">
        <v>21</v>
      </c>
      <c r="L1443" s="7">
        <v>40283.384351851855</v>
      </c>
      <c r="M1443" s="13" t="s">
        <v>94</v>
      </c>
      <c r="N1443" s="13" t="s">
        <v>95</v>
      </c>
      <c r="O1443" s="10" t="str">
        <f t="shared" si="338"/>
        <v>View</v>
      </c>
      <c r="P1443" s="14"/>
    </row>
    <row r="1444">
      <c r="A1444" s="7">
        <v>42434.43371527777</v>
      </c>
      <c r="B1444" s="8" t="str">
        <f t="shared" si="337"/>
        <v>@pastpunditry</v>
      </c>
      <c r="C1444" s="9" t="s">
        <v>92</v>
      </c>
      <c r="D1444" s="9" t="s">
        <v>1531</v>
      </c>
      <c r="E1444" s="10" t="str">
        <f>HYPERLINK("https://twitter.com/pastpunditry/status/706153437503877121","706153437503877121")</f>
        <v>706153437503877121</v>
      </c>
      <c r="F1444" s="11" t="s">
        <v>77</v>
      </c>
      <c r="G1444" s="12">
        <v>890.0</v>
      </c>
      <c r="H1444" s="12">
        <v>378.0</v>
      </c>
      <c r="I1444" s="12">
        <v>1.0</v>
      </c>
      <c r="J1444" s="12">
        <v>2.0</v>
      </c>
      <c r="K1444" s="11" t="s">
        <v>21</v>
      </c>
      <c r="L1444" s="7">
        <v>40283.384351851855</v>
      </c>
      <c r="M1444" s="13" t="s">
        <v>94</v>
      </c>
      <c r="N1444" s="13" t="s">
        <v>95</v>
      </c>
      <c r="O1444" s="10" t="str">
        <f t="shared" si="338"/>
        <v>View</v>
      </c>
      <c r="P1444" s="14"/>
    </row>
    <row r="1445">
      <c r="A1445" s="7">
        <v>42434.435625</v>
      </c>
      <c r="B1445" s="8" t="str">
        <f>HYPERLINK("https://twitter.com/UqamCuratrix","@UqamCuratrix")</f>
        <v>@UqamCuratrix</v>
      </c>
      <c r="C1445" s="9" t="s">
        <v>1532</v>
      </c>
      <c r="D1445" s="9" t="s">
        <v>163</v>
      </c>
      <c r="E1445" s="10" t="str">
        <f>HYPERLINK("https://twitter.com/UqamCuratrix/status/706154129798897664","706154129798897664")</f>
        <v>706154129798897664</v>
      </c>
      <c r="F1445" s="11" t="s">
        <v>148</v>
      </c>
      <c r="G1445" s="12">
        <v>329.0</v>
      </c>
      <c r="H1445" s="12">
        <v>1162.0</v>
      </c>
      <c r="I1445" s="12">
        <v>10.0</v>
      </c>
      <c r="J1445" s="12">
        <v>0.0</v>
      </c>
      <c r="K1445" s="11" t="s">
        <v>21</v>
      </c>
      <c r="L1445" s="7">
        <v>41239.566516203704</v>
      </c>
      <c r="M1445" s="13" t="s">
        <v>1533</v>
      </c>
      <c r="N1445" s="13" t="s">
        <v>1534</v>
      </c>
      <c r="O1445" s="10" t="str">
        <f>HYPERLINK("https://pbs.twimg.com/profile_images/702621818444591104/zsYe3P8C_normal.jpg","View")</f>
        <v>View</v>
      </c>
      <c r="P1445" s="14"/>
    </row>
    <row r="1446">
      <c r="A1446" s="7">
        <v>42434.43581018518</v>
      </c>
      <c r="B1446" s="8" t="str">
        <f>HYPERLINK("https://twitter.com/pastpunditry","@pastpunditry")</f>
        <v>@pastpunditry</v>
      </c>
      <c r="C1446" s="9" t="s">
        <v>92</v>
      </c>
      <c r="D1446" s="9" t="s">
        <v>1535</v>
      </c>
      <c r="E1446" s="10" t="str">
        <f>HYPERLINK("https://twitter.com/pastpunditry/status/706154196760961024","706154196760961024")</f>
        <v>706154196760961024</v>
      </c>
      <c r="F1446" s="11" t="s">
        <v>77</v>
      </c>
      <c r="G1446" s="12">
        <v>890.0</v>
      </c>
      <c r="H1446" s="12">
        <v>378.0</v>
      </c>
      <c r="I1446" s="12">
        <v>0.0</v>
      </c>
      <c r="J1446" s="12">
        <v>0.0</v>
      </c>
      <c r="K1446" s="11" t="s">
        <v>21</v>
      </c>
      <c r="L1446" s="7">
        <v>40283.384351851855</v>
      </c>
      <c r="M1446" s="13" t="s">
        <v>94</v>
      </c>
      <c r="N1446" s="13" t="s">
        <v>95</v>
      </c>
      <c r="O1446" s="10" t="str">
        <f>HYPERLINK("https://pbs.twimg.com/profile_images/704873222802636800/7aFEMOY5_normal.jpg","View")</f>
        <v>View</v>
      </c>
      <c r="P1446" s="14"/>
    </row>
    <row r="1447">
      <c r="A1447" s="7">
        <v>42434.43644675926</v>
      </c>
      <c r="B1447" s="8" t="str">
        <f>HYPERLINK("https://twitter.com/Welcome2History","@Welcome2History")</f>
        <v>@Welcome2History</v>
      </c>
      <c r="C1447" s="9" t="s">
        <v>646</v>
      </c>
      <c r="D1447" s="9" t="s">
        <v>1160</v>
      </c>
      <c r="E1447" s="10" t="str">
        <f>HYPERLINK("https://twitter.com/Welcome2History/status/706154426273308672","706154426273308672")</f>
        <v>706154426273308672</v>
      </c>
      <c r="F1447" s="11" t="s">
        <v>43</v>
      </c>
      <c r="G1447" s="12">
        <v>225.0</v>
      </c>
      <c r="H1447" s="12">
        <v>107.0</v>
      </c>
      <c r="I1447" s="12">
        <v>9.0</v>
      </c>
      <c r="J1447" s="12">
        <v>0.0</v>
      </c>
      <c r="K1447" s="11" t="s">
        <v>21</v>
      </c>
      <c r="L1447" s="7">
        <v>42191.44520833333</v>
      </c>
      <c r="M1447" s="13" t="s">
        <v>213</v>
      </c>
      <c r="N1447" s="13" t="s">
        <v>647</v>
      </c>
      <c r="O1447" s="10" t="str">
        <f>HYPERLINK("https://pbs.twimg.com/profile_images/622972421163724800/aDxe6tur_normal.jpg","View")</f>
        <v>View</v>
      </c>
      <c r="P1447" s="14"/>
    </row>
    <row r="1448">
      <c r="A1448" s="7">
        <v>42434.43712962963</v>
      </c>
      <c r="B1448" s="8" t="str">
        <f>HYPERLINK("https://twitter.com/monicaMedHist","@monicaMedHist")</f>
        <v>@monicaMedHist</v>
      </c>
      <c r="C1448" s="9" t="s">
        <v>1536</v>
      </c>
      <c r="D1448" s="9" t="s">
        <v>1517</v>
      </c>
      <c r="E1448" s="10" t="str">
        <f>HYPERLINK("https://twitter.com/monicaMedHist/status/706154671954460672","706154671954460672")</f>
        <v>706154671954460672</v>
      </c>
      <c r="F1448" s="11" t="s">
        <v>31</v>
      </c>
      <c r="G1448" s="12">
        <v>635.0</v>
      </c>
      <c r="H1448" s="12">
        <v>200.0</v>
      </c>
      <c r="I1448" s="12">
        <v>6.0</v>
      </c>
      <c r="J1448" s="12">
        <v>0.0</v>
      </c>
      <c r="K1448" s="11" t="s">
        <v>21</v>
      </c>
      <c r="L1448" s="7">
        <v>41974.663194444445</v>
      </c>
      <c r="M1448" s="15"/>
      <c r="N1448" s="13" t="s">
        <v>1537</v>
      </c>
      <c r="O1448" s="10" t="str">
        <f>HYPERLINK("https://pbs.twimg.com/profile_images/539540473967157248/zsI9F9Mw_normal.jpeg","View")</f>
        <v>View</v>
      </c>
      <c r="P1448" s="14"/>
    </row>
    <row r="1449">
      <c r="A1449" s="7">
        <v>42434.43775462963</v>
      </c>
      <c r="B1449" s="8" t="str">
        <f>HYPERLINK("https://twitter.com/pastpunditry","@pastpunditry")</f>
        <v>@pastpunditry</v>
      </c>
      <c r="C1449" s="9" t="s">
        <v>92</v>
      </c>
      <c r="D1449" s="9" t="s">
        <v>1538</v>
      </c>
      <c r="E1449" s="10" t="str">
        <f>HYPERLINK("https://twitter.com/pastpunditry/status/706154899050995712","706154899050995712")</f>
        <v>706154899050995712</v>
      </c>
      <c r="F1449" s="11" t="s">
        <v>77</v>
      </c>
      <c r="G1449" s="12">
        <v>890.0</v>
      </c>
      <c r="H1449" s="12">
        <v>378.0</v>
      </c>
      <c r="I1449" s="12">
        <v>1.0</v>
      </c>
      <c r="J1449" s="12">
        <v>2.0</v>
      </c>
      <c r="K1449" s="11" t="s">
        <v>21</v>
      </c>
      <c r="L1449" s="7">
        <v>40283.384351851855</v>
      </c>
      <c r="M1449" s="13" t="s">
        <v>94</v>
      </c>
      <c r="N1449" s="13" t="s">
        <v>95</v>
      </c>
      <c r="O1449" s="10" t="str">
        <f>HYPERLINK("https://pbs.twimg.com/profile_images/704873222802636800/7aFEMOY5_normal.jpg","View")</f>
        <v>View</v>
      </c>
      <c r="P1449" s="14"/>
    </row>
    <row r="1450">
      <c r="A1450" s="7">
        <v>42434.4377662037</v>
      </c>
      <c r="B1450" s="8" t="str">
        <f>HYPERLINK("https://twitter.com/UMassHistory","@UMassHistory")</f>
        <v>@UMassHistory</v>
      </c>
      <c r="C1450" s="9" t="s">
        <v>18</v>
      </c>
      <c r="D1450" s="9" t="s">
        <v>1539</v>
      </c>
      <c r="E1450" s="10" t="str">
        <f>HYPERLINK("https://twitter.com/UMassHistory/status/706154905241849856","706154905241849856")</f>
        <v>706154905241849856</v>
      </c>
      <c r="F1450" s="11" t="s">
        <v>31</v>
      </c>
      <c r="G1450" s="12">
        <v>722.0</v>
      </c>
      <c r="H1450" s="12">
        <v>296.0</v>
      </c>
      <c r="I1450" s="12">
        <v>1.0</v>
      </c>
      <c r="J1450" s="12">
        <v>0.0</v>
      </c>
      <c r="K1450" s="11" t="s">
        <v>21</v>
      </c>
      <c r="L1450" s="7">
        <v>40408.38695601852</v>
      </c>
      <c r="M1450" s="13" t="s">
        <v>22</v>
      </c>
      <c r="N1450" s="13" t="s">
        <v>23</v>
      </c>
      <c r="O1450" s="10" t="str">
        <f>HYPERLINK("https://pbs.twimg.com/profile_images/3586356040/2875fe2e13ecc978a7c19bbf515b7847_normal.png","View")</f>
        <v>View</v>
      </c>
      <c r="P1450" s="14"/>
    </row>
    <row r="1451">
      <c r="A1451" s="7">
        <v>42434.438043981485</v>
      </c>
      <c r="B1451" s="8" t="str">
        <f>HYPERLINK("https://twitter.com/singingscholar","@singingscholar")</f>
        <v>@singingscholar</v>
      </c>
      <c r="C1451" s="9" t="s">
        <v>1540</v>
      </c>
      <c r="D1451" s="9" t="s">
        <v>1517</v>
      </c>
      <c r="E1451" s="10" t="str">
        <f>HYPERLINK("https://twitter.com/singingscholar/status/706155005976387584","706155005976387584")</f>
        <v>706155005976387584</v>
      </c>
      <c r="F1451" s="11" t="s">
        <v>31</v>
      </c>
      <c r="G1451" s="12">
        <v>1457.0</v>
      </c>
      <c r="H1451" s="12">
        <v>940.0</v>
      </c>
      <c r="I1451" s="12">
        <v>6.0</v>
      </c>
      <c r="J1451" s="12">
        <v>0.0</v>
      </c>
      <c r="K1451" s="11" t="s">
        <v>21</v>
      </c>
      <c r="L1451" s="7">
        <v>40463.84423611111</v>
      </c>
      <c r="M1451" s="13" t="s">
        <v>1541</v>
      </c>
      <c r="N1451" s="13" t="s">
        <v>1542</v>
      </c>
      <c r="O1451" s="10" t="str">
        <f>HYPERLINK("https://pbs.twimg.com/profile_images/699264491356233728/JgpTqWjk_normal.jpg","View")</f>
        <v>View</v>
      </c>
      <c r="P1451" s="14"/>
    </row>
    <row r="1452">
      <c r="A1452" s="7">
        <v>42434.438368055555</v>
      </c>
      <c r="B1452" s="8" t="str">
        <f>HYPERLINK("https://twitter.com/dataylor1","@dataylor1")</f>
        <v>@dataylor1</v>
      </c>
      <c r="C1452" s="9" t="s">
        <v>1543</v>
      </c>
      <c r="D1452" s="9" t="s">
        <v>1517</v>
      </c>
      <c r="E1452" s="10" t="str">
        <f>HYPERLINK("https://twitter.com/dataylor1/status/706155120518680576","706155120518680576")</f>
        <v>706155120518680576</v>
      </c>
      <c r="F1452" s="11" t="s">
        <v>31</v>
      </c>
      <c r="G1452" s="12">
        <v>794.0</v>
      </c>
      <c r="H1452" s="12">
        <v>1004.0</v>
      </c>
      <c r="I1452" s="12">
        <v>6.0</v>
      </c>
      <c r="J1452" s="12">
        <v>0.0</v>
      </c>
      <c r="K1452" s="11" t="s">
        <v>21</v>
      </c>
      <c r="L1452" s="7">
        <v>40213.89619212963</v>
      </c>
      <c r="M1452" s="13" t="s">
        <v>279</v>
      </c>
      <c r="N1452" s="13" t="s">
        <v>1544</v>
      </c>
      <c r="O1452" s="10" t="str">
        <f>HYPERLINK("https://pbs.twimg.com/profile_images/503250078715228160/25elVMXy_normal.jpeg","View")</f>
        <v>View</v>
      </c>
      <c r="P1452" s="14"/>
    </row>
    <row r="1453">
      <c r="A1453" s="7">
        <v>42434.4396412037</v>
      </c>
      <c r="B1453" s="8" t="str">
        <f t="shared" ref="B1453:B1463" si="339">HYPERLINK("https://twitter.com/pastpunditry","@pastpunditry")</f>
        <v>@pastpunditry</v>
      </c>
      <c r="C1453" s="9" t="s">
        <v>92</v>
      </c>
      <c r="D1453" s="9" t="s">
        <v>1545</v>
      </c>
      <c r="E1453" s="10" t="str">
        <f>HYPERLINK("https://twitter.com/pastpunditry/status/706155585289457664","706155585289457664")</f>
        <v>706155585289457664</v>
      </c>
      <c r="F1453" s="11" t="s">
        <v>77</v>
      </c>
      <c r="G1453" s="12">
        <v>890.0</v>
      </c>
      <c r="H1453" s="12">
        <v>378.0</v>
      </c>
      <c r="I1453" s="12">
        <v>0.0</v>
      </c>
      <c r="J1453" s="12">
        <v>0.0</v>
      </c>
      <c r="K1453" s="11" t="s">
        <v>21</v>
      </c>
      <c r="L1453" s="7">
        <v>40283.384351851855</v>
      </c>
      <c r="M1453" s="13" t="s">
        <v>94</v>
      </c>
      <c r="N1453" s="13" t="s">
        <v>95</v>
      </c>
      <c r="O1453" s="10" t="str">
        <f t="shared" ref="O1453:O1463" si="340">HYPERLINK("https://pbs.twimg.com/profile_images/704873222802636800/7aFEMOY5_normal.jpg","View")</f>
        <v>View</v>
      </c>
      <c r="P1453" s="14"/>
    </row>
    <row r="1454">
      <c r="A1454" s="7">
        <v>42434.440034722225</v>
      </c>
      <c r="B1454" s="8" t="str">
        <f t="shared" si="339"/>
        <v>@pastpunditry</v>
      </c>
      <c r="C1454" s="9" t="s">
        <v>92</v>
      </c>
      <c r="D1454" s="9" t="s">
        <v>1546</v>
      </c>
      <c r="E1454" s="10" t="str">
        <f>HYPERLINK("https://twitter.com/pastpunditry/status/706155724125110272","706155724125110272")</f>
        <v>706155724125110272</v>
      </c>
      <c r="F1454" s="11" t="s">
        <v>77</v>
      </c>
      <c r="G1454" s="12">
        <v>890.0</v>
      </c>
      <c r="H1454" s="12">
        <v>378.0</v>
      </c>
      <c r="I1454" s="12">
        <v>0.0</v>
      </c>
      <c r="J1454" s="12">
        <v>0.0</v>
      </c>
      <c r="K1454" s="11" t="s">
        <v>21</v>
      </c>
      <c r="L1454" s="7">
        <v>40283.384351851855</v>
      </c>
      <c r="M1454" s="13" t="s">
        <v>94</v>
      </c>
      <c r="N1454" s="13" t="s">
        <v>95</v>
      </c>
      <c r="O1454" s="10" t="str">
        <f t="shared" si="340"/>
        <v>View</v>
      </c>
      <c r="P1454" s="14"/>
    </row>
    <row r="1455">
      <c r="A1455" s="7">
        <v>42434.44090277777</v>
      </c>
      <c r="B1455" s="8" t="str">
        <f t="shared" si="339"/>
        <v>@pastpunditry</v>
      </c>
      <c r="C1455" s="9" t="s">
        <v>92</v>
      </c>
      <c r="D1455" s="9" t="s">
        <v>1547</v>
      </c>
      <c r="E1455" s="10" t="str">
        <f>HYPERLINK("https://twitter.com/pastpunditry/status/706156041143197696","706156041143197696")</f>
        <v>706156041143197696</v>
      </c>
      <c r="F1455" s="11" t="s">
        <v>77</v>
      </c>
      <c r="G1455" s="12">
        <v>890.0</v>
      </c>
      <c r="H1455" s="12">
        <v>378.0</v>
      </c>
      <c r="I1455" s="12">
        <v>0.0</v>
      </c>
      <c r="J1455" s="12">
        <v>1.0</v>
      </c>
      <c r="K1455" s="11" t="s">
        <v>21</v>
      </c>
      <c r="L1455" s="7">
        <v>40283.384351851855</v>
      </c>
      <c r="M1455" s="13" t="s">
        <v>94</v>
      </c>
      <c r="N1455" s="13" t="s">
        <v>95</v>
      </c>
      <c r="O1455" s="10" t="str">
        <f t="shared" si="340"/>
        <v>View</v>
      </c>
      <c r="P1455" s="14"/>
    </row>
    <row r="1456">
      <c r="A1456" s="7">
        <v>42434.44148148148</v>
      </c>
      <c r="B1456" s="8" t="str">
        <f t="shared" si="339"/>
        <v>@pastpunditry</v>
      </c>
      <c r="C1456" s="9" t="s">
        <v>92</v>
      </c>
      <c r="D1456" s="9" t="s">
        <v>1548</v>
      </c>
      <c r="E1456" s="10" t="str">
        <f>HYPERLINK("https://twitter.com/pastpunditry/status/706156250174787584","706156250174787584")</f>
        <v>706156250174787584</v>
      </c>
      <c r="F1456" s="11" t="s">
        <v>77</v>
      </c>
      <c r="G1456" s="12">
        <v>890.0</v>
      </c>
      <c r="H1456" s="12">
        <v>378.0</v>
      </c>
      <c r="I1456" s="12">
        <v>1.0</v>
      </c>
      <c r="J1456" s="12">
        <v>0.0</v>
      </c>
      <c r="K1456" s="11" t="s">
        <v>21</v>
      </c>
      <c r="L1456" s="7">
        <v>40283.384351851855</v>
      </c>
      <c r="M1456" s="13" t="s">
        <v>94</v>
      </c>
      <c r="N1456" s="13" t="s">
        <v>95</v>
      </c>
      <c r="O1456" s="10" t="str">
        <f t="shared" si="340"/>
        <v>View</v>
      </c>
      <c r="P1456" s="14"/>
    </row>
    <row r="1457">
      <c r="A1457" s="7">
        <v>42434.44195601852</v>
      </c>
      <c r="B1457" s="8" t="str">
        <f t="shared" si="339"/>
        <v>@pastpunditry</v>
      </c>
      <c r="C1457" s="9" t="s">
        <v>92</v>
      </c>
      <c r="D1457" s="9" t="s">
        <v>1549</v>
      </c>
      <c r="E1457" s="10" t="str">
        <f>HYPERLINK("https://twitter.com/pastpunditry/status/706156422061494272","706156422061494272")</f>
        <v>706156422061494272</v>
      </c>
      <c r="F1457" s="11" t="s">
        <v>77</v>
      </c>
      <c r="G1457" s="12">
        <v>890.0</v>
      </c>
      <c r="H1457" s="12">
        <v>378.0</v>
      </c>
      <c r="I1457" s="12">
        <v>0.0</v>
      </c>
      <c r="J1457" s="12">
        <v>1.0</v>
      </c>
      <c r="K1457" s="11" t="s">
        <v>21</v>
      </c>
      <c r="L1457" s="7">
        <v>40283.384351851855</v>
      </c>
      <c r="M1457" s="13" t="s">
        <v>94</v>
      </c>
      <c r="N1457" s="13" t="s">
        <v>95</v>
      </c>
      <c r="O1457" s="10" t="str">
        <f t="shared" si="340"/>
        <v>View</v>
      </c>
      <c r="P1457" s="14"/>
    </row>
    <row r="1458">
      <c r="A1458" s="7">
        <v>42434.44233796296</v>
      </c>
      <c r="B1458" s="8" t="str">
        <f t="shared" si="339"/>
        <v>@pastpunditry</v>
      </c>
      <c r="C1458" s="9" t="s">
        <v>92</v>
      </c>
      <c r="D1458" s="9" t="s">
        <v>1550</v>
      </c>
      <c r="E1458" s="10" t="str">
        <f>HYPERLINK("https://twitter.com/pastpunditry/status/706156559383064577","706156559383064577")</f>
        <v>706156559383064577</v>
      </c>
      <c r="F1458" s="11" t="s">
        <v>77</v>
      </c>
      <c r="G1458" s="12">
        <v>890.0</v>
      </c>
      <c r="H1458" s="12">
        <v>378.0</v>
      </c>
      <c r="I1458" s="12">
        <v>0.0</v>
      </c>
      <c r="J1458" s="12">
        <v>1.0</v>
      </c>
      <c r="K1458" s="11" t="s">
        <v>21</v>
      </c>
      <c r="L1458" s="7">
        <v>40283.384351851855</v>
      </c>
      <c r="M1458" s="13" t="s">
        <v>94</v>
      </c>
      <c r="N1458" s="13" t="s">
        <v>95</v>
      </c>
      <c r="O1458" s="10" t="str">
        <f t="shared" si="340"/>
        <v>View</v>
      </c>
      <c r="P1458" s="14"/>
    </row>
    <row r="1459">
      <c r="A1459" s="7">
        <v>42434.443495370375</v>
      </c>
      <c r="B1459" s="8" t="str">
        <f t="shared" si="339"/>
        <v>@pastpunditry</v>
      </c>
      <c r="C1459" s="9" t="s">
        <v>92</v>
      </c>
      <c r="D1459" s="9" t="s">
        <v>1551</v>
      </c>
      <c r="E1459" s="10" t="str">
        <f>HYPERLINK("https://twitter.com/pastpunditry/status/706156979929096192","706156979929096192")</f>
        <v>706156979929096192</v>
      </c>
      <c r="F1459" s="11" t="s">
        <v>77</v>
      </c>
      <c r="G1459" s="12">
        <v>890.0</v>
      </c>
      <c r="H1459" s="12">
        <v>378.0</v>
      </c>
      <c r="I1459" s="12">
        <v>0.0</v>
      </c>
      <c r="J1459" s="12">
        <v>1.0</v>
      </c>
      <c r="K1459" s="11" t="s">
        <v>21</v>
      </c>
      <c r="L1459" s="7">
        <v>40283.384351851855</v>
      </c>
      <c r="M1459" s="13" t="s">
        <v>94</v>
      </c>
      <c r="N1459" s="13" t="s">
        <v>95</v>
      </c>
      <c r="O1459" s="10" t="str">
        <f t="shared" si="340"/>
        <v>View</v>
      </c>
      <c r="P1459" s="14"/>
    </row>
    <row r="1460">
      <c r="A1460" s="7">
        <v>42434.444236111114</v>
      </c>
      <c r="B1460" s="8" t="str">
        <f t="shared" si="339"/>
        <v>@pastpunditry</v>
      </c>
      <c r="C1460" s="9" t="s">
        <v>92</v>
      </c>
      <c r="D1460" s="9" t="s">
        <v>1552</v>
      </c>
      <c r="E1460" s="10" t="str">
        <f>HYPERLINK("https://twitter.com/pastpunditry/status/706157247655780352","706157247655780352")</f>
        <v>706157247655780352</v>
      </c>
      <c r="F1460" s="11" t="s">
        <v>77</v>
      </c>
      <c r="G1460" s="12">
        <v>890.0</v>
      </c>
      <c r="H1460" s="12">
        <v>378.0</v>
      </c>
      <c r="I1460" s="12">
        <v>0.0</v>
      </c>
      <c r="J1460" s="12">
        <v>0.0</v>
      </c>
      <c r="K1460" s="11" t="s">
        <v>21</v>
      </c>
      <c r="L1460" s="7">
        <v>40283.384351851855</v>
      </c>
      <c r="M1460" s="13" t="s">
        <v>94</v>
      </c>
      <c r="N1460" s="13" t="s">
        <v>95</v>
      </c>
      <c r="O1460" s="10" t="str">
        <f t="shared" si="340"/>
        <v>View</v>
      </c>
      <c r="P1460" s="14"/>
    </row>
    <row r="1461">
      <c r="A1461" s="7">
        <v>42434.44510416666</v>
      </c>
      <c r="B1461" s="8" t="str">
        <f t="shared" si="339"/>
        <v>@pastpunditry</v>
      </c>
      <c r="C1461" s="9" t="s">
        <v>92</v>
      </c>
      <c r="D1461" s="9" t="s">
        <v>1553</v>
      </c>
      <c r="E1461" s="10" t="str">
        <f>HYPERLINK("https://twitter.com/pastpunditry/status/706157564183101441","706157564183101441")</f>
        <v>706157564183101441</v>
      </c>
      <c r="F1461" s="11" t="s">
        <v>77</v>
      </c>
      <c r="G1461" s="12">
        <v>890.0</v>
      </c>
      <c r="H1461" s="12">
        <v>378.0</v>
      </c>
      <c r="I1461" s="12">
        <v>0.0</v>
      </c>
      <c r="J1461" s="12">
        <v>1.0</v>
      </c>
      <c r="K1461" s="11" t="s">
        <v>21</v>
      </c>
      <c r="L1461" s="7">
        <v>40283.384351851855</v>
      </c>
      <c r="M1461" s="13" t="s">
        <v>94</v>
      </c>
      <c r="N1461" s="13" t="s">
        <v>95</v>
      </c>
      <c r="O1461" s="10" t="str">
        <f t="shared" si="340"/>
        <v>View</v>
      </c>
      <c r="P1461" s="14"/>
    </row>
    <row r="1462">
      <c r="A1462" s="7">
        <v>42434.446238425924</v>
      </c>
      <c r="B1462" s="8" t="str">
        <f t="shared" si="339"/>
        <v>@pastpunditry</v>
      </c>
      <c r="C1462" s="9" t="s">
        <v>92</v>
      </c>
      <c r="D1462" s="9" t="s">
        <v>1554</v>
      </c>
      <c r="E1462" s="10" t="str">
        <f>HYPERLINK("https://twitter.com/pastpunditry/status/706157972175642624","706157972175642624")</f>
        <v>706157972175642624</v>
      </c>
      <c r="F1462" s="11" t="s">
        <v>77</v>
      </c>
      <c r="G1462" s="12">
        <v>890.0</v>
      </c>
      <c r="H1462" s="12">
        <v>378.0</v>
      </c>
      <c r="I1462" s="12">
        <v>0.0</v>
      </c>
      <c r="J1462" s="12">
        <v>2.0</v>
      </c>
      <c r="K1462" s="11" t="s">
        <v>21</v>
      </c>
      <c r="L1462" s="7">
        <v>40283.384351851855</v>
      </c>
      <c r="M1462" s="13" t="s">
        <v>94</v>
      </c>
      <c r="N1462" s="13" t="s">
        <v>95</v>
      </c>
      <c r="O1462" s="10" t="str">
        <f t="shared" si="340"/>
        <v>View</v>
      </c>
      <c r="P1462" s="14"/>
    </row>
    <row r="1463">
      <c r="A1463" s="7">
        <v>42434.44699074074</v>
      </c>
      <c r="B1463" s="8" t="str">
        <f t="shared" si="339"/>
        <v>@pastpunditry</v>
      </c>
      <c r="C1463" s="9" t="s">
        <v>92</v>
      </c>
      <c r="D1463" s="9" t="s">
        <v>1555</v>
      </c>
      <c r="E1463" s="10" t="str">
        <f>HYPERLINK("https://twitter.com/pastpunditry/status/706158245770088448","706158245770088448")</f>
        <v>706158245770088448</v>
      </c>
      <c r="F1463" s="11" t="s">
        <v>77</v>
      </c>
      <c r="G1463" s="12">
        <v>890.0</v>
      </c>
      <c r="H1463" s="12">
        <v>378.0</v>
      </c>
      <c r="I1463" s="12">
        <v>0.0</v>
      </c>
      <c r="J1463" s="12">
        <v>0.0</v>
      </c>
      <c r="K1463" s="11" t="s">
        <v>21</v>
      </c>
      <c r="L1463" s="7">
        <v>40283.384351851855</v>
      </c>
      <c r="M1463" s="13" t="s">
        <v>94</v>
      </c>
      <c r="N1463" s="13" t="s">
        <v>95</v>
      </c>
      <c r="O1463" s="10" t="str">
        <f t="shared" si="340"/>
        <v>View</v>
      </c>
      <c r="P1463" s="14"/>
    </row>
    <row r="1464">
      <c r="A1464" s="7">
        <v>42434.44699074074</v>
      </c>
      <c r="B1464" s="8" t="str">
        <f>HYPERLINK("https://twitter.com/JulieThePH","@JulieThePH")</f>
        <v>@JulieThePH</v>
      </c>
      <c r="C1464" s="9" t="s">
        <v>211</v>
      </c>
      <c r="D1464" s="9" t="s">
        <v>1556</v>
      </c>
      <c r="E1464" s="10" t="str">
        <f>HYPERLINK("https://twitter.com/JulieThePH/status/706158246902497282","706158246902497282")</f>
        <v>706158246902497282</v>
      </c>
      <c r="F1464" s="11" t="s">
        <v>31</v>
      </c>
      <c r="G1464" s="12">
        <v>1234.0</v>
      </c>
      <c r="H1464" s="12">
        <v>1386.0</v>
      </c>
      <c r="I1464" s="12">
        <v>5.0</v>
      </c>
      <c r="J1464" s="12">
        <v>3.0</v>
      </c>
      <c r="K1464" s="11" t="s">
        <v>21</v>
      </c>
      <c r="L1464" s="7">
        <v>40718.66918981481</v>
      </c>
      <c r="M1464" s="13" t="s">
        <v>213</v>
      </c>
      <c r="N1464" s="13" t="s">
        <v>214</v>
      </c>
      <c r="O1464" s="10" t="str">
        <f>HYPERLINK("https://pbs.twimg.com/profile_images/596509974005686273/AqBblwMR_normal.jpg","View")</f>
        <v>View</v>
      </c>
      <c r="P1464" s="14"/>
    </row>
    <row r="1465">
      <c r="A1465" s="7">
        <v>42434.44708333333</v>
      </c>
      <c r="B1465" s="8" t="str">
        <f>HYPERLINK("https://twitter.com/pastpunditry","@pastpunditry")</f>
        <v>@pastpunditry</v>
      </c>
      <c r="C1465" s="9" t="s">
        <v>92</v>
      </c>
      <c r="D1465" s="9" t="s">
        <v>1557</v>
      </c>
      <c r="E1465" s="10" t="str">
        <f>HYPERLINK("https://twitter.com/pastpunditry/status/706158282008825861","706158282008825861")</f>
        <v>706158282008825861</v>
      </c>
      <c r="F1465" s="11" t="s">
        <v>77</v>
      </c>
      <c r="G1465" s="12">
        <v>890.0</v>
      </c>
      <c r="H1465" s="12">
        <v>378.0</v>
      </c>
      <c r="I1465" s="12">
        <v>5.0</v>
      </c>
      <c r="J1465" s="12">
        <v>0.0</v>
      </c>
      <c r="K1465" s="11" t="s">
        <v>21</v>
      </c>
      <c r="L1465" s="7">
        <v>40283.384351851855</v>
      </c>
      <c r="M1465" s="13" t="s">
        <v>94</v>
      </c>
      <c r="N1465" s="13" t="s">
        <v>95</v>
      </c>
      <c r="O1465" s="10" t="str">
        <f>HYPERLINK("https://pbs.twimg.com/profile_images/704873222802636800/7aFEMOY5_normal.jpg","View")</f>
        <v>View</v>
      </c>
      <c r="P1465" s="14"/>
    </row>
    <row r="1466">
      <c r="A1466" s="7">
        <v>42434.44719907407</v>
      </c>
      <c r="B1466" s="8" t="str">
        <f t="shared" ref="B1466:B1467" si="341">HYPERLINK("https://twitter.com/jamiaw","@jamiaw")</f>
        <v>@jamiaw</v>
      </c>
      <c r="C1466" s="9" t="s">
        <v>324</v>
      </c>
      <c r="D1466" s="9" t="s">
        <v>1558</v>
      </c>
      <c r="E1466" s="10" t="str">
        <f>HYPERLINK("https://twitter.com/jamiaw/status/706158323641552897","706158323641552897")</f>
        <v>706158323641552897</v>
      </c>
      <c r="F1466" s="11" t="s">
        <v>26</v>
      </c>
      <c r="G1466" s="12">
        <v>11336.0</v>
      </c>
      <c r="H1466" s="12">
        <v>7815.0</v>
      </c>
      <c r="I1466" s="12">
        <v>1.0</v>
      </c>
      <c r="J1466" s="12">
        <v>0.0</v>
      </c>
      <c r="K1466" s="11" t="s">
        <v>21</v>
      </c>
      <c r="L1466" s="7">
        <v>39642.39741898148</v>
      </c>
      <c r="M1466" s="13" t="s">
        <v>325</v>
      </c>
      <c r="N1466" s="13" t="s">
        <v>326</v>
      </c>
      <c r="O1466" s="10" t="str">
        <f t="shared" ref="O1466:O1467" si="342">HYPERLINK("https://pbs.twimg.com/profile_images/701102020061753344/5zH70uem_normal.jpg","View")</f>
        <v>View</v>
      </c>
      <c r="P1466" s="14"/>
    </row>
    <row r="1467">
      <c r="A1467" s="7">
        <v>42434.44737268519</v>
      </c>
      <c r="B1467" s="8" t="str">
        <f t="shared" si="341"/>
        <v>@jamiaw</v>
      </c>
      <c r="C1467" s="9" t="s">
        <v>324</v>
      </c>
      <c r="D1467" s="9" t="s">
        <v>1557</v>
      </c>
      <c r="E1467" s="10" t="str">
        <f>HYPERLINK("https://twitter.com/jamiaw/status/706158385394274305","706158385394274305")</f>
        <v>706158385394274305</v>
      </c>
      <c r="F1467" s="11" t="s">
        <v>26</v>
      </c>
      <c r="G1467" s="12">
        <v>11336.0</v>
      </c>
      <c r="H1467" s="12">
        <v>7815.0</v>
      </c>
      <c r="I1467" s="12">
        <v>5.0</v>
      </c>
      <c r="J1467" s="12">
        <v>0.0</v>
      </c>
      <c r="K1467" s="11" t="s">
        <v>21</v>
      </c>
      <c r="L1467" s="7">
        <v>39642.39741898148</v>
      </c>
      <c r="M1467" s="13" t="s">
        <v>325</v>
      </c>
      <c r="N1467" s="13" t="s">
        <v>326</v>
      </c>
      <c r="O1467" s="10" t="str">
        <f t="shared" si="342"/>
        <v>View</v>
      </c>
      <c r="P1467" s="14"/>
    </row>
    <row r="1468">
      <c r="A1468" s="7">
        <v>42434.44758101852</v>
      </c>
      <c r="B1468" s="8" t="str">
        <f t="shared" ref="B1468:B1469" si="343">HYPERLINK("https://twitter.com/pastpunditry","@pastpunditry")</f>
        <v>@pastpunditry</v>
      </c>
      <c r="C1468" s="9" t="s">
        <v>92</v>
      </c>
      <c r="D1468" s="9" t="s">
        <v>1559</v>
      </c>
      <c r="E1468" s="10" t="str">
        <f>HYPERLINK("https://twitter.com/pastpunditry/status/706158459985731584","706158459985731584")</f>
        <v>706158459985731584</v>
      </c>
      <c r="F1468" s="11" t="s">
        <v>77</v>
      </c>
      <c r="G1468" s="12">
        <v>890.0</v>
      </c>
      <c r="H1468" s="12">
        <v>378.0</v>
      </c>
      <c r="I1468" s="12">
        <v>0.0</v>
      </c>
      <c r="J1468" s="12">
        <v>2.0</v>
      </c>
      <c r="K1468" s="11" t="s">
        <v>21</v>
      </c>
      <c r="L1468" s="7">
        <v>40283.384351851855</v>
      </c>
      <c r="M1468" s="13" t="s">
        <v>94</v>
      </c>
      <c r="N1468" s="13" t="s">
        <v>95</v>
      </c>
      <c r="O1468" s="10" t="str">
        <f t="shared" ref="O1468:O1469" si="344">HYPERLINK("https://pbs.twimg.com/profile_images/704873222802636800/7aFEMOY5_normal.jpg","View")</f>
        <v>View</v>
      </c>
      <c r="P1468" s="14"/>
    </row>
    <row r="1469">
      <c r="A1469" s="7">
        <v>42434.448379629626</v>
      </c>
      <c r="B1469" s="8" t="str">
        <f t="shared" si="343"/>
        <v>@pastpunditry</v>
      </c>
      <c r="C1469" s="9" t="s">
        <v>92</v>
      </c>
      <c r="D1469" s="9" t="s">
        <v>1560</v>
      </c>
      <c r="E1469" s="10" t="str">
        <f>HYPERLINK("https://twitter.com/pastpunditry/status/706158750592176128","706158750592176128")</f>
        <v>706158750592176128</v>
      </c>
      <c r="F1469" s="11" t="s">
        <v>77</v>
      </c>
      <c r="G1469" s="12">
        <v>890.0</v>
      </c>
      <c r="H1469" s="12">
        <v>378.0</v>
      </c>
      <c r="I1469" s="12">
        <v>1.0</v>
      </c>
      <c r="J1469" s="12">
        <v>2.0</v>
      </c>
      <c r="K1469" s="11" t="s">
        <v>21</v>
      </c>
      <c r="L1469" s="7">
        <v>40283.384351851855</v>
      </c>
      <c r="M1469" s="13" t="s">
        <v>94</v>
      </c>
      <c r="N1469" s="13" t="s">
        <v>95</v>
      </c>
      <c r="O1469" s="10" t="str">
        <f t="shared" si="344"/>
        <v>View</v>
      </c>
      <c r="P1469" s="14"/>
    </row>
    <row r="1470">
      <c r="A1470" s="7">
        <v>42434.449270833335</v>
      </c>
      <c r="B1470" s="8" t="str">
        <f t="shared" ref="B1470:B1471" si="345">HYPERLINK("https://twitter.com/jamiaw","@jamiaw")</f>
        <v>@jamiaw</v>
      </c>
      <c r="C1470" s="9" t="s">
        <v>324</v>
      </c>
      <c r="D1470" s="9" t="s">
        <v>1561</v>
      </c>
      <c r="E1470" s="10" t="str">
        <f>HYPERLINK("https://twitter.com/jamiaw/status/706159072110899201","706159072110899201")</f>
        <v>706159072110899201</v>
      </c>
      <c r="F1470" s="11" t="s">
        <v>26</v>
      </c>
      <c r="G1470" s="12">
        <v>11336.0</v>
      </c>
      <c r="H1470" s="12">
        <v>7815.0</v>
      </c>
      <c r="I1470" s="12">
        <v>1.0</v>
      </c>
      <c r="J1470" s="12">
        <v>0.0</v>
      </c>
      <c r="K1470" s="11" t="s">
        <v>21</v>
      </c>
      <c r="L1470" s="7">
        <v>39642.39741898148</v>
      </c>
      <c r="M1470" s="13" t="s">
        <v>325</v>
      </c>
      <c r="N1470" s="13" t="s">
        <v>326</v>
      </c>
      <c r="O1470" s="10" t="str">
        <f t="shared" ref="O1470:O1471" si="346">HYPERLINK("https://pbs.twimg.com/profile_images/701102020061753344/5zH70uem_normal.jpg","View")</f>
        <v>View</v>
      </c>
      <c r="P1470" s="14"/>
    </row>
    <row r="1471">
      <c r="A1471" s="7">
        <v>42434.449687500004</v>
      </c>
      <c r="B1471" s="8" t="str">
        <f t="shared" si="345"/>
        <v>@jamiaw</v>
      </c>
      <c r="C1471" s="9" t="s">
        <v>324</v>
      </c>
      <c r="D1471" s="9" t="s">
        <v>1562</v>
      </c>
      <c r="E1471" s="10" t="str">
        <f>HYPERLINK("https://twitter.com/jamiaw/status/706159223680401410","706159223680401410")</f>
        <v>706159223680401410</v>
      </c>
      <c r="F1471" s="11" t="s">
        <v>26</v>
      </c>
      <c r="G1471" s="12">
        <v>11336.0</v>
      </c>
      <c r="H1471" s="12">
        <v>7815.0</v>
      </c>
      <c r="I1471" s="12">
        <v>1.0</v>
      </c>
      <c r="J1471" s="12">
        <v>0.0</v>
      </c>
      <c r="K1471" s="11" t="s">
        <v>21</v>
      </c>
      <c r="L1471" s="7">
        <v>39642.39741898148</v>
      </c>
      <c r="M1471" s="13" t="s">
        <v>325</v>
      </c>
      <c r="N1471" s="13" t="s">
        <v>326</v>
      </c>
      <c r="O1471" s="10" t="str">
        <f t="shared" si="346"/>
        <v>View</v>
      </c>
      <c r="P1471" s="14"/>
    </row>
    <row r="1472">
      <c r="A1472" s="7">
        <v>42434.45018518518</v>
      </c>
      <c r="B1472" s="8" t="str">
        <f t="shared" ref="B1472:B1473" si="347">HYPERLINK("https://twitter.com/pastpunditry","@pastpunditry")</f>
        <v>@pastpunditry</v>
      </c>
      <c r="C1472" s="9" t="s">
        <v>92</v>
      </c>
      <c r="D1472" s="9" t="s">
        <v>1563</v>
      </c>
      <c r="E1472" s="10" t="str">
        <f>HYPERLINK("https://twitter.com/pastpunditry/status/706159402789773312","706159402789773312")</f>
        <v>706159402789773312</v>
      </c>
      <c r="F1472" s="11" t="s">
        <v>77</v>
      </c>
      <c r="G1472" s="12">
        <v>890.0</v>
      </c>
      <c r="H1472" s="12">
        <v>378.0</v>
      </c>
      <c r="I1472" s="12">
        <v>1.0</v>
      </c>
      <c r="J1472" s="12">
        <v>1.0</v>
      </c>
      <c r="K1472" s="11" t="s">
        <v>21</v>
      </c>
      <c r="L1472" s="7">
        <v>40283.384351851855</v>
      </c>
      <c r="M1472" s="13" t="s">
        <v>94</v>
      </c>
      <c r="N1472" s="13" t="s">
        <v>95</v>
      </c>
      <c r="O1472" s="10" t="str">
        <f t="shared" ref="O1472:O1473" si="348">HYPERLINK("https://pbs.twimg.com/profile_images/704873222802636800/7aFEMOY5_normal.jpg","View")</f>
        <v>View</v>
      </c>
      <c r="P1472" s="14"/>
    </row>
    <row r="1473">
      <c r="A1473" s="7">
        <v>42434.451053240744</v>
      </c>
      <c r="B1473" s="8" t="str">
        <f t="shared" si="347"/>
        <v>@pastpunditry</v>
      </c>
      <c r="C1473" s="9" t="s">
        <v>92</v>
      </c>
      <c r="D1473" s="9" t="s">
        <v>1564</v>
      </c>
      <c r="E1473" s="10" t="str">
        <f>HYPERLINK("https://twitter.com/pastpunditry/status/706159718323118080","706159718323118080")</f>
        <v>706159718323118080</v>
      </c>
      <c r="F1473" s="11" t="s">
        <v>77</v>
      </c>
      <c r="G1473" s="12">
        <v>890.0</v>
      </c>
      <c r="H1473" s="12">
        <v>378.0</v>
      </c>
      <c r="I1473" s="12">
        <v>0.0</v>
      </c>
      <c r="J1473" s="12">
        <v>0.0</v>
      </c>
      <c r="K1473" s="11" t="s">
        <v>21</v>
      </c>
      <c r="L1473" s="7">
        <v>40283.384351851855</v>
      </c>
      <c r="M1473" s="13" t="s">
        <v>94</v>
      </c>
      <c r="N1473" s="13" t="s">
        <v>95</v>
      </c>
      <c r="O1473" s="10" t="str">
        <f t="shared" si="348"/>
        <v>View</v>
      </c>
      <c r="P1473" s="14"/>
    </row>
    <row r="1474">
      <c r="A1474" s="7">
        <v>42434.45128472222</v>
      </c>
      <c r="B1474" s="8" t="str">
        <f>HYPERLINK("https://twitter.com/JulieThePH","@JulieThePH")</f>
        <v>@JulieThePH</v>
      </c>
      <c r="C1474" s="9" t="s">
        <v>211</v>
      </c>
      <c r="D1474" s="9" t="s">
        <v>1565</v>
      </c>
      <c r="E1474" s="10" t="str">
        <f>HYPERLINK("https://twitter.com/JulieThePH/status/706159803148718080","706159803148718080")</f>
        <v>706159803148718080</v>
      </c>
      <c r="F1474" s="11" t="s">
        <v>31</v>
      </c>
      <c r="G1474" s="12">
        <v>1234.0</v>
      </c>
      <c r="H1474" s="12">
        <v>1386.0</v>
      </c>
      <c r="I1474" s="12">
        <v>1.0</v>
      </c>
      <c r="J1474" s="12">
        <v>0.0</v>
      </c>
      <c r="K1474" s="11" t="s">
        <v>21</v>
      </c>
      <c r="L1474" s="7">
        <v>40718.66918981481</v>
      </c>
      <c r="M1474" s="13" t="s">
        <v>213</v>
      </c>
      <c r="N1474" s="13" t="s">
        <v>214</v>
      </c>
      <c r="O1474" s="10" t="str">
        <f>HYPERLINK("https://pbs.twimg.com/profile_images/596509974005686273/AqBblwMR_normal.jpg","View")</f>
        <v>View</v>
      </c>
      <c r="P1474" s="14"/>
    </row>
    <row r="1475">
      <c r="A1475" s="7">
        <v>42434.45212962963</v>
      </c>
      <c r="B1475" s="8" t="str">
        <f>HYPERLINK("https://twitter.com/pastpunditry","@pastpunditry")</f>
        <v>@pastpunditry</v>
      </c>
      <c r="C1475" s="9" t="s">
        <v>92</v>
      </c>
      <c r="D1475" s="9" t="s">
        <v>1566</v>
      </c>
      <c r="E1475" s="10" t="str">
        <f>HYPERLINK("https://twitter.com/pastpunditry/status/706160110452744192","706160110452744192")</f>
        <v>706160110452744192</v>
      </c>
      <c r="F1475" s="11" t="s">
        <v>77</v>
      </c>
      <c r="G1475" s="12">
        <v>890.0</v>
      </c>
      <c r="H1475" s="12">
        <v>378.0</v>
      </c>
      <c r="I1475" s="12">
        <v>1.0</v>
      </c>
      <c r="J1475" s="12">
        <v>2.0</v>
      </c>
      <c r="K1475" s="11" t="s">
        <v>21</v>
      </c>
      <c r="L1475" s="7">
        <v>40283.384351851855</v>
      </c>
      <c r="M1475" s="13" t="s">
        <v>94</v>
      </c>
      <c r="N1475" s="13" t="s">
        <v>95</v>
      </c>
      <c r="O1475" s="10" t="str">
        <f>HYPERLINK("https://pbs.twimg.com/profile_images/704873222802636800/7aFEMOY5_normal.jpg","View")</f>
        <v>View</v>
      </c>
      <c r="P1475" s="14"/>
    </row>
    <row r="1476">
      <c r="A1476" s="7">
        <v>42434.455046296294</v>
      </c>
      <c r="B1476" s="8" t="str">
        <f>HYPERLINK("https://twitter.com/mattdelmont","@mattdelmont")</f>
        <v>@mattdelmont</v>
      </c>
      <c r="C1476" s="9" t="s">
        <v>306</v>
      </c>
      <c r="D1476" s="9" t="s">
        <v>1557</v>
      </c>
      <c r="E1476" s="10" t="str">
        <f>HYPERLINK("https://twitter.com/mattdelmont/status/706161166486106113","706161166486106113")</f>
        <v>706161166486106113</v>
      </c>
      <c r="F1476" s="11" t="s">
        <v>77</v>
      </c>
      <c r="G1476" s="12">
        <v>1661.0</v>
      </c>
      <c r="H1476" s="12">
        <v>1442.0</v>
      </c>
      <c r="I1476" s="12">
        <v>5.0</v>
      </c>
      <c r="J1476" s="12">
        <v>0.0</v>
      </c>
      <c r="K1476" s="11" t="s">
        <v>21</v>
      </c>
      <c r="L1476" s="7">
        <v>40697.92171296296</v>
      </c>
      <c r="M1476" s="13" t="s">
        <v>138</v>
      </c>
      <c r="N1476" s="13" t="s">
        <v>307</v>
      </c>
      <c r="O1476" s="10" t="str">
        <f>HYPERLINK("https://pbs.twimg.com/profile_images/1762571664/POY_photo_-_web_normal.jpg","View")</f>
        <v>View</v>
      </c>
      <c r="P1476" s="14"/>
    </row>
    <row r="1477">
      <c r="A1477" s="7">
        <v>42434.45549768519</v>
      </c>
      <c r="B1477" s="8" t="str">
        <f>HYPERLINK("https://twitter.com/Indicaworld","@Indicaworld")</f>
        <v>@Indicaworld</v>
      </c>
      <c r="C1477" s="9" t="s">
        <v>1031</v>
      </c>
      <c r="D1477" s="9" t="s">
        <v>1517</v>
      </c>
      <c r="E1477" s="10" t="str">
        <f>HYPERLINK("https://twitter.com/Indicaworld/status/706161330483503105","706161330483503105")</f>
        <v>706161330483503105</v>
      </c>
      <c r="F1477" s="11" t="s">
        <v>102</v>
      </c>
      <c r="G1477" s="12">
        <v>266.0</v>
      </c>
      <c r="H1477" s="12">
        <v>244.0</v>
      </c>
      <c r="I1477" s="12">
        <v>6.0</v>
      </c>
      <c r="J1477" s="12">
        <v>0.0</v>
      </c>
      <c r="K1477" s="11" t="s">
        <v>21</v>
      </c>
      <c r="L1477" s="7">
        <v>41588.60021990741</v>
      </c>
      <c r="M1477" s="13" t="s">
        <v>1032</v>
      </c>
      <c r="N1477" s="13" t="s">
        <v>1033</v>
      </c>
      <c r="O1477" s="10" t="str">
        <f>HYPERLINK("https://pbs.twimg.com/profile_images/378800000735123774/e2ecc33272eaed1ad26c5b77d773f70b_normal.jpeg","View")</f>
        <v>View</v>
      </c>
      <c r="P1477" s="14"/>
    </row>
    <row r="1478">
      <c r="A1478" s="7">
        <v>42434.45571759259</v>
      </c>
      <c r="B1478" s="8" t="str">
        <f>HYPERLINK("https://twitter.com/thecliodotcom","@thecliodotcom")</f>
        <v>@thecliodotcom</v>
      </c>
      <c r="C1478" s="9" t="s">
        <v>509</v>
      </c>
      <c r="D1478" s="9" t="s">
        <v>1567</v>
      </c>
      <c r="E1478" s="10" t="str">
        <f>HYPERLINK("https://twitter.com/thecliodotcom/status/706161407478231040","706161407478231040")</f>
        <v>706161407478231040</v>
      </c>
      <c r="F1478" s="11" t="s">
        <v>26</v>
      </c>
      <c r="G1478" s="12">
        <v>2431.0</v>
      </c>
      <c r="H1478" s="12">
        <v>677.0</v>
      </c>
      <c r="I1478" s="12">
        <v>1.0</v>
      </c>
      <c r="J1478" s="12">
        <v>0.0</v>
      </c>
      <c r="K1478" s="11" t="s">
        <v>21</v>
      </c>
      <c r="L1478" s="7">
        <v>41823.88011574074</v>
      </c>
      <c r="M1478" s="13" t="s">
        <v>510</v>
      </c>
      <c r="N1478" s="13" t="s">
        <v>511</v>
      </c>
      <c r="O1478" s="10" t="str">
        <f>HYPERLINK("https://pbs.twimg.com/profile_images/636594907730214912/W77i_f0Q_normal.png","View")</f>
        <v>View</v>
      </c>
      <c r="P1478" s="14"/>
    </row>
    <row r="1479">
      <c r="A1479" s="7">
        <v>42434.45609953704</v>
      </c>
      <c r="B1479" s="8" t="str">
        <f>HYPERLINK("https://twitter.com/JimGrossmanAHA","@JimGrossmanAHA")</f>
        <v>@JimGrossmanAHA</v>
      </c>
      <c r="C1479" s="9" t="s">
        <v>278</v>
      </c>
      <c r="D1479" s="9" t="s">
        <v>1568</v>
      </c>
      <c r="E1479" s="10" t="str">
        <f>HYPERLINK("https://twitter.com/JimGrossmanAHA/status/706161549224878081","706161549224878081")</f>
        <v>706161549224878081</v>
      </c>
      <c r="F1479" s="11" t="s">
        <v>31</v>
      </c>
      <c r="G1479" s="12">
        <v>2241.0</v>
      </c>
      <c r="H1479" s="12">
        <v>368.0</v>
      </c>
      <c r="I1479" s="12">
        <v>1.0</v>
      </c>
      <c r="J1479" s="12">
        <v>0.0</v>
      </c>
      <c r="K1479" s="11" t="s">
        <v>21</v>
      </c>
      <c r="L1479" s="7">
        <v>41576.36603009259</v>
      </c>
      <c r="M1479" s="13" t="s">
        <v>279</v>
      </c>
      <c r="N1479" s="13" t="s">
        <v>280</v>
      </c>
      <c r="O1479" s="10" t="str">
        <f>HYPERLINK("https://pbs.twimg.com/profile_images/378800000667891782/44d7b181c077bf16ab07b242f7ad81b9_normal.png","View")</f>
        <v>View</v>
      </c>
      <c r="P1479" s="14"/>
    </row>
    <row r="1480">
      <c r="A1480" s="7">
        <v>42434.456608796296</v>
      </c>
      <c r="B1480" s="8" t="str">
        <f>HYPERLINK("https://twitter.com/pastpunditry","@pastpunditry")</f>
        <v>@pastpunditry</v>
      </c>
      <c r="C1480" s="9" t="s">
        <v>92</v>
      </c>
      <c r="D1480" s="9" t="s">
        <v>1569</v>
      </c>
      <c r="E1480" s="10" t="str">
        <f>HYPERLINK("https://twitter.com/pastpunditry/status/706161731383529472","706161731383529472")</f>
        <v>706161731383529472</v>
      </c>
      <c r="F1480" s="11" t="s">
        <v>77</v>
      </c>
      <c r="G1480" s="12">
        <v>890.0</v>
      </c>
      <c r="H1480" s="12">
        <v>378.0</v>
      </c>
      <c r="I1480" s="12">
        <v>1.0</v>
      </c>
      <c r="J1480" s="12">
        <v>1.0</v>
      </c>
      <c r="K1480" s="11" t="s">
        <v>21</v>
      </c>
      <c r="L1480" s="7">
        <v>40283.384351851855</v>
      </c>
      <c r="M1480" s="13" t="s">
        <v>94</v>
      </c>
      <c r="N1480" s="13" t="s">
        <v>95</v>
      </c>
      <c r="O1480" s="10" t="str">
        <f>HYPERLINK("https://pbs.twimg.com/profile_images/704873222802636800/7aFEMOY5_normal.jpg","View")</f>
        <v>View</v>
      </c>
      <c r="P1480" s="14"/>
    </row>
    <row r="1481">
      <c r="A1481" s="7">
        <v>42434.45756944444</v>
      </c>
      <c r="B1481" s="8" t="str">
        <f>HYPERLINK("https://twitter.com/JulieThePH","@JulieThePH")</f>
        <v>@JulieThePH</v>
      </c>
      <c r="C1481" s="9" t="s">
        <v>211</v>
      </c>
      <c r="D1481" s="9" t="s">
        <v>1570</v>
      </c>
      <c r="E1481" s="10" t="str">
        <f>HYPERLINK("https://twitter.com/JulieThePH/status/706162080232169472","706162080232169472")</f>
        <v>706162080232169472</v>
      </c>
      <c r="F1481" s="11" t="s">
        <v>31</v>
      </c>
      <c r="G1481" s="12">
        <v>1234.0</v>
      </c>
      <c r="H1481" s="12">
        <v>1386.0</v>
      </c>
      <c r="I1481" s="12">
        <v>0.0</v>
      </c>
      <c r="J1481" s="12">
        <v>0.0</v>
      </c>
      <c r="K1481" s="11" t="s">
        <v>21</v>
      </c>
      <c r="L1481" s="7">
        <v>40718.66918981481</v>
      </c>
      <c r="M1481" s="13" t="s">
        <v>213</v>
      </c>
      <c r="N1481" s="13" t="s">
        <v>214</v>
      </c>
      <c r="O1481" s="10" t="str">
        <f>HYPERLINK("https://pbs.twimg.com/profile_images/596509974005686273/AqBblwMR_normal.jpg","View")</f>
        <v>View</v>
      </c>
      <c r="P1481" s="14"/>
    </row>
    <row r="1482">
      <c r="A1482" s="7">
        <v>42434.461122685185</v>
      </c>
      <c r="B1482" s="8" t="str">
        <f>HYPERLINK("https://twitter.com/abreimaier","@abreimaier")</f>
        <v>@abreimaier</v>
      </c>
      <c r="C1482" s="9" t="s">
        <v>1219</v>
      </c>
      <c r="D1482" s="9" t="s">
        <v>1571</v>
      </c>
      <c r="E1482" s="10" t="str">
        <f>HYPERLINK("https://twitter.com/abreimaier/status/706163366071574529","706163366071574529")</f>
        <v>706163366071574529</v>
      </c>
      <c r="F1482" s="11" t="s">
        <v>26</v>
      </c>
      <c r="G1482" s="12">
        <v>112.0</v>
      </c>
      <c r="H1482" s="12">
        <v>224.0</v>
      </c>
      <c r="I1482" s="12">
        <v>1.0</v>
      </c>
      <c r="J1482" s="12">
        <v>0.0</v>
      </c>
      <c r="K1482" s="11" t="s">
        <v>21</v>
      </c>
      <c r="L1482" s="7">
        <v>41342.326261574075</v>
      </c>
      <c r="M1482" s="13" t="s">
        <v>200</v>
      </c>
      <c r="N1482" s="13" t="s">
        <v>1221</v>
      </c>
      <c r="O1482" s="10" t="str">
        <f>HYPERLINK("https://pbs.twimg.com/profile_images/3357790300/e80f72cc154c4bfa4bc8dc718fbc525b_normal.jpeg","View")</f>
        <v>View</v>
      </c>
      <c r="P1482" s="14"/>
    </row>
    <row r="1483">
      <c r="A1483" s="7">
        <v>42434.46153935185</v>
      </c>
      <c r="B1483" s="8" t="str">
        <f>HYPERLINK("https://twitter.com/pastpunditry","@pastpunditry")</f>
        <v>@pastpunditry</v>
      </c>
      <c r="C1483" s="9" t="s">
        <v>92</v>
      </c>
      <c r="D1483" s="9" t="s">
        <v>1572</v>
      </c>
      <c r="E1483" s="10" t="str">
        <f>HYPERLINK("https://twitter.com/pastpunditry/status/706163520249991168","706163520249991168")</f>
        <v>706163520249991168</v>
      </c>
      <c r="F1483" s="11" t="s">
        <v>77</v>
      </c>
      <c r="G1483" s="12">
        <v>890.0</v>
      </c>
      <c r="H1483" s="12">
        <v>378.0</v>
      </c>
      <c r="I1483" s="12">
        <v>0.0</v>
      </c>
      <c r="J1483" s="12">
        <v>1.0</v>
      </c>
      <c r="K1483" s="11" t="s">
        <v>21</v>
      </c>
      <c r="L1483" s="7">
        <v>40283.384351851855</v>
      </c>
      <c r="M1483" s="13" t="s">
        <v>94</v>
      </c>
      <c r="N1483" s="13" t="s">
        <v>95</v>
      </c>
      <c r="O1483" s="10" t="str">
        <f>HYPERLINK("https://pbs.twimg.com/profile_images/704873222802636800/7aFEMOY5_normal.jpg","View")</f>
        <v>View</v>
      </c>
      <c r="P1483" s="14"/>
    </row>
    <row r="1484">
      <c r="A1484" s="7">
        <v>42434.46158564815</v>
      </c>
      <c r="B1484" s="8" t="str">
        <f>HYPERLINK("https://twitter.com/ceeCeeTeeCee","@ceeCeeTeeCee")</f>
        <v>@ceeCeeTeeCee</v>
      </c>
      <c r="C1484" s="9" t="s">
        <v>1573</v>
      </c>
      <c r="D1484" s="9" t="s">
        <v>1557</v>
      </c>
      <c r="E1484" s="10" t="str">
        <f>HYPERLINK("https://twitter.com/ceeCeeTeeCee/status/706163536762957824","706163536762957824")</f>
        <v>706163536762957824</v>
      </c>
      <c r="F1484" s="11" t="s">
        <v>148</v>
      </c>
      <c r="G1484" s="12">
        <v>28.0</v>
      </c>
      <c r="H1484" s="12">
        <v>402.0</v>
      </c>
      <c r="I1484" s="12">
        <v>5.0</v>
      </c>
      <c r="J1484" s="12">
        <v>0.0</v>
      </c>
      <c r="K1484" s="11" t="s">
        <v>21</v>
      </c>
      <c r="L1484" s="7">
        <v>42070.46135416666</v>
      </c>
      <c r="M1484" s="13" t="s">
        <v>1574</v>
      </c>
      <c r="N1484" s="13" t="s">
        <v>1575</v>
      </c>
      <c r="O1484" s="10" t="str">
        <f>HYPERLINK("https://pbs.twimg.com/profile_images/659074525959737345/vkwkSEQN_normal.jpg","View")</f>
        <v>View</v>
      </c>
      <c r="P1484" s="14"/>
    </row>
    <row r="1485">
      <c r="A1485" s="7">
        <v>42434.46263888889</v>
      </c>
      <c r="B1485" s="8" t="str">
        <f>HYPERLINK("https://twitter.com/pastpunditry","@pastpunditry")</f>
        <v>@pastpunditry</v>
      </c>
      <c r="C1485" s="9" t="s">
        <v>92</v>
      </c>
      <c r="D1485" s="9" t="s">
        <v>1576</v>
      </c>
      <c r="E1485" s="10" t="str">
        <f>HYPERLINK("https://twitter.com/pastpunditry/status/706163917316333568","706163917316333568")</f>
        <v>706163917316333568</v>
      </c>
      <c r="F1485" s="11" t="s">
        <v>77</v>
      </c>
      <c r="G1485" s="12">
        <v>890.0</v>
      </c>
      <c r="H1485" s="12">
        <v>378.0</v>
      </c>
      <c r="I1485" s="12">
        <v>0.0</v>
      </c>
      <c r="J1485" s="12">
        <v>1.0</v>
      </c>
      <c r="K1485" s="11" t="s">
        <v>21</v>
      </c>
      <c r="L1485" s="7">
        <v>40283.384351851855</v>
      </c>
      <c r="M1485" s="13" t="s">
        <v>94</v>
      </c>
      <c r="N1485" s="13" t="s">
        <v>95</v>
      </c>
      <c r="O1485" s="10" t="str">
        <f>HYPERLINK("https://pbs.twimg.com/profile_images/704873222802636800/7aFEMOY5_normal.jpg","View")</f>
        <v>View</v>
      </c>
      <c r="P1485" s="14"/>
    </row>
    <row r="1486">
      <c r="A1486" s="7">
        <v>42434.46267361111</v>
      </c>
      <c r="B1486" s="8" t="str">
        <f>HYPERLINK("https://twitter.com/s_schwinghamer","@s_schwinghamer")</f>
        <v>@s_schwinghamer</v>
      </c>
      <c r="C1486" s="9" t="s">
        <v>1577</v>
      </c>
      <c r="D1486" s="9" t="s">
        <v>1522</v>
      </c>
      <c r="E1486" s="10" t="str">
        <f>HYPERLINK("https://twitter.com/s_schwinghamer/status/706163932004659200","706163932004659200")</f>
        <v>706163932004659200</v>
      </c>
      <c r="F1486" s="11" t="s">
        <v>31</v>
      </c>
      <c r="G1486" s="12">
        <v>450.0</v>
      </c>
      <c r="H1486" s="12">
        <v>259.0</v>
      </c>
      <c r="I1486" s="12">
        <v>3.0</v>
      </c>
      <c r="J1486" s="12">
        <v>0.0</v>
      </c>
      <c r="K1486" s="11" t="s">
        <v>21</v>
      </c>
      <c r="L1486" s="7">
        <v>40594.33650462963</v>
      </c>
      <c r="M1486" s="13" t="s">
        <v>1578</v>
      </c>
      <c r="N1486" s="13" t="s">
        <v>1579</v>
      </c>
      <c r="O1486" s="10" t="str">
        <f>HYPERLINK("https://pbs.twimg.com/profile_images/1734334224/research-photo-cropped_normal.jpg","View")</f>
        <v>View</v>
      </c>
      <c r="P1486" s="14"/>
    </row>
    <row r="1487">
      <c r="A1487" s="7">
        <v>42434.46363425926</v>
      </c>
      <c r="B1487" s="8" t="str">
        <f t="shared" ref="B1487:B1488" si="349">HYPERLINK("https://twitter.com/MBZepedaCortes","@MBZepedaCortes")</f>
        <v>@MBZepedaCortes</v>
      </c>
      <c r="C1487" s="9" t="s">
        <v>568</v>
      </c>
      <c r="D1487" s="9" t="s">
        <v>1426</v>
      </c>
      <c r="E1487" s="10" t="str">
        <f>HYPERLINK("https://twitter.com/MBZepedaCortes/status/706164279297363968","706164279297363968")</f>
        <v>706164279297363968</v>
      </c>
      <c r="F1487" s="11" t="s">
        <v>31</v>
      </c>
      <c r="G1487" s="12">
        <v>699.0</v>
      </c>
      <c r="H1487" s="12">
        <v>1702.0</v>
      </c>
      <c r="I1487" s="12">
        <v>4.0</v>
      </c>
      <c r="J1487" s="12">
        <v>0.0</v>
      </c>
      <c r="K1487" s="11" t="s">
        <v>21</v>
      </c>
      <c r="L1487" s="7">
        <v>40457.60498842593</v>
      </c>
      <c r="M1487" s="13" t="s">
        <v>569</v>
      </c>
      <c r="N1487" s="13" t="s">
        <v>570</v>
      </c>
      <c r="O1487" s="10" t="str">
        <f t="shared" ref="O1487:O1488" si="350">HYPERLINK("https://pbs.twimg.com/profile_images/649599562542379008/gJLeVDR__normal.jpg","View")</f>
        <v>View</v>
      </c>
      <c r="P1487" s="14"/>
    </row>
    <row r="1488">
      <c r="A1488" s="7">
        <v>42434.46428240741</v>
      </c>
      <c r="B1488" s="8" t="str">
        <f t="shared" si="349"/>
        <v>@MBZepedaCortes</v>
      </c>
      <c r="C1488" s="9" t="s">
        <v>568</v>
      </c>
      <c r="D1488" s="9" t="s">
        <v>234</v>
      </c>
      <c r="E1488" s="10" t="str">
        <f>HYPERLINK("https://twitter.com/MBZepedaCortes/status/706164514572673025","706164514572673025")</f>
        <v>706164514572673025</v>
      </c>
      <c r="F1488" s="11" t="s">
        <v>31</v>
      </c>
      <c r="G1488" s="12">
        <v>699.0</v>
      </c>
      <c r="H1488" s="12">
        <v>1702.0</v>
      </c>
      <c r="I1488" s="12">
        <v>5.0</v>
      </c>
      <c r="J1488" s="12">
        <v>0.0</v>
      </c>
      <c r="K1488" s="11" t="s">
        <v>21</v>
      </c>
      <c r="L1488" s="7">
        <v>40457.60498842593</v>
      </c>
      <c r="M1488" s="13" t="s">
        <v>569</v>
      </c>
      <c r="N1488" s="13" t="s">
        <v>570</v>
      </c>
      <c r="O1488" s="10" t="str">
        <f t="shared" si="350"/>
        <v>View</v>
      </c>
      <c r="P1488" s="14"/>
    </row>
    <row r="1489">
      <c r="A1489" s="7">
        <v>42434.465416666666</v>
      </c>
      <c r="B1489" s="8" t="str">
        <f>HYPERLINK("https://twitter.com/erfagen","@erfagen")</f>
        <v>@erfagen</v>
      </c>
      <c r="C1489" s="9" t="s">
        <v>124</v>
      </c>
      <c r="D1489" s="9" t="s">
        <v>1580</v>
      </c>
      <c r="E1489" s="10" t="str">
        <f>HYPERLINK("https://twitter.com/erfagen/status/706164923370442752","706164923370442752")</f>
        <v>706164923370442752</v>
      </c>
      <c r="F1489" s="11" t="s">
        <v>26</v>
      </c>
      <c r="G1489" s="12">
        <v>1055.0</v>
      </c>
      <c r="H1489" s="12">
        <v>2055.0</v>
      </c>
      <c r="I1489" s="12">
        <v>0.0</v>
      </c>
      <c r="J1489" s="12">
        <v>0.0</v>
      </c>
      <c r="K1489" s="11" t="s">
        <v>21</v>
      </c>
      <c r="L1489" s="7">
        <v>40524.93576388889</v>
      </c>
      <c r="M1489" s="13" t="s">
        <v>125</v>
      </c>
      <c r="N1489" s="13" t="s">
        <v>126</v>
      </c>
      <c r="O1489" s="10" t="str">
        <f>HYPERLINK("https://pbs.twimg.com/profile_images/638086945722249217/mid_S_BQ_normal.jpg","View")</f>
        <v>View</v>
      </c>
      <c r="P1489" s="14"/>
    </row>
    <row r="1490">
      <c r="A1490" s="7">
        <v>42434.465636574074</v>
      </c>
      <c r="B1490" s="8" t="str">
        <f>HYPERLINK("https://twitter.com/DeviantReader","@DeviantReader")</f>
        <v>@DeviantReader</v>
      </c>
      <c r="C1490" s="9" t="s">
        <v>1581</v>
      </c>
      <c r="D1490" s="9" t="s">
        <v>1557</v>
      </c>
      <c r="E1490" s="10" t="str">
        <f>HYPERLINK("https://twitter.com/DeviantReader/status/706165003758473216","706165003758473216")</f>
        <v>706165003758473216</v>
      </c>
      <c r="F1490" s="11" t="s">
        <v>26</v>
      </c>
      <c r="G1490" s="12">
        <v>220.0</v>
      </c>
      <c r="H1490" s="12">
        <v>265.0</v>
      </c>
      <c r="I1490" s="12">
        <v>5.0</v>
      </c>
      <c r="J1490" s="12">
        <v>0.0</v>
      </c>
      <c r="K1490" s="11" t="s">
        <v>21</v>
      </c>
      <c r="L1490" s="7">
        <v>41540.46371527778</v>
      </c>
      <c r="M1490" s="13" t="s">
        <v>213</v>
      </c>
      <c r="N1490" s="13" t="s">
        <v>1582</v>
      </c>
      <c r="O1490" s="10" t="str">
        <f>HYPERLINK("https://pbs.twimg.com/profile_images/378800000768149718/c3ada20045c55343b6bb186b7db7c1a4_normal.jpeg","View")</f>
        <v>View</v>
      </c>
      <c r="P1490" s="14"/>
    </row>
    <row r="1491">
      <c r="A1491" s="7">
        <v>42434.465787037036</v>
      </c>
      <c r="B1491" s="8" t="str">
        <f t="shared" ref="B1491:B1492" si="351">HYPERLINK("https://twitter.com/j3foley","@j3foley")</f>
        <v>@j3foley</v>
      </c>
      <c r="C1491" s="9" t="s">
        <v>1492</v>
      </c>
      <c r="D1491" s="9" t="s">
        <v>1583</v>
      </c>
      <c r="E1491" s="10" t="str">
        <f>HYPERLINK("https://twitter.com/j3foley/status/706165060289347584","706165060289347584")</f>
        <v>706165060289347584</v>
      </c>
      <c r="F1491" s="11" t="s">
        <v>26</v>
      </c>
      <c r="G1491" s="12">
        <v>152.0</v>
      </c>
      <c r="H1491" s="12">
        <v>290.0</v>
      </c>
      <c r="I1491" s="12">
        <v>1.0</v>
      </c>
      <c r="J1491" s="12">
        <v>0.0</v>
      </c>
      <c r="K1491" s="11" t="s">
        <v>21</v>
      </c>
      <c r="L1491" s="7">
        <v>40267.63636574074</v>
      </c>
      <c r="M1491" s="13" t="s">
        <v>252</v>
      </c>
      <c r="N1491" s="13" t="s">
        <v>1494</v>
      </c>
      <c r="O1491" s="10" t="str">
        <f t="shared" ref="O1491:O1492" si="352">HYPERLINK("https://pbs.twimg.com/profile_images/627686554861834241/UcDo7crN_normal.jpg","View")</f>
        <v>View</v>
      </c>
      <c r="P1491" s="14"/>
    </row>
    <row r="1492">
      <c r="A1492" s="7">
        <v>42434.46704861111</v>
      </c>
      <c r="B1492" s="8" t="str">
        <f t="shared" si="351"/>
        <v>@j3foley</v>
      </c>
      <c r="C1492" s="9" t="s">
        <v>1492</v>
      </c>
      <c r="D1492" s="9" t="s">
        <v>1517</v>
      </c>
      <c r="E1492" s="10" t="str">
        <f>HYPERLINK("https://twitter.com/j3foley/status/706165514599587840","706165514599587840")</f>
        <v>706165514599587840</v>
      </c>
      <c r="F1492" s="11" t="s">
        <v>26</v>
      </c>
      <c r="G1492" s="12">
        <v>152.0</v>
      </c>
      <c r="H1492" s="12">
        <v>290.0</v>
      </c>
      <c r="I1492" s="12">
        <v>6.0</v>
      </c>
      <c r="J1492" s="12">
        <v>0.0</v>
      </c>
      <c r="K1492" s="11" t="s">
        <v>21</v>
      </c>
      <c r="L1492" s="7">
        <v>40267.63636574074</v>
      </c>
      <c r="M1492" s="13" t="s">
        <v>252</v>
      </c>
      <c r="N1492" s="13" t="s">
        <v>1494</v>
      </c>
      <c r="O1492" s="10" t="str">
        <f t="shared" si="352"/>
        <v>View</v>
      </c>
      <c r="P1492" s="14"/>
    </row>
    <row r="1493">
      <c r="A1493" s="7">
        <v>42434.46936342593</v>
      </c>
      <c r="B1493" s="8" t="str">
        <f t="shared" ref="B1493:B1494" si="353">HYPERLINK("https://twitter.com/jaheppler","@jaheppler")</f>
        <v>@jaheppler</v>
      </c>
      <c r="C1493" s="9" t="s">
        <v>460</v>
      </c>
      <c r="D1493" s="9" t="s">
        <v>1584</v>
      </c>
      <c r="E1493" s="10" t="str">
        <f>HYPERLINK("https://twitter.com/jaheppler/status/706166354630410240","706166354630410240")</f>
        <v>706166354630410240</v>
      </c>
      <c r="F1493" s="11" t="s">
        <v>1585</v>
      </c>
      <c r="G1493" s="12">
        <v>1933.0</v>
      </c>
      <c r="H1493" s="12">
        <v>480.0</v>
      </c>
      <c r="I1493" s="12">
        <v>0.0</v>
      </c>
      <c r="J1493" s="12">
        <v>1.0</v>
      </c>
      <c r="K1493" s="11" t="s">
        <v>21</v>
      </c>
      <c r="L1493" s="7">
        <v>39702.3484375</v>
      </c>
      <c r="M1493" s="13" t="s">
        <v>463</v>
      </c>
      <c r="N1493" s="13" t="s">
        <v>464</v>
      </c>
      <c r="O1493" s="10" t="str">
        <f t="shared" ref="O1493:O1494" si="354">HYPERLINK("https://pbs.twimg.com/profile_images/436607137188290560/UM-U3wT1_normal.jpeg","View")</f>
        <v>View</v>
      </c>
      <c r="P1493" s="14"/>
    </row>
    <row r="1494">
      <c r="A1494" s="7">
        <v>42434.4696875</v>
      </c>
      <c r="B1494" s="8" t="str">
        <f t="shared" si="353"/>
        <v>@jaheppler</v>
      </c>
      <c r="C1494" s="9" t="s">
        <v>460</v>
      </c>
      <c r="D1494" s="9" t="s">
        <v>1586</v>
      </c>
      <c r="E1494" s="10" t="str">
        <f>HYPERLINK("https://twitter.com/jaheppler/status/706166471810879488","706166471810879488")</f>
        <v>706166471810879488</v>
      </c>
      <c r="F1494" s="11" t="s">
        <v>1585</v>
      </c>
      <c r="G1494" s="12">
        <v>1933.0</v>
      </c>
      <c r="H1494" s="12">
        <v>480.0</v>
      </c>
      <c r="I1494" s="12">
        <v>0.0</v>
      </c>
      <c r="J1494" s="12">
        <v>0.0</v>
      </c>
      <c r="K1494" s="11" t="s">
        <v>21</v>
      </c>
      <c r="L1494" s="7">
        <v>39702.3484375</v>
      </c>
      <c r="M1494" s="13" t="s">
        <v>463</v>
      </c>
      <c r="N1494" s="13" t="s">
        <v>464</v>
      </c>
      <c r="O1494" s="10" t="str">
        <f t="shared" si="354"/>
        <v>View</v>
      </c>
      <c r="P1494" s="14"/>
    </row>
    <row r="1495">
      <c r="A1495" s="7">
        <v>42434.47751157408</v>
      </c>
      <c r="B1495" s="8" t="str">
        <f t="shared" ref="B1495:B1497" si="355">HYPERLINK("https://twitter.com/samueljredman","@samueljredman")</f>
        <v>@samueljredman</v>
      </c>
      <c r="C1495" s="9" t="s">
        <v>158</v>
      </c>
      <c r="D1495" s="9" t="s">
        <v>1587</v>
      </c>
      <c r="E1495" s="10" t="str">
        <f>HYPERLINK("https://twitter.com/samueljredman/status/706169305600299008","706169305600299008")</f>
        <v>706169305600299008</v>
      </c>
      <c r="F1495" s="11" t="s">
        <v>31</v>
      </c>
      <c r="G1495" s="12">
        <v>5624.0</v>
      </c>
      <c r="H1495" s="12">
        <v>5356.0</v>
      </c>
      <c r="I1495" s="12">
        <v>1.0</v>
      </c>
      <c r="J1495" s="12">
        <v>0.0</v>
      </c>
      <c r="K1495" s="11" t="s">
        <v>21</v>
      </c>
      <c r="L1495" s="7">
        <v>40584.98517361111</v>
      </c>
      <c r="M1495" s="13" t="s">
        <v>160</v>
      </c>
      <c r="N1495" s="13" t="s">
        <v>161</v>
      </c>
      <c r="O1495" s="10" t="str">
        <f t="shared" ref="O1495:O1497" si="356">HYPERLINK("https://pbs.twimg.com/profile_images/548193870278688768/8Dq7gW3U_normal.png","View")</f>
        <v>View</v>
      </c>
      <c r="P1495" s="14"/>
    </row>
    <row r="1496">
      <c r="A1496" s="7">
        <v>42434.477858796294</v>
      </c>
      <c r="B1496" s="8" t="str">
        <f t="shared" si="355"/>
        <v>@samueljredman</v>
      </c>
      <c r="C1496" s="9" t="s">
        <v>158</v>
      </c>
      <c r="D1496" s="9" t="s">
        <v>1460</v>
      </c>
      <c r="E1496" s="10" t="str">
        <f>HYPERLINK("https://twitter.com/samueljredman/status/706169432108883969","706169432108883969")</f>
        <v>706169432108883969</v>
      </c>
      <c r="F1496" s="11" t="s">
        <v>31</v>
      </c>
      <c r="G1496" s="12">
        <v>5624.0</v>
      </c>
      <c r="H1496" s="12">
        <v>5356.0</v>
      </c>
      <c r="I1496" s="12">
        <v>3.0</v>
      </c>
      <c r="J1496" s="12">
        <v>0.0</v>
      </c>
      <c r="K1496" s="11" t="s">
        <v>21</v>
      </c>
      <c r="L1496" s="7">
        <v>40584.98517361111</v>
      </c>
      <c r="M1496" s="13" t="s">
        <v>160</v>
      </c>
      <c r="N1496" s="13" t="s">
        <v>161</v>
      </c>
      <c r="O1496" s="10" t="str">
        <f t="shared" si="356"/>
        <v>View</v>
      </c>
      <c r="P1496" s="14"/>
    </row>
    <row r="1497">
      <c r="A1497" s="7">
        <v>42434.47798611112</v>
      </c>
      <c r="B1497" s="8" t="str">
        <f t="shared" si="355"/>
        <v>@samueljredman</v>
      </c>
      <c r="C1497" s="9" t="s">
        <v>158</v>
      </c>
      <c r="D1497" s="9" t="s">
        <v>1588</v>
      </c>
      <c r="E1497" s="10" t="str">
        <f>HYPERLINK("https://twitter.com/samueljredman/status/706169480334938113","706169480334938113")</f>
        <v>706169480334938113</v>
      </c>
      <c r="F1497" s="11" t="s">
        <v>31</v>
      </c>
      <c r="G1497" s="12">
        <v>5624.0</v>
      </c>
      <c r="H1497" s="12">
        <v>5356.0</v>
      </c>
      <c r="I1497" s="12">
        <v>1.0</v>
      </c>
      <c r="J1497" s="12">
        <v>0.0</v>
      </c>
      <c r="K1497" s="11" t="s">
        <v>21</v>
      </c>
      <c r="L1497" s="7">
        <v>40584.98517361111</v>
      </c>
      <c r="M1497" s="13" t="s">
        <v>160</v>
      </c>
      <c r="N1497" s="13" t="s">
        <v>161</v>
      </c>
      <c r="O1497" s="10" t="str">
        <f t="shared" si="356"/>
        <v>View</v>
      </c>
      <c r="P1497" s="14"/>
    </row>
    <row r="1498">
      <c r="A1498" s="7">
        <v>42434.478425925925</v>
      </c>
      <c r="B1498" s="8" t="str">
        <f>HYPERLINK("https://twitter.com/ASUPublicHist","@ASUPublicHist")</f>
        <v>@ASUPublicHist</v>
      </c>
      <c r="C1498" s="9" t="s">
        <v>137</v>
      </c>
      <c r="D1498" s="9" t="s">
        <v>1460</v>
      </c>
      <c r="E1498" s="10" t="str">
        <f>HYPERLINK("https://twitter.com/ASUPublicHist/status/706169638049087488","706169638049087488")</f>
        <v>706169638049087488</v>
      </c>
      <c r="F1498" s="11" t="s">
        <v>77</v>
      </c>
      <c r="G1498" s="12">
        <v>614.0</v>
      </c>
      <c r="H1498" s="12">
        <v>787.0</v>
      </c>
      <c r="I1498" s="12">
        <v>3.0</v>
      </c>
      <c r="J1498" s="12">
        <v>0.0</v>
      </c>
      <c r="K1498" s="11" t="s">
        <v>21</v>
      </c>
      <c r="L1498" s="7">
        <v>41508.403703703705</v>
      </c>
      <c r="M1498" s="13" t="s">
        <v>138</v>
      </c>
      <c r="N1498" s="13" t="s">
        <v>139</v>
      </c>
      <c r="O1498" s="10" t="str">
        <f>HYPERLINK("https://pbs.twimg.com/profile_images/579006785048088577/NRmUrZVy_normal.jpeg","View")</f>
        <v>View</v>
      </c>
      <c r="P1498" s="14"/>
    </row>
    <row r="1499">
      <c r="A1499" s="7">
        <v>42434.478472222225</v>
      </c>
      <c r="B1499" s="8" t="str">
        <f t="shared" ref="B1499:B1507" si="357">HYPERLINK("https://twitter.com/samueljredman","@samueljredman")</f>
        <v>@samueljredman</v>
      </c>
      <c r="C1499" s="9" t="s">
        <v>158</v>
      </c>
      <c r="D1499" s="9" t="s">
        <v>1589</v>
      </c>
      <c r="E1499" s="10" t="str">
        <f>HYPERLINK("https://twitter.com/samueljredman/status/706169655006724097","706169655006724097")</f>
        <v>706169655006724097</v>
      </c>
      <c r="F1499" s="11" t="s">
        <v>31</v>
      </c>
      <c r="G1499" s="12">
        <v>5624.0</v>
      </c>
      <c r="H1499" s="12">
        <v>5356.0</v>
      </c>
      <c r="I1499" s="12">
        <v>1.0</v>
      </c>
      <c r="J1499" s="12">
        <v>0.0</v>
      </c>
      <c r="K1499" s="11" t="s">
        <v>21</v>
      </c>
      <c r="L1499" s="7">
        <v>40584.98517361111</v>
      </c>
      <c r="M1499" s="13" t="s">
        <v>160</v>
      </c>
      <c r="N1499" s="13" t="s">
        <v>161</v>
      </c>
      <c r="O1499" s="10" t="str">
        <f t="shared" ref="O1499:O1507" si="358">HYPERLINK("https://pbs.twimg.com/profile_images/548193870278688768/8Dq7gW3U_normal.png","View")</f>
        <v>View</v>
      </c>
      <c r="P1499" s="14"/>
    </row>
    <row r="1500">
      <c r="A1500" s="7">
        <v>42434.47856481481</v>
      </c>
      <c r="B1500" s="8" t="str">
        <f t="shared" si="357"/>
        <v>@samueljredman</v>
      </c>
      <c r="C1500" s="9" t="s">
        <v>158</v>
      </c>
      <c r="D1500" s="9" t="s">
        <v>1476</v>
      </c>
      <c r="E1500" s="10" t="str">
        <f>HYPERLINK("https://twitter.com/samueljredman/status/706169687164510208","706169687164510208")</f>
        <v>706169687164510208</v>
      </c>
      <c r="F1500" s="11" t="s">
        <v>31</v>
      </c>
      <c r="G1500" s="12">
        <v>5624.0</v>
      </c>
      <c r="H1500" s="12">
        <v>5356.0</v>
      </c>
      <c r="I1500" s="12">
        <v>2.0</v>
      </c>
      <c r="J1500" s="12">
        <v>0.0</v>
      </c>
      <c r="K1500" s="11" t="s">
        <v>21</v>
      </c>
      <c r="L1500" s="7">
        <v>40584.98517361111</v>
      </c>
      <c r="M1500" s="13" t="s">
        <v>160</v>
      </c>
      <c r="N1500" s="13" t="s">
        <v>161</v>
      </c>
      <c r="O1500" s="10" t="str">
        <f t="shared" si="358"/>
        <v>View</v>
      </c>
      <c r="P1500" s="14"/>
    </row>
    <row r="1501">
      <c r="A1501" s="7">
        <v>42434.47869212963</v>
      </c>
      <c r="B1501" s="8" t="str">
        <f t="shared" si="357"/>
        <v>@samueljredman</v>
      </c>
      <c r="C1501" s="9" t="s">
        <v>158</v>
      </c>
      <c r="D1501" s="9" t="s">
        <v>1590</v>
      </c>
      <c r="E1501" s="10" t="str">
        <f>HYPERLINK("https://twitter.com/samueljredman/status/706169733842919424","706169733842919424")</f>
        <v>706169733842919424</v>
      </c>
      <c r="F1501" s="11" t="s">
        <v>31</v>
      </c>
      <c r="G1501" s="12">
        <v>5624.0</v>
      </c>
      <c r="H1501" s="12">
        <v>5356.0</v>
      </c>
      <c r="I1501" s="12">
        <v>1.0</v>
      </c>
      <c r="J1501" s="12">
        <v>0.0</v>
      </c>
      <c r="K1501" s="11" t="s">
        <v>21</v>
      </c>
      <c r="L1501" s="7">
        <v>40584.98517361111</v>
      </c>
      <c r="M1501" s="13" t="s">
        <v>160</v>
      </c>
      <c r="N1501" s="13" t="s">
        <v>161</v>
      </c>
      <c r="O1501" s="10" t="str">
        <f t="shared" si="358"/>
        <v>View</v>
      </c>
      <c r="P1501" s="14"/>
    </row>
    <row r="1502">
      <c r="A1502" s="7">
        <v>42434.479629629626</v>
      </c>
      <c r="B1502" s="8" t="str">
        <f t="shared" si="357"/>
        <v>@samueljredman</v>
      </c>
      <c r="C1502" s="9" t="s">
        <v>158</v>
      </c>
      <c r="D1502" s="9" t="s">
        <v>1591</v>
      </c>
      <c r="E1502" s="10" t="str">
        <f>HYPERLINK("https://twitter.com/samueljredman/status/706170075968098304","706170075968098304")</f>
        <v>706170075968098304</v>
      </c>
      <c r="F1502" s="11" t="s">
        <v>31</v>
      </c>
      <c r="G1502" s="12">
        <v>5624.0</v>
      </c>
      <c r="H1502" s="12">
        <v>5356.0</v>
      </c>
      <c r="I1502" s="12">
        <v>1.0</v>
      </c>
      <c r="J1502" s="12">
        <v>0.0</v>
      </c>
      <c r="K1502" s="11" t="s">
        <v>21</v>
      </c>
      <c r="L1502" s="7">
        <v>40584.98517361111</v>
      </c>
      <c r="M1502" s="13" t="s">
        <v>160</v>
      </c>
      <c r="N1502" s="13" t="s">
        <v>161</v>
      </c>
      <c r="O1502" s="10" t="str">
        <f t="shared" si="358"/>
        <v>View</v>
      </c>
      <c r="P1502" s="14"/>
    </row>
    <row r="1503">
      <c r="A1503" s="7">
        <v>42434.47969907407</v>
      </c>
      <c r="B1503" s="8" t="str">
        <f t="shared" si="357"/>
        <v>@samueljredman</v>
      </c>
      <c r="C1503" s="9" t="s">
        <v>158</v>
      </c>
      <c r="D1503" s="9" t="s">
        <v>1521</v>
      </c>
      <c r="E1503" s="10" t="str">
        <f>HYPERLINK("https://twitter.com/samueljredman/status/706170098927718406","706170098927718406")</f>
        <v>706170098927718406</v>
      </c>
      <c r="F1503" s="11" t="s">
        <v>31</v>
      </c>
      <c r="G1503" s="12">
        <v>5624.0</v>
      </c>
      <c r="H1503" s="12">
        <v>5356.0</v>
      </c>
      <c r="I1503" s="12">
        <v>2.0</v>
      </c>
      <c r="J1503" s="12">
        <v>0.0</v>
      </c>
      <c r="K1503" s="11" t="s">
        <v>21</v>
      </c>
      <c r="L1503" s="7">
        <v>40584.98517361111</v>
      </c>
      <c r="M1503" s="13" t="s">
        <v>160</v>
      </c>
      <c r="N1503" s="13" t="s">
        <v>161</v>
      </c>
      <c r="O1503" s="10" t="str">
        <f t="shared" si="358"/>
        <v>View</v>
      </c>
      <c r="P1503" s="14"/>
    </row>
    <row r="1504">
      <c r="A1504" s="7">
        <v>42434.47982638889</v>
      </c>
      <c r="B1504" s="8" t="str">
        <f t="shared" si="357"/>
        <v>@samueljredman</v>
      </c>
      <c r="C1504" s="9" t="s">
        <v>158</v>
      </c>
      <c r="D1504" s="9" t="s">
        <v>1517</v>
      </c>
      <c r="E1504" s="10" t="str">
        <f>HYPERLINK("https://twitter.com/samueljredman/status/706170145186705409","706170145186705409")</f>
        <v>706170145186705409</v>
      </c>
      <c r="F1504" s="11" t="s">
        <v>31</v>
      </c>
      <c r="G1504" s="12">
        <v>5624.0</v>
      </c>
      <c r="H1504" s="12">
        <v>5356.0</v>
      </c>
      <c r="I1504" s="12">
        <v>8.0</v>
      </c>
      <c r="J1504" s="12">
        <v>0.0</v>
      </c>
      <c r="K1504" s="11" t="s">
        <v>21</v>
      </c>
      <c r="L1504" s="7">
        <v>40584.98517361111</v>
      </c>
      <c r="M1504" s="13" t="s">
        <v>160</v>
      </c>
      <c r="N1504" s="13" t="s">
        <v>161</v>
      </c>
      <c r="O1504" s="10" t="str">
        <f t="shared" si="358"/>
        <v>View</v>
      </c>
      <c r="P1504" s="14"/>
    </row>
    <row r="1505">
      <c r="A1505" s="7">
        <v>42434.479895833334</v>
      </c>
      <c r="B1505" s="8" t="str">
        <f t="shared" si="357"/>
        <v>@samueljredman</v>
      </c>
      <c r="C1505" s="9" t="s">
        <v>158</v>
      </c>
      <c r="D1505" s="9" t="s">
        <v>1592</v>
      </c>
      <c r="E1505" s="10" t="str">
        <f>HYPERLINK("https://twitter.com/samueljredman/status/706170171120099329","706170171120099329")</f>
        <v>706170171120099329</v>
      </c>
      <c r="F1505" s="11" t="s">
        <v>31</v>
      </c>
      <c r="G1505" s="12">
        <v>5624.0</v>
      </c>
      <c r="H1505" s="12">
        <v>5356.0</v>
      </c>
      <c r="I1505" s="12">
        <v>1.0</v>
      </c>
      <c r="J1505" s="12">
        <v>0.0</v>
      </c>
      <c r="K1505" s="11" t="s">
        <v>21</v>
      </c>
      <c r="L1505" s="7">
        <v>40584.98517361111</v>
      </c>
      <c r="M1505" s="13" t="s">
        <v>160</v>
      </c>
      <c r="N1505" s="13" t="s">
        <v>161</v>
      </c>
      <c r="O1505" s="10" t="str">
        <f t="shared" si="358"/>
        <v>View</v>
      </c>
      <c r="P1505" s="14"/>
    </row>
    <row r="1506">
      <c r="A1506" s="7">
        <v>42434.48025462963</v>
      </c>
      <c r="B1506" s="8" t="str">
        <f t="shared" si="357"/>
        <v>@samueljredman</v>
      </c>
      <c r="C1506" s="9" t="s">
        <v>158</v>
      </c>
      <c r="D1506" s="9" t="s">
        <v>1567</v>
      </c>
      <c r="E1506" s="10" t="str">
        <f>HYPERLINK("https://twitter.com/samueljredman/status/706170299276992512","706170299276992512")</f>
        <v>706170299276992512</v>
      </c>
      <c r="F1506" s="11" t="s">
        <v>31</v>
      </c>
      <c r="G1506" s="12">
        <v>5624.0</v>
      </c>
      <c r="H1506" s="12">
        <v>5356.0</v>
      </c>
      <c r="I1506" s="12">
        <v>2.0</v>
      </c>
      <c r="J1506" s="12">
        <v>0.0</v>
      </c>
      <c r="K1506" s="11" t="s">
        <v>21</v>
      </c>
      <c r="L1506" s="7">
        <v>40584.98517361111</v>
      </c>
      <c r="M1506" s="13" t="s">
        <v>160</v>
      </c>
      <c r="N1506" s="13" t="s">
        <v>161</v>
      </c>
      <c r="O1506" s="10" t="str">
        <f t="shared" si="358"/>
        <v>View</v>
      </c>
      <c r="P1506" s="14"/>
    </row>
    <row r="1507">
      <c r="A1507" s="7">
        <v>42434.4803125</v>
      </c>
      <c r="B1507" s="8" t="str">
        <f t="shared" si="357"/>
        <v>@samueljredman</v>
      </c>
      <c r="C1507" s="9" t="s">
        <v>158</v>
      </c>
      <c r="D1507" s="9" t="s">
        <v>1593</v>
      </c>
      <c r="E1507" s="10" t="str">
        <f>HYPERLINK("https://twitter.com/samueljredman/status/706170323134238722","706170323134238722")</f>
        <v>706170323134238722</v>
      </c>
      <c r="F1507" s="11" t="s">
        <v>31</v>
      </c>
      <c r="G1507" s="12">
        <v>5624.0</v>
      </c>
      <c r="H1507" s="12">
        <v>5356.0</v>
      </c>
      <c r="I1507" s="12">
        <v>1.0</v>
      </c>
      <c r="J1507" s="12">
        <v>0.0</v>
      </c>
      <c r="K1507" s="11" t="s">
        <v>21</v>
      </c>
      <c r="L1507" s="7">
        <v>40584.98517361111</v>
      </c>
      <c r="M1507" s="13" t="s">
        <v>160</v>
      </c>
      <c r="N1507" s="13" t="s">
        <v>161</v>
      </c>
      <c r="O1507" s="10" t="str">
        <f t="shared" si="358"/>
        <v>View</v>
      </c>
      <c r="P1507" s="14"/>
    </row>
    <row r="1508">
      <c r="A1508" s="7">
        <v>42434.481203703705</v>
      </c>
      <c r="B1508" s="8" t="str">
        <f>HYPERLINK("https://twitter.com/ValleyNerdWatch","@ValleyNerdWatch")</f>
        <v>@ValleyNerdWatch</v>
      </c>
      <c r="C1508" s="9" t="s">
        <v>772</v>
      </c>
      <c r="D1508" s="9" t="s">
        <v>1517</v>
      </c>
      <c r="E1508" s="10" t="str">
        <f>HYPERLINK("https://twitter.com/ValleyNerdWatch/status/706170643495165954","706170643495165954")</f>
        <v>706170643495165954</v>
      </c>
      <c r="F1508" s="11" t="s">
        <v>148</v>
      </c>
      <c r="G1508" s="12">
        <v>339.0</v>
      </c>
      <c r="H1508" s="12">
        <v>452.0</v>
      </c>
      <c r="I1508" s="12">
        <v>8.0</v>
      </c>
      <c r="J1508" s="12">
        <v>0.0</v>
      </c>
      <c r="K1508" s="11" t="s">
        <v>21</v>
      </c>
      <c r="L1508" s="7">
        <v>42036.03533564815</v>
      </c>
      <c r="M1508" s="13" t="s">
        <v>774</v>
      </c>
      <c r="N1508" s="13" t="s">
        <v>775</v>
      </c>
      <c r="O1508" s="10" t="str">
        <f>HYPERLINK("https://pbs.twimg.com/profile_images/564445065573965824/Ec20w5KQ_normal.jpeg","View")</f>
        <v>View</v>
      </c>
      <c r="P1508" s="14"/>
    </row>
    <row r="1509">
      <c r="A1509" s="7">
        <v>42434.485289351855</v>
      </c>
      <c r="B1509" s="8" t="str">
        <f>HYPERLINK("https://twitter.com/pastpunditry","@pastpunditry")</f>
        <v>@pastpunditry</v>
      </c>
      <c r="C1509" s="9" t="s">
        <v>92</v>
      </c>
      <c r="D1509" s="9" t="s">
        <v>1594</v>
      </c>
      <c r="E1509" s="10" t="str">
        <f>HYPERLINK("https://twitter.com/pastpunditry/status/706172127540543490","706172127540543490")</f>
        <v>706172127540543490</v>
      </c>
      <c r="F1509" s="11" t="s">
        <v>77</v>
      </c>
      <c r="G1509" s="12">
        <v>893.0</v>
      </c>
      <c r="H1509" s="12">
        <v>378.0</v>
      </c>
      <c r="I1509" s="12">
        <v>0.0</v>
      </c>
      <c r="J1509" s="12">
        <v>2.0</v>
      </c>
      <c r="K1509" s="11" t="s">
        <v>21</v>
      </c>
      <c r="L1509" s="7">
        <v>40283.384351851855</v>
      </c>
      <c r="M1509" s="13" t="s">
        <v>94</v>
      </c>
      <c r="N1509" s="13" t="s">
        <v>95</v>
      </c>
      <c r="O1509" s="10" t="str">
        <f>HYPERLINK("https://pbs.twimg.com/profile_images/704873222802636800/7aFEMOY5_normal.jpg","View")</f>
        <v>View</v>
      </c>
      <c r="P1509" s="14"/>
    </row>
    <row r="1510">
      <c r="A1510" s="7">
        <v>42434.487280092595</v>
      </c>
      <c r="B1510" s="8" t="str">
        <f>HYPERLINK("https://twitter.com/4Kats4","@4Kats4")</f>
        <v>@4Kats4</v>
      </c>
      <c r="C1510" s="9" t="s">
        <v>1595</v>
      </c>
      <c r="D1510" s="9" t="s">
        <v>1208</v>
      </c>
      <c r="E1510" s="10" t="str">
        <f>HYPERLINK("https://twitter.com/4Kats4/status/706172848419823616","706172848419823616")</f>
        <v>706172848419823616</v>
      </c>
      <c r="F1510" s="11" t="s">
        <v>26</v>
      </c>
      <c r="G1510" s="12">
        <v>198.0</v>
      </c>
      <c r="H1510" s="12">
        <v>325.0</v>
      </c>
      <c r="I1510" s="12">
        <v>10.0</v>
      </c>
      <c r="J1510" s="12">
        <v>0.0</v>
      </c>
      <c r="K1510" s="11" t="s">
        <v>21</v>
      </c>
      <c r="L1510" s="7">
        <v>40024.33207175926</v>
      </c>
      <c r="M1510" s="15"/>
      <c r="N1510" s="13" t="s">
        <v>1596</v>
      </c>
      <c r="O1510" s="10" t="str">
        <f>HYPERLINK("https://pbs.twimg.com/profile_images/344265240/cat_normal.jpg","View")</f>
        <v>View</v>
      </c>
      <c r="P1510" s="14"/>
    </row>
    <row r="1511">
      <c r="A1511" s="7">
        <v>42434.487488425926</v>
      </c>
      <c r="B1511" s="8" t="str">
        <f>HYPERLINK("https://twitter.com/insurgentintel","@insurgentintel")</f>
        <v>@insurgentintel</v>
      </c>
      <c r="C1511" s="9" t="s">
        <v>1597</v>
      </c>
      <c r="D1511" s="9" t="s">
        <v>1522</v>
      </c>
      <c r="E1511" s="10" t="str">
        <f>HYPERLINK("https://twitter.com/insurgentintel/status/706172921954193408","706172921954193408")</f>
        <v>706172921954193408</v>
      </c>
      <c r="F1511" s="11" t="s">
        <v>31</v>
      </c>
      <c r="G1511" s="12">
        <v>172.0</v>
      </c>
      <c r="H1511" s="12">
        <v>2320.0</v>
      </c>
      <c r="I1511" s="12">
        <v>4.0</v>
      </c>
      <c r="J1511" s="12">
        <v>0.0</v>
      </c>
      <c r="K1511" s="11" t="s">
        <v>21</v>
      </c>
      <c r="L1511" s="7">
        <v>41592.49775462963</v>
      </c>
      <c r="M1511" s="13" t="s">
        <v>1598</v>
      </c>
      <c r="N1511" s="13" t="s">
        <v>1599</v>
      </c>
      <c r="O1511" s="10" t="str">
        <f>HYPERLINK("https://pbs.twimg.com/profile_images/557938516756164608/xS0qnJPq_normal.jpeg","View")</f>
        <v>View</v>
      </c>
      <c r="P1511" s="14"/>
    </row>
    <row r="1512">
      <c r="A1512" s="7">
        <v>42434.50177083333</v>
      </c>
      <c r="B1512" s="8" t="str">
        <f t="shared" ref="B1512:B1517" si="359">HYPERLINK("https://twitter.com/juliegpeterson","@juliegpeterson")</f>
        <v>@juliegpeterson</v>
      </c>
      <c r="C1512" s="9" t="s">
        <v>24</v>
      </c>
      <c r="D1512" s="9" t="s">
        <v>1565</v>
      </c>
      <c r="E1512" s="10" t="str">
        <f>HYPERLINK("https://twitter.com/juliegpeterson/status/706178098954432513","706178098954432513")</f>
        <v>706178098954432513</v>
      </c>
      <c r="F1512" s="11" t="s">
        <v>26</v>
      </c>
      <c r="G1512" s="12">
        <v>239.0</v>
      </c>
      <c r="H1512" s="12">
        <v>777.0</v>
      </c>
      <c r="I1512" s="12">
        <v>2.0</v>
      </c>
      <c r="J1512" s="12">
        <v>0.0</v>
      </c>
      <c r="K1512" s="11" t="s">
        <v>21</v>
      </c>
      <c r="L1512" s="7">
        <v>41208.65523148148</v>
      </c>
      <c r="M1512" s="13" t="s">
        <v>22</v>
      </c>
      <c r="N1512" s="13" t="s">
        <v>27</v>
      </c>
      <c r="O1512" s="10" t="str">
        <f t="shared" ref="O1512:O1517" si="360">HYPERLINK("https://pbs.twimg.com/profile_images/609765839051452416/GNW0wSt0_normal.jpg","View")</f>
        <v>View</v>
      </c>
      <c r="P1512" s="14"/>
    </row>
    <row r="1513">
      <c r="A1513" s="7">
        <v>42434.502650462964</v>
      </c>
      <c r="B1513" s="8" t="str">
        <f t="shared" si="359"/>
        <v>@juliegpeterson</v>
      </c>
      <c r="C1513" s="9" t="s">
        <v>24</v>
      </c>
      <c r="D1513" s="9" t="s">
        <v>1571</v>
      </c>
      <c r="E1513" s="10" t="str">
        <f>HYPERLINK("https://twitter.com/juliegpeterson/status/706178419214696448","706178419214696448")</f>
        <v>706178419214696448</v>
      </c>
      <c r="F1513" s="11" t="s">
        <v>26</v>
      </c>
      <c r="G1513" s="12">
        <v>239.0</v>
      </c>
      <c r="H1513" s="12">
        <v>777.0</v>
      </c>
      <c r="I1513" s="12">
        <v>2.0</v>
      </c>
      <c r="J1513" s="12">
        <v>0.0</v>
      </c>
      <c r="K1513" s="11" t="s">
        <v>21</v>
      </c>
      <c r="L1513" s="7">
        <v>41208.65523148148</v>
      </c>
      <c r="M1513" s="13" t="s">
        <v>22</v>
      </c>
      <c r="N1513" s="13" t="s">
        <v>27</v>
      </c>
      <c r="O1513" s="10" t="str">
        <f t="shared" si="360"/>
        <v>View</v>
      </c>
      <c r="P1513" s="14"/>
    </row>
    <row r="1514">
      <c r="A1514" s="7">
        <v>42434.5040625</v>
      </c>
      <c r="B1514" s="8" t="str">
        <f t="shared" si="359"/>
        <v>@juliegpeterson</v>
      </c>
      <c r="C1514" s="9" t="s">
        <v>24</v>
      </c>
      <c r="D1514" s="9" t="s">
        <v>1600</v>
      </c>
      <c r="E1514" s="10" t="str">
        <f>HYPERLINK("https://twitter.com/juliegpeterson/status/706178926922625025","706178926922625025")</f>
        <v>706178926922625025</v>
      </c>
      <c r="F1514" s="11" t="s">
        <v>26</v>
      </c>
      <c r="G1514" s="12">
        <v>239.0</v>
      </c>
      <c r="H1514" s="12">
        <v>777.0</v>
      </c>
      <c r="I1514" s="12">
        <v>1.0</v>
      </c>
      <c r="J1514" s="12">
        <v>0.0</v>
      </c>
      <c r="K1514" s="11" t="s">
        <v>21</v>
      </c>
      <c r="L1514" s="7">
        <v>41208.65523148148</v>
      </c>
      <c r="M1514" s="13" t="s">
        <v>22</v>
      </c>
      <c r="N1514" s="13" t="s">
        <v>27</v>
      </c>
      <c r="O1514" s="10" t="str">
        <f t="shared" si="360"/>
        <v>View</v>
      </c>
      <c r="P1514" s="14"/>
    </row>
    <row r="1515">
      <c r="A1515" s="7">
        <v>42434.504282407404</v>
      </c>
      <c r="B1515" s="8" t="str">
        <f t="shared" si="359"/>
        <v>@juliegpeterson</v>
      </c>
      <c r="C1515" s="9" t="s">
        <v>24</v>
      </c>
      <c r="D1515" s="9" t="s">
        <v>1592</v>
      </c>
      <c r="E1515" s="10" t="str">
        <f>HYPERLINK("https://twitter.com/juliegpeterson/status/706179010523504641","706179010523504641")</f>
        <v>706179010523504641</v>
      </c>
      <c r="F1515" s="11" t="s">
        <v>26</v>
      </c>
      <c r="G1515" s="12">
        <v>239.0</v>
      </c>
      <c r="H1515" s="12">
        <v>777.0</v>
      </c>
      <c r="I1515" s="12">
        <v>2.0</v>
      </c>
      <c r="J1515" s="12">
        <v>0.0</v>
      </c>
      <c r="K1515" s="11" t="s">
        <v>21</v>
      </c>
      <c r="L1515" s="7">
        <v>41208.65523148148</v>
      </c>
      <c r="M1515" s="13" t="s">
        <v>22</v>
      </c>
      <c r="N1515" s="13" t="s">
        <v>27</v>
      </c>
      <c r="O1515" s="10" t="str">
        <f t="shared" si="360"/>
        <v>View</v>
      </c>
      <c r="P1515" s="14"/>
    </row>
    <row r="1516">
      <c r="A1516" s="7">
        <v>42434.50440972223</v>
      </c>
      <c r="B1516" s="8" t="str">
        <f t="shared" si="359"/>
        <v>@juliegpeterson</v>
      </c>
      <c r="C1516" s="9" t="s">
        <v>24</v>
      </c>
      <c r="D1516" s="9" t="s">
        <v>1521</v>
      </c>
      <c r="E1516" s="10" t="str">
        <f>HYPERLINK("https://twitter.com/juliegpeterson/status/706179055914192897","706179055914192897")</f>
        <v>706179055914192897</v>
      </c>
      <c r="F1516" s="11" t="s">
        <v>26</v>
      </c>
      <c r="G1516" s="12">
        <v>239.0</v>
      </c>
      <c r="H1516" s="12">
        <v>777.0</v>
      </c>
      <c r="I1516" s="12">
        <v>3.0</v>
      </c>
      <c r="J1516" s="12">
        <v>0.0</v>
      </c>
      <c r="K1516" s="11" t="s">
        <v>21</v>
      </c>
      <c r="L1516" s="7">
        <v>41208.65523148148</v>
      </c>
      <c r="M1516" s="13" t="s">
        <v>22</v>
      </c>
      <c r="N1516" s="13" t="s">
        <v>27</v>
      </c>
      <c r="O1516" s="10" t="str">
        <f t="shared" si="360"/>
        <v>View</v>
      </c>
      <c r="P1516" s="14"/>
    </row>
    <row r="1517">
      <c r="A1517" s="7">
        <v>42434.504641203705</v>
      </c>
      <c r="B1517" s="8" t="str">
        <f t="shared" si="359"/>
        <v>@juliegpeterson</v>
      </c>
      <c r="C1517" s="9" t="s">
        <v>24</v>
      </c>
      <c r="D1517" s="9" t="s">
        <v>1522</v>
      </c>
      <c r="E1517" s="10" t="str">
        <f>HYPERLINK("https://twitter.com/juliegpeterson/status/706179137539579905","706179137539579905")</f>
        <v>706179137539579905</v>
      </c>
      <c r="F1517" s="11" t="s">
        <v>26</v>
      </c>
      <c r="G1517" s="12">
        <v>239.0</v>
      </c>
      <c r="H1517" s="12">
        <v>777.0</v>
      </c>
      <c r="I1517" s="12">
        <v>5.0</v>
      </c>
      <c r="J1517" s="12">
        <v>0.0</v>
      </c>
      <c r="K1517" s="11" t="s">
        <v>21</v>
      </c>
      <c r="L1517" s="7">
        <v>41208.65523148148</v>
      </c>
      <c r="M1517" s="13" t="s">
        <v>22</v>
      </c>
      <c r="N1517" s="13" t="s">
        <v>27</v>
      </c>
      <c r="O1517" s="10" t="str">
        <f t="shared" si="360"/>
        <v>View</v>
      </c>
      <c r="P1517" s="14"/>
    </row>
    <row r="1518">
      <c r="A1518" s="7">
        <v>42434.5056712963</v>
      </c>
      <c r="B1518" s="8" t="str">
        <f>HYPERLINK("https://twitter.com/pastpunditry","@pastpunditry")</f>
        <v>@pastpunditry</v>
      </c>
      <c r="C1518" s="9" t="s">
        <v>92</v>
      </c>
      <c r="D1518" s="9" t="s">
        <v>1601</v>
      </c>
      <c r="E1518" s="10" t="str">
        <f>HYPERLINK("https://twitter.com/pastpunditry/status/706179511180791808","706179511180791808")</f>
        <v>706179511180791808</v>
      </c>
      <c r="F1518" s="11" t="s">
        <v>77</v>
      </c>
      <c r="G1518" s="12">
        <v>894.0</v>
      </c>
      <c r="H1518" s="12">
        <v>378.0</v>
      </c>
      <c r="I1518" s="12">
        <v>0.0</v>
      </c>
      <c r="J1518" s="12">
        <v>1.0</v>
      </c>
      <c r="K1518" s="11" t="s">
        <v>21</v>
      </c>
      <c r="L1518" s="7">
        <v>40283.384351851855</v>
      </c>
      <c r="M1518" s="13" t="s">
        <v>94</v>
      </c>
      <c r="N1518" s="13" t="s">
        <v>95</v>
      </c>
      <c r="O1518" s="10" t="str">
        <f>HYPERLINK("https://pbs.twimg.com/profile_images/704873222802636800/7aFEMOY5_normal.jpg","View")</f>
        <v>View</v>
      </c>
      <c r="P1518" s="14"/>
    </row>
    <row r="1519">
      <c r="A1519" s="7">
        <v>42434.506261574075</v>
      </c>
      <c r="B1519" s="8" t="str">
        <f>HYPERLINK("https://twitter.com/juliegpeterson","@juliegpeterson")</f>
        <v>@juliegpeterson</v>
      </c>
      <c r="C1519" s="9" t="s">
        <v>24</v>
      </c>
      <c r="D1519" s="9" t="s">
        <v>1460</v>
      </c>
      <c r="E1519" s="10" t="str">
        <f>HYPERLINK("https://twitter.com/juliegpeterson/status/706179725656498177","706179725656498177")</f>
        <v>706179725656498177</v>
      </c>
      <c r="F1519" s="11" t="s">
        <v>26</v>
      </c>
      <c r="G1519" s="12">
        <v>239.0</v>
      </c>
      <c r="H1519" s="12">
        <v>777.0</v>
      </c>
      <c r="I1519" s="12">
        <v>4.0</v>
      </c>
      <c r="J1519" s="12">
        <v>0.0</v>
      </c>
      <c r="K1519" s="11" t="s">
        <v>21</v>
      </c>
      <c r="L1519" s="7">
        <v>41208.65523148148</v>
      </c>
      <c r="M1519" s="13" t="s">
        <v>22</v>
      </c>
      <c r="N1519" s="13" t="s">
        <v>27</v>
      </c>
      <c r="O1519" s="10" t="str">
        <f>HYPERLINK("https://pbs.twimg.com/profile_images/609765839051452416/GNW0wSt0_normal.jpg","View")</f>
        <v>View</v>
      </c>
      <c r="P1519" s="14"/>
    </row>
    <row r="1520">
      <c r="A1520" s="7">
        <v>42434.50649305555</v>
      </c>
      <c r="B1520" s="8" t="str">
        <f t="shared" ref="B1520:B1521" si="361">HYPERLINK("https://twitter.com/pastpunditry","@pastpunditry")</f>
        <v>@pastpunditry</v>
      </c>
      <c r="C1520" s="9" t="s">
        <v>92</v>
      </c>
      <c r="D1520" s="9" t="s">
        <v>1602</v>
      </c>
      <c r="E1520" s="10" t="str">
        <f>HYPERLINK("https://twitter.com/pastpunditry/status/706179811811663874","706179811811663874")</f>
        <v>706179811811663874</v>
      </c>
      <c r="F1520" s="11" t="s">
        <v>77</v>
      </c>
      <c r="G1520" s="12">
        <v>894.0</v>
      </c>
      <c r="H1520" s="12">
        <v>378.0</v>
      </c>
      <c r="I1520" s="12">
        <v>3.0</v>
      </c>
      <c r="J1520" s="12">
        <v>5.0</v>
      </c>
      <c r="K1520" s="11" t="s">
        <v>21</v>
      </c>
      <c r="L1520" s="7">
        <v>40283.384351851855</v>
      </c>
      <c r="M1520" s="13" t="s">
        <v>94</v>
      </c>
      <c r="N1520" s="13" t="s">
        <v>95</v>
      </c>
      <c r="O1520" s="10" t="str">
        <f t="shared" ref="O1520:O1521" si="362">HYPERLINK("https://pbs.twimg.com/profile_images/704873222802636800/7aFEMOY5_normal.jpg","View")</f>
        <v>View</v>
      </c>
      <c r="P1520" s="14"/>
    </row>
    <row r="1521">
      <c r="A1521" s="7">
        <v>42434.50743055556</v>
      </c>
      <c r="B1521" s="8" t="str">
        <f t="shared" si="361"/>
        <v>@pastpunditry</v>
      </c>
      <c r="C1521" s="9" t="s">
        <v>92</v>
      </c>
      <c r="D1521" s="9" t="s">
        <v>1603</v>
      </c>
      <c r="E1521" s="10" t="str">
        <f>HYPERLINK("https://twitter.com/pastpunditry/status/706180151504216064","706180151504216064")</f>
        <v>706180151504216064</v>
      </c>
      <c r="F1521" s="11" t="s">
        <v>77</v>
      </c>
      <c r="G1521" s="12">
        <v>894.0</v>
      </c>
      <c r="H1521" s="12">
        <v>378.0</v>
      </c>
      <c r="I1521" s="12">
        <v>2.0</v>
      </c>
      <c r="J1521" s="12">
        <v>2.0</v>
      </c>
      <c r="K1521" s="11" t="s">
        <v>21</v>
      </c>
      <c r="L1521" s="7">
        <v>40283.384351851855</v>
      </c>
      <c r="M1521" s="13" t="s">
        <v>94</v>
      </c>
      <c r="N1521" s="13" t="s">
        <v>95</v>
      </c>
      <c r="O1521" s="10" t="str">
        <f t="shared" si="362"/>
        <v>View</v>
      </c>
      <c r="P1521" s="14"/>
    </row>
    <row r="1522">
      <c r="A1522" s="7">
        <v>42434.5075</v>
      </c>
      <c r="B1522" s="8" t="str">
        <f>HYPERLINK("https://twitter.com/juliegpeterson","@juliegpeterson")</f>
        <v>@juliegpeterson</v>
      </c>
      <c r="C1522" s="9" t="s">
        <v>24</v>
      </c>
      <c r="D1522" s="9" t="s">
        <v>1421</v>
      </c>
      <c r="E1522" s="10" t="str">
        <f>HYPERLINK("https://twitter.com/juliegpeterson/status/706180176703520769","706180176703520769")</f>
        <v>706180176703520769</v>
      </c>
      <c r="F1522" s="11" t="s">
        <v>26</v>
      </c>
      <c r="G1522" s="12">
        <v>239.0</v>
      </c>
      <c r="H1522" s="12">
        <v>777.0</v>
      </c>
      <c r="I1522" s="12">
        <v>2.0</v>
      </c>
      <c r="J1522" s="12">
        <v>0.0</v>
      </c>
      <c r="K1522" s="11" t="s">
        <v>21</v>
      </c>
      <c r="L1522" s="7">
        <v>41208.65523148148</v>
      </c>
      <c r="M1522" s="13" t="s">
        <v>22</v>
      </c>
      <c r="N1522" s="13" t="s">
        <v>27</v>
      </c>
      <c r="O1522" s="10" t="str">
        <f>HYPERLINK("https://pbs.twimg.com/profile_images/609765839051452416/GNW0wSt0_normal.jpg","View")</f>
        <v>View</v>
      </c>
      <c r="P1522" s="14"/>
    </row>
    <row r="1523">
      <c r="A1523" s="7">
        <v>42434.508877314816</v>
      </c>
      <c r="B1523" s="8" t="str">
        <f t="shared" ref="B1523:B1524" si="363">HYPERLINK("https://twitter.com/jamiaw","@jamiaw")</f>
        <v>@jamiaw</v>
      </c>
      <c r="C1523" s="9" t="s">
        <v>324</v>
      </c>
      <c r="D1523" s="9" t="s">
        <v>1604</v>
      </c>
      <c r="E1523" s="10" t="str">
        <f>HYPERLINK("https://twitter.com/jamiaw/status/706180673950851073","706180673950851073")</f>
        <v>706180673950851073</v>
      </c>
      <c r="F1523" s="11" t="s">
        <v>26</v>
      </c>
      <c r="G1523" s="12">
        <v>11341.0</v>
      </c>
      <c r="H1523" s="12">
        <v>7816.0</v>
      </c>
      <c r="I1523" s="12">
        <v>2.0</v>
      </c>
      <c r="J1523" s="12">
        <v>0.0</v>
      </c>
      <c r="K1523" s="11" t="s">
        <v>21</v>
      </c>
      <c r="L1523" s="7">
        <v>39642.39741898148</v>
      </c>
      <c r="M1523" s="13" t="s">
        <v>325</v>
      </c>
      <c r="N1523" s="13" t="s">
        <v>326</v>
      </c>
      <c r="O1523" s="10" t="str">
        <f t="shared" ref="O1523:O1524" si="364">HYPERLINK("https://pbs.twimg.com/profile_images/701102020061753344/5zH70uem_normal.jpg","View")</f>
        <v>View</v>
      </c>
      <c r="P1523" s="14"/>
    </row>
    <row r="1524">
      <c r="A1524" s="7">
        <v>42434.50891203704</v>
      </c>
      <c r="B1524" s="8" t="str">
        <f t="shared" si="363"/>
        <v>@jamiaw</v>
      </c>
      <c r="C1524" s="9" t="s">
        <v>324</v>
      </c>
      <c r="D1524" s="9" t="s">
        <v>1605</v>
      </c>
      <c r="E1524" s="10" t="str">
        <f>HYPERLINK("https://twitter.com/jamiaw/status/706180686982545409","706180686982545409")</f>
        <v>706180686982545409</v>
      </c>
      <c r="F1524" s="11" t="s">
        <v>26</v>
      </c>
      <c r="G1524" s="12">
        <v>11341.0</v>
      </c>
      <c r="H1524" s="12">
        <v>7816.0</v>
      </c>
      <c r="I1524" s="12">
        <v>3.0</v>
      </c>
      <c r="J1524" s="12">
        <v>0.0</v>
      </c>
      <c r="K1524" s="11" t="s">
        <v>21</v>
      </c>
      <c r="L1524" s="7">
        <v>39642.39741898148</v>
      </c>
      <c r="M1524" s="13" t="s">
        <v>325</v>
      </c>
      <c r="N1524" s="13" t="s">
        <v>326</v>
      </c>
      <c r="O1524" s="10" t="str">
        <f t="shared" si="364"/>
        <v>View</v>
      </c>
      <c r="P1524" s="14"/>
    </row>
    <row r="1525">
      <c r="A1525" s="7">
        <v>42434.50966435185</v>
      </c>
      <c r="B1525" s="8" t="str">
        <f>HYPERLINK("https://twitter.com/juliegpeterson","@juliegpeterson")</f>
        <v>@juliegpeterson</v>
      </c>
      <c r="C1525" s="9" t="s">
        <v>24</v>
      </c>
      <c r="D1525" s="9" t="s">
        <v>1606</v>
      </c>
      <c r="E1525" s="10" t="str">
        <f>HYPERLINK("https://twitter.com/juliegpeterson/status/706180960220483584","706180960220483584")</f>
        <v>706180960220483584</v>
      </c>
      <c r="F1525" s="11" t="s">
        <v>26</v>
      </c>
      <c r="G1525" s="12">
        <v>239.0</v>
      </c>
      <c r="H1525" s="12">
        <v>777.0</v>
      </c>
      <c r="I1525" s="12">
        <v>2.0</v>
      </c>
      <c r="J1525" s="12">
        <v>0.0</v>
      </c>
      <c r="K1525" s="11" t="s">
        <v>21</v>
      </c>
      <c r="L1525" s="7">
        <v>41208.65523148148</v>
      </c>
      <c r="M1525" s="13" t="s">
        <v>22</v>
      </c>
      <c r="N1525" s="13" t="s">
        <v>27</v>
      </c>
      <c r="O1525" s="10" t="str">
        <f>HYPERLINK("https://pbs.twimg.com/profile_images/609765839051452416/GNW0wSt0_normal.jpg","View")</f>
        <v>View</v>
      </c>
      <c r="P1525" s="14"/>
    </row>
    <row r="1526">
      <c r="A1526" s="7">
        <v>42434.509675925925</v>
      </c>
      <c r="B1526" s="8" t="str">
        <f t="shared" ref="B1526:B1527" si="365">HYPERLINK("https://twitter.com/pastpunditry","@pastpunditry")</f>
        <v>@pastpunditry</v>
      </c>
      <c r="C1526" s="9" t="s">
        <v>92</v>
      </c>
      <c r="D1526" s="9" t="s">
        <v>1607</v>
      </c>
      <c r="E1526" s="10" t="str">
        <f>HYPERLINK("https://twitter.com/pastpunditry/status/706180961155870721","706180961155870721")</f>
        <v>706180961155870721</v>
      </c>
      <c r="F1526" s="11" t="s">
        <v>77</v>
      </c>
      <c r="G1526" s="12">
        <v>894.0</v>
      </c>
      <c r="H1526" s="12">
        <v>378.0</v>
      </c>
      <c r="I1526" s="12">
        <v>0.0</v>
      </c>
      <c r="J1526" s="12">
        <v>1.0</v>
      </c>
      <c r="K1526" s="11" t="s">
        <v>21</v>
      </c>
      <c r="L1526" s="7">
        <v>40283.384351851855</v>
      </c>
      <c r="M1526" s="13" t="s">
        <v>94</v>
      </c>
      <c r="N1526" s="13" t="s">
        <v>95</v>
      </c>
      <c r="O1526" s="10" t="str">
        <f t="shared" ref="O1526:O1527" si="366">HYPERLINK("https://pbs.twimg.com/profile_images/704873222802636800/7aFEMOY5_normal.jpg","View")</f>
        <v>View</v>
      </c>
      <c r="P1526" s="14"/>
    </row>
    <row r="1527">
      <c r="A1527" s="7">
        <v>42434.509988425925</v>
      </c>
      <c r="B1527" s="8" t="str">
        <f t="shared" si="365"/>
        <v>@pastpunditry</v>
      </c>
      <c r="C1527" s="9" t="s">
        <v>92</v>
      </c>
      <c r="D1527" s="9" t="s">
        <v>1608</v>
      </c>
      <c r="E1527" s="10" t="str">
        <f>HYPERLINK("https://twitter.com/pastpunditry/status/706181076310478848","706181076310478848")</f>
        <v>706181076310478848</v>
      </c>
      <c r="F1527" s="11" t="s">
        <v>77</v>
      </c>
      <c r="G1527" s="12">
        <v>894.0</v>
      </c>
      <c r="H1527" s="12">
        <v>378.0</v>
      </c>
      <c r="I1527" s="12">
        <v>1.0</v>
      </c>
      <c r="J1527" s="12">
        <v>1.0</v>
      </c>
      <c r="K1527" s="11" t="s">
        <v>21</v>
      </c>
      <c r="L1527" s="7">
        <v>40283.384351851855</v>
      </c>
      <c r="M1527" s="13" t="s">
        <v>94</v>
      </c>
      <c r="N1527" s="13" t="s">
        <v>95</v>
      </c>
      <c r="O1527" s="10" t="str">
        <f t="shared" si="366"/>
        <v>View</v>
      </c>
      <c r="P1527" s="14"/>
    </row>
    <row r="1528">
      <c r="A1528" s="7">
        <v>42434.51013888889</v>
      </c>
      <c r="B1528" s="8" t="str">
        <f>HYPERLINK("https://twitter.com/JulieThePH","@JulieThePH")</f>
        <v>@JulieThePH</v>
      </c>
      <c r="C1528" s="9" t="s">
        <v>211</v>
      </c>
      <c r="D1528" s="9" t="s">
        <v>1609</v>
      </c>
      <c r="E1528" s="10" t="str">
        <f>HYPERLINK("https://twitter.com/JulieThePH/status/706181131335540736","706181131335540736")</f>
        <v>706181131335540736</v>
      </c>
      <c r="F1528" s="11" t="s">
        <v>31</v>
      </c>
      <c r="G1528" s="12">
        <v>1238.0</v>
      </c>
      <c r="H1528" s="12">
        <v>1386.0</v>
      </c>
      <c r="I1528" s="12">
        <v>2.0</v>
      </c>
      <c r="J1528" s="12">
        <v>3.0</v>
      </c>
      <c r="K1528" s="11" t="s">
        <v>21</v>
      </c>
      <c r="L1528" s="7">
        <v>40718.66918981481</v>
      </c>
      <c r="M1528" s="13" t="s">
        <v>213</v>
      </c>
      <c r="N1528" s="13" t="s">
        <v>214</v>
      </c>
      <c r="O1528" s="10" t="str">
        <f>HYPERLINK("https://pbs.twimg.com/profile_images/596509974005686273/AqBblwMR_normal.jpg","View")</f>
        <v>View</v>
      </c>
      <c r="P1528" s="14"/>
    </row>
    <row r="1529">
      <c r="A1529" s="7">
        <v>42434.51019675926</v>
      </c>
      <c r="B1529" s="8" t="str">
        <f>HYPERLINK("https://twitter.com/pastpunditry","@pastpunditry")</f>
        <v>@pastpunditry</v>
      </c>
      <c r="C1529" s="9" t="s">
        <v>92</v>
      </c>
      <c r="D1529" s="9" t="s">
        <v>1610</v>
      </c>
      <c r="E1529" s="10" t="str">
        <f>HYPERLINK("https://twitter.com/pastpunditry/status/706181153858961408","706181153858961408")</f>
        <v>706181153858961408</v>
      </c>
      <c r="F1529" s="11" t="s">
        <v>77</v>
      </c>
      <c r="G1529" s="12">
        <v>894.0</v>
      </c>
      <c r="H1529" s="12">
        <v>378.0</v>
      </c>
      <c r="I1529" s="12">
        <v>2.0</v>
      </c>
      <c r="J1529" s="12">
        <v>0.0</v>
      </c>
      <c r="K1529" s="11" t="s">
        <v>21</v>
      </c>
      <c r="L1529" s="7">
        <v>40283.384351851855</v>
      </c>
      <c r="M1529" s="13" t="s">
        <v>94</v>
      </c>
      <c r="N1529" s="13" t="s">
        <v>95</v>
      </c>
      <c r="O1529" s="10" t="str">
        <f>HYPERLINK("https://pbs.twimg.com/profile_images/704873222802636800/7aFEMOY5_normal.jpg","View")</f>
        <v>View</v>
      </c>
      <c r="P1529" s="14"/>
    </row>
    <row r="1530">
      <c r="A1530" s="7">
        <v>42434.51032407407</v>
      </c>
      <c r="B1530" s="8" t="str">
        <f t="shared" ref="B1530:B1531" si="367">HYPERLINK("https://twitter.com/mathhistory","@mathhistory")</f>
        <v>@mathhistory</v>
      </c>
      <c r="C1530" s="9" t="s">
        <v>341</v>
      </c>
      <c r="D1530" s="9" t="s">
        <v>1611</v>
      </c>
      <c r="E1530" s="10" t="str">
        <f>HYPERLINK("https://twitter.com/mathhistory/status/706181198989692928","706181198989692928")</f>
        <v>706181198989692928</v>
      </c>
      <c r="F1530" s="11" t="s">
        <v>26</v>
      </c>
      <c r="G1530" s="12">
        <v>791.0</v>
      </c>
      <c r="H1530" s="12">
        <v>1109.0</v>
      </c>
      <c r="I1530" s="12">
        <v>3.0</v>
      </c>
      <c r="J1530" s="12">
        <v>2.0</v>
      </c>
      <c r="K1530" s="11" t="s">
        <v>21</v>
      </c>
      <c r="L1530" s="7">
        <v>41089.96089120371</v>
      </c>
      <c r="M1530" s="13" t="s">
        <v>343</v>
      </c>
      <c r="N1530" s="13" t="s">
        <v>344</v>
      </c>
      <c r="O1530" s="10" t="str">
        <f t="shared" ref="O1530:O1531" si="368">HYPERLINK("https://pbs.twimg.com/profile_images/3034769023/09adfcbebccfeef2a42e39aaac64ede5_normal.jpeg","View")</f>
        <v>View</v>
      </c>
      <c r="P1530" s="14"/>
    </row>
    <row r="1531">
      <c r="A1531" s="7">
        <v>42434.51121527777</v>
      </c>
      <c r="B1531" s="8" t="str">
        <f t="shared" si="367"/>
        <v>@mathhistory</v>
      </c>
      <c r="C1531" s="9" t="s">
        <v>341</v>
      </c>
      <c r="D1531" s="9" t="s">
        <v>1612</v>
      </c>
      <c r="E1531" s="10" t="str">
        <f>HYPERLINK("https://twitter.com/mathhistory/status/706181519145041921","706181519145041921")</f>
        <v>706181519145041921</v>
      </c>
      <c r="F1531" s="11" t="s">
        <v>26</v>
      </c>
      <c r="G1531" s="12">
        <v>791.0</v>
      </c>
      <c r="H1531" s="12">
        <v>1109.0</v>
      </c>
      <c r="I1531" s="12">
        <v>1.0</v>
      </c>
      <c r="J1531" s="12">
        <v>3.0</v>
      </c>
      <c r="K1531" s="11" t="s">
        <v>21</v>
      </c>
      <c r="L1531" s="7">
        <v>41089.96089120371</v>
      </c>
      <c r="M1531" s="13" t="s">
        <v>343</v>
      </c>
      <c r="N1531" s="13" t="s">
        <v>344</v>
      </c>
      <c r="O1531" s="10" t="str">
        <f t="shared" si="368"/>
        <v>View</v>
      </c>
      <c r="P1531" s="14"/>
    </row>
    <row r="1532">
      <c r="A1532" s="7">
        <v>42434.51121527777</v>
      </c>
      <c r="B1532" s="8" t="str">
        <f>HYPERLINK("https://twitter.com/pastpunditry","@pastpunditry")</f>
        <v>@pastpunditry</v>
      </c>
      <c r="C1532" s="9" t="s">
        <v>92</v>
      </c>
      <c r="D1532" s="9" t="s">
        <v>1613</v>
      </c>
      <c r="E1532" s="10" t="str">
        <f>HYPERLINK("https://twitter.com/pastpunditry/status/706181520713785344","706181520713785344")</f>
        <v>706181520713785344</v>
      </c>
      <c r="F1532" s="11" t="s">
        <v>77</v>
      </c>
      <c r="G1532" s="12">
        <v>894.0</v>
      </c>
      <c r="H1532" s="12">
        <v>378.0</v>
      </c>
      <c r="I1532" s="12">
        <v>0.0</v>
      </c>
      <c r="J1532" s="12">
        <v>0.0</v>
      </c>
      <c r="K1532" s="11" t="s">
        <v>21</v>
      </c>
      <c r="L1532" s="7">
        <v>40283.384351851855</v>
      </c>
      <c r="M1532" s="13" t="s">
        <v>94</v>
      </c>
      <c r="N1532" s="13" t="s">
        <v>95</v>
      </c>
      <c r="O1532" s="10" t="str">
        <f>HYPERLINK("https://pbs.twimg.com/profile_images/704873222802636800/7aFEMOY5_normal.jpg","View")</f>
        <v>View</v>
      </c>
      <c r="P1532" s="14"/>
    </row>
    <row r="1533">
      <c r="A1533" s="7">
        <v>42434.511249999996</v>
      </c>
      <c r="B1533" s="8" t="str">
        <f t="shared" ref="B1533:B1534" si="369">HYPERLINK("https://twitter.com/samueljredman","@samueljredman")</f>
        <v>@samueljredman</v>
      </c>
      <c r="C1533" s="9" t="s">
        <v>158</v>
      </c>
      <c r="D1533" s="9" t="s">
        <v>1614</v>
      </c>
      <c r="E1533" s="10" t="str">
        <f>HYPERLINK("https://twitter.com/samueljredman/status/706181531732205568","706181531732205568")</f>
        <v>706181531732205568</v>
      </c>
      <c r="F1533" s="11" t="s">
        <v>26</v>
      </c>
      <c r="G1533" s="12">
        <v>5624.0</v>
      </c>
      <c r="H1533" s="12">
        <v>5356.0</v>
      </c>
      <c r="I1533" s="12">
        <v>3.0</v>
      </c>
      <c r="J1533" s="12">
        <v>0.0</v>
      </c>
      <c r="K1533" s="11" t="s">
        <v>21</v>
      </c>
      <c r="L1533" s="7">
        <v>40584.98517361111</v>
      </c>
      <c r="M1533" s="13" t="s">
        <v>160</v>
      </c>
      <c r="N1533" s="13" t="s">
        <v>161</v>
      </c>
      <c r="O1533" s="10" t="str">
        <f t="shared" ref="O1533:O1534" si="370">HYPERLINK("https://pbs.twimg.com/profile_images/548193870278688768/8Dq7gW3U_normal.png","View")</f>
        <v>View</v>
      </c>
      <c r="P1533" s="14"/>
    </row>
    <row r="1534">
      <c r="A1534" s="7">
        <v>42434.51127314815</v>
      </c>
      <c r="B1534" s="8" t="str">
        <f t="shared" si="369"/>
        <v>@samueljredman</v>
      </c>
      <c r="C1534" s="9" t="s">
        <v>158</v>
      </c>
      <c r="D1534" s="9" t="s">
        <v>1610</v>
      </c>
      <c r="E1534" s="10" t="str">
        <f>HYPERLINK("https://twitter.com/samueljredman/status/706181540821254144","706181540821254144")</f>
        <v>706181540821254144</v>
      </c>
      <c r="F1534" s="11" t="s">
        <v>26</v>
      </c>
      <c r="G1534" s="12">
        <v>5624.0</v>
      </c>
      <c r="H1534" s="12">
        <v>5356.0</v>
      </c>
      <c r="I1534" s="12">
        <v>2.0</v>
      </c>
      <c r="J1534" s="12">
        <v>0.0</v>
      </c>
      <c r="K1534" s="11" t="s">
        <v>21</v>
      </c>
      <c r="L1534" s="7">
        <v>40584.98517361111</v>
      </c>
      <c r="M1534" s="13" t="s">
        <v>160</v>
      </c>
      <c r="N1534" s="13" t="s">
        <v>161</v>
      </c>
      <c r="O1534" s="10" t="str">
        <f t="shared" si="370"/>
        <v>View</v>
      </c>
      <c r="P1534" s="14"/>
    </row>
    <row r="1535">
      <c r="A1535" s="7">
        <v>42434.51128472222</v>
      </c>
      <c r="B1535" s="8" t="str">
        <f>HYPERLINK("https://twitter.com/pastpunditry","@pastpunditry")</f>
        <v>@pastpunditry</v>
      </c>
      <c r="C1535" s="9" t="s">
        <v>92</v>
      </c>
      <c r="D1535" s="9" t="s">
        <v>1614</v>
      </c>
      <c r="E1535" s="10" t="str">
        <f>HYPERLINK("https://twitter.com/pastpunditry/status/706181544365395969","706181544365395969")</f>
        <v>706181544365395969</v>
      </c>
      <c r="F1535" s="11" t="s">
        <v>77</v>
      </c>
      <c r="G1535" s="12">
        <v>894.0</v>
      </c>
      <c r="H1535" s="12">
        <v>378.0</v>
      </c>
      <c r="I1535" s="12">
        <v>3.0</v>
      </c>
      <c r="J1535" s="12">
        <v>0.0</v>
      </c>
      <c r="K1535" s="11" t="s">
        <v>21</v>
      </c>
      <c r="L1535" s="7">
        <v>40283.384351851855</v>
      </c>
      <c r="M1535" s="13" t="s">
        <v>94</v>
      </c>
      <c r="N1535" s="13" t="s">
        <v>95</v>
      </c>
      <c r="O1535" s="10" t="str">
        <f>HYPERLINK("https://pbs.twimg.com/profile_images/704873222802636800/7aFEMOY5_normal.jpg","View")</f>
        <v>View</v>
      </c>
      <c r="P1535" s="14"/>
    </row>
    <row r="1536">
      <c r="A1536" s="7">
        <v>42434.51131944444</v>
      </c>
      <c r="B1536" s="8" t="str">
        <f t="shared" ref="B1536:B1539" si="371">HYPERLINK("https://twitter.com/samueljredman","@samueljredman")</f>
        <v>@samueljredman</v>
      </c>
      <c r="C1536" s="9" t="s">
        <v>158</v>
      </c>
      <c r="D1536" s="9" t="s">
        <v>1615</v>
      </c>
      <c r="E1536" s="10" t="str">
        <f>HYPERLINK("https://twitter.com/samueljredman/status/706181558449938433","706181558449938433")</f>
        <v>706181558449938433</v>
      </c>
      <c r="F1536" s="11" t="s">
        <v>26</v>
      </c>
      <c r="G1536" s="12">
        <v>5624.0</v>
      </c>
      <c r="H1536" s="12">
        <v>5356.0</v>
      </c>
      <c r="I1536" s="12">
        <v>1.0</v>
      </c>
      <c r="J1536" s="12">
        <v>0.0</v>
      </c>
      <c r="K1536" s="11" t="s">
        <v>21</v>
      </c>
      <c r="L1536" s="7">
        <v>40584.98517361111</v>
      </c>
      <c r="M1536" s="13" t="s">
        <v>160</v>
      </c>
      <c r="N1536" s="13" t="s">
        <v>161</v>
      </c>
      <c r="O1536" s="10" t="str">
        <f t="shared" ref="O1536:O1539" si="372">HYPERLINK("https://pbs.twimg.com/profile_images/548193870278688768/8Dq7gW3U_normal.png","View")</f>
        <v>View</v>
      </c>
      <c r="P1536" s="14"/>
    </row>
    <row r="1537">
      <c r="A1537" s="7">
        <v>42434.51138888889</v>
      </c>
      <c r="B1537" s="8" t="str">
        <f t="shared" si="371"/>
        <v>@samueljredman</v>
      </c>
      <c r="C1537" s="9" t="s">
        <v>158</v>
      </c>
      <c r="D1537" s="9" t="s">
        <v>1616</v>
      </c>
      <c r="E1537" s="10" t="str">
        <f>HYPERLINK("https://twitter.com/samueljredman/status/706181583024295937","706181583024295937")</f>
        <v>706181583024295937</v>
      </c>
      <c r="F1537" s="11" t="s">
        <v>26</v>
      </c>
      <c r="G1537" s="12">
        <v>5624.0</v>
      </c>
      <c r="H1537" s="12">
        <v>5356.0</v>
      </c>
      <c r="I1537" s="12">
        <v>2.0</v>
      </c>
      <c r="J1537" s="12">
        <v>0.0</v>
      </c>
      <c r="K1537" s="11" t="s">
        <v>21</v>
      </c>
      <c r="L1537" s="7">
        <v>40584.98517361111</v>
      </c>
      <c r="M1537" s="13" t="s">
        <v>160</v>
      </c>
      <c r="N1537" s="13" t="s">
        <v>161</v>
      </c>
      <c r="O1537" s="10" t="str">
        <f t="shared" si="372"/>
        <v>View</v>
      </c>
      <c r="P1537" s="14"/>
    </row>
    <row r="1538">
      <c r="A1538" s="7">
        <v>42434.51143518518</v>
      </c>
      <c r="B1538" s="8" t="str">
        <f t="shared" si="371"/>
        <v>@samueljredman</v>
      </c>
      <c r="C1538" s="9" t="s">
        <v>158</v>
      </c>
      <c r="D1538" s="9" t="s">
        <v>1604</v>
      </c>
      <c r="E1538" s="10" t="str">
        <f>HYPERLINK("https://twitter.com/samueljredman/status/706181600774590465","706181600774590465")</f>
        <v>706181600774590465</v>
      </c>
      <c r="F1538" s="11" t="s">
        <v>26</v>
      </c>
      <c r="G1538" s="12">
        <v>5624.0</v>
      </c>
      <c r="H1538" s="12">
        <v>5356.0</v>
      </c>
      <c r="I1538" s="12">
        <v>2.0</v>
      </c>
      <c r="J1538" s="12">
        <v>0.0</v>
      </c>
      <c r="K1538" s="11" t="s">
        <v>21</v>
      </c>
      <c r="L1538" s="7">
        <v>40584.98517361111</v>
      </c>
      <c r="M1538" s="13" t="s">
        <v>160</v>
      </c>
      <c r="N1538" s="13" t="s">
        <v>161</v>
      </c>
      <c r="O1538" s="10" t="str">
        <f t="shared" si="372"/>
        <v>View</v>
      </c>
      <c r="P1538" s="14"/>
    </row>
    <row r="1539">
      <c r="A1539" s="7">
        <v>42434.51150462963</v>
      </c>
      <c r="B1539" s="8" t="str">
        <f t="shared" si="371"/>
        <v>@samueljredman</v>
      </c>
      <c r="C1539" s="9" t="s">
        <v>158</v>
      </c>
      <c r="D1539" s="9" t="s">
        <v>1605</v>
      </c>
      <c r="E1539" s="10" t="str">
        <f>HYPERLINK("https://twitter.com/samueljredman/status/706181624719937536","706181624719937536")</f>
        <v>706181624719937536</v>
      </c>
      <c r="F1539" s="11" t="s">
        <v>26</v>
      </c>
      <c r="G1539" s="12">
        <v>5624.0</v>
      </c>
      <c r="H1539" s="12">
        <v>5356.0</v>
      </c>
      <c r="I1539" s="12">
        <v>3.0</v>
      </c>
      <c r="J1539" s="12">
        <v>0.0</v>
      </c>
      <c r="K1539" s="11" t="s">
        <v>21</v>
      </c>
      <c r="L1539" s="7">
        <v>40584.98517361111</v>
      </c>
      <c r="M1539" s="13" t="s">
        <v>160</v>
      </c>
      <c r="N1539" s="13" t="s">
        <v>161</v>
      </c>
      <c r="O1539" s="10" t="str">
        <f t="shared" si="372"/>
        <v>View</v>
      </c>
      <c r="P1539" s="14"/>
    </row>
    <row r="1540">
      <c r="A1540" s="7">
        <v>42434.51207175926</v>
      </c>
      <c r="B1540" s="8" t="str">
        <f t="shared" ref="B1540:B1542" si="373">HYPERLINK("https://twitter.com/pastpunditry","@pastpunditry")</f>
        <v>@pastpunditry</v>
      </c>
      <c r="C1540" s="9" t="s">
        <v>92</v>
      </c>
      <c r="D1540" s="9" t="s">
        <v>1617</v>
      </c>
      <c r="E1540" s="10" t="str">
        <f>HYPERLINK("https://twitter.com/pastpunditry/status/706181832484720641","706181832484720641")</f>
        <v>706181832484720641</v>
      </c>
      <c r="F1540" s="11" t="s">
        <v>77</v>
      </c>
      <c r="G1540" s="12">
        <v>894.0</v>
      </c>
      <c r="H1540" s="12">
        <v>378.0</v>
      </c>
      <c r="I1540" s="12">
        <v>0.0</v>
      </c>
      <c r="J1540" s="12">
        <v>0.0</v>
      </c>
      <c r="K1540" s="11" t="s">
        <v>21</v>
      </c>
      <c r="L1540" s="7">
        <v>40283.384351851855</v>
      </c>
      <c r="M1540" s="13" t="s">
        <v>94</v>
      </c>
      <c r="N1540" s="13" t="s">
        <v>95</v>
      </c>
      <c r="O1540" s="10" t="str">
        <f t="shared" ref="O1540:O1542" si="374">HYPERLINK("https://pbs.twimg.com/profile_images/704873222802636800/7aFEMOY5_normal.jpg","View")</f>
        <v>View</v>
      </c>
      <c r="P1540" s="14"/>
    </row>
    <row r="1541">
      <c r="A1541" s="7">
        <v>42434.512557870374</v>
      </c>
      <c r="B1541" s="8" t="str">
        <f t="shared" si="373"/>
        <v>@pastpunditry</v>
      </c>
      <c r="C1541" s="9" t="s">
        <v>92</v>
      </c>
      <c r="D1541" s="9" t="s">
        <v>1618</v>
      </c>
      <c r="E1541" s="10" t="str">
        <f>HYPERLINK("https://twitter.com/pastpunditry/status/706182006263173120","706182006263173120")</f>
        <v>706182006263173120</v>
      </c>
      <c r="F1541" s="11" t="s">
        <v>77</v>
      </c>
      <c r="G1541" s="12">
        <v>894.0</v>
      </c>
      <c r="H1541" s="12">
        <v>378.0</v>
      </c>
      <c r="I1541" s="12">
        <v>0.0</v>
      </c>
      <c r="J1541" s="12">
        <v>0.0</v>
      </c>
      <c r="K1541" s="11" t="s">
        <v>21</v>
      </c>
      <c r="L1541" s="7">
        <v>40283.384351851855</v>
      </c>
      <c r="M1541" s="13" t="s">
        <v>94</v>
      </c>
      <c r="N1541" s="13" t="s">
        <v>95</v>
      </c>
      <c r="O1541" s="10" t="str">
        <f t="shared" si="374"/>
        <v>View</v>
      </c>
      <c r="P1541" s="14"/>
    </row>
    <row r="1542">
      <c r="A1542" s="7">
        <v>42434.51303240741</v>
      </c>
      <c r="B1542" s="8" t="str">
        <f t="shared" si="373"/>
        <v>@pastpunditry</v>
      </c>
      <c r="C1542" s="9" t="s">
        <v>92</v>
      </c>
      <c r="D1542" s="9" t="s">
        <v>1619</v>
      </c>
      <c r="E1542" s="10" t="str">
        <f>HYPERLINK("https://twitter.com/pastpunditry/status/706182180968505344","706182180968505344")</f>
        <v>706182180968505344</v>
      </c>
      <c r="F1542" s="11" t="s">
        <v>77</v>
      </c>
      <c r="G1542" s="12">
        <v>894.0</v>
      </c>
      <c r="H1542" s="12">
        <v>378.0</v>
      </c>
      <c r="I1542" s="12">
        <v>0.0</v>
      </c>
      <c r="J1542" s="12">
        <v>1.0</v>
      </c>
      <c r="K1542" s="11" t="s">
        <v>21</v>
      </c>
      <c r="L1542" s="7">
        <v>40283.384351851855</v>
      </c>
      <c r="M1542" s="13" t="s">
        <v>94</v>
      </c>
      <c r="N1542" s="13" t="s">
        <v>95</v>
      </c>
      <c r="O1542" s="10" t="str">
        <f t="shared" si="374"/>
        <v>View</v>
      </c>
      <c r="P1542" s="14"/>
    </row>
    <row r="1543">
      <c r="A1543" s="7">
        <v>42434.51430555555</v>
      </c>
      <c r="B1543" s="8" t="str">
        <f>HYPERLINK("https://twitter.com/mathhistory","@mathhistory")</f>
        <v>@mathhistory</v>
      </c>
      <c r="C1543" s="9" t="s">
        <v>341</v>
      </c>
      <c r="D1543" s="9" t="s">
        <v>1620</v>
      </c>
      <c r="E1543" s="10" t="str">
        <f>HYPERLINK("https://twitter.com/mathhistory/status/706182640370585607","706182640370585607")</f>
        <v>706182640370585607</v>
      </c>
      <c r="F1543" s="11" t="s">
        <v>26</v>
      </c>
      <c r="G1543" s="12">
        <v>791.0</v>
      </c>
      <c r="H1543" s="12">
        <v>1109.0</v>
      </c>
      <c r="I1543" s="12">
        <v>1.0</v>
      </c>
      <c r="J1543" s="12">
        <v>2.0</v>
      </c>
      <c r="K1543" s="11" t="s">
        <v>21</v>
      </c>
      <c r="L1543" s="7">
        <v>41089.96089120371</v>
      </c>
      <c r="M1543" s="13" t="s">
        <v>343</v>
      </c>
      <c r="N1543" s="13" t="s">
        <v>344</v>
      </c>
      <c r="O1543" s="10" t="str">
        <f>HYPERLINK("https://pbs.twimg.com/profile_images/3034769023/09adfcbebccfeef2a42e39aaac64ede5_normal.jpeg","View")</f>
        <v>View</v>
      </c>
      <c r="P1543" s="14"/>
    </row>
    <row r="1544">
      <c r="A1544" s="7">
        <v>42434.515185185184</v>
      </c>
      <c r="B1544" s="8" t="str">
        <f t="shared" ref="B1544:B1545" si="375">HYPERLINK("https://twitter.com/pastpunditry","@pastpunditry")</f>
        <v>@pastpunditry</v>
      </c>
      <c r="C1544" s="9" t="s">
        <v>92</v>
      </c>
      <c r="D1544" s="9" t="s">
        <v>1621</v>
      </c>
      <c r="E1544" s="10" t="str">
        <f>HYPERLINK("https://twitter.com/pastpunditry/status/706182959762706434","706182959762706434")</f>
        <v>706182959762706434</v>
      </c>
      <c r="F1544" s="11" t="s">
        <v>77</v>
      </c>
      <c r="G1544" s="12">
        <v>894.0</v>
      </c>
      <c r="H1544" s="12">
        <v>378.0</v>
      </c>
      <c r="I1544" s="12">
        <v>1.0</v>
      </c>
      <c r="J1544" s="12">
        <v>4.0</v>
      </c>
      <c r="K1544" s="11" t="s">
        <v>21</v>
      </c>
      <c r="L1544" s="7">
        <v>40283.384351851855</v>
      </c>
      <c r="M1544" s="13" t="s">
        <v>94</v>
      </c>
      <c r="N1544" s="13" t="s">
        <v>95</v>
      </c>
      <c r="O1544" s="10" t="str">
        <f t="shared" ref="O1544:O1545" si="376">HYPERLINK("https://pbs.twimg.com/profile_images/704873222802636800/7aFEMOY5_normal.jpg","View")</f>
        <v>View</v>
      </c>
      <c r="P1544" s="14"/>
    </row>
    <row r="1545">
      <c r="A1545" s="7">
        <v>42434.51568287037</v>
      </c>
      <c r="B1545" s="8" t="str">
        <f t="shared" si="375"/>
        <v>@pastpunditry</v>
      </c>
      <c r="C1545" s="9" t="s">
        <v>92</v>
      </c>
      <c r="D1545" s="9" t="s">
        <v>1622</v>
      </c>
      <c r="E1545" s="10" t="str">
        <f>HYPERLINK("https://twitter.com/pastpunditry/status/706183141556396033","706183141556396033")</f>
        <v>706183141556396033</v>
      </c>
      <c r="F1545" s="11" t="s">
        <v>77</v>
      </c>
      <c r="G1545" s="12">
        <v>894.0</v>
      </c>
      <c r="H1545" s="12">
        <v>378.0</v>
      </c>
      <c r="I1545" s="12">
        <v>0.0</v>
      </c>
      <c r="J1545" s="12">
        <v>0.0</v>
      </c>
      <c r="K1545" s="11" t="s">
        <v>21</v>
      </c>
      <c r="L1545" s="7">
        <v>40283.384351851855</v>
      </c>
      <c r="M1545" s="13" t="s">
        <v>94</v>
      </c>
      <c r="N1545" s="13" t="s">
        <v>95</v>
      </c>
      <c r="O1545" s="10" t="str">
        <f t="shared" si="376"/>
        <v>View</v>
      </c>
      <c r="P1545" s="14"/>
    </row>
    <row r="1546">
      <c r="A1546" s="7">
        <v>42434.515706018516</v>
      </c>
      <c r="B1546" s="8" t="str">
        <f>HYPERLINK("https://twitter.com/wes_wade","@wes_wade")</f>
        <v>@wes_wade</v>
      </c>
      <c r="C1546" s="9" t="s">
        <v>1623</v>
      </c>
      <c r="D1546" s="9" t="s">
        <v>516</v>
      </c>
      <c r="E1546" s="10" t="str">
        <f>HYPERLINK("https://twitter.com/wes_wade/status/706183147315191808","706183147315191808")</f>
        <v>706183147315191808</v>
      </c>
      <c r="F1546" s="11" t="s">
        <v>148</v>
      </c>
      <c r="G1546" s="12">
        <v>716.0</v>
      </c>
      <c r="H1546" s="12">
        <v>708.0</v>
      </c>
      <c r="I1546" s="12">
        <v>3.0</v>
      </c>
      <c r="J1546" s="12">
        <v>0.0</v>
      </c>
      <c r="K1546" s="11" t="s">
        <v>21</v>
      </c>
      <c r="L1546" s="7">
        <v>41190.861539351856</v>
      </c>
      <c r="M1546" s="13" t="s">
        <v>1624</v>
      </c>
      <c r="N1546" s="13" t="s">
        <v>1625</v>
      </c>
      <c r="O1546" s="10" t="str">
        <f>HYPERLINK("https://pbs.twimg.com/profile_images/667579062597066752/FcPS-MQX_normal.jpg","View")</f>
        <v>View</v>
      </c>
      <c r="P1546" s="14"/>
    </row>
    <row r="1547">
      <c r="A1547" s="7">
        <v>42434.51574074074</v>
      </c>
      <c r="B1547" s="8" t="str">
        <f t="shared" ref="B1547:B1549" si="377">HYPERLINK("https://twitter.com/pastpunditry","@pastpunditry")</f>
        <v>@pastpunditry</v>
      </c>
      <c r="C1547" s="9" t="s">
        <v>92</v>
      </c>
      <c r="D1547" s="9" t="s">
        <v>1626</v>
      </c>
      <c r="E1547" s="10" t="str">
        <f>HYPERLINK("https://twitter.com/pastpunditry/status/706183163136110592","706183163136110592")</f>
        <v>706183163136110592</v>
      </c>
      <c r="F1547" s="11" t="s">
        <v>77</v>
      </c>
      <c r="G1547" s="12">
        <v>894.0</v>
      </c>
      <c r="H1547" s="12">
        <v>378.0</v>
      </c>
      <c r="I1547" s="12">
        <v>1.0</v>
      </c>
      <c r="J1547" s="12">
        <v>0.0</v>
      </c>
      <c r="K1547" s="11" t="s">
        <v>21</v>
      </c>
      <c r="L1547" s="7">
        <v>40283.384351851855</v>
      </c>
      <c r="M1547" s="13" t="s">
        <v>94</v>
      </c>
      <c r="N1547" s="13" t="s">
        <v>95</v>
      </c>
      <c r="O1547" s="10" t="str">
        <f t="shared" ref="O1547:O1549" si="378">HYPERLINK("https://pbs.twimg.com/profile_images/704873222802636800/7aFEMOY5_normal.jpg","View")</f>
        <v>View</v>
      </c>
      <c r="P1547" s="14"/>
    </row>
    <row r="1548">
      <c r="A1548" s="7">
        <v>42434.515798611115</v>
      </c>
      <c r="B1548" s="8" t="str">
        <f t="shared" si="377"/>
        <v>@pastpunditry</v>
      </c>
      <c r="C1548" s="9" t="s">
        <v>92</v>
      </c>
      <c r="D1548" s="9" t="s">
        <v>1627</v>
      </c>
      <c r="E1548" s="10" t="str">
        <f>HYPERLINK("https://twitter.com/pastpunditry/status/706183181255503874","706183181255503874")</f>
        <v>706183181255503874</v>
      </c>
      <c r="F1548" s="11" t="s">
        <v>77</v>
      </c>
      <c r="G1548" s="12">
        <v>894.0</v>
      </c>
      <c r="H1548" s="12">
        <v>378.0</v>
      </c>
      <c r="I1548" s="12">
        <v>1.0</v>
      </c>
      <c r="J1548" s="12">
        <v>0.0</v>
      </c>
      <c r="K1548" s="11" t="s">
        <v>21</v>
      </c>
      <c r="L1548" s="7">
        <v>40283.384351851855</v>
      </c>
      <c r="M1548" s="13" t="s">
        <v>94</v>
      </c>
      <c r="N1548" s="13" t="s">
        <v>95</v>
      </c>
      <c r="O1548" s="10" t="str">
        <f t="shared" si="378"/>
        <v>View</v>
      </c>
      <c r="P1548" s="14"/>
    </row>
    <row r="1549">
      <c r="A1549" s="7">
        <v>42434.51799768519</v>
      </c>
      <c r="B1549" s="8" t="str">
        <f t="shared" si="377"/>
        <v>@pastpunditry</v>
      </c>
      <c r="C1549" s="9" t="s">
        <v>92</v>
      </c>
      <c r="D1549" s="9" t="s">
        <v>1628</v>
      </c>
      <c r="E1549" s="10" t="str">
        <f>HYPERLINK("https://twitter.com/pastpunditry/status/706183976952733696","706183976952733696")</f>
        <v>706183976952733696</v>
      </c>
      <c r="F1549" s="11" t="s">
        <v>77</v>
      </c>
      <c r="G1549" s="12">
        <v>894.0</v>
      </c>
      <c r="H1549" s="12">
        <v>378.0</v>
      </c>
      <c r="I1549" s="12">
        <v>0.0</v>
      </c>
      <c r="J1549" s="12">
        <v>0.0</v>
      </c>
      <c r="K1549" s="11" t="s">
        <v>21</v>
      </c>
      <c r="L1549" s="7">
        <v>40283.384351851855</v>
      </c>
      <c r="M1549" s="13" t="s">
        <v>94</v>
      </c>
      <c r="N1549" s="13" t="s">
        <v>95</v>
      </c>
      <c r="O1549" s="10" t="str">
        <f t="shared" si="378"/>
        <v>View</v>
      </c>
      <c r="P1549" s="14"/>
    </row>
    <row r="1550">
      <c r="A1550" s="7">
        <v>42434.51877314815</v>
      </c>
      <c r="B1550" s="8" t="str">
        <f>HYPERLINK("https://twitter.com/juliegpeterson","@juliegpeterson")</f>
        <v>@juliegpeterson</v>
      </c>
      <c r="C1550" s="9" t="s">
        <v>24</v>
      </c>
      <c r="D1550" s="9" t="s">
        <v>1629</v>
      </c>
      <c r="E1550" s="10" t="str">
        <f>HYPERLINK("https://twitter.com/juliegpeterson/status/706184260273774592","706184260273774592")</f>
        <v>706184260273774592</v>
      </c>
      <c r="F1550" s="11" t="s">
        <v>26</v>
      </c>
      <c r="G1550" s="12">
        <v>239.0</v>
      </c>
      <c r="H1550" s="12">
        <v>777.0</v>
      </c>
      <c r="I1550" s="12">
        <v>1.0</v>
      </c>
      <c r="J1550" s="12">
        <v>1.0</v>
      </c>
      <c r="K1550" s="11" t="s">
        <v>21</v>
      </c>
      <c r="L1550" s="7">
        <v>41208.65523148148</v>
      </c>
      <c r="M1550" s="13" t="s">
        <v>22</v>
      </c>
      <c r="N1550" s="13" t="s">
        <v>27</v>
      </c>
      <c r="O1550" s="10" t="str">
        <f>HYPERLINK("https://pbs.twimg.com/profile_images/609765839051452416/GNW0wSt0_normal.jpg","View")</f>
        <v>View</v>
      </c>
      <c r="P1550" s="14"/>
    </row>
    <row r="1551">
      <c r="A1551" s="7">
        <v>42434.51921296296</v>
      </c>
      <c r="B1551" s="8" t="str">
        <f t="shared" ref="B1551:B1555" si="379">HYPERLINK("https://twitter.com/pastpunditry","@pastpunditry")</f>
        <v>@pastpunditry</v>
      </c>
      <c r="C1551" s="9" t="s">
        <v>92</v>
      </c>
      <c r="D1551" s="9" t="s">
        <v>1630</v>
      </c>
      <c r="E1551" s="10" t="str">
        <f>HYPERLINK("https://twitter.com/pastpunditry/status/706184418063421441","706184418063421441")</f>
        <v>706184418063421441</v>
      </c>
      <c r="F1551" s="11" t="s">
        <v>77</v>
      </c>
      <c r="G1551" s="12">
        <v>894.0</v>
      </c>
      <c r="H1551" s="12">
        <v>378.0</v>
      </c>
      <c r="I1551" s="12">
        <v>0.0</v>
      </c>
      <c r="J1551" s="12">
        <v>1.0</v>
      </c>
      <c r="K1551" s="11" t="s">
        <v>21</v>
      </c>
      <c r="L1551" s="7">
        <v>40283.384351851855</v>
      </c>
      <c r="M1551" s="13" t="s">
        <v>94</v>
      </c>
      <c r="N1551" s="13" t="s">
        <v>95</v>
      </c>
      <c r="O1551" s="10" t="str">
        <f t="shared" ref="O1551:O1555" si="380">HYPERLINK("https://pbs.twimg.com/profile_images/704873222802636800/7aFEMOY5_normal.jpg","View")</f>
        <v>View</v>
      </c>
      <c r="P1551" s="14"/>
    </row>
    <row r="1552">
      <c r="A1552" s="7">
        <v>42434.51924768518</v>
      </c>
      <c r="B1552" s="8" t="str">
        <f t="shared" si="379"/>
        <v>@pastpunditry</v>
      </c>
      <c r="C1552" s="9" t="s">
        <v>92</v>
      </c>
      <c r="D1552" s="9" t="s">
        <v>1631</v>
      </c>
      <c r="E1552" s="10" t="str">
        <f>HYPERLINK("https://twitter.com/pastpunditry/status/706184430168236032","706184430168236032")</f>
        <v>706184430168236032</v>
      </c>
      <c r="F1552" s="11" t="s">
        <v>77</v>
      </c>
      <c r="G1552" s="12">
        <v>894.0</v>
      </c>
      <c r="H1552" s="12">
        <v>378.0</v>
      </c>
      <c r="I1552" s="12">
        <v>1.0</v>
      </c>
      <c r="J1552" s="12">
        <v>0.0</v>
      </c>
      <c r="K1552" s="11" t="s">
        <v>21</v>
      </c>
      <c r="L1552" s="7">
        <v>40283.384351851855</v>
      </c>
      <c r="M1552" s="13" t="s">
        <v>94</v>
      </c>
      <c r="N1552" s="13" t="s">
        <v>95</v>
      </c>
      <c r="O1552" s="10" t="str">
        <f t="shared" si="380"/>
        <v>View</v>
      </c>
      <c r="P1552" s="14"/>
    </row>
    <row r="1553">
      <c r="A1553" s="7">
        <v>42434.52023148148</v>
      </c>
      <c r="B1553" s="8" t="str">
        <f t="shared" si="379"/>
        <v>@pastpunditry</v>
      </c>
      <c r="C1553" s="9" t="s">
        <v>92</v>
      </c>
      <c r="D1553" s="9" t="s">
        <v>1632</v>
      </c>
      <c r="E1553" s="10" t="str">
        <f>HYPERLINK("https://twitter.com/pastpunditry/status/706184789720743936","706184789720743936")</f>
        <v>706184789720743936</v>
      </c>
      <c r="F1553" s="11" t="s">
        <v>77</v>
      </c>
      <c r="G1553" s="12">
        <v>894.0</v>
      </c>
      <c r="H1553" s="12">
        <v>378.0</v>
      </c>
      <c r="I1553" s="12">
        <v>3.0</v>
      </c>
      <c r="J1553" s="12">
        <v>6.0</v>
      </c>
      <c r="K1553" s="11" t="s">
        <v>21</v>
      </c>
      <c r="L1553" s="7">
        <v>40283.384351851855</v>
      </c>
      <c r="M1553" s="13" t="s">
        <v>94</v>
      </c>
      <c r="N1553" s="13" t="s">
        <v>95</v>
      </c>
      <c r="O1553" s="10" t="str">
        <f t="shared" si="380"/>
        <v>View</v>
      </c>
      <c r="P1553" s="14"/>
    </row>
    <row r="1554">
      <c r="A1554" s="7">
        <v>42434.521365740744</v>
      </c>
      <c r="B1554" s="8" t="str">
        <f t="shared" si="379"/>
        <v>@pastpunditry</v>
      </c>
      <c r="C1554" s="9" t="s">
        <v>92</v>
      </c>
      <c r="D1554" s="9" t="s">
        <v>1633</v>
      </c>
      <c r="E1554" s="10" t="str">
        <f>HYPERLINK("https://twitter.com/pastpunditry/status/706185200770949121","706185200770949121")</f>
        <v>706185200770949121</v>
      </c>
      <c r="F1554" s="11" t="s">
        <v>77</v>
      </c>
      <c r="G1554" s="12">
        <v>894.0</v>
      </c>
      <c r="H1554" s="12">
        <v>378.0</v>
      </c>
      <c r="I1554" s="12">
        <v>0.0</v>
      </c>
      <c r="J1554" s="12">
        <v>1.0</v>
      </c>
      <c r="K1554" s="11" t="s">
        <v>21</v>
      </c>
      <c r="L1554" s="7">
        <v>40283.384351851855</v>
      </c>
      <c r="M1554" s="13" t="s">
        <v>94</v>
      </c>
      <c r="N1554" s="13" t="s">
        <v>95</v>
      </c>
      <c r="O1554" s="10" t="str">
        <f t="shared" si="380"/>
        <v>View</v>
      </c>
      <c r="P1554" s="14"/>
    </row>
    <row r="1555">
      <c r="A1555" s="7">
        <v>42434.522141203706</v>
      </c>
      <c r="B1555" s="8" t="str">
        <f t="shared" si="379"/>
        <v>@pastpunditry</v>
      </c>
      <c r="C1555" s="9" t="s">
        <v>92</v>
      </c>
      <c r="D1555" s="9" t="s">
        <v>1634</v>
      </c>
      <c r="E1555" s="10" t="str">
        <f>HYPERLINK("https://twitter.com/pastpunditry/status/706185482028322816","706185482028322816")</f>
        <v>706185482028322816</v>
      </c>
      <c r="F1555" s="11" t="s">
        <v>77</v>
      </c>
      <c r="G1555" s="12">
        <v>894.0</v>
      </c>
      <c r="H1555" s="12">
        <v>378.0</v>
      </c>
      <c r="I1555" s="12">
        <v>2.0</v>
      </c>
      <c r="J1555" s="12">
        <v>3.0</v>
      </c>
      <c r="K1555" s="11" t="s">
        <v>21</v>
      </c>
      <c r="L1555" s="7">
        <v>40283.384351851855</v>
      </c>
      <c r="M1555" s="13" t="s">
        <v>94</v>
      </c>
      <c r="N1555" s="13" t="s">
        <v>95</v>
      </c>
      <c r="O1555" s="10" t="str">
        <f t="shared" si="380"/>
        <v>View</v>
      </c>
      <c r="P1555" s="14"/>
    </row>
    <row r="1556">
      <c r="A1556" s="7">
        <v>42434.52276620371</v>
      </c>
      <c r="B1556" s="8" t="str">
        <f>HYPERLINK("https://twitter.com/JulieThePH","@JulieThePH")</f>
        <v>@JulieThePH</v>
      </c>
      <c r="C1556" s="9" t="s">
        <v>211</v>
      </c>
      <c r="D1556" s="9" t="s">
        <v>1635</v>
      </c>
      <c r="E1556" s="10" t="str">
        <f>HYPERLINK("https://twitter.com/JulieThePH/status/706185706075455489","706185706075455489")</f>
        <v>706185706075455489</v>
      </c>
      <c r="F1556" s="11" t="s">
        <v>31</v>
      </c>
      <c r="G1556" s="12">
        <v>1238.0</v>
      </c>
      <c r="H1556" s="12">
        <v>1386.0</v>
      </c>
      <c r="I1556" s="12">
        <v>2.0</v>
      </c>
      <c r="J1556" s="12">
        <v>0.0</v>
      </c>
      <c r="K1556" s="11" t="s">
        <v>21</v>
      </c>
      <c r="L1556" s="7">
        <v>40718.66918981481</v>
      </c>
      <c r="M1556" s="13" t="s">
        <v>213</v>
      </c>
      <c r="N1556" s="13" t="s">
        <v>214</v>
      </c>
      <c r="O1556" s="10" t="str">
        <f>HYPERLINK("https://pbs.twimg.com/profile_images/596509974005686273/AqBblwMR_normal.jpg","View")</f>
        <v>View</v>
      </c>
      <c r="P1556" s="14"/>
    </row>
    <row r="1557">
      <c r="A1557" s="7">
        <v>42434.52278935185</v>
      </c>
      <c r="B1557" s="8" t="str">
        <f>HYPERLINK("https://twitter.com/pastpunditry","@pastpunditry")</f>
        <v>@pastpunditry</v>
      </c>
      <c r="C1557" s="9" t="s">
        <v>92</v>
      </c>
      <c r="D1557" s="9" t="s">
        <v>1636</v>
      </c>
      <c r="E1557" s="10" t="str">
        <f>HYPERLINK("https://twitter.com/pastpunditry/status/706185713507803136","706185713507803136")</f>
        <v>706185713507803136</v>
      </c>
      <c r="F1557" s="11" t="s">
        <v>77</v>
      </c>
      <c r="G1557" s="12">
        <v>894.0</v>
      </c>
      <c r="H1557" s="12">
        <v>378.0</v>
      </c>
      <c r="I1557" s="12">
        <v>1.0</v>
      </c>
      <c r="J1557" s="12">
        <v>0.0</v>
      </c>
      <c r="K1557" s="11" t="s">
        <v>21</v>
      </c>
      <c r="L1557" s="7">
        <v>40283.384351851855</v>
      </c>
      <c r="M1557" s="13" t="s">
        <v>94</v>
      </c>
      <c r="N1557" s="13" t="s">
        <v>95</v>
      </c>
      <c r="O1557" s="10" t="str">
        <f>HYPERLINK("https://pbs.twimg.com/profile_images/704873222802636800/7aFEMOY5_normal.jpg","View")</f>
        <v>View</v>
      </c>
      <c r="P1557" s="14"/>
    </row>
    <row r="1558">
      <c r="A1558" s="7">
        <v>42434.52291666667</v>
      </c>
      <c r="B1558" s="8" t="str">
        <f>HYPERLINK("https://twitter.com/juliegpeterson","@juliegpeterson")</f>
        <v>@juliegpeterson</v>
      </c>
      <c r="C1558" s="9" t="s">
        <v>24</v>
      </c>
      <c r="D1558" s="9" t="s">
        <v>1637</v>
      </c>
      <c r="E1558" s="10" t="str">
        <f>HYPERLINK("https://twitter.com/juliegpeterson/status/706185761033424896","706185761033424896")</f>
        <v>706185761033424896</v>
      </c>
      <c r="F1558" s="11" t="s">
        <v>26</v>
      </c>
      <c r="G1558" s="12">
        <v>239.0</v>
      </c>
      <c r="H1558" s="12">
        <v>777.0</v>
      </c>
      <c r="I1558" s="12">
        <v>3.0</v>
      </c>
      <c r="J1558" s="12">
        <v>5.0</v>
      </c>
      <c r="K1558" s="11" t="s">
        <v>21</v>
      </c>
      <c r="L1558" s="7">
        <v>41208.65523148148</v>
      </c>
      <c r="M1558" s="13" t="s">
        <v>22</v>
      </c>
      <c r="N1558" s="13" t="s">
        <v>27</v>
      </c>
      <c r="O1558" s="10" t="str">
        <f>HYPERLINK("https://pbs.twimg.com/profile_images/609765839051452416/GNW0wSt0_normal.jpg","View")</f>
        <v>View</v>
      </c>
      <c r="P1558" s="14"/>
    </row>
    <row r="1559">
      <c r="A1559" s="7">
        <v>42434.52296296296</v>
      </c>
      <c r="B1559" s="8" t="str">
        <f>HYPERLINK("https://twitter.com/rebekkahrubin","@rebekkahrubin")</f>
        <v>@rebekkahrubin</v>
      </c>
      <c r="C1559" s="9" t="s">
        <v>141</v>
      </c>
      <c r="D1559" s="9" t="s">
        <v>1638</v>
      </c>
      <c r="E1559" s="10" t="str">
        <f>HYPERLINK("https://twitter.com/rebekkahrubin/status/706185778334986242","706185778334986242")</f>
        <v>706185778334986242</v>
      </c>
      <c r="F1559" s="11" t="s">
        <v>31</v>
      </c>
      <c r="G1559" s="12">
        <v>493.0</v>
      </c>
      <c r="H1559" s="12">
        <v>1224.0</v>
      </c>
      <c r="I1559" s="12">
        <v>2.0</v>
      </c>
      <c r="J1559" s="12">
        <v>2.0</v>
      </c>
      <c r="K1559" s="11" t="s">
        <v>21</v>
      </c>
      <c r="L1559" s="7">
        <v>40411.521527777775</v>
      </c>
      <c r="M1559" s="13" t="s">
        <v>143</v>
      </c>
      <c r="N1559" s="13" t="s">
        <v>144</v>
      </c>
      <c r="O1559" s="10" t="str">
        <f>HYPERLINK("https://pbs.twimg.com/profile_images/700317732588408832/Ym_-neUi_normal.jpg","View")</f>
        <v>View</v>
      </c>
      <c r="P1559" s="14"/>
    </row>
    <row r="1560">
      <c r="A1560" s="7">
        <v>42434.52310185185</v>
      </c>
      <c r="B1560" s="8" t="str">
        <f>HYPERLINK("https://twitter.com/juliegpeterson","@juliegpeterson")</f>
        <v>@juliegpeterson</v>
      </c>
      <c r="C1560" s="9" t="s">
        <v>24</v>
      </c>
      <c r="D1560" s="9" t="s">
        <v>1639</v>
      </c>
      <c r="E1560" s="10" t="str">
        <f>HYPERLINK("https://twitter.com/juliegpeterson/status/706185830537240576","706185830537240576")</f>
        <v>706185830537240576</v>
      </c>
      <c r="F1560" s="11" t="s">
        <v>26</v>
      </c>
      <c r="G1560" s="12">
        <v>239.0</v>
      </c>
      <c r="H1560" s="12">
        <v>777.0</v>
      </c>
      <c r="I1560" s="12">
        <v>1.0</v>
      </c>
      <c r="J1560" s="12">
        <v>0.0</v>
      </c>
      <c r="K1560" s="11" t="s">
        <v>21</v>
      </c>
      <c r="L1560" s="7">
        <v>41208.65523148148</v>
      </c>
      <c r="M1560" s="13" t="s">
        <v>22</v>
      </c>
      <c r="N1560" s="13" t="s">
        <v>27</v>
      </c>
      <c r="O1560" s="10" t="str">
        <f>HYPERLINK("https://pbs.twimg.com/profile_images/609765839051452416/GNW0wSt0_normal.jpg","View")</f>
        <v>View</v>
      </c>
      <c r="P1560" s="14"/>
    </row>
    <row r="1561">
      <c r="A1561" s="7">
        <v>42434.523263888885</v>
      </c>
      <c r="B1561" s="8" t="str">
        <f>HYPERLINK("https://twitter.com/lizcovart","@lizcovart")</f>
        <v>@lizcovart</v>
      </c>
      <c r="C1561" s="9" t="s">
        <v>1640</v>
      </c>
      <c r="D1561" s="9" t="s">
        <v>1641</v>
      </c>
      <c r="E1561" s="10" t="str">
        <f>HYPERLINK("https://twitter.com/lizcovart/status/706185887328112640","706185887328112640")</f>
        <v>706185887328112640</v>
      </c>
      <c r="F1561" s="11" t="s">
        <v>1585</v>
      </c>
      <c r="G1561" s="12">
        <v>3951.0</v>
      </c>
      <c r="H1561" s="12">
        <v>800.0</v>
      </c>
      <c r="I1561" s="12">
        <v>1.0</v>
      </c>
      <c r="J1561" s="12">
        <v>0.0</v>
      </c>
      <c r="K1561" s="11" t="s">
        <v>21</v>
      </c>
      <c r="L1561" s="7">
        <v>40700.57754629629</v>
      </c>
      <c r="M1561" s="13" t="s">
        <v>1642</v>
      </c>
      <c r="N1561" s="13" t="s">
        <v>1643</v>
      </c>
      <c r="O1561" s="10" t="str">
        <f>HYPERLINK("https://pbs.twimg.com/profile_images/689446576201142272/MpeUISSP_normal.jpg","View")</f>
        <v>View</v>
      </c>
      <c r="P1561" s="14"/>
    </row>
    <row r="1562">
      <c r="A1562" s="7">
        <v>42434.52355324074</v>
      </c>
      <c r="B1562" s="8" t="str">
        <f>HYPERLINK("https://twitter.com/jaheppler","@jaheppler")</f>
        <v>@jaheppler</v>
      </c>
      <c r="C1562" s="9" t="s">
        <v>460</v>
      </c>
      <c r="D1562" s="9" t="s">
        <v>1614</v>
      </c>
      <c r="E1562" s="10" t="str">
        <f>HYPERLINK("https://twitter.com/jaheppler/status/706185993825579009","706185993825579009")</f>
        <v>706185993825579009</v>
      </c>
      <c r="F1562" s="11" t="s">
        <v>26</v>
      </c>
      <c r="G1562" s="12">
        <v>1936.0</v>
      </c>
      <c r="H1562" s="12">
        <v>480.0</v>
      </c>
      <c r="I1562" s="12">
        <v>3.0</v>
      </c>
      <c r="J1562" s="12">
        <v>0.0</v>
      </c>
      <c r="K1562" s="11" t="s">
        <v>21</v>
      </c>
      <c r="L1562" s="7">
        <v>39702.3484375</v>
      </c>
      <c r="M1562" s="13" t="s">
        <v>463</v>
      </c>
      <c r="N1562" s="13" t="s">
        <v>464</v>
      </c>
      <c r="O1562" s="10" t="str">
        <f>HYPERLINK("https://pbs.twimg.com/profile_images/436607137188290560/UM-U3wT1_normal.jpeg","View")</f>
        <v>View</v>
      </c>
      <c r="P1562" s="14"/>
    </row>
    <row r="1563">
      <c r="A1563" s="7">
        <v>42434.52380787037</v>
      </c>
      <c r="B1563" s="8" t="str">
        <f>HYPERLINK("https://twitter.com/j3foley","@j3foley")</f>
        <v>@j3foley</v>
      </c>
      <c r="C1563" s="9" t="s">
        <v>1492</v>
      </c>
      <c r="D1563" s="9" t="s">
        <v>1644</v>
      </c>
      <c r="E1563" s="10" t="str">
        <f>HYPERLINK("https://twitter.com/j3foley/status/706186084988940288","706186084988940288")</f>
        <v>706186084988940288</v>
      </c>
      <c r="F1563" s="11" t="s">
        <v>26</v>
      </c>
      <c r="G1563" s="12">
        <v>153.0</v>
      </c>
      <c r="H1563" s="12">
        <v>293.0</v>
      </c>
      <c r="I1563" s="12">
        <v>2.0</v>
      </c>
      <c r="J1563" s="12">
        <v>0.0</v>
      </c>
      <c r="K1563" s="11" t="s">
        <v>21</v>
      </c>
      <c r="L1563" s="7">
        <v>40267.63636574074</v>
      </c>
      <c r="M1563" s="13" t="s">
        <v>252</v>
      </c>
      <c r="N1563" s="13" t="s">
        <v>1494</v>
      </c>
      <c r="O1563" s="10" t="str">
        <f>HYPERLINK("https://pbs.twimg.com/profile_images/627686554861834241/UcDo7crN_normal.jpg","View")</f>
        <v>View</v>
      </c>
      <c r="P1563" s="14"/>
    </row>
    <row r="1564">
      <c r="A1564" s="7">
        <v>42434.52381944444</v>
      </c>
      <c r="B1564" s="8" t="str">
        <f>HYPERLINK("https://twitter.com/samueljredman","@samueljredman")</f>
        <v>@samueljredman</v>
      </c>
      <c r="C1564" s="9" t="s">
        <v>158</v>
      </c>
      <c r="D1564" s="9" t="s">
        <v>1645</v>
      </c>
      <c r="E1564" s="10" t="str">
        <f>HYPERLINK("https://twitter.com/samueljredman/status/706186086704402433","706186086704402433")</f>
        <v>706186086704402433</v>
      </c>
      <c r="F1564" s="11" t="s">
        <v>26</v>
      </c>
      <c r="G1564" s="12">
        <v>5624.0</v>
      </c>
      <c r="H1564" s="12">
        <v>5356.0</v>
      </c>
      <c r="I1564" s="12">
        <v>3.0</v>
      </c>
      <c r="J1564" s="12">
        <v>0.0</v>
      </c>
      <c r="K1564" s="11" t="s">
        <v>21</v>
      </c>
      <c r="L1564" s="7">
        <v>40584.98517361111</v>
      </c>
      <c r="M1564" s="13" t="s">
        <v>160</v>
      </c>
      <c r="N1564" s="13" t="s">
        <v>161</v>
      </c>
      <c r="O1564" s="10" t="str">
        <f>HYPERLINK("https://pbs.twimg.com/profile_images/548193870278688768/8Dq7gW3U_normal.png","View")</f>
        <v>View</v>
      </c>
      <c r="P1564" s="14"/>
    </row>
    <row r="1565">
      <c r="A1565" s="7">
        <v>42434.52395833333</v>
      </c>
      <c r="B1565" s="8" t="str">
        <f>HYPERLINK("https://twitter.com/cherylharned","@cherylharned")</f>
        <v>@cherylharned</v>
      </c>
      <c r="C1565" s="9" t="s">
        <v>1371</v>
      </c>
      <c r="D1565" s="9" t="s">
        <v>1646</v>
      </c>
      <c r="E1565" s="10" t="str">
        <f>HYPERLINK("https://twitter.com/cherylharned/status/706186138394951681","706186138394951681")</f>
        <v>706186138394951681</v>
      </c>
      <c r="F1565" s="11" t="s">
        <v>26</v>
      </c>
      <c r="G1565" s="12">
        <v>100.0</v>
      </c>
      <c r="H1565" s="12">
        <v>407.0</v>
      </c>
      <c r="I1565" s="12">
        <v>1.0</v>
      </c>
      <c r="J1565" s="12">
        <v>1.0</v>
      </c>
      <c r="K1565" s="11" t="s">
        <v>21</v>
      </c>
      <c r="L1565" s="7">
        <v>41373.45469907408</v>
      </c>
      <c r="M1565" s="15"/>
      <c r="N1565" s="13" t="s">
        <v>1373</v>
      </c>
      <c r="O1565" s="10" t="str">
        <f>HYPERLINK("https://pbs.twimg.com/profile_images/535167858204893184/DNz9ruRN_normal.jpeg","View")</f>
        <v>View</v>
      </c>
      <c r="P1565" s="14"/>
    </row>
    <row r="1566">
      <c r="A1566" s="7">
        <v>42434.5240625</v>
      </c>
      <c r="B1566" s="8" t="str">
        <f>HYPERLINK("https://twitter.com/jaheppler","@jaheppler")</f>
        <v>@jaheppler</v>
      </c>
      <c r="C1566" s="9" t="s">
        <v>460</v>
      </c>
      <c r="D1566" s="9" t="s">
        <v>1647</v>
      </c>
      <c r="E1566" s="10" t="str">
        <f>HYPERLINK("https://twitter.com/jaheppler/status/706186177120829440","706186177120829440")</f>
        <v>706186177120829440</v>
      </c>
      <c r="F1566" s="11" t="s">
        <v>26</v>
      </c>
      <c r="G1566" s="12">
        <v>1936.0</v>
      </c>
      <c r="H1566" s="12">
        <v>480.0</v>
      </c>
      <c r="I1566" s="12">
        <v>0.0</v>
      </c>
      <c r="J1566" s="12">
        <v>5.0</v>
      </c>
      <c r="K1566" s="11" t="s">
        <v>21</v>
      </c>
      <c r="L1566" s="7">
        <v>39702.3484375</v>
      </c>
      <c r="M1566" s="13" t="s">
        <v>463</v>
      </c>
      <c r="N1566" s="13" t="s">
        <v>464</v>
      </c>
      <c r="O1566" s="10" t="str">
        <f>HYPERLINK("https://pbs.twimg.com/profile_images/436607137188290560/UM-U3wT1_normal.jpeg","View")</f>
        <v>View</v>
      </c>
      <c r="P1566" s="14"/>
    </row>
    <row r="1567">
      <c r="A1567" s="7">
        <v>42434.524097222224</v>
      </c>
      <c r="B1567" s="8" t="str">
        <f t="shared" ref="B1567:B1568" si="381">HYPERLINK("https://twitter.com/samueljredman","@samueljredman")</f>
        <v>@samueljredman</v>
      </c>
      <c r="C1567" s="9" t="s">
        <v>158</v>
      </c>
      <c r="D1567" s="9" t="s">
        <v>1648</v>
      </c>
      <c r="E1567" s="10" t="str">
        <f>HYPERLINK("https://twitter.com/samueljredman/status/706186189288710144","706186189288710144")</f>
        <v>706186189288710144</v>
      </c>
      <c r="F1567" s="11" t="s">
        <v>26</v>
      </c>
      <c r="G1567" s="12">
        <v>5624.0</v>
      </c>
      <c r="H1567" s="12">
        <v>5356.0</v>
      </c>
      <c r="I1567" s="12">
        <v>3.0</v>
      </c>
      <c r="J1567" s="12">
        <v>0.0</v>
      </c>
      <c r="K1567" s="11" t="s">
        <v>21</v>
      </c>
      <c r="L1567" s="7">
        <v>40584.98517361111</v>
      </c>
      <c r="M1567" s="13" t="s">
        <v>160</v>
      </c>
      <c r="N1567" s="13" t="s">
        <v>161</v>
      </c>
      <c r="O1567" s="10" t="str">
        <f t="shared" ref="O1567:O1568" si="382">HYPERLINK("https://pbs.twimg.com/profile_images/548193870278688768/8Dq7gW3U_normal.png","View")</f>
        <v>View</v>
      </c>
      <c r="P1567" s="14"/>
    </row>
    <row r="1568">
      <c r="A1568" s="7">
        <v>42434.524097222224</v>
      </c>
      <c r="B1568" s="8" t="str">
        <f t="shared" si="381"/>
        <v>@samueljredman</v>
      </c>
      <c r="C1568" s="9" t="s">
        <v>158</v>
      </c>
      <c r="D1568" s="9" t="s">
        <v>1635</v>
      </c>
      <c r="E1568" s="10" t="str">
        <f>HYPERLINK("https://twitter.com/samueljredman/status/706186190429540353","706186190429540353")</f>
        <v>706186190429540353</v>
      </c>
      <c r="F1568" s="11" t="s">
        <v>26</v>
      </c>
      <c r="G1568" s="12">
        <v>5624.0</v>
      </c>
      <c r="H1568" s="12">
        <v>5356.0</v>
      </c>
      <c r="I1568" s="12">
        <v>2.0</v>
      </c>
      <c r="J1568" s="12">
        <v>0.0</v>
      </c>
      <c r="K1568" s="11" t="s">
        <v>21</v>
      </c>
      <c r="L1568" s="7">
        <v>40584.98517361111</v>
      </c>
      <c r="M1568" s="13" t="s">
        <v>160</v>
      </c>
      <c r="N1568" s="13" t="s">
        <v>161</v>
      </c>
      <c r="O1568" s="10" t="str">
        <f t="shared" si="382"/>
        <v>View</v>
      </c>
      <c r="P1568" s="14"/>
    </row>
    <row r="1569">
      <c r="A1569" s="7">
        <v>42434.524189814816</v>
      </c>
      <c r="B1569" s="8" t="str">
        <f>HYPERLINK("https://twitter.com/pastpunditry","@pastpunditry")</f>
        <v>@pastpunditry</v>
      </c>
      <c r="C1569" s="9" t="s">
        <v>92</v>
      </c>
      <c r="D1569" s="9" t="s">
        <v>1649</v>
      </c>
      <c r="E1569" s="10" t="str">
        <f>HYPERLINK("https://twitter.com/pastpunditry/status/706186224860598273","706186224860598273")</f>
        <v>706186224860598273</v>
      </c>
      <c r="F1569" s="11" t="s">
        <v>77</v>
      </c>
      <c r="G1569" s="12">
        <v>894.0</v>
      </c>
      <c r="H1569" s="12">
        <v>378.0</v>
      </c>
      <c r="I1569" s="12">
        <v>0.0</v>
      </c>
      <c r="J1569" s="12">
        <v>2.0</v>
      </c>
      <c r="K1569" s="11" t="s">
        <v>21</v>
      </c>
      <c r="L1569" s="7">
        <v>40283.384351851855</v>
      </c>
      <c r="M1569" s="13" t="s">
        <v>94</v>
      </c>
      <c r="N1569" s="13" t="s">
        <v>95</v>
      </c>
      <c r="O1569" s="10" t="str">
        <f>HYPERLINK("https://pbs.twimg.com/profile_images/704873222802636800/7aFEMOY5_normal.jpg","View")</f>
        <v>View</v>
      </c>
      <c r="P1569" s="14"/>
    </row>
    <row r="1570">
      <c r="A1570" s="7">
        <v>42434.52429398148</v>
      </c>
      <c r="B1570" s="8" t="str">
        <f>HYPERLINK("https://twitter.com/erfagen","@erfagen")</f>
        <v>@erfagen</v>
      </c>
      <c r="C1570" s="9" t="s">
        <v>124</v>
      </c>
      <c r="D1570" s="9" t="s">
        <v>1616</v>
      </c>
      <c r="E1570" s="10" t="str">
        <f>HYPERLINK("https://twitter.com/erfagen/status/706186260772159489","706186260772159489")</f>
        <v>706186260772159489</v>
      </c>
      <c r="F1570" s="11" t="s">
        <v>31</v>
      </c>
      <c r="G1570" s="12">
        <v>1059.0</v>
      </c>
      <c r="H1570" s="12">
        <v>2056.0</v>
      </c>
      <c r="I1570" s="12">
        <v>2.0</v>
      </c>
      <c r="J1570" s="12">
        <v>0.0</v>
      </c>
      <c r="K1570" s="11" t="s">
        <v>21</v>
      </c>
      <c r="L1570" s="7">
        <v>40524.93576388889</v>
      </c>
      <c r="M1570" s="13" t="s">
        <v>125</v>
      </c>
      <c r="N1570" s="13" t="s">
        <v>126</v>
      </c>
      <c r="O1570" s="10" t="str">
        <f>HYPERLINK("https://pbs.twimg.com/profile_images/638086945722249217/mid_S_BQ_normal.jpg","View")</f>
        <v>View</v>
      </c>
      <c r="P1570" s="14"/>
    </row>
    <row r="1571">
      <c r="A1571" s="7">
        <v>42434.52469907407</v>
      </c>
      <c r="B1571" s="8" t="str">
        <f>HYPERLINK("https://twitter.com/Ed_Baptist","@Ed_Baptist")</f>
        <v>@Ed_Baptist</v>
      </c>
      <c r="C1571" s="9" t="s">
        <v>1650</v>
      </c>
      <c r="D1571" s="9" t="s">
        <v>1651</v>
      </c>
      <c r="E1571" s="10" t="str">
        <f>HYPERLINK("https://twitter.com/Ed_Baptist/status/706186409095380992","706186409095380992")</f>
        <v>706186409095380992</v>
      </c>
      <c r="F1571" s="11" t="s">
        <v>102</v>
      </c>
      <c r="G1571" s="12">
        <v>3444.0</v>
      </c>
      <c r="H1571" s="12">
        <v>482.0</v>
      </c>
      <c r="I1571" s="12">
        <v>0.0</v>
      </c>
      <c r="J1571" s="12">
        <v>0.0</v>
      </c>
      <c r="K1571" s="11" t="s">
        <v>21</v>
      </c>
      <c r="L1571" s="7">
        <v>41605.645370370374</v>
      </c>
      <c r="M1571" s="13" t="s">
        <v>1652</v>
      </c>
      <c r="N1571" s="13" t="s">
        <v>1653</v>
      </c>
      <c r="O1571" s="10" t="str">
        <f>HYPERLINK("https://pbs.twimg.com/profile_images/378800000799235636/a3268e47e44505610f5045433415a3ca_normal.jpeg","View")</f>
        <v>View</v>
      </c>
      <c r="P1571" s="14"/>
    </row>
    <row r="1572">
      <c r="A1572" s="7">
        <v>42434.525</v>
      </c>
      <c r="B1572" s="8" t="str">
        <f>HYPERLINK("https://twitter.com/jnthnwwlsn","@jnthnwwlsn")</f>
        <v>@jnthnwwlsn</v>
      </c>
      <c r="C1572" s="9" t="s">
        <v>207</v>
      </c>
      <c r="D1572" s="9" t="s">
        <v>1645</v>
      </c>
      <c r="E1572" s="10" t="str">
        <f>HYPERLINK("https://twitter.com/jnthnwwlsn/status/706186515882311680","706186515882311680")</f>
        <v>706186515882311680</v>
      </c>
      <c r="F1572" s="11" t="s">
        <v>26</v>
      </c>
      <c r="G1572" s="12">
        <v>1773.0</v>
      </c>
      <c r="H1572" s="12">
        <v>2055.0</v>
      </c>
      <c r="I1572" s="12">
        <v>3.0</v>
      </c>
      <c r="J1572" s="12">
        <v>0.0</v>
      </c>
      <c r="K1572" s="11" t="s">
        <v>21</v>
      </c>
      <c r="L1572" s="7">
        <v>40637.532905092594</v>
      </c>
      <c r="M1572" s="13" t="s">
        <v>208</v>
      </c>
      <c r="N1572" s="13" t="s">
        <v>209</v>
      </c>
      <c r="O1572" s="10" t="str">
        <f>HYPERLINK("https://pbs.twimg.com/profile_images/660922102632026113/oOp4nhy__normal.jpg","View")</f>
        <v>View</v>
      </c>
      <c r="P1572" s="14"/>
    </row>
    <row r="1573">
      <c r="A1573" s="7">
        <v>42434.52502314815</v>
      </c>
      <c r="B1573" s="8" t="str">
        <f>HYPERLINK("https://twitter.com/jaheppler","@jaheppler")</f>
        <v>@jaheppler</v>
      </c>
      <c r="C1573" s="9" t="s">
        <v>460</v>
      </c>
      <c r="D1573" s="9" t="s">
        <v>1645</v>
      </c>
      <c r="E1573" s="10" t="str">
        <f>HYPERLINK("https://twitter.com/jaheppler/status/706186523390058497","706186523390058497")</f>
        <v>706186523390058497</v>
      </c>
      <c r="F1573" s="11" t="s">
        <v>462</v>
      </c>
      <c r="G1573" s="12">
        <v>1936.0</v>
      </c>
      <c r="H1573" s="12">
        <v>480.0</v>
      </c>
      <c r="I1573" s="12">
        <v>3.0</v>
      </c>
      <c r="J1573" s="12">
        <v>0.0</v>
      </c>
      <c r="K1573" s="11" t="s">
        <v>21</v>
      </c>
      <c r="L1573" s="7">
        <v>39702.3484375</v>
      </c>
      <c r="M1573" s="13" t="s">
        <v>463</v>
      </c>
      <c r="N1573" s="13" t="s">
        <v>464</v>
      </c>
      <c r="O1573" s="10" t="str">
        <f>HYPERLINK("https://pbs.twimg.com/profile_images/436607137188290560/UM-U3wT1_normal.jpeg","View")</f>
        <v>View</v>
      </c>
      <c r="P1573" s="14"/>
    </row>
    <row r="1574">
      <c r="A1574" s="7">
        <v>42434.52538194445</v>
      </c>
      <c r="B1574" s="8" t="str">
        <f>HYPERLINK("https://twitter.com/samueljredman","@samueljredman")</f>
        <v>@samueljredman</v>
      </c>
      <c r="C1574" s="9" t="s">
        <v>158</v>
      </c>
      <c r="D1574" s="9" t="s">
        <v>1654</v>
      </c>
      <c r="E1574" s="10" t="str">
        <f>HYPERLINK("https://twitter.com/samueljredman/status/706186653644267520","706186653644267520")</f>
        <v>706186653644267520</v>
      </c>
      <c r="F1574" s="11" t="s">
        <v>26</v>
      </c>
      <c r="G1574" s="12">
        <v>5624.0</v>
      </c>
      <c r="H1574" s="12">
        <v>5356.0</v>
      </c>
      <c r="I1574" s="12">
        <v>1.0</v>
      </c>
      <c r="J1574" s="12">
        <v>0.0</v>
      </c>
      <c r="K1574" s="11" t="s">
        <v>21</v>
      </c>
      <c r="L1574" s="7">
        <v>40584.98517361111</v>
      </c>
      <c r="M1574" s="13" t="s">
        <v>160</v>
      </c>
      <c r="N1574" s="13" t="s">
        <v>161</v>
      </c>
      <c r="O1574" s="10" t="str">
        <f>HYPERLINK("https://pbs.twimg.com/profile_images/548193870278688768/8Dq7gW3U_normal.png","View")</f>
        <v>View</v>
      </c>
      <c r="P1574" s="14"/>
    </row>
    <row r="1575">
      <c r="A1575" s="7">
        <v>42434.525613425925</v>
      </c>
      <c r="B1575" s="8" t="str">
        <f>HYPERLINK("https://twitter.com/pastpunditry","@pastpunditry")</f>
        <v>@pastpunditry</v>
      </c>
      <c r="C1575" s="9" t="s">
        <v>92</v>
      </c>
      <c r="D1575" s="9" t="s">
        <v>1655</v>
      </c>
      <c r="E1575" s="10" t="str">
        <f>HYPERLINK("https://twitter.com/pastpunditry/status/706186739942088705","706186739942088705")</f>
        <v>706186739942088705</v>
      </c>
      <c r="F1575" s="11" t="s">
        <v>77</v>
      </c>
      <c r="G1575" s="12">
        <v>894.0</v>
      </c>
      <c r="H1575" s="12">
        <v>378.0</v>
      </c>
      <c r="I1575" s="12">
        <v>3.0</v>
      </c>
      <c r="J1575" s="12">
        <v>2.0</v>
      </c>
      <c r="K1575" s="11" t="s">
        <v>21</v>
      </c>
      <c r="L1575" s="7">
        <v>40283.384351851855</v>
      </c>
      <c r="M1575" s="13" t="s">
        <v>94</v>
      </c>
      <c r="N1575" s="13" t="s">
        <v>95</v>
      </c>
      <c r="O1575" s="10" t="str">
        <f>HYPERLINK("https://pbs.twimg.com/profile_images/704873222802636800/7aFEMOY5_normal.jpg","View")</f>
        <v>View</v>
      </c>
      <c r="P1575" s="14"/>
    </row>
    <row r="1576">
      <c r="A1576" s="7">
        <v>42434.525671296295</v>
      </c>
      <c r="B1576" s="8" t="str">
        <f>HYPERLINK("https://twitter.com/abreimaier","@abreimaier")</f>
        <v>@abreimaier</v>
      </c>
      <c r="C1576" s="9" t="s">
        <v>1219</v>
      </c>
      <c r="D1576" s="9" t="s">
        <v>1656</v>
      </c>
      <c r="E1576" s="10" t="str">
        <f>HYPERLINK("https://twitter.com/abreimaier/status/706186761341411328","706186761341411328")</f>
        <v>706186761341411328</v>
      </c>
      <c r="F1576" s="11" t="s">
        <v>26</v>
      </c>
      <c r="G1576" s="12">
        <v>113.0</v>
      </c>
      <c r="H1576" s="12">
        <v>226.0</v>
      </c>
      <c r="I1576" s="12">
        <v>2.0</v>
      </c>
      <c r="J1576" s="12">
        <v>1.0</v>
      </c>
      <c r="K1576" s="11" t="s">
        <v>21</v>
      </c>
      <c r="L1576" s="7">
        <v>41342.326261574075</v>
      </c>
      <c r="M1576" s="13" t="s">
        <v>200</v>
      </c>
      <c r="N1576" s="13" t="s">
        <v>1221</v>
      </c>
      <c r="O1576" s="10" t="str">
        <f>HYPERLINK("https://pbs.twimg.com/profile_images/3357790300/e80f72cc154c4bfa4bc8dc718fbc525b_normal.jpeg","View")</f>
        <v>View</v>
      </c>
      <c r="P1576" s="14"/>
    </row>
    <row r="1577">
      <c r="A1577" s="7">
        <v>42434.525868055556</v>
      </c>
      <c r="B1577" s="8" t="str">
        <f>HYPERLINK("https://twitter.com/pastpunditry","@pastpunditry")</f>
        <v>@pastpunditry</v>
      </c>
      <c r="C1577" s="9" t="s">
        <v>92</v>
      </c>
      <c r="D1577" s="9" t="s">
        <v>1657</v>
      </c>
      <c r="E1577" s="10" t="str">
        <f>HYPERLINK("https://twitter.com/pastpunditry/status/706186830983647236","706186830983647236")</f>
        <v>706186830983647236</v>
      </c>
      <c r="F1577" s="11" t="s">
        <v>77</v>
      </c>
      <c r="G1577" s="12">
        <v>894.0</v>
      </c>
      <c r="H1577" s="12">
        <v>378.0</v>
      </c>
      <c r="I1577" s="12">
        <v>2.0</v>
      </c>
      <c r="J1577" s="12">
        <v>0.0</v>
      </c>
      <c r="K1577" s="11" t="s">
        <v>21</v>
      </c>
      <c r="L1577" s="7">
        <v>40283.384351851855</v>
      </c>
      <c r="M1577" s="13" t="s">
        <v>94</v>
      </c>
      <c r="N1577" s="13" t="s">
        <v>95</v>
      </c>
      <c r="O1577" s="10" t="str">
        <f>HYPERLINK("https://pbs.twimg.com/profile_images/704873222802636800/7aFEMOY5_normal.jpg","View")</f>
        <v>View</v>
      </c>
      <c r="P1577" s="14"/>
    </row>
    <row r="1578">
      <c r="A1578" s="7">
        <v>42434.52591435185</v>
      </c>
      <c r="B1578" s="8" t="str">
        <f>HYPERLINK("https://twitter.com/alli_rico","@alli_rico")</f>
        <v>@alli_rico</v>
      </c>
      <c r="C1578" s="9" t="s">
        <v>1658</v>
      </c>
      <c r="D1578" s="9" t="s">
        <v>1648</v>
      </c>
      <c r="E1578" s="10" t="str">
        <f>HYPERLINK("https://twitter.com/alli_rico/status/706186849832800257","706186849832800257")</f>
        <v>706186849832800257</v>
      </c>
      <c r="F1578" s="11" t="s">
        <v>462</v>
      </c>
      <c r="G1578" s="12">
        <v>897.0</v>
      </c>
      <c r="H1578" s="12">
        <v>699.0</v>
      </c>
      <c r="I1578" s="12">
        <v>3.0</v>
      </c>
      <c r="J1578" s="12">
        <v>0.0</v>
      </c>
      <c r="K1578" s="11" t="s">
        <v>21</v>
      </c>
      <c r="L1578" s="7">
        <v>39940.37726851852</v>
      </c>
      <c r="M1578" s="13" t="s">
        <v>197</v>
      </c>
      <c r="N1578" s="13" t="s">
        <v>1659</v>
      </c>
      <c r="O1578" s="10" t="str">
        <f>HYPERLINK("https://pbs.twimg.com/profile_images/678819743827017728/Mghm91Lu_normal.jpg","View")</f>
        <v>View</v>
      </c>
      <c r="P1578" s="14"/>
    </row>
    <row r="1579">
      <c r="A1579" s="7">
        <v>42434.52615740741</v>
      </c>
      <c r="B1579" s="8" t="str">
        <f>HYPERLINK("https://twitter.com/j3foley","@j3foley")</f>
        <v>@j3foley</v>
      </c>
      <c r="C1579" s="9" t="s">
        <v>1492</v>
      </c>
      <c r="D1579" s="9" t="s">
        <v>1660</v>
      </c>
      <c r="E1579" s="10" t="str">
        <f>HYPERLINK("https://twitter.com/j3foley/status/706186936684310528","706186936684310528")</f>
        <v>706186936684310528</v>
      </c>
      <c r="F1579" s="11" t="s">
        <v>26</v>
      </c>
      <c r="G1579" s="12">
        <v>153.0</v>
      </c>
      <c r="H1579" s="12">
        <v>293.0</v>
      </c>
      <c r="I1579" s="12">
        <v>3.0</v>
      </c>
      <c r="J1579" s="12">
        <v>0.0</v>
      </c>
      <c r="K1579" s="11" t="s">
        <v>21</v>
      </c>
      <c r="L1579" s="7">
        <v>40267.63636574074</v>
      </c>
      <c r="M1579" s="13" t="s">
        <v>252</v>
      </c>
      <c r="N1579" s="13" t="s">
        <v>1494</v>
      </c>
      <c r="O1579" s="10" t="str">
        <f>HYPERLINK("https://pbs.twimg.com/profile_images/627686554861834241/UcDo7crN_normal.jpg","View")</f>
        <v>View</v>
      </c>
      <c r="P1579" s="14"/>
    </row>
    <row r="1580">
      <c r="A1580" s="7">
        <v>42434.52638888889</v>
      </c>
      <c r="B1580" s="8" t="str">
        <f t="shared" ref="B1580:B1581" si="383">HYPERLINK("https://twitter.com/erfagen","@erfagen")</f>
        <v>@erfagen</v>
      </c>
      <c r="C1580" s="9" t="s">
        <v>124</v>
      </c>
      <c r="D1580" s="9" t="s">
        <v>1661</v>
      </c>
      <c r="E1580" s="10" t="str">
        <f>HYPERLINK("https://twitter.com/erfagen/status/706187018104082434","706187018104082434")</f>
        <v>706187018104082434</v>
      </c>
      <c r="F1580" s="11" t="s">
        <v>31</v>
      </c>
      <c r="G1580" s="12">
        <v>1059.0</v>
      </c>
      <c r="H1580" s="12">
        <v>2056.0</v>
      </c>
      <c r="I1580" s="12">
        <v>0.0</v>
      </c>
      <c r="J1580" s="12">
        <v>0.0</v>
      </c>
      <c r="K1580" s="11" t="s">
        <v>21</v>
      </c>
      <c r="L1580" s="7">
        <v>40524.93576388889</v>
      </c>
      <c r="M1580" s="13" t="s">
        <v>125</v>
      </c>
      <c r="N1580" s="13" t="s">
        <v>126</v>
      </c>
      <c r="O1580" s="10" t="str">
        <f t="shared" ref="O1580:O1581" si="384">HYPERLINK("https://pbs.twimg.com/profile_images/638086945722249217/mid_S_BQ_normal.jpg","View")</f>
        <v>View</v>
      </c>
      <c r="P1580" s="14"/>
    </row>
    <row r="1581">
      <c r="A1581" s="7">
        <v>42434.52652777778</v>
      </c>
      <c r="B1581" s="8" t="str">
        <f t="shared" si="383"/>
        <v>@erfagen</v>
      </c>
      <c r="C1581" s="9" t="s">
        <v>124</v>
      </c>
      <c r="D1581" s="9" t="s">
        <v>1657</v>
      </c>
      <c r="E1581" s="10" t="str">
        <f>HYPERLINK("https://twitter.com/erfagen/status/706187071338192897","706187071338192897")</f>
        <v>706187071338192897</v>
      </c>
      <c r="F1581" s="11" t="s">
        <v>31</v>
      </c>
      <c r="G1581" s="12">
        <v>1059.0</v>
      </c>
      <c r="H1581" s="12">
        <v>2056.0</v>
      </c>
      <c r="I1581" s="12">
        <v>2.0</v>
      </c>
      <c r="J1581" s="12">
        <v>0.0</v>
      </c>
      <c r="K1581" s="11" t="s">
        <v>21</v>
      </c>
      <c r="L1581" s="7">
        <v>40524.93576388889</v>
      </c>
      <c r="M1581" s="13" t="s">
        <v>125</v>
      </c>
      <c r="N1581" s="13" t="s">
        <v>126</v>
      </c>
      <c r="O1581" s="10" t="str">
        <f t="shared" si="384"/>
        <v>View</v>
      </c>
      <c r="P1581" s="14"/>
    </row>
    <row r="1582">
      <c r="A1582" s="7">
        <v>42434.52684027777</v>
      </c>
      <c r="B1582" s="8" t="str">
        <f>HYPERLINK("https://twitter.com/juliegpeterson","@juliegpeterson")</f>
        <v>@juliegpeterson</v>
      </c>
      <c r="C1582" s="9" t="s">
        <v>24</v>
      </c>
      <c r="D1582" s="9" t="s">
        <v>1660</v>
      </c>
      <c r="E1582" s="10" t="str">
        <f>HYPERLINK("https://twitter.com/juliegpeterson/status/706187184638971906","706187184638971906")</f>
        <v>706187184638971906</v>
      </c>
      <c r="F1582" s="11" t="s">
        <v>26</v>
      </c>
      <c r="G1582" s="12">
        <v>239.0</v>
      </c>
      <c r="H1582" s="12">
        <v>777.0</v>
      </c>
      <c r="I1582" s="12">
        <v>3.0</v>
      </c>
      <c r="J1582" s="12">
        <v>0.0</v>
      </c>
      <c r="K1582" s="11" t="s">
        <v>21</v>
      </c>
      <c r="L1582" s="7">
        <v>41208.65523148148</v>
      </c>
      <c r="M1582" s="13" t="s">
        <v>22</v>
      </c>
      <c r="N1582" s="13" t="s">
        <v>27</v>
      </c>
      <c r="O1582" s="10" t="str">
        <f>HYPERLINK("https://pbs.twimg.com/profile_images/609765839051452416/GNW0wSt0_normal.jpg","View")</f>
        <v>View</v>
      </c>
      <c r="P1582" s="14"/>
    </row>
    <row r="1583">
      <c r="A1583" s="7">
        <v>42434.52731481481</v>
      </c>
      <c r="B1583" s="8" t="str">
        <f>HYPERLINK("https://twitter.com/abreimaier","@abreimaier")</f>
        <v>@abreimaier</v>
      </c>
      <c r="C1583" s="9" t="s">
        <v>1219</v>
      </c>
      <c r="D1583" s="9" t="s">
        <v>1660</v>
      </c>
      <c r="E1583" s="10" t="str">
        <f>HYPERLINK("https://twitter.com/abreimaier/status/706187354978045952","706187354978045952")</f>
        <v>706187354978045952</v>
      </c>
      <c r="F1583" s="11" t="s">
        <v>26</v>
      </c>
      <c r="G1583" s="12">
        <v>113.0</v>
      </c>
      <c r="H1583" s="12">
        <v>226.0</v>
      </c>
      <c r="I1583" s="12">
        <v>3.0</v>
      </c>
      <c r="J1583" s="12">
        <v>0.0</v>
      </c>
      <c r="K1583" s="11" t="s">
        <v>21</v>
      </c>
      <c r="L1583" s="7">
        <v>41342.326261574075</v>
      </c>
      <c r="M1583" s="13" t="s">
        <v>200</v>
      </c>
      <c r="N1583" s="13" t="s">
        <v>1221</v>
      </c>
      <c r="O1583" s="10" t="str">
        <f>HYPERLINK("https://pbs.twimg.com/profile_images/3357790300/e80f72cc154c4bfa4bc8dc718fbc525b_normal.jpeg","View")</f>
        <v>View</v>
      </c>
      <c r="P1583" s="14"/>
    </row>
    <row r="1584">
      <c r="A1584" s="7">
        <v>42434.52738425926</v>
      </c>
      <c r="B1584" s="8" t="str">
        <f>HYPERLINK("https://twitter.com/pastpunditry","@pastpunditry")</f>
        <v>@pastpunditry</v>
      </c>
      <c r="C1584" s="9" t="s">
        <v>92</v>
      </c>
      <c r="D1584" s="9" t="s">
        <v>1662</v>
      </c>
      <c r="E1584" s="10" t="str">
        <f>HYPERLINK("https://twitter.com/pastpunditry/status/706187380160643072","706187380160643072")</f>
        <v>706187380160643072</v>
      </c>
      <c r="F1584" s="11" t="s">
        <v>77</v>
      </c>
      <c r="G1584" s="12">
        <v>894.0</v>
      </c>
      <c r="H1584" s="12">
        <v>378.0</v>
      </c>
      <c r="I1584" s="12">
        <v>1.0</v>
      </c>
      <c r="J1584" s="12">
        <v>2.0</v>
      </c>
      <c r="K1584" s="11" t="s">
        <v>21</v>
      </c>
      <c r="L1584" s="7">
        <v>40283.384351851855</v>
      </c>
      <c r="M1584" s="13" t="s">
        <v>94</v>
      </c>
      <c r="N1584" s="13" t="s">
        <v>95</v>
      </c>
      <c r="O1584" s="10" t="str">
        <f>HYPERLINK("https://pbs.twimg.com/profile_images/704873222802636800/7aFEMOY5_normal.jpg","View")</f>
        <v>View</v>
      </c>
      <c r="P1584" s="14"/>
    </row>
    <row r="1585">
      <c r="A1585" s="7">
        <v>42434.52752314815</v>
      </c>
      <c r="B1585" s="8" t="str">
        <f>HYPERLINK("https://twitter.com/JulieThePH","@JulieThePH")</f>
        <v>@JulieThePH</v>
      </c>
      <c r="C1585" s="9" t="s">
        <v>211</v>
      </c>
      <c r="D1585" s="9" t="s">
        <v>1663</v>
      </c>
      <c r="E1585" s="10" t="str">
        <f>HYPERLINK("https://twitter.com/JulieThePH/status/706187428801998848","706187428801998848")</f>
        <v>706187428801998848</v>
      </c>
      <c r="F1585" s="11" t="s">
        <v>31</v>
      </c>
      <c r="G1585" s="12">
        <v>1238.0</v>
      </c>
      <c r="H1585" s="12">
        <v>1386.0</v>
      </c>
      <c r="I1585" s="12">
        <v>1.0</v>
      </c>
      <c r="J1585" s="12">
        <v>4.0</v>
      </c>
      <c r="K1585" s="11" t="s">
        <v>21</v>
      </c>
      <c r="L1585" s="7">
        <v>40718.66918981481</v>
      </c>
      <c r="M1585" s="13" t="s">
        <v>213</v>
      </c>
      <c r="N1585" s="13" t="s">
        <v>214</v>
      </c>
      <c r="O1585" s="10" t="str">
        <f>HYPERLINK("https://pbs.twimg.com/profile_images/596509974005686273/AqBblwMR_normal.jpg","View")</f>
        <v>View</v>
      </c>
      <c r="P1585" s="14"/>
    </row>
    <row r="1586">
      <c r="A1586" s="7">
        <v>42434.52763888889</v>
      </c>
      <c r="B1586" s="8" t="str">
        <f t="shared" ref="B1586:B1587" si="385">HYPERLINK("https://twitter.com/pastpunditry","@pastpunditry")</f>
        <v>@pastpunditry</v>
      </c>
      <c r="C1586" s="9" t="s">
        <v>92</v>
      </c>
      <c r="D1586" s="9" t="s">
        <v>1664</v>
      </c>
      <c r="E1586" s="10" t="str">
        <f>HYPERLINK("https://twitter.com/pastpunditry/status/706187471558713344","706187471558713344")</f>
        <v>706187471558713344</v>
      </c>
      <c r="F1586" s="11" t="s">
        <v>77</v>
      </c>
      <c r="G1586" s="12">
        <v>894.0</v>
      </c>
      <c r="H1586" s="12">
        <v>378.0</v>
      </c>
      <c r="I1586" s="12">
        <v>1.0</v>
      </c>
      <c r="J1586" s="12">
        <v>0.0</v>
      </c>
      <c r="K1586" s="11" t="s">
        <v>21</v>
      </c>
      <c r="L1586" s="7">
        <v>40283.384351851855</v>
      </c>
      <c r="M1586" s="13" t="s">
        <v>94</v>
      </c>
      <c r="N1586" s="13" t="s">
        <v>95</v>
      </c>
      <c r="O1586" s="10" t="str">
        <f t="shared" ref="O1586:O1587" si="386">HYPERLINK("https://pbs.twimg.com/profile_images/704873222802636800/7aFEMOY5_normal.jpg","View")</f>
        <v>View</v>
      </c>
      <c r="P1586" s="14"/>
    </row>
    <row r="1587">
      <c r="A1587" s="7">
        <v>42434.528449074074</v>
      </c>
      <c r="B1587" s="8" t="str">
        <f t="shared" si="385"/>
        <v>@pastpunditry</v>
      </c>
      <c r="C1587" s="9" t="s">
        <v>92</v>
      </c>
      <c r="D1587" s="9" t="s">
        <v>1665</v>
      </c>
      <c r="E1587" s="10" t="str">
        <f>HYPERLINK("https://twitter.com/pastpunditry/status/706187764983844864","706187764983844864")</f>
        <v>706187764983844864</v>
      </c>
      <c r="F1587" s="11" t="s">
        <v>77</v>
      </c>
      <c r="G1587" s="12">
        <v>894.0</v>
      </c>
      <c r="H1587" s="12">
        <v>378.0</v>
      </c>
      <c r="I1587" s="12">
        <v>0.0</v>
      </c>
      <c r="J1587" s="12">
        <v>0.0</v>
      </c>
      <c r="K1587" s="11" t="s">
        <v>21</v>
      </c>
      <c r="L1587" s="7">
        <v>40283.384351851855</v>
      </c>
      <c r="M1587" s="13" t="s">
        <v>94</v>
      </c>
      <c r="N1587" s="13" t="s">
        <v>95</v>
      </c>
      <c r="O1587" s="10" t="str">
        <f t="shared" si="386"/>
        <v>View</v>
      </c>
      <c r="P1587" s="14"/>
    </row>
    <row r="1588">
      <c r="A1588" s="7">
        <v>42434.52863425926</v>
      </c>
      <c r="B1588" s="8" t="str">
        <f>HYPERLINK("https://twitter.com/jaheppler","@jaheppler")</f>
        <v>@jaheppler</v>
      </c>
      <c r="C1588" s="9" t="s">
        <v>460</v>
      </c>
      <c r="D1588" s="9" t="s">
        <v>1666</v>
      </c>
      <c r="E1588" s="10" t="str">
        <f>HYPERLINK("https://twitter.com/jaheppler/status/706187834516856833","706187834516856833")</f>
        <v>706187834516856833</v>
      </c>
      <c r="F1588" s="11" t="s">
        <v>1585</v>
      </c>
      <c r="G1588" s="12">
        <v>1936.0</v>
      </c>
      <c r="H1588" s="12">
        <v>480.0</v>
      </c>
      <c r="I1588" s="12">
        <v>1.0</v>
      </c>
      <c r="J1588" s="12">
        <v>0.0</v>
      </c>
      <c r="K1588" s="11" t="s">
        <v>21</v>
      </c>
      <c r="L1588" s="7">
        <v>39702.3484375</v>
      </c>
      <c r="M1588" s="13" t="s">
        <v>463</v>
      </c>
      <c r="N1588" s="13" t="s">
        <v>464</v>
      </c>
      <c r="O1588" s="10" t="str">
        <f>HYPERLINK("https://pbs.twimg.com/profile_images/436607137188290560/UM-U3wT1_normal.jpeg","View")</f>
        <v>View</v>
      </c>
      <c r="P1588" s="14"/>
    </row>
    <row r="1589">
      <c r="A1589" s="7">
        <v>42434.52986111111</v>
      </c>
      <c r="B1589" s="8" t="str">
        <f>HYPERLINK("https://twitter.com/pastpunditry","@pastpunditry")</f>
        <v>@pastpunditry</v>
      </c>
      <c r="C1589" s="9" t="s">
        <v>92</v>
      </c>
      <c r="D1589" s="9" t="s">
        <v>1667</v>
      </c>
      <c r="E1589" s="10" t="str">
        <f>HYPERLINK("https://twitter.com/pastpunditry/status/706188277032861701","706188277032861701")</f>
        <v>706188277032861701</v>
      </c>
      <c r="F1589" s="11" t="s">
        <v>77</v>
      </c>
      <c r="G1589" s="12">
        <v>894.0</v>
      </c>
      <c r="H1589" s="12">
        <v>378.0</v>
      </c>
      <c r="I1589" s="12">
        <v>0.0</v>
      </c>
      <c r="J1589" s="12">
        <v>1.0</v>
      </c>
      <c r="K1589" s="11" t="s">
        <v>21</v>
      </c>
      <c r="L1589" s="7">
        <v>40283.384351851855</v>
      </c>
      <c r="M1589" s="13" t="s">
        <v>94</v>
      </c>
      <c r="N1589" s="13" t="s">
        <v>95</v>
      </c>
      <c r="O1589" s="10" t="str">
        <f>HYPERLINK("https://pbs.twimg.com/profile_images/704873222802636800/7aFEMOY5_normal.jpg","View")</f>
        <v>View</v>
      </c>
      <c r="P1589" s="14"/>
    </row>
    <row r="1590">
      <c r="A1590" s="7">
        <v>42434.5302662037</v>
      </c>
      <c r="B1590" s="8" t="str">
        <f>HYPERLINK("https://twitter.com/JimGrossmanAHA","@JimGrossmanAHA")</f>
        <v>@JimGrossmanAHA</v>
      </c>
      <c r="C1590" s="9" t="s">
        <v>278</v>
      </c>
      <c r="D1590" s="9" t="s">
        <v>1668</v>
      </c>
      <c r="E1590" s="10" t="str">
        <f>HYPERLINK("https://twitter.com/JimGrossmanAHA/status/706188425221824512","706188425221824512")</f>
        <v>706188425221824512</v>
      </c>
      <c r="F1590" s="11" t="s">
        <v>31</v>
      </c>
      <c r="G1590" s="12">
        <v>2242.0</v>
      </c>
      <c r="H1590" s="12">
        <v>368.0</v>
      </c>
      <c r="I1590" s="12">
        <v>2.0</v>
      </c>
      <c r="J1590" s="12">
        <v>2.0</v>
      </c>
      <c r="K1590" s="11" t="s">
        <v>21</v>
      </c>
      <c r="L1590" s="7">
        <v>41576.36603009259</v>
      </c>
      <c r="M1590" s="13" t="s">
        <v>279</v>
      </c>
      <c r="N1590" s="13" t="s">
        <v>280</v>
      </c>
      <c r="O1590" s="10" t="str">
        <f>HYPERLINK("https://pbs.twimg.com/profile_images/378800000667891782/44d7b181c077bf16ab07b242f7ad81b9_normal.png","View")</f>
        <v>View</v>
      </c>
      <c r="P1590" s="14"/>
    </row>
    <row r="1591">
      <c r="A1591" s="7">
        <v>42434.530810185184</v>
      </c>
      <c r="B1591" s="8" t="str">
        <f>HYPERLINK("https://twitter.com/JulieThePH","@JulieThePH")</f>
        <v>@JulieThePH</v>
      </c>
      <c r="C1591" s="9" t="s">
        <v>211</v>
      </c>
      <c r="D1591" s="9" t="s">
        <v>1669</v>
      </c>
      <c r="E1591" s="10" t="str">
        <f>HYPERLINK("https://twitter.com/JulieThePH/status/706188623432032256","706188623432032256")</f>
        <v>706188623432032256</v>
      </c>
      <c r="F1591" s="11" t="s">
        <v>31</v>
      </c>
      <c r="G1591" s="12">
        <v>1238.0</v>
      </c>
      <c r="H1591" s="12">
        <v>1386.0</v>
      </c>
      <c r="I1591" s="12">
        <v>2.0</v>
      </c>
      <c r="J1591" s="12">
        <v>0.0</v>
      </c>
      <c r="K1591" s="11" t="s">
        <v>21</v>
      </c>
      <c r="L1591" s="7">
        <v>40718.66918981481</v>
      </c>
      <c r="M1591" s="13" t="s">
        <v>213</v>
      </c>
      <c r="N1591" s="13" t="s">
        <v>214</v>
      </c>
      <c r="O1591" s="10" t="str">
        <f>HYPERLINK("https://pbs.twimg.com/profile_images/596509974005686273/AqBblwMR_normal.jpg","View")</f>
        <v>View</v>
      </c>
      <c r="P1591" s="14"/>
    </row>
    <row r="1592">
      <c r="A1592" s="7">
        <v>42434.53108796296</v>
      </c>
      <c r="B1592" s="8" t="str">
        <f>HYPERLINK("https://twitter.com/jaheppler","@jaheppler")</f>
        <v>@jaheppler</v>
      </c>
      <c r="C1592" s="9" t="s">
        <v>460</v>
      </c>
      <c r="D1592" s="9" t="s">
        <v>1670</v>
      </c>
      <c r="E1592" s="10" t="str">
        <f>HYPERLINK("https://twitter.com/jaheppler/status/706188722883076096","706188722883076096")</f>
        <v>706188722883076096</v>
      </c>
      <c r="F1592" s="11" t="s">
        <v>1585</v>
      </c>
      <c r="G1592" s="12">
        <v>1936.0</v>
      </c>
      <c r="H1592" s="12">
        <v>480.0</v>
      </c>
      <c r="I1592" s="12">
        <v>0.0</v>
      </c>
      <c r="J1592" s="12">
        <v>1.0</v>
      </c>
      <c r="K1592" s="11" t="s">
        <v>21</v>
      </c>
      <c r="L1592" s="7">
        <v>39702.3484375</v>
      </c>
      <c r="M1592" s="13" t="s">
        <v>463</v>
      </c>
      <c r="N1592" s="13" t="s">
        <v>464</v>
      </c>
      <c r="O1592" s="10" t="str">
        <f>HYPERLINK("https://pbs.twimg.com/profile_images/436607137188290560/UM-U3wT1_normal.jpeg","View")</f>
        <v>View</v>
      </c>
      <c r="P1592" s="14"/>
    </row>
    <row r="1593">
      <c r="A1593" s="7">
        <v>42434.53115740741</v>
      </c>
      <c r="B1593" s="8" t="str">
        <f>HYPERLINK("https://twitter.com/JimGrossmanAHA","@JimGrossmanAHA")</f>
        <v>@JimGrossmanAHA</v>
      </c>
      <c r="C1593" s="9" t="s">
        <v>278</v>
      </c>
      <c r="D1593" s="9" t="s">
        <v>1671</v>
      </c>
      <c r="E1593" s="10" t="str">
        <f>HYPERLINK("https://twitter.com/JimGrossmanAHA/status/706188746857832448","706188746857832448")</f>
        <v>706188746857832448</v>
      </c>
      <c r="F1593" s="11" t="s">
        <v>31</v>
      </c>
      <c r="G1593" s="12">
        <v>2242.0</v>
      </c>
      <c r="H1593" s="12">
        <v>368.0</v>
      </c>
      <c r="I1593" s="12">
        <v>1.0</v>
      </c>
      <c r="J1593" s="12">
        <v>0.0</v>
      </c>
      <c r="K1593" s="11" t="s">
        <v>21</v>
      </c>
      <c r="L1593" s="7">
        <v>41576.36603009259</v>
      </c>
      <c r="M1593" s="13" t="s">
        <v>279</v>
      </c>
      <c r="N1593" s="13" t="s">
        <v>280</v>
      </c>
      <c r="O1593" s="10" t="str">
        <f>HYPERLINK("https://pbs.twimg.com/profile_images/378800000667891782/44d7b181c077bf16ab07b242f7ad81b9_normal.png","View")</f>
        <v>View</v>
      </c>
      <c r="P1593" s="14"/>
    </row>
    <row r="1594">
      <c r="A1594" s="7">
        <v>42434.531493055554</v>
      </c>
      <c r="B1594" s="8" t="str">
        <f t="shared" ref="B1594:B1596" si="387">HYPERLINK("https://twitter.com/pastpunditry","@pastpunditry")</f>
        <v>@pastpunditry</v>
      </c>
      <c r="C1594" s="9" t="s">
        <v>92</v>
      </c>
      <c r="D1594" s="9" t="s">
        <v>1672</v>
      </c>
      <c r="E1594" s="10" t="str">
        <f>HYPERLINK("https://twitter.com/pastpunditry/status/706188869369241600","706188869369241600")</f>
        <v>706188869369241600</v>
      </c>
      <c r="F1594" s="11" t="s">
        <v>77</v>
      </c>
      <c r="G1594" s="12">
        <v>894.0</v>
      </c>
      <c r="H1594" s="12">
        <v>378.0</v>
      </c>
      <c r="I1594" s="12">
        <v>1.0</v>
      </c>
      <c r="J1594" s="12">
        <v>0.0</v>
      </c>
      <c r="K1594" s="11" t="s">
        <v>21</v>
      </c>
      <c r="L1594" s="7">
        <v>40283.384351851855</v>
      </c>
      <c r="M1594" s="13" t="s">
        <v>94</v>
      </c>
      <c r="N1594" s="13" t="s">
        <v>95</v>
      </c>
      <c r="O1594" s="10" t="str">
        <f t="shared" ref="O1594:O1596" si="388">HYPERLINK("https://pbs.twimg.com/profile_images/704873222802636800/7aFEMOY5_normal.jpg","View")</f>
        <v>View</v>
      </c>
      <c r="P1594" s="14"/>
    </row>
    <row r="1595">
      <c r="A1595" s="7">
        <v>42434.53155092592</v>
      </c>
      <c r="B1595" s="8" t="str">
        <f t="shared" si="387"/>
        <v>@pastpunditry</v>
      </c>
      <c r="C1595" s="9" t="s">
        <v>92</v>
      </c>
      <c r="D1595" s="9" t="s">
        <v>1673</v>
      </c>
      <c r="E1595" s="10" t="str">
        <f>HYPERLINK("https://twitter.com/pastpunditry/status/706188889350914049","706188889350914049")</f>
        <v>706188889350914049</v>
      </c>
      <c r="F1595" s="11" t="s">
        <v>77</v>
      </c>
      <c r="G1595" s="12">
        <v>894.0</v>
      </c>
      <c r="H1595" s="12">
        <v>378.0</v>
      </c>
      <c r="I1595" s="12">
        <v>1.0</v>
      </c>
      <c r="J1595" s="12">
        <v>0.0</v>
      </c>
      <c r="K1595" s="11" t="s">
        <v>21</v>
      </c>
      <c r="L1595" s="7">
        <v>40283.384351851855</v>
      </c>
      <c r="M1595" s="13" t="s">
        <v>94</v>
      </c>
      <c r="N1595" s="13" t="s">
        <v>95</v>
      </c>
      <c r="O1595" s="10" t="str">
        <f t="shared" si="388"/>
        <v>View</v>
      </c>
      <c r="P1595" s="14"/>
    </row>
    <row r="1596">
      <c r="A1596" s="7">
        <v>42434.53164351852</v>
      </c>
      <c r="B1596" s="8" t="str">
        <f t="shared" si="387"/>
        <v>@pastpunditry</v>
      </c>
      <c r="C1596" s="9" t="s">
        <v>92</v>
      </c>
      <c r="D1596" s="9" t="s">
        <v>1669</v>
      </c>
      <c r="E1596" s="10" t="str">
        <f>HYPERLINK("https://twitter.com/pastpunditry/status/706188923341512704","706188923341512704")</f>
        <v>706188923341512704</v>
      </c>
      <c r="F1596" s="11" t="s">
        <v>77</v>
      </c>
      <c r="G1596" s="12">
        <v>894.0</v>
      </c>
      <c r="H1596" s="12">
        <v>378.0</v>
      </c>
      <c r="I1596" s="12">
        <v>2.0</v>
      </c>
      <c r="J1596" s="12">
        <v>0.0</v>
      </c>
      <c r="K1596" s="11" t="s">
        <v>21</v>
      </c>
      <c r="L1596" s="7">
        <v>40283.384351851855</v>
      </c>
      <c r="M1596" s="13" t="s">
        <v>94</v>
      </c>
      <c r="N1596" s="13" t="s">
        <v>95</v>
      </c>
      <c r="O1596" s="10" t="str">
        <f t="shared" si="388"/>
        <v>View</v>
      </c>
      <c r="P1596" s="14"/>
    </row>
    <row r="1597">
      <c r="A1597" s="7">
        <v>42434.532071759255</v>
      </c>
      <c r="B1597" s="8" t="str">
        <f>HYPERLINK("https://twitter.com/dpmckenzie","@dpmckenzie")</f>
        <v>@dpmckenzie</v>
      </c>
      <c r="C1597" s="9" t="s">
        <v>1674</v>
      </c>
      <c r="D1597" s="9" t="s">
        <v>1675</v>
      </c>
      <c r="E1597" s="10" t="str">
        <f>HYPERLINK("https://twitter.com/dpmckenzie/status/706189077184286720","706189077184286720")</f>
        <v>706189077184286720</v>
      </c>
      <c r="F1597" s="11" t="s">
        <v>462</v>
      </c>
      <c r="G1597" s="12">
        <v>2157.0</v>
      </c>
      <c r="H1597" s="12">
        <v>2430.0</v>
      </c>
      <c r="I1597" s="12">
        <v>1.0</v>
      </c>
      <c r="J1597" s="12">
        <v>2.0</v>
      </c>
      <c r="K1597" s="11" t="s">
        <v>21</v>
      </c>
      <c r="L1597" s="7">
        <v>40556.89555555556</v>
      </c>
      <c r="M1597" s="13" t="s">
        <v>1676</v>
      </c>
      <c r="N1597" s="13" t="s">
        <v>1677</v>
      </c>
      <c r="O1597" s="10" t="str">
        <f>HYPERLINK("https://pbs.twimg.com/profile_images/2594130457/E22305FD-AC31-4127-92D9-F0C08A2E52F2_normal","View")</f>
        <v>View</v>
      </c>
      <c r="P1597" s="14"/>
    </row>
    <row r="1598">
      <c r="A1598" s="7">
        <v>42434.53228009259</v>
      </c>
      <c r="B1598" s="8" t="str">
        <f>HYPERLINK("https://twitter.com/juliegpeterson","@juliegpeterson")</f>
        <v>@juliegpeterson</v>
      </c>
      <c r="C1598" s="9" t="s">
        <v>24</v>
      </c>
      <c r="D1598" s="9" t="s">
        <v>1678</v>
      </c>
      <c r="E1598" s="10" t="str">
        <f>HYPERLINK("https://twitter.com/juliegpeterson/status/706189155844419585","706189155844419585")</f>
        <v>706189155844419585</v>
      </c>
      <c r="F1598" s="11" t="s">
        <v>26</v>
      </c>
      <c r="G1598" s="12">
        <v>239.0</v>
      </c>
      <c r="H1598" s="12">
        <v>777.0</v>
      </c>
      <c r="I1598" s="12">
        <v>1.0</v>
      </c>
      <c r="J1598" s="12">
        <v>0.0</v>
      </c>
      <c r="K1598" s="11" t="s">
        <v>21</v>
      </c>
      <c r="L1598" s="7">
        <v>41208.65523148148</v>
      </c>
      <c r="M1598" s="13" t="s">
        <v>22</v>
      </c>
      <c r="N1598" s="13" t="s">
        <v>27</v>
      </c>
      <c r="O1598" s="10" t="str">
        <f>HYPERLINK("https://pbs.twimg.com/profile_images/609765839051452416/GNW0wSt0_normal.jpg","View")</f>
        <v>View</v>
      </c>
      <c r="P1598" s="14"/>
    </row>
    <row r="1599">
      <c r="A1599" s="7">
        <v>42434.53251157407</v>
      </c>
      <c r="B1599" s="8" t="str">
        <f>HYPERLINK("https://twitter.com/hm_sparks","@hm_sparks")</f>
        <v>@hm_sparks</v>
      </c>
      <c r="C1599" s="9" t="s">
        <v>1679</v>
      </c>
      <c r="D1599" s="9" t="s">
        <v>1605</v>
      </c>
      <c r="E1599" s="10" t="str">
        <f>HYPERLINK("https://twitter.com/hm_sparks/status/706189237767409664","706189237767409664")</f>
        <v>706189237767409664</v>
      </c>
      <c r="F1599" s="11" t="s">
        <v>26</v>
      </c>
      <c r="G1599" s="12">
        <v>102.0</v>
      </c>
      <c r="H1599" s="12">
        <v>238.0</v>
      </c>
      <c r="I1599" s="12">
        <v>3.0</v>
      </c>
      <c r="J1599" s="12">
        <v>0.0</v>
      </c>
      <c r="K1599" s="11" t="s">
        <v>21</v>
      </c>
      <c r="L1599" s="7">
        <v>41700.79951388889</v>
      </c>
      <c r="M1599" s="13" t="s">
        <v>1680</v>
      </c>
      <c r="N1599" s="13" t="s">
        <v>1681</v>
      </c>
      <c r="O1599" s="10" t="str">
        <f>HYPERLINK("https://pbs.twimg.com/profile_images/440303281496006656/UEZl5jO-_normal.jpeg","View")</f>
        <v>View</v>
      </c>
      <c r="P1599" s="14"/>
    </row>
    <row r="1600">
      <c r="A1600" s="7">
        <v>42434.53273148148</v>
      </c>
      <c r="B1600" s="8" t="str">
        <f>HYPERLINK("https://twitter.com/pastpunditry","@pastpunditry")</f>
        <v>@pastpunditry</v>
      </c>
      <c r="C1600" s="9" t="s">
        <v>92</v>
      </c>
      <c r="D1600" s="9" t="s">
        <v>1682</v>
      </c>
      <c r="E1600" s="10" t="str">
        <f>HYPERLINK("https://twitter.com/pastpunditry/status/706189319304830976","706189319304830976")</f>
        <v>706189319304830976</v>
      </c>
      <c r="F1600" s="11" t="s">
        <v>77</v>
      </c>
      <c r="G1600" s="12">
        <v>894.0</v>
      </c>
      <c r="H1600" s="12">
        <v>378.0</v>
      </c>
      <c r="I1600" s="12">
        <v>0.0</v>
      </c>
      <c r="J1600" s="12">
        <v>0.0</v>
      </c>
      <c r="K1600" s="11" t="s">
        <v>21</v>
      </c>
      <c r="L1600" s="7">
        <v>40283.384351851855</v>
      </c>
      <c r="M1600" s="13" t="s">
        <v>94</v>
      </c>
      <c r="N1600" s="13" t="s">
        <v>95</v>
      </c>
      <c r="O1600" s="10" t="str">
        <f>HYPERLINK("https://pbs.twimg.com/profile_images/704873222802636800/7aFEMOY5_normal.jpg","View")</f>
        <v>View</v>
      </c>
      <c r="P1600" s="14"/>
    </row>
    <row r="1601">
      <c r="A1601" s="7">
        <v>42434.53310185185</v>
      </c>
      <c r="B1601" s="8" t="str">
        <f>HYPERLINK("https://twitter.com/juliegpeterson","@juliegpeterson")</f>
        <v>@juliegpeterson</v>
      </c>
      <c r="C1601" s="9" t="s">
        <v>24</v>
      </c>
      <c r="D1601" s="9" t="s">
        <v>1683</v>
      </c>
      <c r="E1601" s="10" t="str">
        <f>HYPERLINK("https://twitter.com/juliegpeterson/status/706189453149261824","706189453149261824")</f>
        <v>706189453149261824</v>
      </c>
      <c r="F1601" s="11" t="s">
        <v>26</v>
      </c>
      <c r="G1601" s="12">
        <v>239.0</v>
      </c>
      <c r="H1601" s="12">
        <v>777.0</v>
      </c>
      <c r="I1601" s="12">
        <v>1.0</v>
      </c>
      <c r="J1601" s="12">
        <v>0.0</v>
      </c>
      <c r="K1601" s="11" t="s">
        <v>21</v>
      </c>
      <c r="L1601" s="7">
        <v>41208.65523148148</v>
      </c>
      <c r="M1601" s="13" t="s">
        <v>22</v>
      </c>
      <c r="N1601" s="13" t="s">
        <v>27</v>
      </c>
      <c r="O1601" s="10" t="str">
        <f>HYPERLINK("https://pbs.twimg.com/profile_images/609765839051452416/GNW0wSt0_normal.jpg","View")</f>
        <v>View</v>
      </c>
      <c r="P1601" s="14"/>
    </row>
    <row r="1602">
      <c r="A1602" s="7">
        <v>42434.53344907408</v>
      </c>
      <c r="B1602" s="8" t="str">
        <f>HYPERLINK("https://twitter.com/GHAUmass","@GHAUmass")</f>
        <v>@GHAUmass</v>
      </c>
      <c r="C1602" s="9" t="s">
        <v>30</v>
      </c>
      <c r="D1602" s="9" t="s">
        <v>1644</v>
      </c>
      <c r="E1602" s="10" t="str">
        <f>HYPERLINK("https://twitter.com/GHAUmass/status/706189577019658240","706189577019658240")</f>
        <v>706189577019658240</v>
      </c>
      <c r="F1602" s="11" t="s">
        <v>31</v>
      </c>
      <c r="G1602" s="12">
        <v>72.0</v>
      </c>
      <c r="H1602" s="12">
        <v>101.0</v>
      </c>
      <c r="I1602" s="12">
        <v>2.0</v>
      </c>
      <c r="J1602" s="12">
        <v>0.0</v>
      </c>
      <c r="K1602" s="11" t="s">
        <v>21</v>
      </c>
      <c r="L1602" s="7">
        <v>42152.65289351852</v>
      </c>
      <c r="M1602" s="13" t="s">
        <v>22</v>
      </c>
      <c r="N1602" s="13" t="s">
        <v>32</v>
      </c>
      <c r="O1602" s="10" t="str">
        <f>HYPERLINK("https://pbs.twimg.com/profile_images/604060333590855682/Fk6r1D7d_normal.jpg","View")</f>
        <v>View</v>
      </c>
      <c r="P1602" s="14"/>
    </row>
    <row r="1603">
      <c r="A1603" s="7">
        <v>42434.533541666664</v>
      </c>
      <c r="B1603" s="8" t="str">
        <f>HYPERLINK("https://twitter.com/pastpunditry","@pastpunditry")</f>
        <v>@pastpunditry</v>
      </c>
      <c r="C1603" s="9" t="s">
        <v>92</v>
      </c>
      <c r="D1603" s="9" t="s">
        <v>1684</v>
      </c>
      <c r="E1603" s="10" t="str">
        <f>HYPERLINK("https://twitter.com/pastpunditry/status/706189611157090305","706189611157090305")</f>
        <v>706189611157090305</v>
      </c>
      <c r="F1603" s="11" t="s">
        <v>77</v>
      </c>
      <c r="G1603" s="12">
        <v>894.0</v>
      </c>
      <c r="H1603" s="12">
        <v>378.0</v>
      </c>
      <c r="I1603" s="12">
        <v>1.0</v>
      </c>
      <c r="J1603" s="12">
        <v>0.0</v>
      </c>
      <c r="K1603" s="11" t="s">
        <v>21</v>
      </c>
      <c r="L1603" s="7">
        <v>40283.384351851855</v>
      </c>
      <c r="M1603" s="13" t="s">
        <v>94</v>
      </c>
      <c r="N1603" s="13" t="s">
        <v>95</v>
      </c>
      <c r="O1603" s="10" t="str">
        <f>HYPERLINK("https://pbs.twimg.com/profile_images/704873222802636800/7aFEMOY5_normal.jpg","View")</f>
        <v>View</v>
      </c>
      <c r="P1603" s="14"/>
    </row>
    <row r="1604">
      <c r="A1604" s="7">
        <v>42434.53371527778</v>
      </c>
      <c r="B1604" s="8" t="str">
        <f>HYPERLINK("https://twitter.com/juliegpeterson","@juliegpeterson")</f>
        <v>@juliegpeterson</v>
      </c>
      <c r="C1604" s="9" t="s">
        <v>24</v>
      </c>
      <c r="D1604" s="9" t="s">
        <v>1685</v>
      </c>
      <c r="E1604" s="10" t="str">
        <f>HYPERLINK("https://twitter.com/juliegpeterson/status/706189674457534464","706189674457534464")</f>
        <v>706189674457534464</v>
      </c>
      <c r="F1604" s="11" t="s">
        <v>26</v>
      </c>
      <c r="G1604" s="12">
        <v>239.0</v>
      </c>
      <c r="H1604" s="12">
        <v>777.0</v>
      </c>
      <c r="I1604" s="12">
        <v>1.0</v>
      </c>
      <c r="J1604" s="12">
        <v>0.0</v>
      </c>
      <c r="K1604" s="11" t="s">
        <v>21</v>
      </c>
      <c r="L1604" s="7">
        <v>41208.65523148148</v>
      </c>
      <c r="M1604" s="13" t="s">
        <v>22</v>
      </c>
      <c r="N1604" s="13" t="s">
        <v>27</v>
      </c>
      <c r="O1604" s="10" t="str">
        <f>HYPERLINK("https://pbs.twimg.com/profile_images/609765839051452416/GNW0wSt0_normal.jpg","View")</f>
        <v>View</v>
      </c>
      <c r="P1604" s="14"/>
    </row>
    <row r="1605">
      <c r="A1605" s="7">
        <v>42434.53377314815</v>
      </c>
      <c r="B1605" s="8" t="str">
        <f>HYPERLINK("https://twitter.com/pastpunditry","@pastpunditry")</f>
        <v>@pastpunditry</v>
      </c>
      <c r="C1605" s="9" t="s">
        <v>92</v>
      </c>
      <c r="D1605" s="9" t="s">
        <v>1686</v>
      </c>
      <c r="E1605" s="10" t="str">
        <f>HYPERLINK("https://twitter.com/pastpunditry/status/706189696771231744","706189696771231744")</f>
        <v>706189696771231744</v>
      </c>
      <c r="F1605" s="11" t="s">
        <v>77</v>
      </c>
      <c r="G1605" s="12">
        <v>894.0</v>
      </c>
      <c r="H1605" s="12">
        <v>378.0</v>
      </c>
      <c r="I1605" s="12">
        <v>1.0</v>
      </c>
      <c r="J1605" s="12">
        <v>0.0</v>
      </c>
      <c r="K1605" s="11" t="s">
        <v>21</v>
      </c>
      <c r="L1605" s="7">
        <v>40283.384351851855</v>
      </c>
      <c r="M1605" s="13" t="s">
        <v>94</v>
      </c>
      <c r="N1605" s="13" t="s">
        <v>95</v>
      </c>
      <c r="O1605" s="10" t="str">
        <f>HYPERLINK("https://pbs.twimg.com/profile_images/704873222802636800/7aFEMOY5_normal.jpg","View")</f>
        <v>View</v>
      </c>
      <c r="P1605" s="14"/>
    </row>
    <row r="1606">
      <c r="A1606" s="7">
        <v>42434.5342824074</v>
      </c>
      <c r="B1606" s="8" t="str">
        <f>HYPERLINK("https://twitter.com/jessmknapp","@jessmknapp")</f>
        <v>@jessmknapp</v>
      </c>
      <c r="C1606" s="9" t="s">
        <v>1687</v>
      </c>
      <c r="D1606" s="9" t="s">
        <v>1229</v>
      </c>
      <c r="E1606" s="10" t="str">
        <f>HYPERLINK("https://twitter.com/jessmknapp/status/706189878371942400","706189878371942400")</f>
        <v>706189878371942400</v>
      </c>
      <c r="F1606" s="11" t="s">
        <v>1688</v>
      </c>
      <c r="G1606" s="12">
        <v>421.0</v>
      </c>
      <c r="H1606" s="12">
        <v>512.0</v>
      </c>
      <c r="I1606" s="12">
        <v>5.0</v>
      </c>
      <c r="J1606" s="12">
        <v>0.0</v>
      </c>
      <c r="K1606" s="11" t="s">
        <v>21</v>
      </c>
      <c r="L1606" s="7">
        <v>41270.70381944445</v>
      </c>
      <c r="M1606" s="13" t="s">
        <v>1689</v>
      </c>
      <c r="N1606" s="13" t="s">
        <v>1690</v>
      </c>
      <c r="O1606" s="10" t="str">
        <f>HYPERLINK("https://pbs.twimg.com/profile_images/378800000190677540/2e5e34bc21523d9e58b9f45d1cf38135_normal.jpeg","View")</f>
        <v>View</v>
      </c>
      <c r="P1606" s="14"/>
    </row>
    <row r="1607">
      <c r="A1607" s="7">
        <v>42434.534421296295</v>
      </c>
      <c r="B1607" s="8" t="str">
        <f>HYPERLINK("https://twitter.com/juliegpeterson","@juliegpeterson")</f>
        <v>@juliegpeterson</v>
      </c>
      <c r="C1607" s="9" t="s">
        <v>24</v>
      </c>
      <c r="D1607" s="9" t="s">
        <v>1691</v>
      </c>
      <c r="E1607" s="10" t="str">
        <f>HYPERLINK("https://twitter.com/juliegpeterson/status/706189928758165504","706189928758165504")</f>
        <v>706189928758165504</v>
      </c>
      <c r="F1607" s="11" t="s">
        <v>26</v>
      </c>
      <c r="G1607" s="12">
        <v>239.0</v>
      </c>
      <c r="H1607" s="12">
        <v>777.0</v>
      </c>
      <c r="I1607" s="12">
        <v>0.0</v>
      </c>
      <c r="J1607" s="12">
        <v>0.0</v>
      </c>
      <c r="K1607" s="11" t="s">
        <v>21</v>
      </c>
      <c r="L1607" s="7">
        <v>41208.65523148148</v>
      </c>
      <c r="M1607" s="13" t="s">
        <v>22</v>
      </c>
      <c r="N1607" s="13" t="s">
        <v>27</v>
      </c>
      <c r="O1607" s="10" t="str">
        <f>HYPERLINK("https://pbs.twimg.com/profile_images/609765839051452416/GNW0wSt0_normal.jpg","View")</f>
        <v>View</v>
      </c>
      <c r="P1607" s="14"/>
    </row>
    <row r="1608">
      <c r="A1608" s="7">
        <v>42434.53471064815</v>
      </c>
      <c r="B1608" s="8" t="str">
        <f>HYPERLINK("https://twitter.com/jessmknapp","@jessmknapp")</f>
        <v>@jessmknapp</v>
      </c>
      <c r="C1608" s="9" t="s">
        <v>1687</v>
      </c>
      <c r="D1608" s="9" t="s">
        <v>1160</v>
      </c>
      <c r="E1608" s="10" t="str">
        <f>HYPERLINK("https://twitter.com/jessmknapp/status/706190035167608832","706190035167608832")</f>
        <v>706190035167608832</v>
      </c>
      <c r="F1608" s="11" t="s">
        <v>1688</v>
      </c>
      <c r="G1608" s="12">
        <v>421.0</v>
      </c>
      <c r="H1608" s="12">
        <v>512.0</v>
      </c>
      <c r="I1608" s="12">
        <v>10.0</v>
      </c>
      <c r="J1608" s="12">
        <v>0.0</v>
      </c>
      <c r="K1608" s="11" t="s">
        <v>21</v>
      </c>
      <c r="L1608" s="7">
        <v>41270.70381944445</v>
      </c>
      <c r="M1608" s="13" t="s">
        <v>1689</v>
      </c>
      <c r="N1608" s="13" t="s">
        <v>1690</v>
      </c>
      <c r="O1608" s="10" t="str">
        <f>HYPERLINK("https://pbs.twimg.com/profile_images/378800000190677540/2e5e34bc21523d9e58b9f45d1cf38135_normal.jpeg","View")</f>
        <v>View</v>
      </c>
      <c r="P1608" s="14"/>
    </row>
    <row r="1609">
      <c r="A1609" s="7">
        <v>42434.53511574074</v>
      </c>
      <c r="B1609" s="8" t="str">
        <f>HYPERLINK("https://twitter.com/jnthnwwlsn","@jnthnwwlsn")</f>
        <v>@jnthnwwlsn</v>
      </c>
      <c r="C1609" s="9" t="s">
        <v>207</v>
      </c>
      <c r="D1609" s="9" t="s">
        <v>1692</v>
      </c>
      <c r="E1609" s="10" t="str">
        <f>HYPERLINK("https://twitter.com/jnthnwwlsn/status/706190181964107776","706190181964107776")</f>
        <v>706190181964107776</v>
      </c>
      <c r="F1609" s="11" t="s">
        <v>26</v>
      </c>
      <c r="G1609" s="12">
        <v>1773.0</v>
      </c>
      <c r="H1609" s="12">
        <v>2055.0</v>
      </c>
      <c r="I1609" s="12">
        <v>1.0</v>
      </c>
      <c r="J1609" s="12">
        <v>0.0</v>
      </c>
      <c r="K1609" s="11" t="s">
        <v>21</v>
      </c>
      <c r="L1609" s="7">
        <v>40637.532905092594</v>
      </c>
      <c r="M1609" s="13" t="s">
        <v>208</v>
      </c>
      <c r="N1609" s="13" t="s">
        <v>209</v>
      </c>
      <c r="O1609" s="10" t="str">
        <f>HYPERLINK("https://pbs.twimg.com/profile_images/660922102632026113/oOp4nhy__normal.jpg","View")</f>
        <v>View</v>
      </c>
      <c r="P1609" s="14"/>
    </row>
    <row r="1610">
      <c r="A1610" s="7">
        <v>42434.539988425924</v>
      </c>
      <c r="B1610" s="8" t="str">
        <f t="shared" ref="B1610:B1611" si="389">HYPERLINK("https://twitter.com/GHAUmass","@GHAUmass")</f>
        <v>@GHAUmass</v>
      </c>
      <c r="C1610" s="9" t="s">
        <v>30</v>
      </c>
      <c r="D1610" s="9" t="s">
        <v>1693</v>
      </c>
      <c r="E1610" s="10" t="str">
        <f>HYPERLINK("https://twitter.com/GHAUmass/status/706191948177121281","706191948177121281")</f>
        <v>706191948177121281</v>
      </c>
      <c r="F1610" s="11" t="s">
        <v>31</v>
      </c>
      <c r="G1610" s="12">
        <v>75.0</v>
      </c>
      <c r="H1610" s="12">
        <v>102.0</v>
      </c>
      <c r="I1610" s="12">
        <v>3.0</v>
      </c>
      <c r="J1610" s="12">
        <v>0.0</v>
      </c>
      <c r="K1610" s="11" t="s">
        <v>21</v>
      </c>
      <c r="L1610" s="7">
        <v>42152.65289351852</v>
      </c>
      <c r="M1610" s="13" t="s">
        <v>22</v>
      </c>
      <c r="N1610" s="13" t="s">
        <v>32</v>
      </c>
      <c r="O1610" s="10" t="str">
        <f t="shared" ref="O1610:O1611" si="390">HYPERLINK("https://pbs.twimg.com/profile_images/604060333590855682/Fk6r1D7d_normal.jpg","View")</f>
        <v>View</v>
      </c>
      <c r="P1610" s="14"/>
    </row>
    <row r="1611">
      <c r="A1611" s="7">
        <v>42434.54015046296</v>
      </c>
      <c r="B1611" s="8" t="str">
        <f t="shared" si="389"/>
        <v>@GHAUmass</v>
      </c>
      <c r="C1611" s="9" t="s">
        <v>30</v>
      </c>
      <c r="D1611" s="9" t="s">
        <v>1694</v>
      </c>
      <c r="E1611" s="10" t="str">
        <f>HYPERLINK("https://twitter.com/GHAUmass/status/706192006540824576","706192006540824576")</f>
        <v>706192006540824576</v>
      </c>
      <c r="F1611" s="11" t="s">
        <v>31</v>
      </c>
      <c r="G1611" s="12">
        <v>75.0</v>
      </c>
      <c r="H1611" s="12">
        <v>102.0</v>
      </c>
      <c r="I1611" s="12">
        <v>2.0</v>
      </c>
      <c r="J1611" s="12">
        <v>0.0</v>
      </c>
      <c r="K1611" s="11" t="s">
        <v>21</v>
      </c>
      <c r="L1611" s="7">
        <v>42152.65289351852</v>
      </c>
      <c r="M1611" s="13" t="s">
        <v>22</v>
      </c>
      <c r="N1611" s="13" t="s">
        <v>32</v>
      </c>
      <c r="O1611" s="10" t="str">
        <f t="shared" si="390"/>
        <v>View</v>
      </c>
      <c r="P1611" s="14"/>
    </row>
    <row r="1612">
      <c r="A1612" s="7">
        <v>42434.540185185186</v>
      </c>
      <c r="B1612" s="8" t="str">
        <f>HYPERLINK("https://twitter.com/pastpunditry","@pastpunditry")</f>
        <v>@pastpunditry</v>
      </c>
      <c r="C1612" s="9" t="s">
        <v>92</v>
      </c>
      <c r="D1612" s="9" t="s">
        <v>1695</v>
      </c>
      <c r="E1612" s="10" t="str">
        <f>HYPERLINK("https://twitter.com/pastpunditry/status/706192018020634624","706192018020634624")</f>
        <v>706192018020634624</v>
      </c>
      <c r="F1612" s="11" t="s">
        <v>77</v>
      </c>
      <c r="G1612" s="12">
        <v>896.0</v>
      </c>
      <c r="H1612" s="12">
        <v>378.0</v>
      </c>
      <c r="I1612" s="12">
        <v>0.0</v>
      </c>
      <c r="J1612" s="12">
        <v>0.0</v>
      </c>
      <c r="K1612" s="11" t="s">
        <v>21</v>
      </c>
      <c r="L1612" s="7">
        <v>40283.384351851855</v>
      </c>
      <c r="M1612" s="13" t="s">
        <v>94</v>
      </c>
      <c r="N1612" s="13" t="s">
        <v>95</v>
      </c>
      <c r="O1612" s="10" t="str">
        <f>HYPERLINK("https://pbs.twimg.com/profile_images/704873222802636800/7aFEMOY5_normal.jpg","View")</f>
        <v>View</v>
      </c>
      <c r="P1612" s="14"/>
    </row>
    <row r="1613">
      <c r="A1613" s="7">
        <v>42434.540254629625</v>
      </c>
      <c r="B1613" s="8" t="str">
        <f>HYPERLINK("https://twitter.com/juliegpeterson","@juliegpeterson")</f>
        <v>@juliegpeterson</v>
      </c>
      <c r="C1613" s="9" t="s">
        <v>24</v>
      </c>
      <c r="D1613" s="9" t="s">
        <v>1693</v>
      </c>
      <c r="E1613" s="10" t="str">
        <f>HYPERLINK("https://twitter.com/juliegpeterson/status/706192046147637249","706192046147637249")</f>
        <v>706192046147637249</v>
      </c>
      <c r="F1613" s="11" t="s">
        <v>26</v>
      </c>
      <c r="G1613" s="12">
        <v>240.0</v>
      </c>
      <c r="H1613" s="12">
        <v>778.0</v>
      </c>
      <c r="I1613" s="12">
        <v>3.0</v>
      </c>
      <c r="J1613" s="12">
        <v>0.0</v>
      </c>
      <c r="K1613" s="11" t="s">
        <v>21</v>
      </c>
      <c r="L1613" s="7">
        <v>41208.65523148148</v>
      </c>
      <c r="M1613" s="13" t="s">
        <v>22</v>
      </c>
      <c r="N1613" s="13" t="s">
        <v>27</v>
      </c>
      <c r="O1613" s="10" t="str">
        <f>HYPERLINK("https://pbs.twimg.com/profile_images/609765839051452416/GNW0wSt0_normal.jpg","View")</f>
        <v>View</v>
      </c>
      <c r="P1613" s="14"/>
    </row>
    <row r="1614">
      <c r="A1614" s="7">
        <v>42434.54054398148</v>
      </c>
      <c r="B1614" s="8" t="str">
        <f>HYPERLINK("https://twitter.com/musepolsci","@musepolsci")</f>
        <v>@musepolsci</v>
      </c>
      <c r="C1614" s="9" t="s">
        <v>563</v>
      </c>
      <c r="D1614" s="9" t="s">
        <v>1593</v>
      </c>
      <c r="E1614" s="10" t="str">
        <f>HYPERLINK("https://twitter.com/musepolsci/status/706192150640263168","706192150640263168")</f>
        <v>706192150640263168</v>
      </c>
      <c r="F1614" s="11" t="s">
        <v>26</v>
      </c>
      <c r="G1614" s="12">
        <v>279.0</v>
      </c>
      <c r="H1614" s="12">
        <v>884.0</v>
      </c>
      <c r="I1614" s="12">
        <v>2.0</v>
      </c>
      <c r="J1614" s="12">
        <v>0.0</v>
      </c>
      <c r="K1614" s="11" t="s">
        <v>21</v>
      </c>
      <c r="L1614" s="7">
        <v>42100.29221064815</v>
      </c>
      <c r="M1614" s="13" t="s">
        <v>565</v>
      </c>
      <c r="N1614" s="13" t="s">
        <v>566</v>
      </c>
      <c r="O1614" s="10" t="str">
        <f>HYPERLINK("https://pbs.twimg.com/profile_images/675360673388367872/TCCGiJc1_normal.jpg","View")</f>
        <v>View</v>
      </c>
      <c r="P1614" s="14"/>
    </row>
    <row r="1615">
      <c r="A1615" s="7">
        <v>42434.541493055556</v>
      </c>
      <c r="B1615" s="8" t="str">
        <f>HYPERLINK("https://twitter.com/juliegpeterson","@juliegpeterson")</f>
        <v>@juliegpeterson</v>
      </c>
      <c r="C1615" s="9" t="s">
        <v>24</v>
      </c>
      <c r="D1615" s="9" t="s">
        <v>1696</v>
      </c>
      <c r="E1615" s="10" t="str">
        <f>HYPERLINK("https://twitter.com/juliegpeterson/status/706192492794945536","706192492794945536")</f>
        <v>706192492794945536</v>
      </c>
      <c r="F1615" s="11" t="s">
        <v>26</v>
      </c>
      <c r="G1615" s="12">
        <v>240.0</v>
      </c>
      <c r="H1615" s="12">
        <v>778.0</v>
      </c>
      <c r="I1615" s="12">
        <v>4.0</v>
      </c>
      <c r="J1615" s="12">
        <v>0.0</v>
      </c>
      <c r="K1615" s="11" t="s">
        <v>21</v>
      </c>
      <c r="L1615" s="7">
        <v>41208.65523148148</v>
      </c>
      <c r="M1615" s="13" t="s">
        <v>22</v>
      </c>
      <c r="N1615" s="13" t="s">
        <v>27</v>
      </c>
      <c r="O1615" s="10" t="str">
        <f>HYPERLINK("https://pbs.twimg.com/profile_images/609765839051452416/GNW0wSt0_normal.jpg","View")</f>
        <v>View</v>
      </c>
      <c r="P1615" s="14"/>
    </row>
    <row r="1616">
      <c r="A1616" s="7">
        <v>42434.54152777778</v>
      </c>
      <c r="B1616" s="8" t="str">
        <f t="shared" ref="B1616:B1617" si="391">HYPERLINK("https://twitter.com/pastpunditry","@pastpunditry")</f>
        <v>@pastpunditry</v>
      </c>
      <c r="C1616" s="9" t="s">
        <v>92</v>
      </c>
      <c r="D1616" s="9" t="s">
        <v>1697</v>
      </c>
      <c r="E1616" s="10" t="str">
        <f>HYPERLINK("https://twitter.com/pastpunditry/status/706192504899690498","706192504899690498")</f>
        <v>706192504899690498</v>
      </c>
      <c r="F1616" s="11" t="s">
        <v>77</v>
      </c>
      <c r="G1616" s="12">
        <v>896.0</v>
      </c>
      <c r="H1616" s="12">
        <v>378.0</v>
      </c>
      <c r="I1616" s="12">
        <v>3.0</v>
      </c>
      <c r="J1616" s="12">
        <v>2.0</v>
      </c>
      <c r="K1616" s="11" t="s">
        <v>21</v>
      </c>
      <c r="L1616" s="7">
        <v>40283.384351851855</v>
      </c>
      <c r="M1616" s="13" t="s">
        <v>94</v>
      </c>
      <c r="N1616" s="13" t="s">
        <v>95</v>
      </c>
      <c r="O1616" s="10" t="str">
        <f t="shared" ref="O1616:O1617" si="392">HYPERLINK("https://pbs.twimg.com/profile_images/704873222802636800/7aFEMOY5_normal.jpg","View")</f>
        <v>View</v>
      </c>
      <c r="P1616" s="14"/>
    </row>
    <row r="1617">
      <c r="A1617" s="7">
        <v>42434.54157407407</v>
      </c>
      <c r="B1617" s="8" t="str">
        <f t="shared" si="391"/>
        <v>@pastpunditry</v>
      </c>
      <c r="C1617" s="9" t="s">
        <v>92</v>
      </c>
      <c r="D1617" s="9" t="s">
        <v>1698</v>
      </c>
      <c r="E1617" s="10" t="str">
        <f>HYPERLINK("https://twitter.com/pastpunditry/status/706192521186156549","706192521186156549")</f>
        <v>706192521186156549</v>
      </c>
      <c r="F1617" s="11" t="s">
        <v>77</v>
      </c>
      <c r="G1617" s="12">
        <v>896.0</v>
      </c>
      <c r="H1617" s="12">
        <v>378.0</v>
      </c>
      <c r="I1617" s="12">
        <v>4.0</v>
      </c>
      <c r="J1617" s="12">
        <v>0.0</v>
      </c>
      <c r="K1617" s="11" t="s">
        <v>21</v>
      </c>
      <c r="L1617" s="7">
        <v>40283.384351851855</v>
      </c>
      <c r="M1617" s="13" t="s">
        <v>94</v>
      </c>
      <c r="N1617" s="13" t="s">
        <v>95</v>
      </c>
      <c r="O1617" s="10" t="str">
        <f t="shared" si="392"/>
        <v>View</v>
      </c>
      <c r="P1617" s="14"/>
    </row>
    <row r="1618">
      <c r="A1618" s="7">
        <v>42434.54162037037</v>
      </c>
      <c r="B1618" s="8" t="str">
        <f t="shared" ref="B1618:B1619" si="393">HYPERLINK("https://twitter.com/GHAUmass","@GHAUmass")</f>
        <v>@GHAUmass</v>
      </c>
      <c r="C1618" s="9" t="s">
        <v>30</v>
      </c>
      <c r="D1618" s="9" t="s">
        <v>1699</v>
      </c>
      <c r="E1618" s="10" t="str">
        <f>HYPERLINK("https://twitter.com/GHAUmass/status/706192538642862087","706192538642862087")</f>
        <v>706192538642862087</v>
      </c>
      <c r="F1618" s="11" t="s">
        <v>31</v>
      </c>
      <c r="G1618" s="12">
        <v>75.0</v>
      </c>
      <c r="H1618" s="12">
        <v>102.0</v>
      </c>
      <c r="I1618" s="12">
        <v>4.0</v>
      </c>
      <c r="J1618" s="12">
        <v>0.0</v>
      </c>
      <c r="K1618" s="11" t="s">
        <v>21</v>
      </c>
      <c r="L1618" s="7">
        <v>42152.65289351852</v>
      </c>
      <c r="M1618" s="13" t="s">
        <v>22</v>
      </c>
      <c r="N1618" s="13" t="s">
        <v>32</v>
      </c>
      <c r="O1618" s="10" t="str">
        <f t="shared" ref="O1618:O1619" si="394">HYPERLINK("https://pbs.twimg.com/profile_images/604060333590855682/Fk6r1D7d_normal.jpg","View")</f>
        <v>View</v>
      </c>
      <c r="P1618" s="14"/>
    </row>
    <row r="1619">
      <c r="A1619" s="7">
        <v>42434.541967592595</v>
      </c>
      <c r="B1619" s="8" t="str">
        <f t="shared" si="393"/>
        <v>@GHAUmass</v>
      </c>
      <c r="C1619" s="9" t="s">
        <v>30</v>
      </c>
      <c r="D1619" s="9" t="s">
        <v>1700</v>
      </c>
      <c r="E1619" s="10" t="str">
        <f>HYPERLINK("https://twitter.com/GHAUmass/status/706192667336638464","706192667336638464")</f>
        <v>706192667336638464</v>
      </c>
      <c r="F1619" s="11" t="s">
        <v>31</v>
      </c>
      <c r="G1619" s="12">
        <v>75.0</v>
      </c>
      <c r="H1619" s="12">
        <v>102.0</v>
      </c>
      <c r="I1619" s="12">
        <v>2.0</v>
      </c>
      <c r="J1619" s="12">
        <v>0.0</v>
      </c>
      <c r="K1619" s="11" t="s">
        <v>21</v>
      </c>
      <c r="L1619" s="7">
        <v>42152.65289351852</v>
      </c>
      <c r="M1619" s="13" t="s">
        <v>22</v>
      </c>
      <c r="N1619" s="13" t="s">
        <v>32</v>
      </c>
      <c r="O1619" s="10" t="str">
        <f t="shared" si="394"/>
        <v>View</v>
      </c>
      <c r="P1619" s="14"/>
    </row>
    <row r="1620">
      <c r="A1620" s="7">
        <v>42434.54216435185</v>
      </c>
      <c r="B1620" s="8" t="str">
        <f>HYPERLINK("https://twitter.com/JimGrossmanAHA","@JimGrossmanAHA")</f>
        <v>@JimGrossmanAHA</v>
      </c>
      <c r="C1620" s="9" t="s">
        <v>278</v>
      </c>
      <c r="D1620" s="9" t="s">
        <v>1701</v>
      </c>
      <c r="E1620" s="10" t="str">
        <f>HYPERLINK("https://twitter.com/JimGrossmanAHA/status/706192735838052354","706192735838052354")</f>
        <v>706192735838052354</v>
      </c>
      <c r="F1620" s="11" t="s">
        <v>31</v>
      </c>
      <c r="G1620" s="12">
        <v>2244.0</v>
      </c>
      <c r="H1620" s="12">
        <v>368.0</v>
      </c>
      <c r="I1620" s="12">
        <v>2.0</v>
      </c>
      <c r="J1620" s="12">
        <v>0.0</v>
      </c>
      <c r="K1620" s="11" t="s">
        <v>21</v>
      </c>
      <c r="L1620" s="7">
        <v>41576.36603009259</v>
      </c>
      <c r="M1620" s="13" t="s">
        <v>279</v>
      </c>
      <c r="N1620" s="13" t="s">
        <v>280</v>
      </c>
      <c r="O1620" s="10" t="str">
        <f>HYPERLINK("https://pbs.twimg.com/profile_images/378800000667891782/44d7b181c077bf16ab07b242f7ad81b9_normal.png","View")</f>
        <v>View</v>
      </c>
      <c r="P1620" s="14"/>
    </row>
    <row r="1621">
      <c r="A1621" s="7">
        <v>42434.542349537034</v>
      </c>
      <c r="B1621" s="8" t="str">
        <f>HYPERLINK("https://twitter.com/pastpunditry","@pastpunditry")</f>
        <v>@pastpunditry</v>
      </c>
      <c r="C1621" s="9" t="s">
        <v>92</v>
      </c>
      <c r="D1621" s="9" t="s">
        <v>1702</v>
      </c>
      <c r="E1621" s="10" t="str">
        <f>HYPERLINK("https://twitter.com/pastpunditry/status/706192803244728320","706192803244728320")</f>
        <v>706192803244728320</v>
      </c>
      <c r="F1621" s="11" t="s">
        <v>77</v>
      </c>
      <c r="G1621" s="12">
        <v>896.0</v>
      </c>
      <c r="H1621" s="12">
        <v>378.0</v>
      </c>
      <c r="I1621" s="12">
        <v>2.0</v>
      </c>
      <c r="J1621" s="12">
        <v>0.0</v>
      </c>
      <c r="K1621" s="11" t="s">
        <v>21</v>
      </c>
      <c r="L1621" s="7">
        <v>40283.384351851855</v>
      </c>
      <c r="M1621" s="13" t="s">
        <v>94</v>
      </c>
      <c r="N1621" s="13" t="s">
        <v>95</v>
      </c>
      <c r="O1621" s="10" t="str">
        <f>HYPERLINK("https://pbs.twimg.com/profile_images/704873222802636800/7aFEMOY5_normal.jpg","View")</f>
        <v>View</v>
      </c>
      <c r="P1621" s="14"/>
    </row>
    <row r="1622">
      <c r="A1622" s="7">
        <v>42434.54288194445</v>
      </c>
      <c r="B1622" s="8" t="str">
        <f t="shared" ref="B1622:B1623" si="395">HYPERLINK("https://twitter.com/GHAUmass","@GHAUmass")</f>
        <v>@GHAUmass</v>
      </c>
      <c r="C1622" s="9" t="s">
        <v>30</v>
      </c>
      <c r="D1622" s="9" t="s">
        <v>1703</v>
      </c>
      <c r="E1622" s="10" t="str">
        <f>HYPERLINK("https://twitter.com/GHAUmass/status/706192997810106369","706192997810106369")</f>
        <v>706192997810106369</v>
      </c>
      <c r="F1622" s="11" t="s">
        <v>31</v>
      </c>
      <c r="G1622" s="12">
        <v>75.0</v>
      </c>
      <c r="H1622" s="12">
        <v>102.0</v>
      </c>
      <c r="I1622" s="12">
        <v>3.0</v>
      </c>
      <c r="J1622" s="12">
        <v>0.0</v>
      </c>
      <c r="K1622" s="11" t="s">
        <v>21</v>
      </c>
      <c r="L1622" s="7">
        <v>42152.65289351852</v>
      </c>
      <c r="M1622" s="13" t="s">
        <v>22</v>
      </c>
      <c r="N1622" s="13" t="s">
        <v>32</v>
      </c>
      <c r="O1622" s="10" t="str">
        <f t="shared" ref="O1622:O1623" si="396">HYPERLINK("https://pbs.twimg.com/profile_images/604060333590855682/Fk6r1D7d_normal.jpg","View")</f>
        <v>View</v>
      </c>
      <c r="P1622" s="14"/>
    </row>
    <row r="1623">
      <c r="A1623" s="7">
        <v>42434.54336805556</v>
      </c>
      <c r="B1623" s="8" t="str">
        <f t="shared" si="395"/>
        <v>@GHAUmass</v>
      </c>
      <c r="C1623" s="9" t="s">
        <v>30</v>
      </c>
      <c r="D1623" s="9" t="s">
        <v>1702</v>
      </c>
      <c r="E1623" s="10" t="str">
        <f>HYPERLINK("https://twitter.com/GHAUmass/status/706193173744369664","706193173744369664")</f>
        <v>706193173744369664</v>
      </c>
      <c r="F1623" s="11" t="s">
        <v>31</v>
      </c>
      <c r="G1623" s="12">
        <v>75.0</v>
      </c>
      <c r="H1623" s="12">
        <v>102.0</v>
      </c>
      <c r="I1623" s="12">
        <v>2.0</v>
      </c>
      <c r="J1623" s="12">
        <v>0.0</v>
      </c>
      <c r="K1623" s="11" t="s">
        <v>21</v>
      </c>
      <c r="L1623" s="7">
        <v>42152.65289351852</v>
      </c>
      <c r="M1623" s="13" t="s">
        <v>22</v>
      </c>
      <c r="N1623" s="13" t="s">
        <v>32</v>
      </c>
      <c r="O1623" s="10" t="str">
        <f t="shared" si="396"/>
        <v>View</v>
      </c>
      <c r="P1623" s="14"/>
    </row>
    <row r="1624">
      <c r="A1624" s="7">
        <v>42434.543715277774</v>
      </c>
      <c r="B1624" s="8" t="str">
        <f>HYPERLINK("https://twitter.com/juliegpeterson","@juliegpeterson")</f>
        <v>@juliegpeterson</v>
      </c>
      <c r="C1624" s="9" t="s">
        <v>24</v>
      </c>
      <c r="D1624" s="9" t="s">
        <v>1704</v>
      </c>
      <c r="E1624" s="10" t="str">
        <f>HYPERLINK("https://twitter.com/juliegpeterson/status/706193297212121088","706193297212121088")</f>
        <v>706193297212121088</v>
      </c>
      <c r="F1624" s="11" t="s">
        <v>26</v>
      </c>
      <c r="G1624" s="12">
        <v>240.0</v>
      </c>
      <c r="H1624" s="12">
        <v>778.0</v>
      </c>
      <c r="I1624" s="12">
        <v>2.0</v>
      </c>
      <c r="J1624" s="12">
        <v>1.0</v>
      </c>
      <c r="K1624" s="11" t="s">
        <v>21</v>
      </c>
      <c r="L1624" s="7">
        <v>41208.65523148148</v>
      </c>
      <c r="M1624" s="13" t="s">
        <v>22</v>
      </c>
      <c r="N1624" s="13" t="s">
        <v>27</v>
      </c>
      <c r="O1624" s="10" t="str">
        <f>HYPERLINK("https://pbs.twimg.com/profile_images/609765839051452416/GNW0wSt0_normal.jpg","View")</f>
        <v>View</v>
      </c>
      <c r="P1624" s="14"/>
    </row>
    <row r="1625">
      <c r="A1625" s="7">
        <v>42434.54372685185</v>
      </c>
      <c r="B1625" s="8" t="str">
        <f t="shared" ref="B1625:B1626" si="397">HYPERLINK("https://twitter.com/pastpunditry","@pastpunditry")</f>
        <v>@pastpunditry</v>
      </c>
      <c r="C1625" s="9" t="s">
        <v>92</v>
      </c>
      <c r="D1625" s="9" t="s">
        <v>1705</v>
      </c>
      <c r="E1625" s="10" t="str">
        <f>HYPERLINK("https://twitter.com/pastpunditry/status/706193302241067009","706193302241067009")</f>
        <v>706193302241067009</v>
      </c>
      <c r="F1625" s="11" t="s">
        <v>77</v>
      </c>
      <c r="G1625" s="12">
        <v>896.0</v>
      </c>
      <c r="H1625" s="12">
        <v>378.0</v>
      </c>
      <c r="I1625" s="12">
        <v>2.0</v>
      </c>
      <c r="J1625" s="12">
        <v>1.0</v>
      </c>
      <c r="K1625" s="11" t="s">
        <v>21</v>
      </c>
      <c r="L1625" s="7">
        <v>40283.384351851855</v>
      </c>
      <c r="M1625" s="13" t="s">
        <v>94</v>
      </c>
      <c r="N1625" s="13" t="s">
        <v>95</v>
      </c>
      <c r="O1625" s="10" t="str">
        <f t="shared" ref="O1625:O1626" si="398">HYPERLINK("https://pbs.twimg.com/profile_images/704873222802636800/7aFEMOY5_normal.jpg","View")</f>
        <v>View</v>
      </c>
      <c r="P1625" s="14"/>
    </row>
    <row r="1626">
      <c r="A1626" s="7">
        <v>42434.543761574074</v>
      </c>
      <c r="B1626" s="8" t="str">
        <f t="shared" si="397"/>
        <v>@pastpunditry</v>
      </c>
      <c r="C1626" s="9" t="s">
        <v>92</v>
      </c>
      <c r="D1626" s="9" t="s">
        <v>1706</v>
      </c>
      <c r="E1626" s="10" t="str">
        <f>HYPERLINK("https://twitter.com/pastpunditry/status/706193317231501316","706193317231501316")</f>
        <v>706193317231501316</v>
      </c>
      <c r="F1626" s="11" t="s">
        <v>77</v>
      </c>
      <c r="G1626" s="12">
        <v>896.0</v>
      </c>
      <c r="H1626" s="12">
        <v>378.0</v>
      </c>
      <c r="I1626" s="12">
        <v>2.0</v>
      </c>
      <c r="J1626" s="12">
        <v>0.0</v>
      </c>
      <c r="K1626" s="11" t="s">
        <v>21</v>
      </c>
      <c r="L1626" s="7">
        <v>40283.384351851855</v>
      </c>
      <c r="M1626" s="13" t="s">
        <v>94</v>
      </c>
      <c r="N1626" s="13" t="s">
        <v>95</v>
      </c>
      <c r="O1626" s="10" t="str">
        <f t="shared" si="398"/>
        <v>View</v>
      </c>
      <c r="P1626" s="14"/>
    </row>
    <row r="1627">
      <c r="A1627" s="7">
        <v>42434.543958333335</v>
      </c>
      <c r="B1627" s="8" t="str">
        <f>HYPERLINK("https://twitter.com/mathhistory","@mathhistory")</f>
        <v>@mathhistory</v>
      </c>
      <c r="C1627" s="9" t="s">
        <v>341</v>
      </c>
      <c r="D1627" s="9" t="s">
        <v>1707</v>
      </c>
      <c r="E1627" s="10" t="str">
        <f>HYPERLINK("https://twitter.com/mathhistory/status/706193385971949568","706193385971949568")</f>
        <v>706193385971949568</v>
      </c>
      <c r="F1627" s="11" t="s">
        <v>26</v>
      </c>
      <c r="G1627" s="12">
        <v>791.0</v>
      </c>
      <c r="H1627" s="12">
        <v>1109.0</v>
      </c>
      <c r="I1627" s="12">
        <v>0.0</v>
      </c>
      <c r="J1627" s="12">
        <v>2.0</v>
      </c>
      <c r="K1627" s="11" t="s">
        <v>21</v>
      </c>
      <c r="L1627" s="7">
        <v>41089.96089120371</v>
      </c>
      <c r="M1627" s="13" t="s">
        <v>343</v>
      </c>
      <c r="N1627" s="13" t="s">
        <v>344</v>
      </c>
      <c r="O1627" s="10" t="str">
        <f>HYPERLINK("https://pbs.twimg.com/profile_images/3034769023/09adfcbebccfeef2a42e39aaac64ede5_normal.jpeg","View")</f>
        <v>View</v>
      </c>
      <c r="P1627" s="14"/>
    </row>
    <row r="1628">
      <c r="A1628" s="7">
        <v>42434.54415509259</v>
      </c>
      <c r="B1628" s="8" t="str">
        <f>HYPERLINK("https://twitter.com/juliegpeterson","@juliegpeterson")</f>
        <v>@juliegpeterson</v>
      </c>
      <c r="C1628" s="9" t="s">
        <v>24</v>
      </c>
      <c r="D1628" s="9" t="s">
        <v>1708</v>
      </c>
      <c r="E1628" s="10" t="str">
        <f>HYPERLINK("https://twitter.com/juliegpeterson/status/706193459644919809","706193459644919809")</f>
        <v>706193459644919809</v>
      </c>
      <c r="F1628" s="11" t="s">
        <v>26</v>
      </c>
      <c r="G1628" s="12">
        <v>240.0</v>
      </c>
      <c r="H1628" s="12">
        <v>778.0</v>
      </c>
      <c r="I1628" s="12">
        <v>2.0</v>
      </c>
      <c r="J1628" s="12">
        <v>0.0</v>
      </c>
      <c r="K1628" s="11" t="s">
        <v>21</v>
      </c>
      <c r="L1628" s="7">
        <v>41208.65523148148</v>
      </c>
      <c r="M1628" s="13" t="s">
        <v>22</v>
      </c>
      <c r="N1628" s="13" t="s">
        <v>27</v>
      </c>
      <c r="O1628" s="10" t="str">
        <f>HYPERLINK("https://pbs.twimg.com/profile_images/609765839051452416/GNW0wSt0_normal.jpg","View")</f>
        <v>View</v>
      </c>
      <c r="P1628" s="14"/>
    </row>
    <row r="1629">
      <c r="A1629" s="7">
        <v>42434.544340277775</v>
      </c>
      <c r="B1629" s="8" t="str">
        <f>HYPERLINK("https://twitter.com/pastpunditry","@pastpunditry")</f>
        <v>@pastpunditry</v>
      </c>
      <c r="C1629" s="9" t="s">
        <v>92</v>
      </c>
      <c r="D1629" s="9" t="s">
        <v>1709</v>
      </c>
      <c r="E1629" s="10" t="str">
        <f>HYPERLINK("https://twitter.com/pastpunditry/status/706193526854426624","706193526854426624")</f>
        <v>706193526854426624</v>
      </c>
      <c r="F1629" s="11" t="s">
        <v>77</v>
      </c>
      <c r="G1629" s="12">
        <v>896.0</v>
      </c>
      <c r="H1629" s="12">
        <v>378.0</v>
      </c>
      <c r="I1629" s="12">
        <v>1.0</v>
      </c>
      <c r="J1629" s="12">
        <v>2.0</v>
      </c>
      <c r="K1629" s="11" t="s">
        <v>21</v>
      </c>
      <c r="L1629" s="7">
        <v>40283.384351851855</v>
      </c>
      <c r="M1629" s="13" t="s">
        <v>94</v>
      </c>
      <c r="N1629" s="13" t="s">
        <v>95</v>
      </c>
      <c r="O1629" s="10" t="str">
        <f>HYPERLINK("https://pbs.twimg.com/profile_images/704873222802636800/7aFEMOY5_normal.jpg","View")</f>
        <v>View</v>
      </c>
      <c r="P1629" s="14"/>
    </row>
    <row r="1630">
      <c r="A1630" s="7">
        <v>42434.54523148148</v>
      </c>
      <c r="B1630" s="8" t="str">
        <f>HYPERLINK("https://twitter.com/juliegpeterson","@juliegpeterson")</f>
        <v>@juliegpeterson</v>
      </c>
      <c r="C1630" s="9" t="s">
        <v>24</v>
      </c>
      <c r="D1630" s="9" t="s">
        <v>1710</v>
      </c>
      <c r="E1630" s="10" t="str">
        <f>HYPERLINK("https://twitter.com/juliegpeterson/status/706193849081831424","706193849081831424")</f>
        <v>706193849081831424</v>
      </c>
      <c r="F1630" s="11" t="s">
        <v>26</v>
      </c>
      <c r="G1630" s="12">
        <v>240.0</v>
      </c>
      <c r="H1630" s="12">
        <v>778.0</v>
      </c>
      <c r="I1630" s="12">
        <v>2.0</v>
      </c>
      <c r="J1630" s="12">
        <v>1.0</v>
      </c>
      <c r="K1630" s="11" t="s">
        <v>21</v>
      </c>
      <c r="L1630" s="7">
        <v>41208.65523148148</v>
      </c>
      <c r="M1630" s="13" t="s">
        <v>22</v>
      </c>
      <c r="N1630" s="13" t="s">
        <v>27</v>
      </c>
      <c r="O1630" s="10" t="str">
        <f>HYPERLINK("https://pbs.twimg.com/profile_images/609765839051452416/GNW0wSt0_normal.jpg","View")</f>
        <v>View</v>
      </c>
      <c r="P1630" s="14"/>
    </row>
    <row r="1631">
      <c r="A1631" s="7">
        <v>42434.5453125</v>
      </c>
      <c r="B1631" s="8" t="str">
        <f>HYPERLINK("https://twitter.com/pastpunditry","@pastpunditry")</f>
        <v>@pastpunditry</v>
      </c>
      <c r="C1631" s="9" t="s">
        <v>92</v>
      </c>
      <c r="D1631" s="9" t="s">
        <v>1711</v>
      </c>
      <c r="E1631" s="10" t="str">
        <f>HYPERLINK("https://twitter.com/pastpunditry/status/706193876726509568","706193876726509568")</f>
        <v>706193876726509568</v>
      </c>
      <c r="F1631" s="11" t="s">
        <v>77</v>
      </c>
      <c r="G1631" s="12">
        <v>896.0</v>
      </c>
      <c r="H1631" s="12">
        <v>378.0</v>
      </c>
      <c r="I1631" s="12">
        <v>2.0</v>
      </c>
      <c r="J1631" s="12">
        <v>0.0</v>
      </c>
      <c r="K1631" s="11" t="s">
        <v>21</v>
      </c>
      <c r="L1631" s="7">
        <v>40283.384351851855</v>
      </c>
      <c r="M1631" s="13" t="s">
        <v>94</v>
      </c>
      <c r="N1631" s="13" t="s">
        <v>95</v>
      </c>
      <c r="O1631" s="10" t="str">
        <f>HYPERLINK("https://pbs.twimg.com/profile_images/704873222802636800/7aFEMOY5_normal.jpg","View")</f>
        <v>View</v>
      </c>
      <c r="P1631" s="14"/>
    </row>
    <row r="1632">
      <c r="A1632" s="7">
        <v>42434.54608796297</v>
      </c>
      <c r="B1632" s="8" t="str">
        <f>HYPERLINK("https://twitter.com/JimGrossmanAHA","@JimGrossmanAHA")</f>
        <v>@JimGrossmanAHA</v>
      </c>
      <c r="C1632" s="9" t="s">
        <v>278</v>
      </c>
      <c r="D1632" s="9" t="s">
        <v>1712</v>
      </c>
      <c r="E1632" s="10" t="str">
        <f>HYPERLINK("https://twitter.com/JimGrossmanAHA/status/706194157220601856","706194157220601856")</f>
        <v>706194157220601856</v>
      </c>
      <c r="F1632" s="11" t="s">
        <v>31</v>
      </c>
      <c r="G1632" s="12">
        <v>2244.0</v>
      </c>
      <c r="H1632" s="12">
        <v>368.0</v>
      </c>
      <c r="I1632" s="12">
        <v>2.0</v>
      </c>
      <c r="J1632" s="12">
        <v>0.0</v>
      </c>
      <c r="K1632" s="11" t="s">
        <v>21</v>
      </c>
      <c r="L1632" s="7">
        <v>41576.36603009259</v>
      </c>
      <c r="M1632" s="13" t="s">
        <v>279</v>
      </c>
      <c r="N1632" s="13" t="s">
        <v>280</v>
      </c>
      <c r="O1632" s="10" t="str">
        <f>HYPERLINK("https://pbs.twimg.com/profile_images/378800000667891782/44d7b181c077bf16ab07b242f7ad81b9_normal.png","View")</f>
        <v>View</v>
      </c>
      <c r="P1632" s="14"/>
    </row>
    <row r="1633">
      <c r="A1633" s="7">
        <v>42434.54634259259</v>
      </c>
      <c r="B1633" s="8" t="str">
        <f>HYPERLINK("https://twitter.com/pastpunditry","@pastpunditry")</f>
        <v>@pastpunditry</v>
      </c>
      <c r="C1633" s="9" t="s">
        <v>92</v>
      </c>
      <c r="D1633" s="9" t="s">
        <v>1713</v>
      </c>
      <c r="E1633" s="10" t="str">
        <f>HYPERLINK("https://twitter.com/pastpunditry/status/706194250829062144","706194250829062144")</f>
        <v>706194250829062144</v>
      </c>
      <c r="F1633" s="11" t="s">
        <v>77</v>
      </c>
      <c r="G1633" s="12">
        <v>896.0</v>
      </c>
      <c r="H1633" s="12">
        <v>378.0</v>
      </c>
      <c r="I1633" s="12">
        <v>2.0</v>
      </c>
      <c r="J1633" s="12">
        <v>0.0</v>
      </c>
      <c r="K1633" s="11" t="s">
        <v>21</v>
      </c>
      <c r="L1633" s="7">
        <v>40283.384351851855</v>
      </c>
      <c r="M1633" s="13" t="s">
        <v>94</v>
      </c>
      <c r="N1633" s="13" t="s">
        <v>95</v>
      </c>
      <c r="O1633" s="10" t="str">
        <f>HYPERLINK("https://pbs.twimg.com/profile_images/704873222802636800/7aFEMOY5_normal.jpg","View")</f>
        <v>View</v>
      </c>
      <c r="P1633" s="14"/>
    </row>
    <row r="1634">
      <c r="A1634" s="7">
        <v>42434.54728009259</v>
      </c>
      <c r="B1634" s="8" t="str">
        <f>HYPERLINK("https://twitter.com/juliegpeterson","@juliegpeterson")</f>
        <v>@juliegpeterson</v>
      </c>
      <c r="C1634" s="9" t="s">
        <v>24</v>
      </c>
      <c r="D1634" s="9" t="s">
        <v>1714</v>
      </c>
      <c r="E1634" s="10" t="str">
        <f>HYPERLINK("https://twitter.com/juliegpeterson/status/706194590198603776","706194590198603776")</f>
        <v>706194590198603776</v>
      </c>
      <c r="F1634" s="11" t="s">
        <v>26</v>
      </c>
      <c r="G1634" s="12">
        <v>240.0</v>
      </c>
      <c r="H1634" s="12">
        <v>778.0</v>
      </c>
      <c r="I1634" s="12">
        <v>2.0</v>
      </c>
      <c r="J1634" s="12">
        <v>1.0</v>
      </c>
      <c r="K1634" s="11" t="s">
        <v>21</v>
      </c>
      <c r="L1634" s="7">
        <v>41208.65523148148</v>
      </c>
      <c r="M1634" s="13" t="s">
        <v>22</v>
      </c>
      <c r="N1634" s="13" t="s">
        <v>27</v>
      </c>
      <c r="O1634" s="10" t="str">
        <f>HYPERLINK("https://pbs.twimg.com/profile_images/609765839051452416/GNW0wSt0_normal.jpg","View")</f>
        <v>View</v>
      </c>
      <c r="P1634" s="14"/>
    </row>
    <row r="1635">
      <c r="A1635" s="7">
        <v>42434.54748842593</v>
      </c>
      <c r="B1635" s="8" t="str">
        <f>HYPERLINK("https://twitter.com/rebekkahrubin","@rebekkahrubin")</f>
        <v>@rebekkahrubin</v>
      </c>
      <c r="C1635" s="9" t="s">
        <v>141</v>
      </c>
      <c r="D1635" s="9" t="s">
        <v>1698</v>
      </c>
      <c r="E1635" s="10" t="str">
        <f>HYPERLINK("https://twitter.com/rebekkahrubin/status/706194666375528449","706194666375528449")</f>
        <v>706194666375528449</v>
      </c>
      <c r="F1635" s="11" t="s">
        <v>31</v>
      </c>
      <c r="G1635" s="12">
        <v>495.0</v>
      </c>
      <c r="H1635" s="12">
        <v>1226.0</v>
      </c>
      <c r="I1635" s="12">
        <v>4.0</v>
      </c>
      <c r="J1635" s="12">
        <v>0.0</v>
      </c>
      <c r="K1635" s="11" t="s">
        <v>21</v>
      </c>
      <c r="L1635" s="7">
        <v>40411.521527777775</v>
      </c>
      <c r="M1635" s="13" t="s">
        <v>143</v>
      </c>
      <c r="N1635" s="13" t="s">
        <v>144</v>
      </c>
      <c r="O1635" s="10" t="str">
        <f>HYPERLINK("https://pbs.twimg.com/profile_images/700317732588408832/Ym_-neUi_normal.jpg","View")</f>
        <v>View</v>
      </c>
      <c r="P1635" s="14"/>
    </row>
    <row r="1636">
      <c r="A1636" s="7">
        <v>42434.54796296296</v>
      </c>
      <c r="B1636" s="8" t="str">
        <f>HYPERLINK("https://twitter.com/pastpunditry","@pastpunditry")</f>
        <v>@pastpunditry</v>
      </c>
      <c r="C1636" s="9" t="s">
        <v>92</v>
      </c>
      <c r="D1636" s="9" t="s">
        <v>1715</v>
      </c>
      <c r="E1636" s="10" t="str">
        <f>HYPERLINK("https://twitter.com/pastpunditry/status/706194836303581184","706194836303581184")</f>
        <v>706194836303581184</v>
      </c>
      <c r="F1636" s="11" t="s">
        <v>77</v>
      </c>
      <c r="G1636" s="12">
        <v>896.0</v>
      </c>
      <c r="H1636" s="12">
        <v>378.0</v>
      </c>
      <c r="I1636" s="12">
        <v>1.0</v>
      </c>
      <c r="J1636" s="12">
        <v>3.0</v>
      </c>
      <c r="K1636" s="11" t="s">
        <v>21</v>
      </c>
      <c r="L1636" s="7">
        <v>40283.384351851855</v>
      </c>
      <c r="M1636" s="13" t="s">
        <v>94</v>
      </c>
      <c r="N1636" s="13" t="s">
        <v>95</v>
      </c>
      <c r="O1636" s="10" t="str">
        <f>HYPERLINK("https://pbs.twimg.com/profile_images/704873222802636800/7aFEMOY5_normal.jpg","View")</f>
        <v>View</v>
      </c>
      <c r="P1636" s="14"/>
    </row>
    <row r="1637">
      <c r="A1637" s="7">
        <v>42434.54798611111</v>
      </c>
      <c r="B1637" s="8" t="str">
        <f>HYPERLINK("https://twitter.com/juliegpeterson","@juliegpeterson")</f>
        <v>@juliegpeterson</v>
      </c>
      <c r="C1637" s="9" t="s">
        <v>24</v>
      </c>
      <c r="D1637" s="9" t="s">
        <v>1716</v>
      </c>
      <c r="E1637" s="10" t="str">
        <f>HYPERLINK("https://twitter.com/juliegpeterson/status/706194847418458112","706194847418458112")</f>
        <v>706194847418458112</v>
      </c>
      <c r="F1637" s="11" t="s">
        <v>26</v>
      </c>
      <c r="G1637" s="12">
        <v>240.0</v>
      </c>
      <c r="H1637" s="12">
        <v>778.0</v>
      </c>
      <c r="I1637" s="12">
        <v>1.0</v>
      </c>
      <c r="J1637" s="12">
        <v>5.0</v>
      </c>
      <c r="K1637" s="11" t="s">
        <v>21</v>
      </c>
      <c r="L1637" s="7">
        <v>41208.65523148148</v>
      </c>
      <c r="M1637" s="13" t="s">
        <v>22</v>
      </c>
      <c r="N1637" s="13" t="s">
        <v>27</v>
      </c>
      <c r="O1637" s="10" t="str">
        <f>HYPERLINK("https://pbs.twimg.com/profile_images/609765839051452416/GNW0wSt0_normal.jpg","View")</f>
        <v>View</v>
      </c>
      <c r="P1637" s="14"/>
    </row>
    <row r="1638">
      <c r="A1638" s="7">
        <v>42434.547997685186</v>
      </c>
      <c r="B1638" s="8" t="str">
        <f t="shared" ref="B1638:B1639" si="399">HYPERLINK("https://twitter.com/pastpunditry","@pastpunditry")</f>
        <v>@pastpunditry</v>
      </c>
      <c r="C1638" s="9" t="s">
        <v>92</v>
      </c>
      <c r="D1638" s="9" t="s">
        <v>1717</v>
      </c>
      <c r="E1638" s="10" t="str">
        <f>HYPERLINK("https://twitter.com/pastpunditry/status/706194851537223680","706194851537223680")</f>
        <v>706194851537223680</v>
      </c>
      <c r="F1638" s="11" t="s">
        <v>77</v>
      </c>
      <c r="G1638" s="12">
        <v>896.0</v>
      </c>
      <c r="H1638" s="12">
        <v>378.0</v>
      </c>
      <c r="I1638" s="12">
        <v>2.0</v>
      </c>
      <c r="J1638" s="12">
        <v>0.0</v>
      </c>
      <c r="K1638" s="11" t="s">
        <v>21</v>
      </c>
      <c r="L1638" s="7">
        <v>40283.384351851855</v>
      </c>
      <c r="M1638" s="13" t="s">
        <v>94</v>
      </c>
      <c r="N1638" s="13" t="s">
        <v>95</v>
      </c>
      <c r="O1638" s="10" t="str">
        <f t="shared" ref="O1638:O1639" si="400">HYPERLINK("https://pbs.twimg.com/profile_images/704873222802636800/7aFEMOY5_normal.jpg","View")</f>
        <v>View</v>
      </c>
      <c r="P1638" s="14"/>
    </row>
    <row r="1639">
      <c r="A1639" s="7">
        <v>42434.548043981486</v>
      </c>
      <c r="B1639" s="8" t="str">
        <f t="shared" si="399"/>
        <v>@pastpunditry</v>
      </c>
      <c r="C1639" s="9" t="s">
        <v>92</v>
      </c>
      <c r="D1639" s="9" t="s">
        <v>1718</v>
      </c>
      <c r="E1639" s="10" t="str">
        <f>HYPERLINK("https://twitter.com/pastpunditry/status/706194865512644609","706194865512644609")</f>
        <v>706194865512644609</v>
      </c>
      <c r="F1639" s="11" t="s">
        <v>77</v>
      </c>
      <c r="G1639" s="12">
        <v>896.0</v>
      </c>
      <c r="H1639" s="12">
        <v>378.0</v>
      </c>
      <c r="I1639" s="12">
        <v>1.0</v>
      </c>
      <c r="J1639" s="12">
        <v>0.0</v>
      </c>
      <c r="K1639" s="11" t="s">
        <v>21</v>
      </c>
      <c r="L1639" s="7">
        <v>40283.384351851855</v>
      </c>
      <c r="M1639" s="13" t="s">
        <v>94</v>
      </c>
      <c r="N1639" s="13" t="s">
        <v>95</v>
      </c>
      <c r="O1639" s="10" t="str">
        <f t="shared" si="400"/>
        <v>View</v>
      </c>
      <c r="P1639" s="14"/>
    </row>
    <row r="1640">
      <c r="A1640" s="7">
        <v>42434.54807870371</v>
      </c>
      <c r="B1640" s="8" t="str">
        <f>HYPERLINK("https://twitter.com/juliegpeterson","@juliegpeterson")</f>
        <v>@juliegpeterson</v>
      </c>
      <c r="C1640" s="9" t="s">
        <v>24</v>
      </c>
      <c r="D1640" s="9" t="s">
        <v>1719</v>
      </c>
      <c r="E1640" s="10" t="str">
        <f>HYPERLINK("https://twitter.com/juliegpeterson/status/706194881442652161","706194881442652161")</f>
        <v>706194881442652161</v>
      </c>
      <c r="F1640" s="11" t="s">
        <v>26</v>
      </c>
      <c r="G1640" s="12">
        <v>240.0</v>
      </c>
      <c r="H1640" s="12">
        <v>778.0</v>
      </c>
      <c r="I1640" s="12">
        <v>1.0</v>
      </c>
      <c r="J1640" s="12">
        <v>0.0</v>
      </c>
      <c r="K1640" s="11" t="s">
        <v>21</v>
      </c>
      <c r="L1640" s="7">
        <v>41208.65523148148</v>
      </c>
      <c r="M1640" s="13" t="s">
        <v>22</v>
      </c>
      <c r="N1640" s="13" t="s">
        <v>27</v>
      </c>
      <c r="O1640" s="10" t="str">
        <f>HYPERLINK("https://pbs.twimg.com/profile_images/609765839051452416/GNW0wSt0_normal.jpg","View")</f>
        <v>View</v>
      </c>
      <c r="P1640" s="14"/>
    </row>
    <row r="1641">
      <c r="A1641" s="7">
        <v>42434.548668981486</v>
      </c>
      <c r="B1641" s="8" t="str">
        <f>HYPERLINK("https://twitter.com/samueljredman","@samueljredman")</f>
        <v>@samueljredman</v>
      </c>
      <c r="C1641" s="9" t="s">
        <v>158</v>
      </c>
      <c r="D1641" s="9" t="s">
        <v>1491</v>
      </c>
      <c r="E1641" s="10" t="str">
        <f>HYPERLINK("https://twitter.com/samueljredman/status/706195093292773376","706195093292773376")</f>
        <v>706195093292773376</v>
      </c>
      <c r="F1641" s="11" t="s">
        <v>72</v>
      </c>
      <c r="G1641" s="12">
        <v>5626.0</v>
      </c>
      <c r="H1641" s="12">
        <v>5357.0</v>
      </c>
      <c r="I1641" s="12">
        <v>3.0</v>
      </c>
      <c r="J1641" s="12">
        <v>0.0</v>
      </c>
      <c r="K1641" s="11" t="s">
        <v>21</v>
      </c>
      <c r="L1641" s="7">
        <v>40584.98517361111</v>
      </c>
      <c r="M1641" s="13" t="s">
        <v>160</v>
      </c>
      <c r="N1641" s="13" t="s">
        <v>161</v>
      </c>
      <c r="O1641" s="10" t="str">
        <f>HYPERLINK("https://pbs.twimg.com/profile_images/548193870278688768/8Dq7gW3U_normal.png","View")</f>
        <v>View</v>
      </c>
      <c r="P1641" s="14"/>
    </row>
    <row r="1642">
      <c r="A1642" s="7">
        <v>42434.54907407408</v>
      </c>
      <c r="B1642" s="8" t="str">
        <f>HYPERLINK("https://twitter.com/rebekkahrubin","@rebekkahrubin")</f>
        <v>@rebekkahrubin</v>
      </c>
      <c r="C1642" s="9" t="s">
        <v>141</v>
      </c>
      <c r="D1642" s="9" t="s">
        <v>1720</v>
      </c>
      <c r="E1642" s="10" t="str">
        <f>HYPERLINK("https://twitter.com/rebekkahrubin/status/706195239220985857","706195239220985857")</f>
        <v>706195239220985857</v>
      </c>
      <c r="F1642" s="11" t="s">
        <v>31</v>
      </c>
      <c r="G1642" s="12">
        <v>495.0</v>
      </c>
      <c r="H1642" s="12">
        <v>1226.0</v>
      </c>
      <c r="I1642" s="12">
        <v>3.0</v>
      </c>
      <c r="J1642" s="12">
        <v>5.0</v>
      </c>
      <c r="K1642" s="11" t="s">
        <v>21</v>
      </c>
      <c r="L1642" s="7">
        <v>40411.521527777775</v>
      </c>
      <c r="M1642" s="13" t="s">
        <v>143</v>
      </c>
      <c r="N1642" s="13" t="s">
        <v>144</v>
      </c>
      <c r="O1642" s="10" t="str">
        <f>HYPERLINK("https://pbs.twimg.com/profile_images/700317732588408832/Ym_-neUi_normal.jpg","View")</f>
        <v>View</v>
      </c>
      <c r="P1642" s="14"/>
    </row>
    <row r="1643">
      <c r="A1643" s="7">
        <v>42434.54925925926</v>
      </c>
      <c r="B1643" s="8" t="str">
        <f>HYPERLINK("https://twitter.com/pastpunditry","@pastpunditry")</f>
        <v>@pastpunditry</v>
      </c>
      <c r="C1643" s="9" t="s">
        <v>92</v>
      </c>
      <c r="D1643" s="9" t="s">
        <v>1721</v>
      </c>
      <c r="E1643" s="10" t="str">
        <f>HYPERLINK("https://twitter.com/pastpunditry/status/706195308540268545","706195308540268545")</f>
        <v>706195308540268545</v>
      </c>
      <c r="F1643" s="11" t="s">
        <v>77</v>
      </c>
      <c r="G1643" s="12">
        <v>896.0</v>
      </c>
      <c r="H1643" s="12">
        <v>378.0</v>
      </c>
      <c r="I1643" s="12">
        <v>3.0</v>
      </c>
      <c r="J1643" s="12">
        <v>0.0</v>
      </c>
      <c r="K1643" s="11" t="s">
        <v>21</v>
      </c>
      <c r="L1643" s="7">
        <v>40283.384351851855</v>
      </c>
      <c r="M1643" s="13" t="s">
        <v>94</v>
      </c>
      <c r="N1643" s="13" t="s">
        <v>95</v>
      </c>
      <c r="O1643" s="10" t="str">
        <f>HYPERLINK("https://pbs.twimg.com/profile_images/704873222802636800/7aFEMOY5_normal.jpg","View")</f>
        <v>View</v>
      </c>
      <c r="P1643" s="14"/>
    </row>
    <row r="1644">
      <c r="A1644" s="7">
        <v>42434.54958333333</v>
      </c>
      <c r="B1644" s="8" t="str">
        <f>HYPERLINK("https://twitter.com/JulieThePH","@JulieThePH")</f>
        <v>@JulieThePH</v>
      </c>
      <c r="C1644" s="9" t="s">
        <v>211</v>
      </c>
      <c r="D1644" s="9" t="s">
        <v>1721</v>
      </c>
      <c r="E1644" s="10" t="str">
        <f>HYPERLINK("https://twitter.com/JulieThePH/status/706195424294653952","706195424294653952")</f>
        <v>706195424294653952</v>
      </c>
      <c r="F1644" s="11" t="s">
        <v>31</v>
      </c>
      <c r="G1644" s="12">
        <v>1241.0</v>
      </c>
      <c r="H1644" s="12">
        <v>1386.0</v>
      </c>
      <c r="I1644" s="12">
        <v>3.0</v>
      </c>
      <c r="J1644" s="12">
        <v>0.0</v>
      </c>
      <c r="K1644" s="11" t="s">
        <v>21</v>
      </c>
      <c r="L1644" s="7">
        <v>40718.66918981481</v>
      </c>
      <c r="M1644" s="13" t="s">
        <v>213</v>
      </c>
      <c r="N1644" s="13" t="s">
        <v>214</v>
      </c>
      <c r="O1644" s="10" t="str">
        <f>HYPERLINK("https://pbs.twimg.com/profile_images/596509974005686273/AqBblwMR_normal.jpg","View")</f>
        <v>View</v>
      </c>
      <c r="P1644" s="14"/>
    </row>
    <row r="1645">
      <c r="A1645" s="7">
        <v>42434.55054398148</v>
      </c>
      <c r="B1645" s="8" t="str">
        <f>HYPERLINK("https://twitter.com/pastpunditry","@pastpunditry")</f>
        <v>@pastpunditry</v>
      </c>
      <c r="C1645" s="9" t="s">
        <v>92</v>
      </c>
      <c r="D1645" s="9" t="s">
        <v>1722</v>
      </c>
      <c r="E1645" s="10" t="str">
        <f>HYPERLINK("https://twitter.com/pastpunditry/status/706195775190130688","706195775190130688")</f>
        <v>706195775190130688</v>
      </c>
      <c r="F1645" s="11" t="s">
        <v>77</v>
      </c>
      <c r="G1645" s="12">
        <v>896.0</v>
      </c>
      <c r="H1645" s="12">
        <v>378.0</v>
      </c>
      <c r="I1645" s="12">
        <v>0.0</v>
      </c>
      <c r="J1645" s="12">
        <v>1.0</v>
      </c>
      <c r="K1645" s="11" t="s">
        <v>21</v>
      </c>
      <c r="L1645" s="7">
        <v>40283.384351851855</v>
      </c>
      <c r="M1645" s="13" t="s">
        <v>94</v>
      </c>
      <c r="N1645" s="13" t="s">
        <v>95</v>
      </c>
      <c r="O1645" s="10" t="str">
        <f>HYPERLINK("https://pbs.twimg.com/profile_images/704873222802636800/7aFEMOY5_normal.jpg","View")</f>
        <v>View</v>
      </c>
      <c r="P1645" s="14"/>
    </row>
    <row r="1646">
      <c r="A1646" s="7">
        <v>42434.55099537037</v>
      </c>
      <c r="B1646" s="8" t="str">
        <f>HYPERLINK("https://twitter.com/juliegpeterson","@juliegpeterson")</f>
        <v>@juliegpeterson</v>
      </c>
      <c r="C1646" s="9" t="s">
        <v>24</v>
      </c>
      <c r="D1646" s="9" t="s">
        <v>1723</v>
      </c>
      <c r="E1646" s="10" t="str">
        <f>HYPERLINK("https://twitter.com/juliegpeterson/status/706195938122067968","706195938122067968")</f>
        <v>706195938122067968</v>
      </c>
      <c r="F1646" s="11" t="s">
        <v>26</v>
      </c>
      <c r="G1646" s="12">
        <v>240.0</v>
      </c>
      <c r="H1646" s="12">
        <v>778.0</v>
      </c>
      <c r="I1646" s="12">
        <v>4.0</v>
      </c>
      <c r="J1646" s="12">
        <v>1.0</v>
      </c>
      <c r="K1646" s="11" t="s">
        <v>21</v>
      </c>
      <c r="L1646" s="7">
        <v>41208.65523148148</v>
      </c>
      <c r="M1646" s="13" t="s">
        <v>22</v>
      </c>
      <c r="N1646" s="13" t="s">
        <v>27</v>
      </c>
      <c r="O1646" s="10" t="str">
        <f>HYPERLINK("https://pbs.twimg.com/profile_images/609765839051452416/GNW0wSt0_normal.jpg","View")</f>
        <v>View</v>
      </c>
      <c r="P1646" s="14"/>
    </row>
    <row r="1647">
      <c r="A1647" s="7">
        <v>42434.55122685185</v>
      </c>
      <c r="B1647" s="8" t="str">
        <f t="shared" ref="B1647:B1648" si="401">HYPERLINK("https://twitter.com/pastpunditry","@pastpunditry")</f>
        <v>@pastpunditry</v>
      </c>
      <c r="C1647" s="9" t="s">
        <v>92</v>
      </c>
      <c r="D1647" s="9" t="s">
        <v>1724</v>
      </c>
      <c r="E1647" s="10" t="str">
        <f>HYPERLINK("https://twitter.com/pastpunditry/status/706196021500616706","706196021500616706")</f>
        <v>706196021500616706</v>
      </c>
      <c r="F1647" s="11" t="s">
        <v>77</v>
      </c>
      <c r="G1647" s="12">
        <v>896.0</v>
      </c>
      <c r="H1647" s="12">
        <v>378.0</v>
      </c>
      <c r="I1647" s="12">
        <v>2.0</v>
      </c>
      <c r="J1647" s="12">
        <v>2.0</v>
      </c>
      <c r="K1647" s="11" t="s">
        <v>21</v>
      </c>
      <c r="L1647" s="7">
        <v>40283.384351851855</v>
      </c>
      <c r="M1647" s="13" t="s">
        <v>94</v>
      </c>
      <c r="N1647" s="13" t="s">
        <v>95</v>
      </c>
      <c r="O1647" s="10" t="str">
        <f t="shared" ref="O1647:O1648" si="402">HYPERLINK("https://pbs.twimg.com/profile_images/704873222802636800/7aFEMOY5_normal.jpg","View")</f>
        <v>View</v>
      </c>
      <c r="P1647" s="14"/>
    </row>
    <row r="1648">
      <c r="A1648" s="7">
        <v>42434.55127314814</v>
      </c>
      <c r="B1648" s="8" t="str">
        <f t="shared" si="401"/>
        <v>@pastpunditry</v>
      </c>
      <c r="C1648" s="9" t="s">
        <v>92</v>
      </c>
      <c r="D1648" s="9" t="s">
        <v>1725</v>
      </c>
      <c r="E1648" s="10" t="str">
        <f>HYPERLINK("https://twitter.com/pastpunditry/status/706196038068080641","706196038068080641")</f>
        <v>706196038068080641</v>
      </c>
      <c r="F1648" s="11" t="s">
        <v>77</v>
      </c>
      <c r="G1648" s="12">
        <v>896.0</v>
      </c>
      <c r="H1648" s="12">
        <v>378.0</v>
      </c>
      <c r="I1648" s="12">
        <v>4.0</v>
      </c>
      <c r="J1648" s="12">
        <v>0.0</v>
      </c>
      <c r="K1648" s="11" t="s">
        <v>21</v>
      </c>
      <c r="L1648" s="7">
        <v>40283.384351851855</v>
      </c>
      <c r="M1648" s="13" t="s">
        <v>94</v>
      </c>
      <c r="N1648" s="13" t="s">
        <v>95</v>
      </c>
      <c r="O1648" s="10" t="str">
        <f t="shared" si="402"/>
        <v>View</v>
      </c>
      <c r="P1648" s="14"/>
    </row>
    <row r="1649">
      <c r="A1649" s="7">
        <v>42434.55149305555</v>
      </c>
      <c r="B1649" s="8" t="str">
        <f>HYPERLINK("https://twitter.com/JulieThePH","@JulieThePH")</f>
        <v>@JulieThePH</v>
      </c>
      <c r="C1649" s="9" t="s">
        <v>211</v>
      </c>
      <c r="D1649" s="9" t="s">
        <v>1726</v>
      </c>
      <c r="E1649" s="10" t="str">
        <f>HYPERLINK("https://twitter.com/JulieThePH/status/706196117957033988","706196117957033988")</f>
        <v>706196117957033988</v>
      </c>
      <c r="F1649" s="11" t="s">
        <v>31</v>
      </c>
      <c r="G1649" s="12">
        <v>1241.0</v>
      </c>
      <c r="H1649" s="12">
        <v>1386.0</v>
      </c>
      <c r="I1649" s="12">
        <v>3.0</v>
      </c>
      <c r="J1649" s="12">
        <v>3.0</v>
      </c>
      <c r="K1649" s="11" t="s">
        <v>21</v>
      </c>
      <c r="L1649" s="7">
        <v>40718.66918981481</v>
      </c>
      <c r="M1649" s="13" t="s">
        <v>213</v>
      </c>
      <c r="N1649" s="13" t="s">
        <v>214</v>
      </c>
      <c r="O1649" s="10" t="str">
        <f>HYPERLINK("https://pbs.twimg.com/profile_images/596509974005686273/AqBblwMR_normal.jpg","View")</f>
        <v>View</v>
      </c>
      <c r="P1649" s="14"/>
    </row>
    <row r="1650">
      <c r="A1650" s="7">
        <v>42434.55209490741</v>
      </c>
      <c r="B1650" s="8" t="str">
        <f>HYPERLINK("https://twitter.com/samueljredman","@samueljredman")</f>
        <v>@samueljredman</v>
      </c>
      <c r="C1650" s="9" t="s">
        <v>158</v>
      </c>
      <c r="D1650" s="9" t="s">
        <v>1727</v>
      </c>
      <c r="E1650" s="10" t="str">
        <f>HYPERLINK("https://twitter.com/samueljredman/status/706196336891326464","706196336891326464")</f>
        <v>706196336891326464</v>
      </c>
      <c r="F1650" s="11" t="s">
        <v>26</v>
      </c>
      <c r="G1650" s="12">
        <v>5626.0</v>
      </c>
      <c r="H1650" s="12">
        <v>5357.0</v>
      </c>
      <c r="I1650" s="12">
        <v>2.0</v>
      </c>
      <c r="J1650" s="12">
        <v>0.0</v>
      </c>
      <c r="K1650" s="11" t="s">
        <v>21</v>
      </c>
      <c r="L1650" s="7">
        <v>40584.98517361111</v>
      </c>
      <c r="M1650" s="13" t="s">
        <v>160</v>
      </c>
      <c r="N1650" s="13" t="s">
        <v>161</v>
      </c>
      <c r="O1650" s="10" t="str">
        <f>HYPERLINK("https://pbs.twimg.com/profile_images/548193870278688768/8Dq7gW3U_normal.png","View")</f>
        <v>View</v>
      </c>
      <c r="P1650" s="14"/>
    </row>
    <row r="1651">
      <c r="A1651" s="7">
        <v>42434.55211805555</v>
      </c>
      <c r="B1651" s="8" t="str">
        <f t="shared" ref="B1651:B1652" si="403">HYPERLINK("https://twitter.com/pastpunditry","@pastpunditry")</f>
        <v>@pastpunditry</v>
      </c>
      <c r="C1651" s="9" t="s">
        <v>92</v>
      </c>
      <c r="D1651" s="9" t="s">
        <v>1728</v>
      </c>
      <c r="E1651" s="10" t="str">
        <f>HYPERLINK("https://twitter.com/pastpunditry/status/706196341966434305","706196341966434305")</f>
        <v>706196341966434305</v>
      </c>
      <c r="F1651" s="11" t="s">
        <v>77</v>
      </c>
      <c r="G1651" s="12">
        <v>896.0</v>
      </c>
      <c r="H1651" s="12">
        <v>378.0</v>
      </c>
      <c r="I1651" s="12">
        <v>0.0</v>
      </c>
      <c r="J1651" s="12">
        <v>1.0</v>
      </c>
      <c r="K1651" s="11" t="s">
        <v>21</v>
      </c>
      <c r="L1651" s="7">
        <v>40283.384351851855</v>
      </c>
      <c r="M1651" s="13" t="s">
        <v>94</v>
      </c>
      <c r="N1651" s="13" t="s">
        <v>95</v>
      </c>
      <c r="O1651" s="10" t="str">
        <f t="shared" ref="O1651:O1652" si="404">HYPERLINK("https://pbs.twimg.com/profile_images/704873222802636800/7aFEMOY5_normal.jpg","View")</f>
        <v>View</v>
      </c>
      <c r="P1651" s="14"/>
    </row>
    <row r="1652">
      <c r="A1652" s="7">
        <v>42434.55216435185</v>
      </c>
      <c r="B1652" s="8" t="str">
        <f t="shared" si="403"/>
        <v>@pastpunditry</v>
      </c>
      <c r="C1652" s="9" t="s">
        <v>92</v>
      </c>
      <c r="D1652" s="9" t="s">
        <v>1729</v>
      </c>
      <c r="E1652" s="10" t="str">
        <f>HYPERLINK("https://twitter.com/pastpunditry/status/706196360429740032","706196360429740032")</f>
        <v>706196360429740032</v>
      </c>
      <c r="F1652" s="11" t="s">
        <v>77</v>
      </c>
      <c r="G1652" s="12">
        <v>896.0</v>
      </c>
      <c r="H1652" s="12">
        <v>378.0</v>
      </c>
      <c r="I1652" s="12">
        <v>3.0</v>
      </c>
      <c r="J1652" s="12">
        <v>0.0</v>
      </c>
      <c r="K1652" s="11" t="s">
        <v>21</v>
      </c>
      <c r="L1652" s="7">
        <v>40283.384351851855</v>
      </c>
      <c r="M1652" s="13" t="s">
        <v>94</v>
      </c>
      <c r="N1652" s="13" t="s">
        <v>95</v>
      </c>
      <c r="O1652" s="10" t="str">
        <f t="shared" si="404"/>
        <v>View</v>
      </c>
      <c r="P1652" s="14"/>
    </row>
    <row r="1653">
      <c r="A1653" s="7">
        <v>42434.55221064815</v>
      </c>
      <c r="B1653" s="8" t="str">
        <f>HYPERLINK("https://twitter.com/samueljredman","@samueljredman")</f>
        <v>@samueljredman</v>
      </c>
      <c r="C1653" s="9" t="s">
        <v>158</v>
      </c>
      <c r="D1653" s="9" t="s">
        <v>1725</v>
      </c>
      <c r="E1653" s="10" t="str">
        <f>HYPERLINK("https://twitter.com/samueljredman/status/706196378809200640","706196378809200640")</f>
        <v>706196378809200640</v>
      </c>
      <c r="F1653" s="11" t="s">
        <v>26</v>
      </c>
      <c r="G1653" s="12">
        <v>5626.0</v>
      </c>
      <c r="H1653" s="12">
        <v>5357.0</v>
      </c>
      <c r="I1653" s="12">
        <v>4.0</v>
      </c>
      <c r="J1653" s="12">
        <v>0.0</v>
      </c>
      <c r="K1653" s="11" t="s">
        <v>21</v>
      </c>
      <c r="L1653" s="7">
        <v>40584.98517361111</v>
      </c>
      <c r="M1653" s="13" t="s">
        <v>160</v>
      </c>
      <c r="N1653" s="13" t="s">
        <v>161</v>
      </c>
      <c r="O1653" s="10" t="str">
        <f>HYPERLINK("https://pbs.twimg.com/profile_images/548193870278688768/8Dq7gW3U_normal.png","View")</f>
        <v>View</v>
      </c>
      <c r="P1653" s="14"/>
    </row>
    <row r="1654">
      <c r="A1654" s="7">
        <v>42434.552453703705</v>
      </c>
      <c r="B1654" s="8" t="str">
        <f t="shared" ref="B1654:B1655" si="405">HYPERLINK("https://twitter.com/juliegpeterson","@juliegpeterson")</f>
        <v>@juliegpeterson</v>
      </c>
      <c r="C1654" s="9" t="s">
        <v>24</v>
      </c>
      <c r="D1654" s="9" t="s">
        <v>1729</v>
      </c>
      <c r="E1654" s="10" t="str">
        <f>HYPERLINK("https://twitter.com/juliegpeterson/status/706196464519749632","706196464519749632")</f>
        <v>706196464519749632</v>
      </c>
      <c r="F1654" s="11" t="s">
        <v>26</v>
      </c>
      <c r="G1654" s="12">
        <v>240.0</v>
      </c>
      <c r="H1654" s="12">
        <v>778.0</v>
      </c>
      <c r="I1654" s="12">
        <v>3.0</v>
      </c>
      <c r="J1654" s="12">
        <v>0.0</v>
      </c>
      <c r="K1654" s="11" t="s">
        <v>21</v>
      </c>
      <c r="L1654" s="7">
        <v>41208.65523148148</v>
      </c>
      <c r="M1654" s="13" t="s">
        <v>22</v>
      </c>
      <c r="N1654" s="13" t="s">
        <v>27</v>
      </c>
      <c r="O1654" s="10" t="str">
        <f t="shared" ref="O1654:O1655" si="406">HYPERLINK("https://pbs.twimg.com/profile_images/609765839051452416/GNW0wSt0_normal.jpg","View")</f>
        <v>View</v>
      </c>
      <c r="P1654" s="14"/>
    </row>
    <row r="1655">
      <c r="A1655" s="7">
        <v>42434.553148148145</v>
      </c>
      <c r="B1655" s="8" t="str">
        <f t="shared" si="405"/>
        <v>@juliegpeterson</v>
      </c>
      <c r="C1655" s="9" t="s">
        <v>24</v>
      </c>
      <c r="D1655" s="9" t="s">
        <v>1730</v>
      </c>
      <c r="E1655" s="10" t="str">
        <f>HYPERLINK("https://twitter.com/juliegpeterson/status/706196718791094273","706196718791094273")</f>
        <v>706196718791094273</v>
      </c>
      <c r="F1655" s="11" t="s">
        <v>26</v>
      </c>
      <c r="G1655" s="12">
        <v>240.0</v>
      </c>
      <c r="H1655" s="12">
        <v>778.0</v>
      </c>
      <c r="I1655" s="12">
        <v>1.0</v>
      </c>
      <c r="J1655" s="12">
        <v>0.0</v>
      </c>
      <c r="K1655" s="11" t="s">
        <v>21</v>
      </c>
      <c r="L1655" s="7">
        <v>41208.65523148148</v>
      </c>
      <c r="M1655" s="13" t="s">
        <v>22</v>
      </c>
      <c r="N1655" s="13" t="s">
        <v>27</v>
      </c>
      <c r="O1655" s="10" t="str">
        <f t="shared" si="406"/>
        <v>View</v>
      </c>
      <c r="P1655" s="14"/>
    </row>
    <row r="1656">
      <c r="A1656" s="7">
        <v>42434.55315972222</v>
      </c>
      <c r="B1656" s="8" t="str">
        <f>HYPERLINK("https://twitter.com/Fleemanator","@Fleemanator")</f>
        <v>@Fleemanator</v>
      </c>
      <c r="C1656" s="9" t="s">
        <v>1731</v>
      </c>
      <c r="D1656" s="9" t="s">
        <v>1699</v>
      </c>
      <c r="E1656" s="10" t="str">
        <f>HYPERLINK("https://twitter.com/Fleemanator/status/706196721215254529","706196721215254529")</f>
        <v>706196721215254529</v>
      </c>
      <c r="F1656" s="11" t="s">
        <v>26</v>
      </c>
      <c r="G1656" s="12">
        <v>522.0</v>
      </c>
      <c r="H1656" s="12">
        <v>1194.0</v>
      </c>
      <c r="I1656" s="12">
        <v>4.0</v>
      </c>
      <c r="J1656" s="12">
        <v>0.0</v>
      </c>
      <c r="K1656" s="11" t="s">
        <v>21</v>
      </c>
      <c r="L1656" s="7">
        <v>40188.064097222225</v>
      </c>
      <c r="M1656" s="13" t="s">
        <v>1732</v>
      </c>
      <c r="N1656" s="13" t="s">
        <v>1733</v>
      </c>
      <c r="O1656" s="10" t="str">
        <f>HYPERLINK("https://pbs.twimg.com/profile_images/696169446243586048/nqd2Obve_normal.jpg","View")</f>
        <v>View</v>
      </c>
      <c r="P1656" s="14"/>
    </row>
    <row r="1657">
      <c r="A1657" s="7">
        <v>42434.55328703704</v>
      </c>
      <c r="B1657" s="8" t="str">
        <f>HYPERLINK("https://twitter.com/pastpunditry","@pastpunditry")</f>
        <v>@pastpunditry</v>
      </c>
      <c r="C1657" s="9" t="s">
        <v>92</v>
      </c>
      <c r="D1657" s="9" t="s">
        <v>1734</v>
      </c>
      <c r="E1657" s="10" t="str">
        <f>HYPERLINK("https://twitter.com/pastpunditry/status/706196767772172295","706196767772172295")</f>
        <v>706196767772172295</v>
      </c>
      <c r="F1657" s="11" t="s">
        <v>77</v>
      </c>
      <c r="G1657" s="12">
        <v>896.0</v>
      </c>
      <c r="H1657" s="12">
        <v>378.0</v>
      </c>
      <c r="I1657" s="12">
        <v>1.0</v>
      </c>
      <c r="J1657" s="12">
        <v>0.0</v>
      </c>
      <c r="K1657" s="11" t="s">
        <v>21</v>
      </c>
      <c r="L1657" s="7">
        <v>40283.384351851855</v>
      </c>
      <c r="M1657" s="13" t="s">
        <v>94</v>
      </c>
      <c r="N1657" s="13" t="s">
        <v>95</v>
      </c>
      <c r="O1657" s="10" t="str">
        <f>HYPERLINK("https://pbs.twimg.com/profile_images/704873222802636800/7aFEMOY5_normal.jpg","View")</f>
        <v>View</v>
      </c>
      <c r="P1657" s="14"/>
    </row>
    <row r="1658">
      <c r="A1658" s="7">
        <v>42434.55375</v>
      </c>
      <c r="B1658" s="8" t="str">
        <f>HYPERLINK("https://twitter.com/jamiaw","@jamiaw")</f>
        <v>@jamiaw</v>
      </c>
      <c r="C1658" s="9" t="s">
        <v>324</v>
      </c>
      <c r="D1658" s="9" t="s">
        <v>1706</v>
      </c>
      <c r="E1658" s="10" t="str">
        <f>HYPERLINK("https://twitter.com/jamiaw/status/706196933170348033","706196933170348033")</f>
        <v>706196933170348033</v>
      </c>
      <c r="F1658" s="11" t="s">
        <v>26</v>
      </c>
      <c r="G1658" s="12">
        <v>11342.0</v>
      </c>
      <c r="H1658" s="12">
        <v>7817.0</v>
      </c>
      <c r="I1658" s="12">
        <v>2.0</v>
      </c>
      <c r="J1658" s="12">
        <v>0.0</v>
      </c>
      <c r="K1658" s="11" t="s">
        <v>21</v>
      </c>
      <c r="L1658" s="7">
        <v>39642.39741898148</v>
      </c>
      <c r="M1658" s="13" t="s">
        <v>325</v>
      </c>
      <c r="N1658" s="13" t="s">
        <v>326</v>
      </c>
      <c r="O1658" s="10" t="str">
        <f>HYPERLINK("https://pbs.twimg.com/profile_images/701102020061753344/5zH70uem_normal.jpg","View")</f>
        <v>View</v>
      </c>
      <c r="P1658" s="14"/>
    </row>
    <row r="1659">
      <c r="A1659" s="7">
        <v>42434.55375</v>
      </c>
      <c r="B1659" s="8" t="str">
        <f>HYPERLINK("https://twitter.com/mathhistory","@mathhistory")</f>
        <v>@mathhistory</v>
      </c>
      <c r="C1659" s="9" t="s">
        <v>341</v>
      </c>
      <c r="D1659" s="9" t="s">
        <v>1735</v>
      </c>
      <c r="E1659" s="10" t="str">
        <f>HYPERLINK("https://twitter.com/mathhistory/status/706196936433467392","706196936433467392")</f>
        <v>706196936433467392</v>
      </c>
      <c r="F1659" s="11" t="s">
        <v>26</v>
      </c>
      <c r="G1659" s="12">
        <v>791.0</v>
      </c>
      <c r="H1659" s="12">
        <v>1109.0</v>
      </c>
      <c r="I1659" s="12">
        <v>1.0</v>
      </c>
      <c r="J1659" s="12">
        <v>4.0</v>
      </c>
      <c r="K1659" s="11" t="s">
        <v>21</v>
      </c>
      <c r="L1659" s="7">
        <v>41089.96089120371</v>
      </c>
      <c r="M1659" s="13" t="s">
        <v>343</v>
      </c>
      <c r="N1659" s="13" t="s">
        <v>344</v>
      </c>
      <c r="O1659" s="10" t="str">
        <f>HYPERLINK("https://pbs.twimg.com/profile_images/3034769023/09adfcbebccfeef2a42e39aaac64ede5_normal.jpeg","View")</f>
        <v>View</v>
      </c>
      <c r="P1659" s="14"/>
    </row>
    <row r="1660">
      <c r="A1660" s="7">
        <v>42434.55380787037</v>
      </c>
      <c r="B1660" s="8" t="str">
        <f>HYPERLINK("https://twitter.com/anichellemitch","@anichellemitch")</f>
        <v>@anichellemitch</v>
      </c>
      <c r="C1660" s="9" t="s">
        <v>1736</v>
      </c>
      <c r="D1660" s="9" t="s">
        <v>1698</v>
      </c>
      <c r="E1660" s="10" t="str">
        <f>HYPERLINK("https://twitter.com/anichellemitch/status/706196958050914304","706196958050914304")</f>
        <v>706196958050914304</v>
      </c>
      <c r="F1660" s="11" t="s">
        <v>26</v>
      </c>
      <c r="G1660" s="12">
        <v>365.0</v>
      </c>
      <c r="H1660" s="12">
        <v>890.0</v>
      </c>
      <c r="I1660" s="12">
        <v>4.0</v>
      </c>
      <c r="J1660" s="12">
        <v>0.0</v>
      </c>
      <c r="K1660" s="11" t="s">
        <v>21</v>
      </c>
      <c r="L1660" s="7">
        <v>41886.41337962963</v>
      </c>
      <c r="M1660" s="13" t="s">
        <v>51</v>
      </c>
      <c r="N1660" s="13" t="s">
        <v>1737</v>
      </c>
      <c r="O1660" s="10" t="str">
        <f>HYPERLINK("https://pbs.twimg.com/profile_images/624578614080634880/zk26M5x0_normal.jpg","View")</f>
        <v>View</v>
      </c>
      <c r="P1660" s="14"/>
    </row>
    <row r="1661">
      <c r="A1661" s="7">
        <v>42434.55383101852</v>
      </c>
      <c r="B1661" s="8" t="str">
        <f t="shared" ref="B1661:B1664" si="407">HYPERLINK("https://twitter.com/jamiaw","@jamiaw")</f>
        <v>@jamiaw</v>
      </c>
      <c r="C1661" s="9" t="s">
        <v>324</v>
      </c>
      <c r="D1661" s="9" t="s">
        <v>1708</v>
      </c>
      <c r="E1661" s="10" t="str">
        <f>HYPERLINK("https://twitter.com/jamiaw/status/706196962719170560","706196962719170560")</f>
        <v>706196962719170560</v>
      </c>
      <c r="F1661" s="11" t="s">
        <v>26</v>
      </c>
      <c r="G1661" s="12">
        <v>11342.0</v>
      </c>
      <c r="H1661" s="12">
        <v>7817.0</v>
      </c>
      <c r="I1661" s="12">
        <v>2.0</v>
      </c>
      <c r="J1661" s="12">
        <v>0.0</v>
      </c>
      <c r="K1661" s="11" t="s">
        <v>21</v>
      </c>
      <c r="L1661" s="7">
        <v>39642.39741898148</v>
      </c>
      <c r="M1661" s="13" t="s">
        <v>325</v>
      </c>
      <c r="N1661" s="13" t="s">
        <v>326</v>
      </c>
      <c r="O1661" s="10" t="str">
        <f t="shared" ref="O1661:O1664" si="408">HYPERLINK("https://pbs.twimg.com/profile_images/701102020061753344/5zH70uem_normal.jpg","View")</f>
        <v>View</v>
      </c>
      <c r="P1661" s="14"/>
    </row>
    <row r="1662">
      <c r="A1662" s="7">
        <v>42434.553877314815</v>
      </c>
      <c r="B1662" s="8" t="str">
        <f t="shared" si="407"/>
        <v>@jamiaw</v>
      </c>
      <c r="C1662" s="9" t="s">
        <v>324</v>
      </c>
      <c r="D1662" s="9" t="s">
        <v>1738</v>
      </c>
      <c r="E1662" s="10" t="str">
        <f>HYPERLINK("https://twitter.com/jamiaw/status/706196979496460288","706196979496460288")</f>
        <v>706196979496460288</v>
      </c>
      <c r="F1662" s="11" t="s">
        <v>26</v>
      </c>
      <c r="G1662" s="12">
        <v>11342.0</v>
      </c>
      <c r="H1662" s="12">
        <v>7817.0</v>
      </c>
      <c r="I1662" s="12">
        <v>1.0</v>
      </c>
      <c r="J1662" s="12">
        <v>0.0</v>
      </c>
      <c r="K1662" s="11" t="s">
        <v>21</v>
      </c>
      <c r="L1662" s="7">
        <v>39642.39741898148</v>
      </c>
      <c r="M1662" s="13" t="s">
        <v>325</v>
      </c>
      <c r="N1662" s="13" t="s">
        <v>326</v>
      </c>
      <c r="O1662" s="10" t="str">
        <f t="shared" si="408"/>
        <v>View</v>
      </c>
      <c r="P1662" s="14"/>
    </row>
    <row r="1663">
      <c r="A1663" s="7">
        <v>42434.55391203704</v>
      </c>
      <c r="B1663" s="8" t="str">
        <f t="shared" si="407"/>
        <v>@jamiaw</v>
      </c>
      <c r="C1663" s="9" t="s">
        <v>324</v>
      </c>
      <c r="D1663" s="9" t="s">
        <v>1711</v>
      </c>
      <c r="E1663" s="10" t="str">
        <f>HYPERLINK("https://twitter.com/jamiaw/status/706196995418005504","706196995418005504")</f>
        <v>706196995418005504</v>
      </c>
      <c r="F1663" s="11" t="s">
        <v>26</v>
      </c>
      <c r="G1663" s="12">
        <v>11342.0</v>
      </c>
      <c r="H1663" s="12">
        <v>7817.0</v>
      </c>
      <c r="I1663" s="12">
        <v>2.0</v>
      </c>
      <c r="J1663" s="12">
        <v>0.0</v>
      </c>
      <c r="K1663" s="11" t="s">
        <v>21</v>
      </c>
      <c r="L1663" s="7">
        <v>39642.39741898148</v>
      </c>
      <c r="M1663" s="13" t="s">
        <v>325</v>
      </c>
      <c r="N1663" s="13" t="s">
        <v>326</v>
      </c>
      <c r="O1663" s="10" t="str">
        <f t="shared" si="408"/>
        <v>View</v>
      </c>
      <c r="P1663" s="14"/>
    </row>
    <row r="1664">
      <c r="A1664" s="7">
        <v>42434.55395833333</v>
      </c>
      <c r="B1664" s="8" t="str">
        <f t="shared" si="407"/>
        <v>@jamiaw</v>
      </c>
      <c r="C1664" s="9" t="s">
        <v>324</v>
      </c>
      <c r="D1664" s="9" t="s">
        <v>1717</v>
      </c>
      <c r="E1664" s="10" t="str">
        <f>HYPERLINK("https://twitter.com/jamiaw/status/706197012363022336","706197012363022336")</f>
        <v>706197012363022336</v>
      </c>
      <c r="F1664" s="11" t="s">
        <v>26</v>
      </c>
      <c r="G1664" s="12">
        <v>11342.0</v>
      </c>
      <c r="H1664" s="12">
        <v>7817.0</v>
      </c>
      <c r="I1664" s="12">
        <v>2.0</v>
      </c>
      <c r="J1664" s="12">
        <v>0.0</v>
      </c>
      <c r="K1664" s="11" t="s">
        <v>21</v>
      </c>
      <c r="L1664" s="7">
        <v>39642.39741898148</v>
      </c>
      <c r="M1664" s="13" t="s">
        <v>325</v>
      </c>
      <c r="N1664" s="13" t="s">
        <v>326</v>
      </c>
      <c r="O1664" s="10" t="str">
        <f t="shared" si="408"/>
        <v>View</v>
      </c>
      <c r="P1664" s="14"/>
    </row>
    <row r="1665">
      <c r="A1665" s="7">
        <v>42434.55409722222</v>
      </c>
      <c r="B1665" s="8" t="str">
        <f t="shared" ref="B1665:B1667" si="409">HYPERLINK("https://twitter.com/umassph","@umassph")</f>
        <v>@umassph</v>
      </c>
      <c r="C1665" s="9" t="s">
        <v>121</v>
      </c>
      <c r="D1665" s="9" t="s">
        <v>1557</v>
      </c>
      <c r="E1665" s="10" t="str">
        <f>HYPERLINK("https://twitter.com/umassph/status/706197060660371457","706197060660371457")</f>
        <v>706197060660371457</v>
      </c>
      <c r="F1665" s="11" t="s">
        <v>26</v>
      </c>
      <c r="G1665" s="12">
        <v>694.0</v>
      </c>
      <c r="H1665" s="12">
        <v>242.0</v>
      </c>
      <c r="I1665" s="12">
        <v>7.0</v>
      </c>
      <c r="J1665" s="12">
        <v>0.0</v>
      </c>
      <c r="K1665" s="11" t="s">
        <v>21</v>
      </c>
      <c r="L1665" s="7">
        <v>40242.52853009259</v>
      </c>
      <c r="M1665" s="13" t="s">
        <v>22</v>
      </c>
      <c r="N1665" s="13" t="s">
        <v>123</v>
      </c>
      <c r="O1665" s="10" t="str">
        <f t="shared" ref="O1665:O1667" si="410">HYPERLINK("https://pbs.twimg.com/profile_images/3583165575/54f0bc87a29b2ae8587193829ce07299_normal.jpeg","View")</f>
        <v>View</v>
      </c>
      <c r="P1665" s="14"/>
    </row>
    <row r="1666">
      <c r="A1666" s="7">
        <v>42434.55417824074</v>
      </c>
      <c r="B1666" s="8" t="str">
        <f t="shared" si="409"/>
        <v>@umassph</v>
      </c>
      <c r="C1666" s="9" t="s">
        <v>121</v>
      </c>
      <c r="D1666" s="9" t="s">
        <v>1645</v>
      </c>
      <c r="E1666" s="10" t="str">
        <f>HYPERLINK("https://twitter.com/umassph/status/706197092256104448","706197092256104448")</f>
        <v>706197092256104448</v>
      </c>
      <c r="F1666" s="11" t="s">
        <v>26</v>
      </c>
      <c r="G1666" s="12">
        <v>694.0</v>
      </c>
      <c r="H1666" s="12">
        <v>242.0</v>
      </c>
      <c r="I1666" s="12">
        <v>5.0</v>
      </c>
      <c r="J1666" s="12">
        <v>0.0</v>
      </c>
      <c r="K1666" s="11" t="s">
        <v>21</v>
      </c>
      <c r="L1666" s="7">
        <v>40242.52853009259</v>
      </c>
      <c r="M1666" s="13" t="s">
        <v>22</v>
      </c>
      <c r="N1666" s="13" t="s">
        <v>123</v>
      </c>
      <c r="O1666" s="10" t="str">
        <f t="shared" si="410"/>
        <v>View</v>
      </c>
      <c r="P1666" s="14"/>
    </row>
    <row r="1667">
      <c r="A1667" s="7">
        <v>42434.55445601852</v>
      </c>
      <c r="B1667" s="8" t="str">
        <f t="shared" si="409"/>
        <v>@umassph</v>
      </c>
      <c r="C1667" s="9" t="s">
        <v>121</v>
      </c>
      <c r="D1667" s="9" t="s">
        <v>1699</v>
      </c>
      <c r="E1667" s="10" t="str">
        <f>HYPERLINK("https://twitter.com/umassph/status/706197192168632320","706197192168632320")</f>
        <v>706197192168632320</v>
      </c>
      <c r="F1667" s="11" t="s">
        <v>26</v>
      </c>
      <c r="G1667" s="12">
        <v>694.0</v>
      </c>
      <c r="H1667" s="12">
        <v>242.0</v>
      </c>
      <c r="I1667" s="12">
        <v>4.0</v>
      </c>
      <c r="J1667" s="12">
        <v>0.0</v>
      </c>
      <c r="K1667" s="11" t="s">
        <v>21</v>
      </c>
      <c r="L1667" s="7">
        <v>40242.52853009259</v>
      </c>
      <c r="M1667" s="13" t="s">
        <v>22</v>
      </c>
      <c r="N1667" s="13" t="s">
        <v>123</v>
      </c>
      <c r="O1667" s="10" t="str">
        <f t="shared" si="410"/>
        <v>View</v>
      </c>
      <c r="P1667" s="14"/>
    </row>
    <row r="1668">
      <c r="A1668" s="7">
        <v>42434.554502314815</v>
      </c>
      <c r="B1668" s="8" t="str">
        <f>HYPERLINK("https://twitter.com/jmadelman","@jmadelman")</f>
        <v>@jmadelman</v>
      </c>
      <c r="C1668" s="9" t="s">
        <v>155</v>
      </c>
      <c r="D1668" s="9" t="s">
        <v>1703</v>
      </c>
      <c r="E1668" s="10" t="str">
        <f>HYPERLINK("https://twitter.com/jmadelman/status/706197206928330753","706197206928330753")</f>
        <v>706197206928330753</v>
      </c>
      <c r="F1668" s="11" t="s">
        <v>102</v>
      </c>
      <c r="G1668" s="12">
        <v>2676.0</v>
      </c>
      <c r="H1668" s="12">
        <v>1258.0</v>
      </c>
      <c r="I1668" s="12">
        <v>3.0</v>
      </c>
      <c r="J1668" s="12">
        <v>0.0</v>
      </c>
      <c r="K1668" s="11" t="s">
        <v>21</v>
      </c>
      <c r="L1668" s="7">
        <v>40198.888761574075</v>
      </c>
      <c r="M1668" s="13" t="s">
        <v>156</v>
      </c>
      <c r="N1668" s="13" t="s">
        <v>157</v>
      </c>
      <c r="O1668" s="10" t="str">
        <f>HYPERLINK("https://pbs.twimg.com/profile_images/633292774570201089/pdNFZfya_normal.jpg","View")</f>
        <v>View</v>
      </c>
      <c r="P1668" s="14"/>
    </row>
    <row r="1669">
      <c r="A1669" s="7">
        <v>42434.55458333333</v>
      </c>
      <c r="B1669" s="8" t="str">
        <f>HYPERLINK("https://twitter.com/pastpunditry","@pastpunditry")</f>
        <v>@pastpunditry</v>
      </c>
      <c r="C1669" s="9" t="s">
        <v>92</v>
      </c>
      <c r="D1669" s="9" t="s">
        <v>1739</v>
      </c>
      <c r="E1669" s="10" t="str">
        <f>HYPERLINK("https://twitter.com/pastpunditry/status/706197236552765440","706197236552765440")</f>
        <v>706197236552765440</v>
      </c>
      <c r="F1669" s="11" t="s">
        <v>77</v>
      </c>
      <c r="G1669" s="12">
        <v>896.0</v>
      </c>
      <c r="H1669" s="12">
        <v>378.0</v>
      </c>
      <c r="I1669" s="12">
        <v>1.0</v>
      </c>
      <c r="J1669" s="12">
        <v>1.0</v>
      </c>
      <c r="K1669" s="11" t="s">
        <v>21</v>
      </c>
      <c r="L1669" s="7">
        <v>40283.384351851855</v>
      </c>
      <c r="M1669" s="13" t="s">
        <v>94</v>
      </c>
      <c r="N1669" s="13" t="s">
        <v>95</v>
      </c>
      <c r="O1669" s="10" t="str">
        <f>HYPERLINK("https://pbs.twimg.com/profile_images/704873222802636800/7aFEMOY5_normal.jpg","View")</f>
        <v>View</v>
      </c>
      <c r="P1669" s="14"/>
    </row>
    <row r="1670">
      <c r="A1670" s="7">
        <v>42434.55458333333</v>
      </c>
      <c r="B1670" s="8" t="str">
        <f>HYPERLINK("https://twitter.com/umassph","@umassph")</f>
        <v>@umassph</v>
      </c>
      <c r="C1670" s="9" t="s">
        <v>121</v>
      </c>
      <c r="D1670" s="9" t="s">
        <v>1721</v>
      </c>
      <c r="E1670" s="10" t="str">
        <f>HYPERLINK("https://twitter.com/umassph/status/706197237580374017","706197237580374017")</f>
        <v>706197237580374017</v>
      </c>
      <c r="F1670" s="11" t="s">
        <v>26</v>
      </c>
      <c r="G1670" s="12">
        <v>694.0</v>
      </c>
      <c r="H1670" s="12">
        <v>242.0</v>
      </c>
      <c r="I1670" s="12">
        <v>3.0</v>
      </c>
      <c r="J1670" s="12">
        <v>0.0</v>
      </c>
      <c r="K1670" s="11" t="s">
        <v>21</v>
      </c>
      <c r="L1670" s="7">
        <v>40242.52853009259</v>
      </c>
      <c r="M1670" s="13" t="s">
        <v>22</v>
      </c>
      <c r="N1670" s="13" t="s">
        <v>123</v>
      </c>
      <c r="O1670" s="10" t="str">
        <f>HYPERLINK("https://pbs.twimg.com/profile_images/3583165575/54f0bc87a29b2ae8587193829ce07299_normal.jpeg","View")</f>
        <v>View</v>
      </c>
      <c r="P1670" s="14"/>
    </row>
    <row r="1671">
      <c r="A1671" s="7">
        <v>42434.5546875</v>
      </c>
      <c r="B1671" s="8" t="str">
        <f>HYPERLINK("https://twitter.com/pastpunditry","@pastpunditry")</f>
        <v>@pastpunditry</v>
      </c>
      <c r="C1671" s="9" t="s">
        <v>92</v>
      </c>
      <c r="D1671" s="9" t="s">
        <v>1740</v>
      </c>
      <c r="E1671" s="10" t="str">
        <f>HYPERLINK("https://twitter.com/pastpunditry/status/706197273793974272","706197273793974272")</f>
        <v>706197273793974272</v>
      </c>
      <c r="F1671" s="11" t="s">
        <v>77</v>
      </c>
      <c r="G1671" s="12">
        <v>896.0</v>
      </c>
      <c r="H1671" s="12">
        <v>378.0</v>
      </c>
      <c r="I1671" s="12">
        <v>1.0</v>
      </c>
      <c r="J1671" s="12">
        <v>0.0</v>
      </c>
      <c r="K1671" s="11" t="s">
        <v>21</v>
      </c>
      <c r="L1671" s="7">
        <v>40283.384351851855</v>
      </c>
      <c r="M1671" s="13" t="s">
        <v>94</v>
      </c>
      <c r="N1671" s="13" t="s">
        <v>95</v>
      </c>
      <c r="O1671" s="10" t="str">
        <f>HYPERLINK("https://pbs.twimg.com/profile_images/704873222802636800/7aFEMOY5_normal.jpg","View")</f>
        <v>View</v>
      </c>
      <c r="P1671" s="14"/>
    </row>
    <row r="1672">
      <c r="A1672" s="7">
        <v>42434.55479166667</v>
      </c>
      <c r="B1672" s="8" t="str">
        <f t="shared" ref="B1672:B1673" si="411">HYPERLINK("https://twitter.com/umassph","@umassph")</f>
        <v>@umassph</v>
      </c>
      <c r="C1672" s="9" t="s">
        <v>121</v>
      </c>
      <c r="D1672" s="9" t="s">
        <v>1725</v>
      </c>
      <c r="E1672" s="10" t="str">
        <f>HYPERLINK("https://twitter.com/umassph/status/706197312163418112","706197312163418112")</f>
        <v>706197312163418112</v>
      </c>
      <c r="F1672" s="11" t="s">
        <v>26</v>
      </c>
      <c r="G1672" s="12">
        <v>694.0</v>
      </c>
      <c r="H1672" s="12">
        <v>242.0</v>
      </c>
      <c r="I1672" s="12">
        <v>4.0</v>
      </c>
      <c r="J1672" s="12">
        <v>0.0</v>
      </c>
      <c r="K1672" s="11" t="s">
        <v>21</v>
      </c>
      <c r="L1672" s="7">
        <v>40242.52853009259</v>
      </c>
      <c r="M1672" s="13" t="s">
        <v>22</v>
      </c>
      <c r="N1672" s="13" t="s">
        <v>123</v>
      </c>
      <c r="O1672" s="10" t="str">
        <f t="shared" ref="O1672:O1673" si="412">HYPERLINK("https://pbs.twimg.com/profile_images/3583165575/54f0bc87a29b2ae8587193829ce07299_normal.jpeg","View")</f>
        <v>View</v>
      </c>
      <c r="P1672" s="14"/>
    </row>
    <row r="1673">
      <c r="A1673" s="7">
        <v>42434.55503472222</v>
      </c>
      <c r="B1673" s="8" t="str">
        <f t="shared" si="411"/>
        <v>@umassph</v>
      </c>
      <c r="C1673" s="9" t="s">
        <v>121</v>
      </c>
      <c r="D1673" s="9" t="s">
        <v>1713</v>
      </c>
      <c r="E1673" s="10" t="str">
        <f>HYPERLINK("https://twitter.com/umassph/status/706197401678311424","706197401678311424")</f>
        <v>706197401678311424</v>
      </c>
      <c r="F1673" s="11" t="s">
        <v>26</v>
      </c>
      <c r="G1673" s="12">
        <v>694.0</v>
      </c>
      <c r="H1673" s="12">
        <v>242.0</v>
      </c>
      <c r="I1673" s="12">
        <v>2.0</v>
      </c>
      <c r="J1673" s="12">
        <v>0.0</v>
      </c>
      <c r="K1673" s="11" t="s">
        <v>21</v>
      </c>
      <c r="L1673" s="7">
        <v>40242.52853009259</v>
      </c>
      <c r="M1673" s="13" t="s">
        <v>22</v>
      </c>
      <c r="N1673" s="13" t="s">
        <v>123</v>
      </c>
      <c r="O1673" s="10" t="str">
        <f t="shared" si="412"/>
        <v>View</v>
      </c>
      <c r="P1673" s="14"/>
    </row>
    <row r="1674">
      <c r="A1674" s="7">
        <v>42434.555555555555</v>
      </c>
      <c r="B1674" s="8" t="str">
        <f t="shared" ref="B1674:B1675" si="413">HYPERLINK("https://twitter.com/jamiaw","@jamiaw")</f>
        <v>@jamiaw</v>
      </c>
      <c r="C1674" s="9" t="s">
        <v>324</v>
      </c>
      <c r="D1674" s="9" t="s">
        <v>1729</v>
      </c>
      <c r="E1674" s="10" t="str">
        <f>HYPERLINK("https://twitter.com/jamiaw/status/706197588769443840","706197588769443840")</f>
        <v>706197588769443840</v>
      </c>
      <c r="F1674" s="11" t="s">
        <v>26</v>
      </c>
      <c r="G1674" s="12">
        <v>11342.0</v>
      </c>
      <c r="H1674" s="12">
        <v>7817.0</v>
      </c>
      <c r="I1674" s="12">
        <v>3.0</v>
      </c>
      <c r="J1674" s="12">
        <v>0.0</v>
      </c>
      <c r="K1674" s="11" t="s">
        <v>21</v>
      </c>
      <c r="L1674" s="7">
        <v>39642.39741898148</v>
      </c>
      <c r="M1674" s="13" t="s">
        <v>325</v>
      </c>
      <c r="N1674" s="13" t="s">
        <v>326</v>
      </c>
      <c r="O1674" s="10" t="str">
        <f t="shared" ref="O1674:O1675" si="414">HYPERLINK("https://pbs.twimg.com/profile_images/701102020061753344/5zH70uem_normal.jpg","View")</f>
        <v>View</v>
      </c>
      <c r="P1674" s="14"/>
    </row>
    <row r="1675">
      <c r="A1675" s="7">
        <v>42434.55563657408</v>
      </c>
      <c r="B1675" s="8" t="str">
        <f t="shared" si="413"/>
        <v>@jamiaw</v>
      </c>
      <c r="C1675" s="9" t="s">
        <v>324</v>
      </c>
      <c r="D1675" s="9" t="s">
        <v>1725</v>
      </c>
      <c r="E1675" s="10" t="str">
        <f>HYPERLINK("https://twitter.com/jamiaw/status/706197617877897218","706197617877897218")</f>
        <v>706197617877897218</v>
      </c>
      <c r="F1675" s="11" t="s">
        <v>26</v>
      </c>
      <c r="G1675" s="12">
        <v>11342.0</v>
      </c>
      <c r="H1675" s="12">
        <v>7817.0</v>
      </c>
      <c r="I1675" s="12">
        <v>4.0</v>
      </c>
      <c r="J1675" s="12">
        <v>0.0</v>
      </c>
      <c r="K1675" s="11" t="s">
        <v>21</v>
      </c>
      <c r="L1675" s="7">
        <v>39642.39741898148</v>
      </c>
      <c r="M1675" s="13" t="s">
        <v>325</v>
      </c>
      <c r="N1675" s="13" t="s">
        <v>326</v>
      </c>
      <c r="O1675" s="10" t="str">
        <f t="shared" si="414"/>
        <v>View</v>
      </c>
      <c r="P1675" s="14"/>
    </row>
    <row r="1676">
      <c r="A1676" s="7">
        <v>42434.555659722224</v>
      </c>
      <c r="B1676" s="8" t="str">
        <f>HYPERLINK("https://twitter.com/juliegpeterson","@juliegpeterson")</f>
        <v>@juliegpeterson</v>
      </c>
      <c r="C1676" s="9" t="s">
        <v>24</v>
      </c>
      <c r="D1676" s="9" t="s">
        <v>1741</v>
      </c>
      <c r="E1676" s="10" t="str">
        <f>HYPERLINK("https://twitter.com/juliegpeterson/status/706197627268939777","706197627268939777")</f>
        <v>706197627268939777</v>
      </c>
      <c r="F1676" s="11" t="s">
        <v>26</v>
      </c>
      <c r="G1676" s="12">
        <v>240.0</v>
      </c>
      <c r="H1676" s="12">
        <v>778.0</v>
      </c>
      <c r="I1676" s="12">
        <v>1.0</v>
      </c>
      <c r="J1676" s="12">
        <v>0.0</v>
      </c>
      <c r="K1676" s="11" t="s">
        <v>21</v>
      </c>
      <c r="L1676" s="7">
        <v>41208.65523148148</v>
      </c>
      <c r="M1676" s="13" t="s">
        <v>22</v>
      </c>
      <c r="N1676" s="13" t="s">
        <v>27</v>
      </c>
      <c r="O1676" s="10" t="str">
        <f>HYPERLINK("https://pbs.twimg.com/profile_images/609765839051452416/GNW0wSt0_normal.jpg","View")</f>
        <v>View</v>
      </c>
      <c r="P1676" s="14"/>
    </row>
    <row r="1677">
      <c r="A1677" s="7">
        <v>42434.55572916666</v>
      </c>
      <c r="B1677" s="8" t="str">
        <f>HYPERLINK("https://twitter.com/rebekkahrubin","@rebekkahrubin")</f>
        <v>@rebekkahrubin</v>
      </c>
      <c r="C1677" s="9" t="s">
        <v>141</v>
      </c>
      <c r="D1677" s="9" t="s">
        <v>1742</v>
      </c>
      <c r="E1677" s="10" t="str">
        <f>HYPERLINK("https://twitter.com/rebekkahrubin/status/706197654116634625","706197654116634625")</f>
        <v>706197654116634625</v>
      </c>
      <c r="F1677" s="11" t="s">
        <v>31</v>
      </c>
      <c r="G1677" s="12">
        <v>495.0</v>
      </c>
      <c r="H1677" s="12">
        <v>1226.0</v>
      </c>
      <c r="I1677" s="12">
        <v>1.0</v>
      </c>
      <c r="J1677" s="12">
        <v>0.0</v>
      </c>
      <c r="K1677" s="11" t="s">
        <v>21</v>
      </c>
      <c r="L1677" s="7">
        <v>40411.521527777775</v>
      </c>
      <c r="M1677" s="13" t="s">
        <v>143</v>
      </c>
      <c r="N1677" s="13" t="s">
        <v>144</v>
      </c>
      <c r="O1677" s="10" t="str">
        <f>HYPERLINK("https://pbs.twimg.com/profile_images/700317732588408832/Ym_-neUi_normal.jpg","View")</f>
        <v>View</v>
      </c>
      <c r="P1677" s="14"/>
    </row>
    <row r="1678">
      <c r="A1678" s="7">
        <v>42434.555763888886</v>
      </c>
      <c r="B1678" s="8" t="str">
        <f>HYPERLINK("https://twitter.com/pastpunditry","@pastpunditry")</f>
        <v>@pastpunditry</v>
      </c>
      <c r="C1678" s="9" t="s">
        <v>92</v>
      </c>
      <c r="D1678" s="9" t="s">
        <v>1743</v>
      </c>
      <c r="E1678" s="10" t="str">
        <f>HYPERLINK("https://twitter.com/pastpunditry/status/706197662966620160","706197662966620160")</f>
        <v>706197662966620160</v>
      </c>
      <c r="F1678" s="11" t="s">
        <v>77</v>
      </c>
      <c r="G1678" s="12">
        <v>896.0</v>
      </c>
      <c r="H1678" s="12">
        <v>378.0</v>
      </c>
      <c r="I1678" s="12">
        <v>1.0</v>
      </c>
      <c r="J1678" s="12">
        <v>0.0</v>
      </c>
      <c r="K1678" s="11" t="s">
        <v>21</v>
      </c>
      <c r="L1678" s="7">
        <v>40283.384351851855</v>
      </c>
      <c r="M1678" s="13" t="s">
        <v>94</v>
      </c>
      <c r="N1678" s="13" t="s">
        <v>95</v>
      </c>
      <c r="O1678" s="10" t="str">
        <f>HYPERLINK("https://pbs.twimg.com/profile_images/704873222802636800/7aFEMOY5_normal.jpg","View")</f>
        <v>View</v>
      </c>
      <c r="P1678" s="14"/>
    </row>
    <row r="1679">
      <c r="A1679" s="7">
        <v>42434.55584490741</v>
      </c>
      <c r="B1679" s="8" t="str">
        <f>HYPERLINK("https://twitter.com/JimGrossmanAHA","@JimGrossmanAHA")</f>
        <v>@JimGrossmanAHA</v>
      </c>
      <c r="C1679" s="9" t="s">
        <v>278</v>
      </c>
      <c r="D1679" s="9" t="s">
        <v>1744</v>
      </c>
      <c r="E1679" s="10" t="str">
        <f>HYPERLINK("https://twitter.com/JimGrossmanAHA/status/706197693656338432","706197693656338432")</f>
        <v>706197693656338432</v>
      </c>
      <c r="F1679" s="11" t="s">
        <v>31</v>
      </c>
      <c r="G1679" s="12">
        <v>2244.0</v>
      </c>
      <c r="H1679" s="12">
        <v>368.0</v>
      </c>
      <c r="I1679" s="12">
        <v>2.0</v>
      </c>
      <c r="J1679" s="12">
        <v>2.0</v>
      </c>
      <c r="K1679" s="11" t="s">
        <v>21</v>
      </c>
      <c r="L1679" s="7">
        <v>41576.36603009259</v>
      </c>
      <c r="M1679" s="13" t="s">
        <v>279</v>
      </c>
      <c r="N1679" s="13" t="s">
        <v>280</v>
      </c>
      <c r="O1679" s="10" t="str">
        <f>HYPERLINK("https://pbs.twimg.com/profile_images/378800000667891782/44d7b181c077bf16ab07b242f7ad81b9_normal.png","View")</f>
        <v>View</v>
      </c>
      <c r="P1679" s="14"/>
    </row>
    <row r="1680">
      <c r="A1680" s="7">
        <v>42434.5559375</v>
      </c>
      <c r="B1680" s="8" t="str">
        <f>HYPERLINK("https://twitter.com/pastpunditry","@pastpunditry")</f>
        <v>@pastpunditry</v>
      </c>
      <c r="C1680" s="9" t="s">
        <v>92</v>
      </c>
      <c r="D1680" s="9" t="s">
        <v>1745</v>
      </c>
      <c r="E1680" s="10" t="str">
        <f>HYPERLINK("https://twitter.com/pastpunditry/status/706197729882599424","706197729882599424")</f>
        <v>706197729882599424</v>
      </c>
      <c r="F1680" s="11" t="s">
        <v>77</v>
      </c>
      <c r="G1680" s="12">
        <v>896.0</v>
      </c>
      <c r="H1680" s="12">
        <v>378.0</v>
      </c>
      <c r="I1680" s="12">
        <v>2.0</v>
      </c>
      <c r="J1680" s="12">
        <v>0.0</v>
      </c>
      <c r="K1680" s="11" t="s">
        <v>21</v>
      </c>
      <c r="L1680" s="7">
        <v>40283.384351851855</v>
      </c>
      <c r="M1680" s="13" t="s">
        <v>94</v>
      </c>
      <c r="N1680" s="13" t="s">
        <v>95</v>
      </c>
      <c r="O1680" s="10" t="str">
        <f>HYPERLINK("https://pbs.twimg.com/profile_images/704873222802636800/7aFEMOY5_normal.jpg","View")</f>
        <v>View</v>
      </c>
      <c r="P1680" s="14"/>
    </row>
    <row r="1681">
      <c r="A1681" s="7">
        <v>42434.55663194445</v>
      </c>
      <c r="B1681" s="8" t="str">
        <f>HYPERLINK("https://twitter.com/samueljredman","@samueljredman")</f>
        <v>@samueljredman</v>
      </c>
      <c r="C1681" s="9" t="s">
        <v>158</v>
      </c>
      <c r="D1681" s="9" t="s">
        <v>1746</v>
      </c>
      <c r="E1681" s="10" t="str">
        <f>HYPERLINK("https://twitter.com/samueljredman/status/706197981570138113","706197981570138113")</f>
        <v>706197981570138113</v>
      </c>
      <c r="F1681" s="11" t="s">
        <v>26</v>
      </c>
      <c r="G1681" s="12">
        <v>5626.0</v>
      </c>
      <c r="H1681" s="12">
        <v>5357.0</v>
      </c>
      <c r="I1681" s="12">
        <v>1.0</v>
      </c>
      <c r="J1681" s="12">
        <v>1.0</v>
      </c>
      <c r="K1681" s="11" t="s">
        <v>21</v>
      </c>
      <c r="L1681" s="7">
        <v>40584.98517361111</v>
      </c>
      <c r="M1681" s="13" t="s">
        <v>160</v>
      </c>
      <c r="N1681" s="13" t="s">
        <v>161</v>
      </c>
      <c r="O1681" s="10" t="str">
        <f>HYPERLINK("https://pbs.twimg.com/profile_images/548193870278688768/8Dq7gW3U_normal.png","View")</f>
        <v>View</v>
      </c>
      <c r="P1681" s="14"/>
    </row>
    <row r="1682">
      <c r="A1682" s="7">
        <v>42434.55681712963</v>
      </c>
      <c r="B1682" s="8" t="str">
        <f t="shared" ref="B1682:B1683" si="415">HYPERLINK("https://twitter.com/pastpunditry","@pastpunditry")</f>
        <v>@pastpunditry</v>
      </c>
      <c r="C1682" s="9" t="s">
        <v>92</v>
      </c>
      <c r="D1682" s="9" t="s">
        <v>1747</v>
      </c>
      <c r="E1682" s="10" t="str">
        <f>HYPERLINK("https://twitter.com/pastpunditry/status/706198045411713024","706198045411713024")</f>
        <v>706198045411713024</v>
      </c>
      <c r="F1682" s="11" t="s">
        <v>77</v>
      </c>
      <c r="G1682" s="12">
        <v>896.0</v>
      </c>
      <c r="H1682" s="12">
        <v>378.0</v>
      </c>
      <c r="I1682" s="12">
        <v>0.0</v>
      </c>
      <c r="J1682" s="12">
        <v>0.0</v>
      </c>
      <c r="K1682" s="11" t="s">
        <v>21</v>
      </c>
      <c r="L1682" s="7">
        <v>40283.384351851855</v>
      </c>
      <c r="M1682" s="13" t="s">
        <v>94</v>
      </c>
      <c r="N1682" s="13" t="s">
        <v>95</v>
      </c>
      <c r="O1682" s="10" t="str">
        <f t="shared" ref="O1682:O1683" si="416">HYPERLINK("https://pbs.twimg.com/profile_images/704873222802636800/7aFEMOY5_normal.jpg","View")</f>
        <v>View</v>
      </c>
      <c r="P1682" s="14"/>
    </row>
    <row r="1683">
      <c r="A1683" s="7">
        <v>42434.556863425925</v>
      </c>
      <c r="B1683" s="8" t="str">
        <f t="shared" si="415"/>
        <v>@pastpunditry</v>
      </c>
      <c r="C1683" s="9" t="s">
        <v>92</v>
      </c>
      <c r="D1683" s="9" t="s">
        <v>1748</v>
      </c>
      <c r="E1683" s="10" t="str">
        <f>HYPERLINK("https://twitter.com/pastpunditry/status/706198062591516672","706198062591516672")</f>
        <v>706198062591516672</v>
      </c>
      <c r="F1683" s="11" t="s">
        <v>77</v>
      </c>
      <c r="G1683" s="12">
        <v>896.0</v>
      </c>
      <c r="H1683" s="12">
        <v>378.0</v>
      </c>
      <c r="I1683" s="12">
        <v>1.0</v>
      </c>
      <c r="J1683" s="12">
        <v>0.0</v>
      </c>
      <c r="K1683" s="11" t="s">
        <v>21</v>
      </c>
      <c r="L1683" s="7">
        <v>40283.384351851855</v>
      </c>
      <c r="M1683" s="13" t="s">
        <v>94</v>
      </c>
      <c r="N1683" s="13" t="s">
        <v>95</v>
      </c>
      <c r="O1683" s="10" t="str">
        <f t="shared" si="416"/>
        <v>View</v>
      </c>
      <c r="P1683" s="14"/>
    </row>
    <row r="1684">
      <c r="A1684" s="7">
        <v>42434.55739583333</v>
      </c>
      <c r="B1684" s="8" t="str">
        <f>HYPERLINK("https://twitter.com/rebekkahrubin","@rebekkahrubin")</f>
        <v>@rebekkahrubin</v>
      </c>
      <c r="C1684" s="9" t="s">
        <v>141</v>
      </c>
      <c r="D1684" s="9" t="s">
        <v>1749</v>
      </c>
      <c r="E1684" s="10" t="str">
        <f>HYPERLINK("https://twitter.com/rebekkahrubin/status/706198257685405701","706198257685405701")</f>
        <v>706198257685405701</v>
      </c>
      <c r="F1684" s="11" t="s">
        <v>31</v>
      </c>
      <c r="G1684" s="12">
        <v>495.0</v>
      </c>
      <c r="H1684" s="12">
        <v>1226.0</v>
      </c>
      <c r="I1684" s="12">
        <v>1.0</v>
      </c>
      <c r="J1684" s="12">
        <v>1.0</v>
      </c>
      <c r="K1684" s="11" t="s">
        <v>21</v>
      </c>
      <c r="L1684" s="7">
        <v>40411.521527777775</v>
      </c>
      <c r="M1684" s="13" t="s">
        <v>143</v>
      </c>
      <c r="N1684" s="13" t="s">
        <v>144</v>
      </c>
      <c r="O1684" s="10" t="str">
        <f>HYPERLINK("https://pbs.twimg.com/profile_images/700317732588408832/Ym_-neUi_normal.jpg","View")</f>
        <v>View</v>
      </c>
      <c r="P1684" s="14"/>
    </row>
    <row r="1685">
      <c r="A1685" s="7">
        <v>42434.55740740741</v>
      </c>
      <c r="B1685" s="8" t="str">
        <f>HYPERLINK("https://twitter.com/juliegpeterson","@juliegpeterson")</f>
        <v>@juliegpeterson</v>
      </c>
      <c r="C1685" s="9" t="s">
        <v>24</v>
      </c>
      <c r="D1685" s="9" t="s">
        <v>1750</v>
      </c>
      <c r="E1685" s="10" t="str">
        <f>HYPERLINK("https://twitter.com/juliegpeterson/status/706198260059398144","706198260059398144")</f>
        <v>706198260059398144</v>
      </c>
      <c r="F1685" s="11" t="s">
        <v>26</v>
      </c>
      <c r="G1685" s="12">
        <v>240.0</v>
      </c>
      <c r="H1685" s="12">
        <v>778.0</v>
      </c>
      <c r="I1685" s="12">
        <v>0.0</v>
      </c>
      <c r="J1685" s="12">
        <v>0.0</v>
      </c>
      <c r="K1685" s="11" t="s">
        <v>21</v>
      </c>
      <c r="L1685" s="7">
        <v>41208.65523148148</v>
      </c>
      <c r="M1685" s="13" t="s">
        <v>22</v>
      </c>
      <c r="N1685" s="13" t="s">
        <v>27</v>
      </c>
      <c r="O1685" s="10" t="str">
        <f>HYPERLINK("https://pbs.twimg.com/profile_images/609765839051452416/GNW0wSt0_normal.jpg","View")</f>
        <v>View</v>
      </c>
      <c r="P1685" s="14"/>
    </row>
    <row r="1686">
      <c r="A1686" s="7">
        <v>42434.558333333334</v>
      </c>
      <c r="B1686" s="8" t="str">
        <f>HYPERLINK("https://twitter.com/rebekkahrubin","@rebekkahrubin")</f>
        <v>@rebekkahrubin</v>
      </c>
      <c r="C1686" s="9" t="s">
        <v>141</v>
      </c>
      <c r="D1686" s="9" t="s">
        <v>1751</v>
      </c>
      <c r="E1686" s="10" t="str">
        <f>HYPERLINK("https://twitter.com/rebekkahrubin/status/706198596547252224","706198596547252224")</f>
        <v>706198596547252224</v>
      </c>
      <c r="F1686" s="11" t="s">
        <v>31</v>
      </c>
      <c r="G1686" s="12">
        <v>495.0</v>
      </c>
      <c r="H1686" s="12">
        <v>1226.0</v>
      </c>
      <c r="I1686" s="12">
        <v>1.0</v>
      </c>
      <c r="J1686" s="12">
        <v>0.0</v>
      </c>
      <c r="K1686" s="11" t="s">
        <v>21</v>
      </c>
      <c r="L1686" s="7">
        <v>40411.521527777775</v>
      </c>
      <c r="M1686" s="13" t="s">
        <v>143</v>
      </c>
      <c r="N1686" s="13" t="s">
        <v>144</v>
      </c>
      <c r="O1686" s="10" t="str">
        <f>HYPERLINK("https://pbs.twimg.com/profile_images/700317732588408832/Ym_-neUi_normal.jpg","View")</f>
        <v>View</v>
      </c>
      <c r="P1686" s="14"/>
    </row>
    <row r="1687">
      <c r="A1687" s="7">
        <v>42434.558599537035</v>
      </c>
      <c r="B1687" s="8" t="str">
        <f>HYPERLINK("https://twitter.com/j3foley","@j3foley")</f>
        <v>@j3foley</v>
      </c>
      <c r="C1687" s="9" t="s">
        <v>1492</v>
      </c>
      <c r="D1687" s="9" t="s">
        <v>1752</v>
      </c>
      <c r="E1687" s="10" t="str">
        <f>HYPERLINK("https://twitter.com/j3foley/status/706198693997846532","706198693997846532")</f>
        <v>706198693997846532</v>
      </c>
      <c r="F1687" s="11" t="s">
        <v>26</v>
      </c>
      <c r="G1687" s="12">
        <v>155.0</v>
      </c>
      <c r="H1687" s="12">
        <v>293.0</v>
      </c>
      <c r="I1687" s="12">
        <v>3.0</v>
      </c>
      <c r="J1687" s="12">
        <v>0.0</v>
      </c>
      <c r="K1687" s="11" t="s">
        <v>21</v>
      </c>
      <c r="L1687" s="7">
        <v>40267.63636574074</v>
      </c>
      <c r="M1687" s="13" t="s">
        <v>252</v>
      </c>
      <c r="N1687" s="13" t="s">
        <v>1494</v>
      </c>
      <c r="O1687" s="10" t="str">
        <f>HYPERLINK("https://pbs.twimg.com/profile_images/627686554861834241/UcDo7crN_normal.jpg","View")</f>
        <v>View</v>
      </c>
      <c r="P1687" s="14"/>
    </row>
    <row r="1688">
      <c r="A1688" s="7">
        <v>42434.55878472222</v>
      </c>
      <c r="B1688" s="8" t="str">
        <f>HYPERLINK("https://twitter.com/juliegpeterson","@juliegpeterson")</f>
        <v>@juliegpeterson</v>
      </c>
      <c r="C1688" s="9" t="s">
        <v>24</v>
      </c>
      <c r="D1688" s="9" t="s">
        <v>1753</v>
      </c>
      <c r="E1688" s="10" t="str">
        <f>HYPERLINK("https://twitter.com/juliegpeterson/status/706198759701659648","706198759701659648")</f>
        <v>706198759701659648</v>
      </c>
      <c r="F1688" s="11" t="s">
        <v>26</v>
      </c>
      <c r="G1688" s="12">
        <v>240.0</v>
      </c>
      <c r="H1688" s="12">
        <v>778.0</v>
      </c>
      <c r="I1688" s="12">
        <v>2.0</v>
      </c>
      <c r="J1688" s="12">
        <v>1.0</v>
      </c>
      <c r="K1688" s="11" t="s">
        <v>21</v>
      </c>
      <c r="L1688" s="7">
        <v>41208.65523148148</v>
      </c>
      <c r="M1688" s="13" t="s">
        <v>22</v>
      </c>
      <c r="N1688" s="13" t="s">
        <v>27</v>
      </c>
      <c r="O1688" s="10" t="str">
        <f>HYPERLINK("https://pbs.twimg.com/profile_images/609765839051452416/GNW0wSt0_normal.jpg","View")</f>
        <v>View</v>
      </c>
      <c r="P1688" s="14"/>
    </row>
    <row r="1689">
      <c r="A1689" s="7">
        <v>42434.55880787037</v>
      </c>
      <c r="B1689" s="8" t="str">
        <f>HYPERLINK("https://twitter.com/GHAUmass","@GHAUmass")</f>
        <v>@GHAUmass</v>
      </c>
      <c r="C1689" s="9" t="s">
        <v>30</v>
      </c>
      <c r="D1689" s="9" t="s">
        <v>1745</v>
      </c>
      <c r="E1689" s="10" t="str">
        <f>HYPERLINK("https://twitter.com/GHAUmass/status/706198767419129856","706198767419129856")</f>
        <v>706198767419129856</v>
      </c>
      <c r="F1689" s="11" t="s">
        <v>31</v>
      </c>
      <c r="G1689" s="12">
        <v>75.0</v>
      </c>
      <c r="H1689" s="12">
        <v>102.0</v>
      </c>
      <c r="I1689" s="12">
        <v>2.0</v>
      </c>
      <c r="J1689" s="12">
        <v>0.0</v>
      </c>
      <c r="K1689" s="11" t="s">
        <v>21</v>
      </c>
      <c r="L1689" s="7">
        <v>42152.65289351852</v>
      </c>
      <c r="M1689" s="13" t="s">
        <v>22</v>
      </c>
      <c r="N1689" s="13" t="s">
        <v>32</v>
      </c>
      <c r="O1689" s="10" t="str">
        <f>HYPERLINK("https://pbs.twimg.com/profile_images/604060333590855682/Fk6r1D7d_normal.jpg","View")</f>
        <v>View</v>
      </c>
      <c r="P1689" s="14"/>
    </row>
    <row r="1690">
      <c r="A1690" s="7">
        <v>42434.558958333335</v>
      </c>
      <c r="B1690" s="8" t="str">
        <f>HYPERLINK("https://twitter.com/sheishistoric","@sheishistoric")</f>
        <v>@sheishistoric</v>
      </c>
      <c r="C1690" s="9" t="s">
        <v>127</v>
      </c>
      <c r="D1690" s="9" t="s">
        <v>1754</v>
      </c>
      <c r="E1690" s="10" t="str">
        <f>HYPERLINK("https://twitter.com/sheishistoric/status/706198822595239936","706198822595239936")</f>
        <v>706198822595239936</v>
      </c>
      <c r="F1690" s="11" t="s">
        <v>26</v>
      </c>
      <c r="G1690" s="12">
        <v>408.0</v>
      </c>
      <c r="H1690" s="12">
        <v>886.0</v>
      </c>
      <c r="I1690" s="12">
        <v>3.0</v>
      </c>
      <c r="J1690" s="12">
        <v>0.0</v>
      </c>
      <c r="K1690" s="11" t="s">
        <v>21</v>
      </c>
      <c r="L1690" s="7">
        <v>41529.842094907406</v>
      </c>
      <c r="M1690" s="13" t="s">
        <v>129</v>
      </c>
      <c r="N1690" s="13" t="s">
        <v>130</v>
      </c>
      <c r="O1690" s="10" t="str">
        <f>HYPERLINK("https://pbs.twimg.com/profile_images/650419150620377089/bJxBf---_normal.jpg","View")</f>
        <v>View</v>
      </c>
      <c r="P1690" s="14"/>
    </row>
    <row r="1691">
      <c r="A1691" s="7">
        <v>42434.55902777778</v>
      </c>
      <c r="B1691" s="8" t="str">
        <f>HYPERLINK("https://twitter.com/pastpunditry","@pastpunditry")</f>
        <v>@pastpunditry</v>
      </c>
      <c r="C1691" s="9" t="s">
        <v>92</v>
      </c>
      <c r="D1691" s="9" t="s">
        <v>1755</v>
      </c>
      <c r="E1691" s="10" t="str">
        <f>HYPERLINK("https://twitter.com/pastpunditry/status/706198848268595200","706198848268595200")</f>
        <v>706198848268595200</v>
      </c>
      <c r="F1691" s="11" t="s">
        <v>77</v>
      </c>
      <c r="G1691" s="12">
        <v>896.0</v>
      </c>
      <c r="H1691" s="12">
        <v>378.0</v>
      </c>
      <c r="I1691" s="12">
        <v>0.0</v>
      </c>
      <c r="J1691" s="12">
        <v>0.0</v>
      </c>
      <c r="K1691" s="11" t="s">
        <v>21</v>
      </c>
      <c r="L1691" s="7">
        <v>40283.384351851855</v>
      </c>
      <c r="M1691" s="13" t="s">
        <v>94</v>
      </c>
      <c r="N1691" s="13" t="s">
        <v>95</v>
      </c>
      <c r="O1691" s="10" t="str">
        <f>HYPERLINK("https://pbs.twimg.com/profile_images/704873222802636800/7aFEMOY5_normal.jpg","View")</f>
        <v>View</v>
      </c>
      <c r="P1691" s="14"/>
    </row>
    <row r="1692">
      <c r="A1692" s="7">
        <v>42434.55915509259</v>
      </c>
      <c r="B1692" s="8" t="str">
        <f>HYPERLINK("https://twitter.com/lizl_genealogy","@lizl_genealogy")</f>
        <v>@lizl_genealogy</v>
      </c>
      <c r="C1692" s="9" t="s">
        <v>89</v>
      </c>
      <c r="D1692" s="9" t="s">
        <v>1754</v>
      </c>
      <c r="E1692" s="10" t="str">
        <f>HYPERLINK("https://twitter.com/lizl_genealogy/status/706198895240417280","706198895240417280")</f>
        <v>706198895240417280</v>
      </c>
      <c r="F1692" s="11" t="s">
        <v>31</v>
      </c>
      <c r="G1692" s="12">
        <v>1547.0</v>
      </c>
      <c r="H1692" s="12">
        <v>615.0</v>
      </c>
      <c r="I1692" s="12">
        <v>3.0</v>
      </c>
      <c r="J1692" s="12">
        <v>0.0</v>
      </c>
      <c r="K1692" s="11" t="s">
        <v>21</v>
      </c>
      <c r="L1692" s="7">
        <v>40763.52722222223</v>
      </c>
      <c r="M1692" s="13" t="s">
        <v>90</v>
      </c>
      <c r="N1692" s="13" t="s">
        <v>91</v>
      </c>
      <c r="O1692" s="10" t="str">
        <f>HYPERLINK("https://pbs.twimg.com/profile_images/2700002859/1f2d610ddaf1f03ac7d033dd83847b45_normal.jpeg","View")</f>
        <v>View</v>
      </c>
      <c r="P1692" s="14"/>
    </row>
    <row r="1693">
      <c r="A1693" s="7">
        <v>42434.55928240741</v>
      </c>
      <c r="B1693" s="8" t="str">
        <f>HYPERLINK("https://twitter.com/femrhetprof","@femrhetprof")</f>
        <v>@femrhetprof</v>
      </c>
      <c r="C1693" s="9" t="s">
        <v>1756</v>
      </c>
      <c r="D1693" s="9" t="s">
        <v>1757</v>
      </c>
      <c r="E1693" s="10" t="str">
        <f>HYPERLINK("https://twitter.com/femrhetprof/status/706198940945948672","706198940945948672")</f>
        <v>706198940945948672</v>
      </c>
      <c r="F1693" s="11" t="s">
        <v>26</v>
      </c>
      <c r="G1693" s="12">
        <v>779.0</v>
      </c>
      <c r="H1693" s="12">
        <v>1357.0</v>
      </c>
      <c r="I1693" s="12">
        <v>0.0</v>
      </c>
      <c r="J1693" s="12">
        <v>0.0</v>
      </c>
      <c r="K1693" s="11" t="s">
        <v>21</v>
      </c>
      <c r="L1693" s="7">
        <v>40491.89579861111</v>
      </c>
      <c r="M1693" s="13" t="s">
        <v>1758</v>
      </c>
      <c r="N1693" s="13" t="s">
        <v>1759</v>
      </c>
      <c r="O1693" s="10" t="str">
        <f>HYPERLINK("https://pbs.twimg.com/profile_images/666088649121906688/le8su106_normal.jpg","View")</f>
        <v>View</v>
      </c>
      <c r="P1693" s="14"/>
    </row>
    <row r="1694">
      <c r="A1694" s="7">
        <v>42434.55960648148</v>
      </c>
      <c r="B1694" s="8" t="str">
        <f>HYPERLINK("https://twitter.com/ValleyNerdWatch","@ValleyNerdWatch")</f>
        <v>@ValleyNerdWatch</v>
      </c>
      <c r="C1694" s="9" t="s">
        <v>772</v>
      </c>
      <c r="D1694" s="9" t="s">
        <v>1760</v>
      </c>
      <c r="E1694" s="10" t="str">
        <f>HYPERLINK("https://twitter.com/ValleyNerdWatch/status/706199059330162692","706199059330162692")</f>
        <v>706199059330162692</v>
      </c>
      <c r="F1694" s="11" t="s">
        <v>148</v>
      </c>
      <c r="G1694" s="12">
        <v>339.0</v>
      </c>
      <c r="H1694" s="12">
        <v>452.0</v>
      </c>
      <c r="I1694" s="12">
        <v>2.0</v>
      </c>
      <c r="J1694" s="12">
        <v>0.0</v>
      </c>
      <c r="K1694" s="11" t="s">
        <v>21</v>
      </c>
      <c r="L1694" s="7">
        <v>42036.03533564815</v>
      </c>
      <c r="M1694" s="13" t="s">
        <v>774</v>
      </c>
      <c r="N1694" s="13" t="s">
        <v>775</v>
      </c>
      <c r="O1694" s="10" t="str">
        <f>HYPERLINK("https://pbs.twimg.com/profile_images/564445065573965824/Ec20w5KQ_normal.jpeg","View")</f>
        <v>View</v>
      </c>
      <c r="P1694" s="14"/>
    </row>
    <row r="1695">
      <c r="A1695" s="7">
        <v>42434.559710648144</v>
      </c>
      <c r="B1695" s="8" t="str">
        <f t="shared" ref="B1695:B1698" si="417">HYPERLINK("https://twitter.com/GHAUmass","@GHAUmass")</f>
        <v>@GHAUmass</v>
      </c>
      <c r="C1695" s="9" t="s">
        <v>30</v>
      </c>
      <c r="D1695" s="9" t="s">
        <v>1761</v>
      </c>
      <c r="E1695" s="10" t="str">
        <f>HYPERLINK("https://twitter.com/GHAUmass/status/706199095531216896","706199095531216896")</f>
        <v>706199095531216896</v>
      </c>
      <c r="F1695" s="11" t="s">
        <v>31</v>
      </c>
      <c r="G1695" s="12">
        <v>75.0</v>
      </c>
      <c r="H1695" s="12">
        <v>102.0</v>
      </c>
      <c r="I1695" s="12">
        <v>1.0</v>
      </c>
      <c r="J1695" s="12">
        <v>0.0</v>
      </c>
      <c r="K1695" s="11" t="s">
        <v>21</v>
      </c>
      <c r="L1695" s="7">
        <v>42152.65289351852</v>
      </c>
      <c r="M1695" s="13" t="s">
        <v>22</v>
      </c>
      <c r="N1695" s="13" t="s">
        <v>32</v>
      </c>
      <c r="O1695" s="10" t="str">
        <f t="shared" ref="O1695:O1698" si="418">HYPERLINK("https://pbs.twimg.com/profile_images/604060333590855682/Fk6r1D7d_normal.jpg","View")</f>
        <v>View</v>
      </c>
      <c r="P1695" s="14"/>
    </row>
    <row r="1696">
      <c r="A1696" s="7">
        <v>42434.55987268519</v>
      </c>
      <c r="B1696" s="8" t="str">
        <f t="shared" si="417"/>
        <v>@GHAUmass</v>
      </c>
      <c r="C1696" s="9" t="s">
        <v>30</v>
      </c>
      <c r="D1696" s="9" t="s">
        <v>1762</v>
      </c>
      <c r="E1696" s="10" t="str">
        <f>HYPERLINK("https://twitter.com/GHAUmass/status/706199155715215360","706199155715215360")</f>
        <v>706199155715215360</v>
      </c>
      <c r="F1696" s="11" t="s">
        <v>31</v>
      </c>
      <c r="G1696" s="12">
        <v>75.0</v>
      </c>
      <c r="H1696" s="12">
        <v>102.0</v>
      </c>
      <c r="I1696" s="12">
        <v>1.0</v>
      </c>
      <c r="J1696" s="12">
        <v>0.0</v>
      </c>
      <c r="K1696" s="11" t="s">
        <v>21</v>
      </c>
      <c r="L1696" s="7">
        <v>42152.65289351852</v>
      </c>
      <c r="M1696" s="13" t="s">
        <v>22</v>
      </c>
      <c r="N1696" s="13" t="s">
        <v>32</v>
      </c>
      <c r="O1696" s="10" t="str">
        <f t="shared" si="418"/>
        <v>View</v>
      </c>
      <c r="P1696" s="14"/>
    </row>
    <row r="1697">
      <c r="A1697" s="7">
        <v>42434.56065972222</v>
      </c>
      <c r="B1697" s="8" t="str">
        <f t="shared" si="417"/>
        <v>@GHAUmass</v>
      </c>
      <c r="C1697" s="9" t="s">
        <v>30</v>
      </c>
      <c r="D1697" s="9" t="s">
        <v>1754</v>
      </c>
      <c r="E1697" s="10" t="str">
        <f>HYPERLINK("https://twitter.com/GHAUmass/status/706199441108287490","706199441108287490")</f>
        <v>706199441108287490</v>
      </c>
      <c r="F1697" s="11" t="s">
        <v>31</v>
      </c>
      <c r="G1697" s="12">
        <v>75.0</v>
      </c>
      <c r="H1697" s="12">
        <v>102.0</v>
      </c>
      <c r="I1697" s="12">
        <v>3.0</v>
      </c>
      <c r="J1697" s="12">
        <v>0.0</v>
      </c>
      <c r="K1697" s="11" t="s">
        <v>21</v>
      </c>
      <c r="L1697" s="7">
        <v>42152.65289351852</v>
      </c>
      <c r="M1697" s="13" t="s">
        <v>22</v>
      </c>
      <c r="N1697" s="13" t="s">
        <v>32</v>
      </c>
      <c r="O1697" s="10" t="str">
        <f t="shared" si="418"/>
        <v>View</v>
      </c>
      <c r="P1697" s="14"/>
    </row>
    <row r="1698">
      <c r="A1698" s="7">
        <v>42434.561840277776</v>
      </c>
      <c r="B1698" s="8" t="str">
        <f t="shared" si="417"/>
        <v>@GHAUmass</v>
      </c>
      <c r="C1698" s="9" t="s">
        <v>30</v>
      </c>
      <c r="D1698" s="9" t="s">
        <v>1760</v>
      </c>
      <c r="E1698" s="10" t="str">
        <f>HYPERLINK("https://twitter.com/GHAUmass/status/706199864888184834","706199864888184834")</f>
        <v>706199864888184834</v>
      </c>
      <c r="F1698" s="11" t="s">
        <v>31</v>
      </c>
      <c r="G1698" s="12">
        <v>75.0</v>
      </c>
      <c r="H1698" s="12">
        <v>102.0</v>
      </c>
      <c r="I1698" s="12">
        <v>2.0</v>
      </c>
      <c r="J1698" s="12">
        <v>0.0</v>
      </c>
      <c r="K1698" s="11" t="s">
        <v>21</v>
      </c>
      <c r="L1698" s="7">
        <v>42152.65289351852</v>
      </c>
      <c r="M1698" s="13" t="s">
        <v>22</v>
      </c>
      <c r="N1698" s="13" t="s">
        <v>32</v>
      </c>
      <c r="O1698" s="10" t="str">
        <f t="shared" si="418"/>
        <v>View</v>
      </c>
      <c r="P1698" s="14"/>
    </row>
    <row r="1699">
      <c r="A1699" s="7">
        <v>42434.56202546296</v>
      </c>
      <c r="B1699" s="8" t="str">
        <f>HYPERLINK("https://twitter.com/cartohist","@cartohist")</f>
        <v>@cartohist</v>
      </c>
      <c r="C1699" s="9" t="s">
        <v>1763</v>
      </c>
      <c r="D1699" s="9" t="s">
        <v>1699</v>
      </c>
      <c r="E1699" s="10" t="str">
        <f>HYPERLINK("https://twitter.com/cartohist/status/706199932357603329","706199932357603329")</f>
        <v>706199932357603329</v>
      </c>
      <c r="F1699" s="11" t="s">
        <v>31</v>
      </c>
      <c r="G1699" s="12">
        <v>208.0</v>
      </c>
      <c r="H1699" s="12">
        <v>384.0</v>
      </c>
      <c r="I1699" s="12">
        <v>4.0</v>
      </c>
      <c r="J1699" s="12">
        <v>0.0</v>
      </c>
      <c r="K1699" s="11" t="s">
        <v>21</v>
      </c>
      <c r="L1699" s="7">
        <v>41597.656122685185</v>
      </c>
      <c r="M1699" s="13" t="s">
        <v>1764</v>
      </c>
      <c r="N1699" s="13" t="s">
        <v>1765</v>
      </c>
      <c r="O1699" s="10" t="str">
        <f>HYPERLINK("https://pbs.twimg.com/profile_images/378800000763070598/fdfd98e9a5f35a73a97daad1f77c5037_normal.png","View")</f>
        <v>View</v>
      </c>
      <c r="P1699" s="14"/>
    </row>
    <row r="1700">
      <c r="A1700" s="7">
        <v>42434.56236111111</v>
      </c>
      <c r="B1700" s="8" t="str">
        <f>HYPERLINK("https://twitter.com/cherylharned","@cherylharned")</f>
        <v>@cherylharned</v>
      </c>
      <c r="C1700" s="9" t="s">
        <v>1371</v>
      </c>
      <c r="D1700" s="9" t="s">
        <v>1766</v>
      </c>
      <c r="E1700" s="10" t="str">
        <f>HYPERLINK("https://twitter.com/cherylharned/status/706200057465409536","706200057465409536")</f>
        <v>706200057465409536</v>
      </c>
      <c r="F1700" s="11" t="s">
        <v>26</v>
      </c>
      <c r="G1700" s="12">
        <v>101.0</v>
      </c>
      <c r="H1700" s="12">
        <v>407.0</v>
      </c>
      <c r="I1700" s="12">
        <v>1.0</v>
      </c>
      <c r="J1700" s="12">
        <v>0.0</v>
      </c>
      <c r="K1700" s="11" t="s">
        <v>21</v>
      </c>
      <c r="L1700" s="7">
        <v>41373.45469907408</v>
      </c>
      <c r="M1700" s="15"/>
      <c r="N1700" s="13" t="s">
        <v>1373</v>
      </c>
      <c r="O1700" s="10" t="str">
        <f>HYPERLINK("https://pbs.twimg.com/profile_images/535167858204893184/DNz9ruRN_normal.jpeg","View")</f>
        <v>View</v>
      </c>
      <c r="P1700" s="14"/>
    </row>
    <row r="1701">
      <c r="A1701" s="7">
        <v>42434.562743055554</v>
      </c>
      <c r="B1701" s="8" t="str">
        <f>HYPERLINK("https://twitter.com/GHAUmass","@GHAUmass")</f>
        <v>@GHAUmass</v>
      </c>
      <c r="C1701" s="9" t="s">
        <v>30</v>
      </c>
      <c r="D1701" s="9" t="s">
        <v>1767</v>
      </c>
      <c r="E1701" s="10" t="str">
        <f>HYPERLINK("https://twitter.com/GHAUmass/status/706200193188962304","706200193188962304")</f>
        <v>706200193188962304</v>
      </c>
      <c r="F1701" s="11" t="s">
        <v>31</v>
      </c>
      <c r="G1701" s="12">
        <v>75.0</v>
      </c>
      <c r="H1701" s="12">
        <v>102.0</v>
      </c>
      <c r="I1701" s="12">
        <v>1.0</v>
      </c>
      <c r="J1701" s="12">
        <v>0.0</v>
      </c>
      <c r="K1701" s="11" t="s">
        <v>21</v>
      </c>
      <c r="L1701" s="7">
        <v>42152.65289351852</v>
      </c>
      <c r="M1701" s="13" t="s">
        <v>22</v>
      </c>
      <c r="N1701" s="13" t="s">
        <v>32</v>
      </c>
      <c r="O1701" s="10" t="str">
        <f>HYPERLINK("https://pbs.twimg.com/profile_images/604060333590855682/Fk6r1D7d_normal.jpg","View")</f>
        <v>View</v>
      </c>
      <c r="P1701" s="14"/>
    </row>
    <row r="1702">
      <c r="A1702" s="7">
        <v>42434.56462962963</v>
      </c>
      <c r="B1702" s="8" t="str">
        <f>HYPERLINK("https://twitter.com/Histouroborus","@Histouroborus")</f>
        <v>@Histouroborus</v>
      </c>
      <c r="C1702" s="9" t="s">
        <v>1768</v>
      </c>
      <c r="D1702" s="9" t="s">
        <v>516</v>
      </c>
      <c r="E1702" s="10" t="str">
        <f>HYPERLINK("https://twitter.com/Histouroborus/status/706200876864692226","706200876864692226")</f>
        <v>706200876864692226</v>
      </c>
      <c r="F1702" s="11" t="s">
        <v>31</v>
      </c>
      <c r="G1702" s="12">
        <v>264.0</v>
      </c>
      <c r="H1702" s="12">
        <v>963.0</v>
      </c>
      <c r="I1702" s="12">
        <v>4.0</v>
      </c>
      <c r="J1702" s="12">
        <v>0.0</v>
      </c>
      <c r="K1702" s="11" t="s">
        <v>21</v>
      </c>
      <c r="L1702" s="7">
        <v>41484.87322916667</v>
      </c>
      <c r="M1702" s="13" t="s">
        <v>1769</v>
      </c>
      <c r="N1702" s="13" t="s">
        <v>1770</v>
      </c>
      <c r="O1702" s="10" t="str">
        <f>HYPERLINK("https://pbs.twimg.com/profile_images/676623213993074689/B8zVxzT7_normal.jpg","View")</f>
        <v>View</v>
      </c>
      <c r="P1702" s="14"/>
    </row>
    <row r="1703">
      <c r="A1703" s="7">
        <v>42434.568402777775</v>
      </c>
      <c r="B1703" s="8" t="str">
        <f>HYPERLINK("https://twitter.com/UMACP","@UMACP")</f>
        <v>@UMACP</v>
      </c>
      <c r="C1703" s="9" t="s">
        <v>1771</v>
      </c>
      <c r="D1703" s="9" t="s">
        <v>1420</v>
      </c>
      <c r="E1703" s="10" t="str">
        <f>HYPERLINK("https://twitter.com/UMACP/status/706202245356847105","706202245356847105")</f>
        <v>706202245356847105</v>
      </c>
      <c r="F1703" s="11" t="s">
        <v>102</v>
      </c>
      <c r="G1703" s="12">
        <v>101.0</v>
      </c>
      <c r="H1703" s="12">
        <v>100.0</v>
      </c>
      <c r="I1703" s="12">
        <v>5.0</v>
      </c>
      <c r="J1703" s="12">
        <v>0.0</v>
      </c>
      <c r="K1703" s="11" t="s">
        <v>21</v>
      </c>
      <c r="L1703" s="7">
        <v>40592.40577546296</v>
      </c>
      <c r="M1703" s="13" t="s">
        <v>1772</v>
      </c>
      <c r="N1703" s="13" t="s">
        <v>1773</v>
      </c>
      <c r="O1703" s="10" t="str">
        <f>HYPERLINK("https://pbs.twimg.com/profile_images/1248210244/sealcp_normal.jpg","View")</f>
        <v>View</v>
      </c>
      <c r="P1703" s="14"/>
    </row>
    <row r="1704">
      <c r="A1704" s="7">
        <v>42434.57035879629</v>
      </c>
      <c r="B1704" s="8" t="str">
        <f>HYPERLINK("https://twitter.com/jaheppler","@jaheppler")</f>
        <v>@jaheppler</v>
      </c>
      <c r="C1704" s="9" t="s">
        <v>460</v>
      </c>
      <c r="D1704" s="9" t="s">
        <v>1727</v>
      </c>
      <c r="E1704" s="10" t="str">
        <f>HYPERLINK("https://twitter.com/jaheppler/status/706202955662233600","706202955662233600")</f>
        <v>706202955662233600</v>
      </c>
      <c r="F1704" s="11" t="s">
        <v>26</v>
      </c>
      <c r="G1704" s="12">
        <v>1936.0</v>
      </c>
      <c r="H1704" s="12">
        <v>480.0</v>
      </c>
      <c r="I1704" s="12">
        <v>2.0</v>
      </c>
      <c r="J1704" s="12">
        <v>0.0</v>
      </c>
      <c r="K1704" s="11" t="s">
        <v>21</v>
      </c>
      <c r="L1704" s="7">
        <v>39702.3484375</v>
      </c>
      <c r="M1704" s="13" t="s">
        <v>463</v>
      </c>
      <c r="N1704" s="13" t="s">
        <v>1774</v>
      </c>
      <c r="O1704" s="10" t="str">
        <f>HYPERLINK("https://pbs.twimg.com/profile_images/436607137188290560/UM-U3wT1_normal.jpeg","View")</f>
        <v>View</v>
      </c>
      <c r="P1704" s="14"/>
    </row>
    <row r="1705">
      <c r="A1705" s="7">
        <v>42434.57325231482</v>
      </c>
      <c r="B1705" s="8" t="str">
        <f>HYPERLINK("https://twitter.com/DanielSSoucier","@DanielSSoucier")</f>
        <v>@DanielSSoucier</v>
      </c>
      <c r="C1705" s="9" t="s">
        <v>1775</v>
      </c>
      <c r="D1705" s="9" t="s">
        <v>1703</v>
      </c>
      <c r="E1705" s="10" t="str">
        <f>HYPERLINK("https://twitter.com/DanielSSoucier/status/706204001952538624","706204001952538624")</f>
        <v>706204001952538624</v>
      </c>
      <c r="F1705" s="11" t="s">
        <v>148</v>
      </c>
      <c r="G1705" s="12">
        <v>324.0</v>
      </c>
      <c r="H1705" s="12">
        <v>465.0</v>
      </c>
      <c r="I1705" s="12">
        <v>3.0</v>
      </c>
      <c r="J1705" s="12">
        <v>0.0</v>
      </c>
      <c r="K1705" s="11" t="s">
        <v>21</v>
      </c>
      <c r="L1705" s="7">
        <v>40674.92681712963</v>
      </c>
      <c r="M1705" s="13" t="s">
        <v>1776</v>
      </c>
      <c r="N1705" s="13" t="s">
        <v>1777</v>
      </c>
      <c r="O1705" s="10" t="str">
        <f>HYPERLINK("https://pbs.twimg.com/profile_images/1352007582/dan_head_normal.JPG","View")</f>
        <v>View</v>
      </c>
      <c r="P1705" s="14"/>
    </row>
    <row r="1706">
      <c r="A1706" s="7">
        <v>42434.573645833334</v>
      </c>
      <c r="B1706" s="8" t="str">
        <f t="shared" ref="B1706:B1707" si="419">HYPERLINK("https://twitter.com/mathhistory","@mathhistory")</f>
        <v>@mathhistory</v>
      </c>
      <c r="C1706" s="9" t="s">
        <v>341</v>
      </c>
      <c r="D1706" s="9" t="s">
        <v>1778</v>
      </c>
      <c r="E1706" s="10" t="str">
        <f>HYPERLINK("https://twitter.com/mathhistory/status/706204144437239808","706204144437239808")</f>
        <v>706204144437239808</v>
      </c>
      <c r="F1706" s="11" t="s">
        <v>26</v>
      </c>
      <c r="G1706" s="12">
        <v>791.0</v>
      </c>
      <c r="H1706" s="12">
        <v>1109.0</v>
      </c>
      <c r="I1706" s="12">
        <v>0.0</v>
      </c>
      <c r="J1706" s="12">
        <v>0.0</v>
      </c>
      <c r="K1706" s="11" t="s">
        <v>21</v>
      </c>
      <c r="L1706" s="7">
        <v>41089.96089120371</v>
      </c>
      <c r="M1706" s="13" t="s">
        <v>343</v>
      </c>
      <c r="N1706" s="13" t="s">
        <v>344</v>
      </c>
      <c r="O1706" s="10" t="str">
        <f t="shared" ref="O1706:O1707" si="420">HYPERLINK("https://pbs.twimg.com/profile_images/3034769023/09adfcbebccfeef2a42e39aaac64ede5_normal.jpeg","View")</f>
        <v>View</v>
      </c>
      <c r="P1706" s="14"/>
    </row>
    <row r="1707">
      <c r="A1707" s="7">
        <v>42434.57461805556</v>
      </c>
      <c r="B1707" s="8" t="str">
        <f t="shared" si="419"/>
        <v>@mathhistory</v>
      </c>
      <c r="C1707" s="9" t="s">
        <v>341</v>
      </c>
      <c r="D1707" s="9" t="s">
        <v>1779</v>
      </c>
      <c r="E1707" s="10" t="str">
        <f>HYPERLINK("https://twitter.com/mathhistory/status/706204496993636352","706204496993636352")</f>
        <v>706204496993636352</v>
      </c>
      <c r="F1707" s="11" t="s">
        <v>26</v>
      </c>
      <c r="G1707" s="12">
        <v>791.0</v>
      </c>
      <c r="H1707" s="12">
        <v>1109.0</v>
      </c>
      <c r="I1707" s="12">
        <v>0.0</v>
      </c>
      <c r="J1707" s="12">
        <v>0.0</v>
      </c>
      <c r="K1707" s="11" t="s">
        <v>21</v>
      </c>
      <c r="L1707" s="7">
        <v>41089.96089120371</v>
      </c>
      <c r="M1707" s="13" t="s">
        <v>343</v>
      </c>
      <c r="N1707" s="13" t="s">
        <v>344</v>
      </c>
      <c r="O1707" s="10" t="str">
        <f t="shared" si="420"/>
        <v>View</v>
      </c>
      <c r="P1707" s="14"/>
    </row>
    <row r="1708">
      <c r="A1708" s="7">
        <v>42434.57548611111</v>
      </c>
      <c r="B1708" s="8" t="str">
        <f>HYPERLINK("https://twitter.com/cherylharned","@cherylharned")</f>
        <v>@cherylharned</v>
      </c>
      <c r="C1708" s="9" t="s">
        <v>1371</v>
      </c>
      <c r="D1708" s="9" t="s">
        <v>1780</v>
      </c>
      <c r="E1708" s="10" t="str">
        <f>HYPERLINK("https://twitter.com/cherylharned/status/706204813533515782","706204813533515782")</f>
        <v>706204813533515782</v>
      </c>
      <c r="F1708" s="11" t="s">
        <v>26</v>
      </c>
      <c r="G1708" s="12">
        <v>101.0</v>
      </c>
      <c r="H1708" s="12">
        <v>407.0</v>
      </c>
      <c r="I1708" s="12">
        <v>0.0</v>
      </c>
      <c r="J1708" s="12">
        <v>0.0</v>
      </c>
      <c r="K1708" s="11" t="s">
        <v>21</v>
      </c>
      <c r="L1708" s="7">
        <v>41373.45469907408</v>
      </c>
      <c r="M1708" s="15"/>
      <c r="N1708" s="13" t="s">
        <v>1373</v>
      </c>
      <c r="O1708" s="10" t="str">
        <f>HYPERLINK("https://pbs.twimg.com/profile_images/535167858204893184/DNz9ruRN_normal.jpeg","View")</f>
        <v>View</v>
      </c>
      <c r="P1708" s="14"/>
    </row>
    <row r="1709">
      <c r="A1709" s="7">
        <v>42434.57565972222</v>
      </c>
      <c r="B1709" s="8" t="str">
        <f t="shared" ref="B1709:B1710" si="421">HYPERLINK("https://twitter.com/mathhistory","@mathhistory")</f>
        <v>@mathhistory</v>
      </c>
      <c r="C1709" s="9" t="s">
        <v>341</v>
      </c>
      <c r="D1709" s="9" t="s">
        <v>1781</v>
      </c>
      <c r="E1709" s="10" t="str">
        <f>HYPERLINK("https://twitter.com/mathhistory/status/706204875168858112","706204875168858112")</f>
        <v>706204875168858112</v>
      </c>
      <c r="F1709" s="11" t="s">
        <v>26</v>
      </c>
      <c r="G1709" s="12">
        <v>791.0</v>
      </c>
      <c r="H1709" s="12">
        <v>1109.0</v>
      </c>
      <c r="I1709" s="12">
        <v>0.0</v>
      </c>
      <c r="J1709" s="12">
        <v>2.0</v>
      </c>
      <c r="K1709" s="11" t="s">
        <v>21</v>
      </c>
      <c r="L1709" s="7">
        <v>41089.96089120371</v>
      </c>
      <c r="M1709" s="13" t="s">
        <v>343</v>
      </c>
      <c r="N1709" s="13" t="s">
        <v>344</v>
      </c>
      <c r="O1709" s="10" t="str">
        <f t="shared" ref="O1709:O1710" si="422">HYPERLINK("https://pbs.twimg.com/profile_images/3034769023/09adfcbebccfeef2a42e39aaac64ede5_normal.jpeg","View")</f>
        <v>View</v>
      </c>
      <c r="P1709" s="14"/>
    </row>
    <row r="1710">
      <c r="A1710" s="7">
        <v>42434.577048611114</v>
      </c>
      <c r="B1710" s="8" t="str">
        <f t="shared" si="421"/>
        <v>@mathhistory</v>
      </c>
      <c r="C1710" s="9" t="s">
        <v>341</v>
      </c>
      <c r="D1710" s="9" t="s">
        <v>1782</v>
      </c>
      <c r="E1710" s="10" t="str">
        <f>HYPERLINK("https://twitter.com/mathhistory/status/706205379651379200","706205379651379200")</f>
        <v>706205379651379200</v>
      </c>
      <c r="F1710" s="11" t="s">
        <v>26</v>
      </c>
      <c r="G1710" s="12">
        <v>791.0</v>
      </c>
      <c r="H1710" s="12">
        <v>1111.0</v>
      </c>
      <c r="I1710" s="12">
        <v>1.0</v>
      </c>
      <c r="J1710" s="12">
        <v>3.0</v>
      </c>
      <c r="K1710" s="11" t="s">
        <v>21</v>
      </c>
      <c r="L1710" s="7">
        <v>41089.96089120371</v>
      </c>
      <c r="M1710" s="13" t="s">
        <v>343</v>
      </c>
      <c r="N1710" s="13" t="s">
        <v>344</v>
      </c>
      <c r="O1710" s="10" t="str">
        <f t="shared" si="422"/>
        <v>View</v>
      </c>
      <c r="P1710" s="14"/>
    </row>
    <row r="1711">
      <c r="A1711" s="7">
        <v>42434.57886574074</v>
      </c>
      <c r="B1711" s="8" t="str">
        <f t="shared" ref="B1711:B1715" si="423">HYPERLINK("https://twitter.com/samueljredman","@samueljredman")</f>
        <v>@samueljredman</v>
      </c>
      <c r="C1711" s="9" t="s">
        <v>158</v>
      </c>
      <c r="D1711" s="9" t="s">
        <v>1783</v>
      </c>
      <c r="E1711" s="10" t="str">
        <f>HYPERLINK("https://twitter.com/samueljredman/status/706206037951516672","706206037951516672")</f>
        <v>706206037951516672</v>
      </c>
      <c r="F1711" s="11" t="s">
        <v>26</v>
      </c>
      <c r="G1711" s="12">
        <v>5626.0</v>
      </c>
      <c r="H1711" s="12">
        <v>5357.0</v>
      </c>
      <c r="I1711" s="12">
        <v>1.0</v>
      </c>
      <c r="J1711" s="12">
        <v>0.0</v>
      </c>
      <c r="K1711" s="11" t="s">
        <v>21</v>
      </c>
      <c r="L1711" s="7">
        <v>40584.98517361111</v>
      </c>
      <c r="M1711" s="13" t="s">
        <v>160</v>
      </c>
      <c r="N1711" s="13" t="s">
        <v>161</v>
      </c>
      <c r="O1711" s="10" t="str">
        <f t="shared" ref="O1711:O1715" si="424">HYPERLINK("https://pbs.twimg.com/profile_images/548193870278688768/8Dq7gW3U_normal.png","View")</f>
        <v>View</v>
      </c>
      <c r="P1711" s="14"/>
    </row>
    <row r="1712">
      <c r="A1712" s="7">
        <v>42434.57891203703</v>
      </c>
      <c r="B1712" s="8" t="str">
        <f t="shared" si="423"/>
        <v>@samueljredman</v>
      </c>
      <c r="C1712" s="9" t="s">
        <v>158</v>
      </c>
      <c r="D1712" s="9" t="s">
        <v>1760</v>
      </c>
      <c r="E1712" s="10" t="str">
        <f>HYPERLINK("https://twitter.com/samueljredman/status/706206052786819072","706206052786819072")</f>
        <v>706206052786819072</v>
      </c>
      <c r="F1712" s="11" t="s">
        <v>26</v>
      </c>
      <c r="G1712" s="12">
        <v>5626.0</v>
      </c>
      <c r="H1712" s="12">
        <v>5357.0</v>
      </c>
      <c r="I1712" s="12">
        <v>5.0</v>
      </c>
      <c r="J1712" s="12">
        <v>0.0</v>
      </c>
      <c r="K1712" s="11" t="s">
        <v>21</v>
      </c>
      <c r="L1712" s="7">
        <v>40584.98517361111</v>
      </c>
      <c r="M1712" s="13" t="s">
        <v>160</v>
      </c>
      <c r="N1712" s="13" t="s">
        <v>161</v>
      </c>
      <c r="O1712" s="10" t="str">
        <f t="shared" si="424"/>
        <v>View</v>
      </c>
      <c r="P1712" s="14"/>
    </row>
    <row r="1713">
      <c r="A1713" s="7">
        <v>42434.579143518524</v>
      </c>
      <c r="B1713" s="8" t="str">
        <f t="shared" si="423"/>
        <v>@samueljredman</v>
      </c>
      <c r="C1713" s="9" t="s">
        <v>158</v>
      </c>
      <c r="D1713" s="9" t="s">
        <v>1784</v>
      </c>
      <c r="E1713" s="10" t="str">
        <f>HYPERLINK("https://twitter.com/samueljredman/status/706206136555462657","706206136555462657")</f>
        <v>706206136555462657</v>
      </c>
      <c r="F1713" s="11" t="s">
        <v>26</v>
      </c>
      <c r="G1713" s="12">
        <v>5626.0</v>
      </c>
      <c r="H1713" s="12">
        <v>5357.0</v>
      </c>
      <c r="I1713" s="12">
        <v>1.0</v>
      </c>
      <c r="J1713" s="12">
        <v>0.0</v>
      </c>
      <c r="K1713" s="11" t="s">
        <v>21</v>
      </c>
      <c r="L1713" s="7">
        <v>40584.98517361111</v>
      </c>
      <c r="M1713" s="13" t="s">
        <v>160</v>
      </c>
      <c r="N1713" s="13" t="s">
        <v>161</v>
      </c>
      <c r="O1713" s="10" t="str">
        <f t="shared" si="424"/>
        <v>View</v>
      </c>
      <c r="P1713" s="14"/>
    </row>
    <row r="1714">
      <c r="A1714" s="7">
        <v>42434.57922453704</v>
      </c>
      <c r="B1714" s="8" t="str">
        <f t="shared" si="423"/>
        <v>@samueljredman</v>
      </c>
      <c r="C1714" s="9" t="s">
        <v>158</v>
      </c>
      <c r="D1714" s="9" t="s">
        <v>1785</v>
      </c>
      <c r="E1714" s="10" t="str">
        <f>HYPERLINK("https://twitter.com/samueljredman/status/706206167085801475","706206167085801475")</f>
        <v>706206167085801475</v>
      </c>
      <c r="F1714" s="11" t="s">
        <v>26</v>
      </c>
      <c r="G1714" s="12">
        <v>5626.0</v>
      </c>
      <c r="H1714" s="12">
        <v>5357.0</v>
      </c>
      <c r="I1714" s="12">
        <v>3.0</v>
      </c>
      <c r="J1714" s="12">
        <v>0.0</v>
      </c>
      <c r="K1714" s="11" t="s">
        <v>21</v>
      </c>
      <c r="L1714" s="7">
        <v>40584.98517361111</v>
      </c>
      <c r="M1714" s="13" t="s">
        <v>160</v>
      </c>
      <c r="N1714" s="13" t="s">
        <v>161</v>
      </c>
      <c r="O1714" s="10" t="str">
        <f t="shared" si="424"/>
        <v>View</v>
      </c>
      <c r="P1714" s="14"/>
    </row>
    <row r="1715">
      <c r="A1715" s="7">
        <v>42434.57927083333</v>
      </c>
      <c r="B1715" s="8" t="str">
        <f t="shared" si="423"/>
        <v>@samueljredman</v>
      </c>
      <c r="C1715" s="9" t="s">
        <v>158</v>
      </c>
      <c r="D1715" s="9" t="s">
        <v>1786</v>
      </c>
      <c r="E1715" s="10" t="str">
        <f>HYPERLINK("https://twitter.com/samueljredman/status/706206182009151488","706206182009151488")</f>
        <v>706206182009151488</v>
      </c>
      <c r="F1715" s="11" t="s">
        <v>26</v>
      </c>
      <c r="G1715" s="12">
        <v>5626.0</v>
      </c>
      <c r="H1715" s="12">
        <v>5357.0</v>
      </c>
      <c r="I1715" s="12">
        <v>1.0</v>
      </c>
      <c r="J1715" s="12">
        <v>0.0</v>
      </c>
      <c r="K1715" s="11" t="s">
        <v>21</v>
      </c>
      <c r="L1715" s="7">
        <v>40584.98517361111</v>
      </c>
      <c r="M1715" s="13" t="s">
        <v>160</v>
      </c>
      <c r="N1715" s="13" t="s">
        <v>161</v>
      </c>
      <c r="O1715" s="10" t="str">
        <f t="shared" si="424"/>
        <v>View</v>
      </c>
      <c r="P1715" s="14"/>
    </row>
    <row r="1716">
      <c r="A1716" s="7">
        <v>42434.580937499995</v>
      </c>
      <c r="B1716" s="8" t="str">
        <f t="shared" ref="B1716:B1717" si="425">HYPERLINK("https://twitter.com/pastpunditry","@pastpunditry")</f>
        <v>@pastpunditry</v>
      </c>
      <c r="C1716" s="9" t="s">
        <v>92</v>
      </c>
      <c r="D1716" s="9" t="s">
        <v>1785</v>
      </c>
      <c r="E1716" s="10" t="str">
        <f>HYPERLINK("https://twitter.com/pastpunditry/status/706206786043252738","706206786043252738")</f>
        <v>706206786043252738</v>
      </c>
      <c r="F1716" s="11" t="s">
        <v>77</v>
      </c>
      <c r="G1716" s="12">
        <v>896.0</v>
      </c>
      <c r="H1716" s="12">
        <v>378.0</v>
      </c>
      <c r="I1716" s="12">
        <v>3.0</v>
      </c>
      <c r="J1716" s="12">
        <v>0.0</v>
      </c>
      <c r="K1716" s="11" t="s">
        <v>21</v>
      </c>
      <c r="L1716" s="7">
        <v>40283.384351851855</v>
      </c>
      <c r="M1716" s="13" t="s">
        <v>94</v>
      </c>
      <c r="N1716" s="13" t="s">
        <v>95</v>
      </c>
      <c r="O1716" s="10" t="str">
        <f t="shared" ref="O1716:O1717" si="426">HYPERLINK("https://pbs.twimg.com/profile_images/704873222802636800/7aFEMOY5_normal.jpg","View")</f>
        <v>View</v>
      </c>
      <c r="P1716" s="14"/>
    </row>
    <row r="1717">
      <c r="A1717" s="7">
        <v>42434.58209490741</v>
      </c>
      <c r="B1717" s="8" t="str">
        <f t="shared" si="425"/>
        <v>@pastpunditry</v>
      </c>
      <c r="C1717" s="9" t="s">
        <v>92</v>
      </c>
      <c r="D1717" s="9" t="s">
        <v>1787</v>
      </c>
      <c r="E1717" s="10" t="str">
        <f>HYPERLINK("https://twitter.com/pastpunditry/status/706207207738712064","706207207738712064")</f>
        <v>706207207738712064</v>
      </c>
      <c r="F1717" s="11" t="s">
        <v>26</v>
      </c>
      <c r="G1717" s="12">
        <v>896.0</v>
      </c>
      <c r="H1717" s="12">
        <v>378.0</v>
      </c>
      <c r="I1717" s="12">
        <v>0.0</v>
      </c>
      <c r="J1717" s="12">
        <v>0.0</v>
      </c>
      <c r="K1717" s="11" t="s">
        <v>21</v>
      </c>
      <c r="L1717" s="7">
        <v>40283.384351851855</v>
      </c>
      <c r="M1717" s="13" t="s">
        <v>94</v>
      </c>
      <c r="N1717" s="13" t="s">
        <v>95</v>
      </c>
      <c r="O1717" s="10" t="str">
        <f t="shared" si="426"/>
        <v>View</v>
      </c>
      <c r="P1717" s="14"/>
    </row>
    <row r="1718">
      <c r="A1718" s="7">
        <v>42434.5821875</v>
      </c>
      <c r="B1718" s="8" t="str">
        <f>HYPERLINK("https://twitter.com/GeitnerSimmons","@GeitnerSimmons")</f>
        <v>@GeitnerSimmons</v>
      </c>
      <c r="C1718" s="9" t="s">
        <v>1788</v>
      </c>
      <c r="D1718" s="9" t="s">
        <v>1719</v>
      </c>
      <c r="E1718" s="10" t="str">
        <f>HYPERLINK("https://twitter.com/GeitnerSimmons/status/706207239267184640","706207239267184640")</f>
        <v>706207239267184640</v>
      </c>
      <c r="F1718" s="11" t="s">
        <v>26</v>
      </c>
      <c r="G1718" s="12">
        <v>727.0</v>
      </c>
      <c r="H1718" s="12">
        <v>2486.0</v>
      </c>
      <c r="I1718" s="12">
        <v>2.0</v>
      </c>
      <c r="J1718" s="12">
        <v>0.0</v>
      </c>
      <c r="K1718" s="11" t="s">
        <v>21</v>
      </c>
      <c r="L1718" s="7">
        <v>42202.46502314815</v>
      </c>
      <c r="M1718" s="15"/>
      <c r="N1718" s="13" t="s">
        <v>1789</v>
      </c>
      <c r="O1718" s="10" t="str">
        <f>HYPERLINK("https://pbs.twimg.com/profile_images/622172103844888576/yu4EHWPc_normal.jpg","View")</f>
        <v>View</v>
      </c>
      <c r="P1718" s="14"/>
    </row>
    <row r="1719">
      <c r="A1719" s="7">
        <v>42434.58230324074</v>
      </c>
      <c r="B1719" s="8" t="str">
        <f>HYPERLINK("https://twitter.com/pastpunditry","@pastpunditry")</f>
        <v>@pastpunditry</v>
      </c>
      <c r="C1719" s="9" t="s">
        <v>92</v>
      </c>
      <c r="D1719" s="9" t="s">
        <v>1790</v>
      </c>
      <c r="E1719" s="10" t="str">
        <f>HYPERLINK("https://twitter.com/pastpunditry/status/706207284142202880","706207284142202880")</f>
        <v>706207284142202880</v>
      </c>
      <c r="F1719" s="11" t="s">
        <v>26</v>
      </c>
      <c r="G1719" s="12">
        <v>896.0</v>
      </c>
      <c r="H1719" s="12">
        <v>378.0</v>
      </c>
      <c r="I1719" s="12">
        <v>0.0</v>
      </c>
      <c r="J1719" s="12">
        <v>1.0</v>
      </c>
      <c r="K1719" s="11" t="s">
        <v>21</v>
      </c>
      <c r="L1719" s="7">
        <v>40283.384351851855</v>
      </c>
      <c r="M1719" s="13" t="s">
        <v>94</v>
      </c>
      <c r="N1719" s="13" t="s">
        <v>95</v>
      </c>
      <c r="O1719" s="10" t="str">
        <f>HYPERLINK("https://pbs.twimg.com/profile_images/704873222802636800/7aFEMOY5_normal.jpg","View")</f>
        <v>View</v>
      </c>
      <c r="P1719" s="14"/>
    </row>
    <row r="1720">
      <c r="A1720" s="7">
        <v>42434.582604166666</v>
      </c>
      <c r="B1720" s="8" t="str">
        <f>HYPERLINK("https://twitter.com/OriginalLizz","@OriginalLizz")</f>
        <v>@OriginalLizz</v>
      </c>
      <c r="C1720" s="9" t="s">
        <v>1276</v>
      </c>
      <c r="D1720" s="9" t="s">
        <v>1785</v>
      </c>
      <c r="E1720" s="10" t="str">
        <f>HYPERLINK("https://twitter.com/OriginalLizz/status/706207391495360512","706207391495360512")</f>
        <v>706207391495360512</v>
      </c>
      <c r="F1720" s="11" t="s">
        <v>31</v>
      </c>
      <c r="G1720" s="12">
        <v>202.0</v>
      </c>
      <c r="H1720" s="12">
        <v>507.0</v>
      </c>
      <c r="I1720" s="12">
        <v>3.0</v>
      </c>
      <c r="J1720" s="12">
        <v>0.0</v>
      </c>
      <c r="K1720" s="11" t="s">
        <v>21</v>
      </c>
      <c r="L1720" s="7">
        <v>41885.57365740741</v>
      </c>
      <c r="M1720" s="13" t="s">
        <v>1278</v>
      </c>
      <c r="N1720" s="13" t="s">
        <v>1279</v>
      </c>
      <c r="O1720" s="10" t="str">
        <f>HYPERLINK("https://pbs.twimg.com/profile_images/507519369509756928/wgLxn605_normal.jpeg","View")</f>
        <v>View</v>
      </c>
      <c r="P1720" s="14"/>
    </row>
    <row r="1721">
      <c r="A1721" s="7">
        <v>42434.58371527778</v>
      </c>
      <c r="B1721" s="8" t="str">
        <f t="shared" ref="B1721:B1722" si="427">HYPERLINK("https://twitter.com/pastpunditry","@pastpunditry")</f>
        <v>@pastpunditry</v>
      </c>
      <c r="C1721" s="9" t="s">
        <v>92</v>
      </c>
      <c r="D1721" s="9" t="s">
        <v>1791</v>
      </c>
      <c r="E1721" s="10" t="str">
        <f>HYPERLINK("https://twitter.com/pastpunditry/status/706207793049686016","706207793049686016")</f>
        <v>706207793049686016</v>
      </c>
      <c r="F1721" s="11" t="s">
        <v>77</v>
      </c>
      <c r="G1721" s="12">
        <v>896.0</v>
      </c>
      <c r="H1721" s="12">
        <v>378.0</v>
      </c>
      <c r="I1721" s="12">
        <v>0.0</v>
      </c>
      <c r="J1721" s="12">
        <v>0.0</v>
      </c>
      <c r="K1721" s="11" t="s">
        <v>21</v>
      </c>
      <c r="L1721" s="7">
        <v>40283.384351851855</v>
      </c>
      <c r="M1721" s="13" t="s">
        <v>94</v>
      </c>
      <c r="N1721" s="13" t="s">
        <v>95</v>
      </c>
      <c r="O1721" s="10" t="str">
        <f t="shared" ref="O1721:O1722" si="428">HYPERLINK("https://pbs.twimg.com/profile_images/704873222802636800/7aFEMOY5_normal.jpg","View")</f>
        <v>View</v>
      </c>
      <c r="P1721" s="14"/>
    </row>
    <row r="1722">
      <c r="A1722" s="7">
        <v>42434.584444444445</v>
      </c>
      <c r="B1722" s="8" t="str">
        <f t="shared" si="427"/>
        <v>@pastpunditry</v>
      </c>
      <c r="C1722" s="9" t="s">
        <v>92</v>
      </c>
      <c r="D1722" s="9" t="s">
        <v>1792</v>
      </c>
      <c r="E1722" s="10" t="str">
        <f>HYPERLINK("https://twitter.com/pastpunditry/status/706208058557526016","706208058557526016")</f>
        <v>706208058557526016</v>
      </c>
      <c r="F1722" s="11" t="s">
        <v>77</v>
      </c>
      <c r="G1722" s="12">
        <v>896.0</v>
      </c>
      <c r="H1722" s="12">
        <v>378.0</v>
      </c>
      <c r="I1722" s="12">
        <v>0.0</v>
      </c>
      <c r="J1722" s="12">
        <v>0.0</v>
      </c>
      <c r="K1722" s="11" t="s">
        <v>21</v>
      </c>
      <c r="L1722" s="7">
        <v>40283.384351851855</v>
      </c>
      <c r="M1722" s="13" t="s">
        <v>94</v>
      </c>
      <c r="N1722" s="13" t="s">
        <v>95</v>
      </c>
      <c r="O1722" s="10" t="str">
        <f t="shared" si="428"/>
        <v>View</v>
      </c>
      <c r="P1722" s="14"/>
    </row>
    <row r="1723">
      <c r="A1723" s="7">
        <v>42434.58525462963</v>
      </c>
      <c r="B1723" s="8" t="str">
        <f>HYPERLINK("https://twitter.com/juliegpeterson","@juliegpeterson")</f>
        <v>@juliegpeterson</v>
      </c>
      <c r="C1723" s="9" t="s">
        <v>24</v>
      </c>
      <c r="D1723" s="9" t="s">
        <v>1793</v>
      </c>
      <c r="E1723" s="10" t="str">
        <f>HYPERLINK("https://twitter.com/juliegpeterson/status/706208351126953985","706208351126953985")</f>
        <v>706208351126953985</v>
      </c>
      <c r="F1723" s="11" t="s">
        <v>26</v>
      </c>
      <c r="G1723" s="12">
        <v>240.0</v>
      </c>
      <c r="H1723" s="12">
        <v>780.0</v>
      </c>
      <c r="I1723" s="12">
        <v>1.0</v>
      </c>
      <c r="J1723" s="12">
        <v>0.0</v>
      </c>
      <c r="K1723" s="11" t="s">
        <v>21</v>
      </c>
      <c r="L1723" s="7">
        <v>41208.65523148148</v>
      </c>
      <c r="M1723" s="13" t="s">
        <v>22</v>
      </c>
      <c r="N1723" s="13" t="s">
        <v>27</v>
      </c>
      <c r="O1723" s="10" t="str">
        <f>HYPERLINK("https://pbs.twimg.com/profile_images/609765839051452416/GNW0wSt0_normal.jpg","View")</f>
        <v>View</v>
      </c>
      <c r="P1723" s="14"/>
    </row>
    <row r="1724">
      <c r="A1724" s="7">
        <v>42434.58532407407</v>
      </c>
      <c r="B1724" s="8" t="str">
        <f>HYPERLINK("https://twitter.com/pastpunditry","@pastpunditry")</f>
        <v>@pastpunditry</v>
      </c>
      <c r="C1724" s="9" t="s">
        <v>92</v>
      </c>
      <c r="D1724" s="9" t="s">
        <v>1794</v>
      </c>
      <c r="E1724" s="10" t="str">
        <f>HYPERLINK("https://twitter.com/pastpunditry/status/706208378146705410","706208378146705410")</f>
        <v>706208378146705410</v>
      </c>
      <c r="F1724" s="11" t="s">
        <v>77</v>
      </c>
      <c r="G1724" s="12">
        <v>896.0</v>
      </c>
      <c r="H1724" s="12">
        <v>378.0</v>
      </c>
      <c r="I1724" s="12">
        <v>1.0</v>
      </c>
      <c r="J1724" s="12">
        <v>0.0</v>
      </c>
      <c r="K1724" s="11" t="s">
        <v>21</v>
      </c>
      <c r="L1724" s="7">
        <v>40283.384351851855</v>
      </c>
      <c r="M1724" s="13" t="s">
        <v>94</v>
      </c>
      <c r="N1724" s="13" t="s">
        <v>95</v>
      </c>
      <c r="O1724" s="10" t="str">
        <f>HYPERLINK("https://pbs.twimg.com/profile_images/704873222802636800/7aFEMOY5_normal.jpg","View")</f>
        <v>View</v>
      </c>
      <c r="P1724" s="14"/>
    </row>
    <row r="1725">
      <c r="A1725" s="7">
        <v>42434.58589120371</v>
      </c>
      <c r="B1725" s="8" t="str">
        <f>HYPERLINK("https://twitter.com/alisonatkin","@alisonatkin")</f>
        <v>@alisonatkin</v>
      </c>
      <c r="C1725" s="9" t="s">
        <v>1795</v>
      </c>
      <c r="D1725" s="9" t="s">
        <v>1796</v>
      </c>
      <c r="E1725" s="10" t="str">
        <f>HYPERLINK("https://twitter.com/alisonatkin/status/706208584284151808","706208584284151808")</f>
        <v>706208584284151808</v>
      </c>
      <c r="F1725" s="11" t="s">
        <v>148</v>
      </c>
      <c r="G1725" s="12">
        <v>2842.0</v>
      </c>
      <c r="H1725" s="12">
        <v>864.0</v>
      </c>
      <c r="I1725" s="12">
        <v>0.0</v>
      </c>
      <c r="J1725" s="12">
        <v>1.0</v>
      </c>
      <c r="K1725" s="11" t="s">
        <v>21</v>
      </c>
      <c r="L1725" s="7">
        <v>39863.34707175926</v>
      </c>
      <c r="M1725" s="13" t="s">
        <v>1797</v>
      </c>
      <c r="N1725" s="13" t="s">
        <v>1798</v>
      </c>
      <c r="O1725" s="10" t="str">
        <f>HYPERLINK("https://pbs.twimg.com/profile_images/619918424001671170/8PrJ9CFC_normal.jpg","View")</f>
        <v>View</v>
      </c>
      <c r="P1725" s="14"/>
    </row>
    <row r="1726">
      <c r="A1726" s="7">
        <v>42434.58644675926</v>
      </c>
      <c r="B1726" s="8" t="str">
        <f>HYPERLINK("https://twitter.com/KathrynBrownell","@KathrynBrownell")</f>
        <v>@KathrynBrownell</v>
      </c>
      <c r="C1726" s="9" t="s">
        <v>1799</v>
      </c>
      <c r="D1726" s="9" t="s">
        <v>1725</v>
      </c>
      <c r="E1726" s="10" t="str">
        <f>HYPERLINK("https://twitter.com/KathrynBrownell/status/706208784994197504","706208784994197504")</f>
        <v>706208784994197504</v>
      </c>
      <c r="F1726" s="11" t="s">
        <v>26</v>
      </c>
      <c r="G1726" s="12">
        <v>158.0</v>
      </c>
      <c r="H1726" s="12">
        <v>123.0</v>
      </c>
      <c r="I1726" s="12">
        <v>5.0</v>
      </c>
      <c r="J1726" s="12">
        <v>0.0</v>
      </c>
      <c r="K1726" s="11" t="s">
        <v>21</v>
      </c>
      <c r="L1726" s="7">
        <v>41075.49581018518</v>
      </c>
      <c r="M1726" s="15"/>
      <c r="N1726" s="13" t="s">
        <v>1800</v>
      </c>
      <c r="O1726" s="10" t="str">
        <f>HYPERLINK("https://pbs.twimg.com/profile_images/2311002940/kennedy_on_television_normal.jpg","View")</f>
        <v>View</v>
      </c>
      <c r="P1726" s="14"/>
    </row>
    <row r="1727">
      <c r="A1727" s="7">
        <v>42434.58666666667</v>
      </c>
      <c r="B1727" s="8" t="str">
        <f>HYPERLINK("https://twitter.com/juliegpeterson","@juliegpeterson")</f>
        <v>@juliegpeterson</v>
      </c>
      <c r="C1727" s="9" t="s">
        <v>24</v>
      </c>
      <c r="D1727" s="9" t="s">
        <v>1801</v>
      </c>
      <c r="E1727" s="10" t="str">
        <f>HYPERLINK("https://twitter.com/juliegpeterson/status/706208863406706689","706208863406706689")</f>
        <v>706208863406706689</v>
      </c>
      <c r="F1727" s="11" t="s">
        <v>26</v>
      </c>
      <c r="G1727" s="12">
        <v>240.0</v>
      </c>
      <c r="H1727" s="12">
        <v>780.0</v>
      </c>
      <c r="I1727" s="12">
        <v>3.0</v>
      </c>
      <c r="J1727" s="12">
        <v>2.0</v>
      </c>
      <c r="K1727" s="11" t="s">
        <v>21</v>
      </c>
      <c r="L1727" s="7">
        <v>41208.65523148148</v>
      </c>
      <c r="M1727" s="13" t="s">
        <v>22</v>
      </c>
      <c r="N1727" s="13" t="s">
        <v>27</v>
      </c>
      <c r="O1727" s="10" t="str">
        <f>HYPERLINK("https://pbs.twimg.com/profile_images/609765839051452416/GNW0wSt0_normal.jpg","View")</f>
        <v>View</v>
      </c>
      <c r="P1727" s="14"/>
    </row>
    <row r="1728">
      <c r="A1728" s="7">
        <v>42434.587002314816</v>
      </c>
      <c r="B1728" s="8" t="str">
        <f>HYPERLINK("https://twitter.com/JulieThePH","@JulieThePH")</f>
        <v>@JulieThePH</v>
      </c>
      <c r="C1728" s="9" t="s">
        <v>211</v>
      </c>
      <c r="D1728" s="9" t="s">
        <v>1802</v>
      </c>
      <c r="E1728" s="10" t="str">
        <f>HYPERLINK("https://twitter.com/JulieThePH/status/706208984915640320","706208984915640320")</f>
        <v>706208984915640320</v>
      </c>
      <c r="F1728" s="11" t="s">
        <v>31</v>
      </c>
      <c r="G1728" s="12">
        <v>1246.0</v>
      </c>
      <c r="H1728" s="12">
        <v>1386.0</v>
      </c>
      <c r="I1728" s="12">
        <v>1.0</v>
      </c>
      <c r="J1728" s="12">
        <v>1.0</v>
      </c>
      <c r="K1728" s="11" t="s">
        <v>21</v>
      </c>
      <c r="L1728" s="7">
        <v>40718.66918981481</v>
      </c>
      <c r="M1728" s="13" t="s">
        <v>213</v>
      </c>
      <c r="N1728" s="13" t="s">
        <v>214</v>
      </c>
      <c r="O1728" s="10" t="str">
        <f>HYPERLINK("https://pbs.twimg.com/profile_images/596509974005686273/AqBblwMR_normal.jpg","View")</f>
        <v>View</v>
      </c>
      <c r="P1728" s="14"/>
    </row>
    <row r="1729">
      <c r="A1729" s="7">
        <v>42434.587372685186</v>
      </c>
      <c r="B1729" s="8" t="str">
        <f t="shared" ref="B1729:B1730" si="429">HYPERLINK("https://twitter.com/pastpunditry","@pastpunditry")</f>
        <v>@pastpunditry</v>
      </c>
      <c r="C1729" s="9" t="s">
        <v>92</v>
      </c>
      <c r="D1729" s="9" t="s">
        <v>1803</v>
      </c>
      <c r="E1729" s="10" t="str">
        <f>HYPERLINK("https://twitter.com/pastpunditry/status/706209119800266753","706209119800266753")</f>
        <v>706209119800266753</v>
      </c>
      <c r="F1729" s="11" t="s">
        <v>77</v>
      </c>
      <c r="G1729" s="12">
        <v>896.0</v>
      </c>
      <c r="H1729" s="12">
        <v>378.0</v>
      </c>
      <c r="I1729" s="12">
        <v>3.0</v>
      </c>
      <c r="J1729" s="12">
        <v>0.0</v>
      </c>
      <c r="K1729" s="11" t="s">
        <v>21</v>
      </c>
      <c r="L1729" s="7">
        <v>40283.384351851855</v>
      </c>
      <c r="M1729" s="13" t="s">
        <v>94</v>
      </c>
      <c r="N1729" s="13" t="s">
        <v>95</v>
      </c>
      <c r="O1729" s="10" t="str">
        <f t="shared" ref="O1729:O1730" si="430">HYPERLINK("https://pbs.twimg.com/profile_images/704873222802636800/7aFEMOY5_normal.jpg","View")</f>
        <v>View</v>
      </c>
      <c r="P1729" s="14"/>
    </row>
    <row r="1730">
      <c r="A1730" s="7">
        <v>42434.58740740741</v>
      </c>
      <c r="B1730" s="8" t="str">
        <f t="shared" si="429"/>
        <v>@pastpunditry</v>
      </c>
      <c r="C1730" s="9" t="s">
        <v>92</v>
      </c>
      <c r="D1730" s="9" t="s">
        <v>1804</v>
      </c>
      <c r="E1730" s="10" t="str">
        <f>HYPERLINK("https://twitter.com/pastpunditry/status/706209132022521856","706209132022521856")</f>
        <v>706209132022521856</v>
      </c>
      <c r="F1730" s="11" t="s">
        <v>77</v>
      </c>
      <c r="G1730" s="12">
        <v>896.0</v>
      </c>
      <c r="H1730" s="12">
        <v>378.0</v>
      </c>
      <c r="I1730" s="12">
        <v>1.0</v>
      </c>
      <c r="J1730" s="12">
        <v>0.0</v>
      </c>
      <c r="K1730" s="11" t="s">
        <v>21</v>
      </c>
      <c r="L1730" s="7">
        <v>40283.384351851855</v>
      </c>
      <c r="M1730" s="13" t="s">
        <v>94</v>
      </c>
      <c r="N1730" s="13" t="s">
        <v>95</v>
      </c>
      <c r="O1730" s="10" t="str">
        <f t="shared" si="430"/>
        <v>View</v>
      </c>
      <c r="P1730" s="14"/>
    </row>
    <row r="1731">
      <c r="A1731" s="7">
        <v>42434.58755787037</v>
      </c>
      <c r="B1731" s="8" t="str">
        <f>HYPERLINK("https://twitter.com/juliegpeterson","@juliegpeterson")</f>
        <v>@juliegpeterson</v>
      </c>
      <c r="C1731" s="9" t="s">
        <v>24</v>
      </c>
      <c r="D1731" s="9" t="s">
        <v>1805</v>
      </c>
      <c r="E1731" s="10" t="str">
        <f>HYPERLINK("https://twitter.com/juliegpeterson/status/706209185227268096","706209185227268096")</f>
        <v>706209185227268096</v>
      </c>
      <c r="F1731" s="11" t="s">
        <v>26</v>
      </c>
      <c r="G1731" s="12">
        <v>240.0</v>
      </c>
      <c r="H1731" s="12">
        <v>780.0</v>
      </c>
      <c r="I1731" s="12">
        <v>1.0</v>
      </c>
      <c r="J1731" s="12">
        <v>0.0</v>
      </c>
      <c r="K1731" s="11" t="s">
        <v>21</v>
      </c>
      <c r="L1731" s="7">
        <v>41208.65523148148</v>
      </c>
      <c r="M1731" s="13" t="s">
        <v>22</v>
      </c>
      <c r="N1731" s="13" t="s">
        <v>27</v>
      </c>
      <c r="O1731" s="10" t="str">
        <f>HYPERLINK("https://pbs.twimg.com/profile_images/609765839051452416/GNW0wSt0_normal.jpg","View")</f>
        <v>View</v>
      </c>
      <c r="P1731" s="14"/>
    </row>
    <row r="1732">
      <c r="A1732" s="7">
        <v>42434.587731481486</v>
      </c>
      <c r="B1732" s="8" t="str">
        <f>HYPERLINK("https://twitter.com/mathhistory","@mathhistory")</f>
        <v>@mathhistory</v>
      </c>
      <c r="C1732" s="9" t="s">
        <v>341</v>
      </c>
      <c r="D1732" s="9" t="s">
        <v>1806</v>
      </c>
      <c r="E1732" s="10" t="str">
        <f>HYPERLINK("https://twitter.com/mathhistory/status/706209251002327040","706209251002327040")</f>
        <v>706209251002327040</v>
      </c>
      <c r="F1732" s="11" t="s">
        <v>26</v>
      </c>
      <c r="G1732" s="12">
        <v>791.0</v>
      </c>
      <c r="H1732" s="12">
        <v>1111.0</v>
      </c>
      <c r="I1732" s="12">
        <v>0.0</v>
      </c>
      <c r="J1732" s="12">
        <v>1.0</v>
      </c>
      <c r="K1732" s="11" t="s">
        <v>21</v>
      </c>
      <c r="L1732" s="7">
        <v>41089.96089120371</v>
      </c>
      <c r="M1732" s="13" t="s">
        <v>343</v>
      </c>
      <c r="N1732" s="13" t="s">
        <v>344</v>
      </c>
      <c r="O1732" s="10" t="str">
        <f>HYPERLINK("https://pbs.twimg.com/profile_images/3034769023/09adfcbebccfeef2a42e39aaac64ede5_normal.jpeg","View")</f>
        <v>View</v>
      </c>
      <c r="P1732" s="14"/>
    </row>
    <row r="1733">
      <c r="A1733" s="7">
        <v>42434.58881944444</v>
      </c>
      <c r="B1733" s="8" t="str">
        <f>HYPERLINK("https://twitter.com/pastpunditry","@pastpunditry")</f>
        <v>@pastpunditry</v>
      </c>
      <c r="C1733" s="9" t="s">
        <v>92</v>
      </c>
      <c r="D1733" s="9" t="s">
        <v>1807</v>
      </c>
      <c r="E1733" s="10" t="str">
        <f>HYPERLINK("https://twitter.com/pastpunditry/status/706209644826533888","706209644826533888")</f>
        <v>706209644826533888</v>
      </c>
      <c r="F1733" s="11" t="s">
        <v>77</v>
      </c>
      <c r="G1733" s="12">
        <v>896.0</v>
      </c>
      <c r="H1733" s="12">
        <v>378.0</v>
      </c>
      <c r="I1733" s="12">
        <v>0.0</v>
      </c>
      <c r="J1733" s="12">
        <v>2.0</v>
      </c>
      <c r="K1733" s="11" t="s">
        <v>21</v>
      </c>
      <c r="L1733" s="7">
        <v>40283.384351851855</v>
      </c>
      <c r="M1733" s="13" t="s">
        <v>94</v>
      </c>
      <c r="N1733" s="13" t="s">
        <v>95</v>
      </c>
      <c r="O1733" s="10" t="str">
        <f>HYPERLINK("https://pbs.twimg.com/profile_images/704873222802636800/7aFEMOY5_normal.jpg","View")</f>
        <v>View</v>
      </c>
      <c r="P1733" s="14"/>
    </row>
    <row r="1734">
      <c r="A1734" s="7">
        <v>42434.58899305556</v>
      </c>
      <c r="B1734" s="8" t="str">
        <f>HYPERLINK("https://twitter.com/juliegpeterson","@juliegpeterson")</f>
        <v>@juliegpeterson</v>
      </c>
      <c r="C1734" s="9" t="s">
        <v>24</v>
      </c>
      <c r="D1734" s="9" t="s">
        <v>1808</v>
      </c>
      <c r="E1734" s="10" t="str">
        <f>HYPERLINK("https://twitter.com/juliegpeterson/status/706209706142994437","706209706142994437")</f>
        <v>706209706142994437</v>
      </c>
      <c r="F1734" s="11" t="s">
        <v>26</v>
      </c>
      <c r="G1734" s="12">
        <v>240.0</v>
      </c>
      <c r="H1734" s="12">
        <v>780.0</v>
      </c>
      <c r="I1734" s="12">
        <v>0.0</v>
      </c>
      <c r="J1734" s="12">
        <v>0.0</v>
      </c>
      <c r="K1734" s="11" t="s">
        <v>21</v>
      </c>
      <c r="L1734" s="7">
        <v>41208.65523148148</v>
      </c>
      <c r="M1734" s="13" t="s">
        <v>22</v>
      </c>
      <c r="N1734" s="13" t="s">
        <v>27</v>
      </c>
      <c r="O1734" s="10" t="str">
        <f>HYPERLINK("https://pbs.twimg.com/profile_images/609765839051452416/GNW0wSt0_normal.jpg","View")</f>
        <v>View</v>
      </c>
      <c r="P1734" s="14"/>
    </row>
    <row r="1735">
      <c r="A1735" s="7">
        <v>42434.5890162037</v>
      </c>
      <c r="B1735" s="8" t="str">
        <f>HYPERLINK("https://twitter.com/JulieThePH","@JulieThePH")</f>
        <v>@JulieThePH</v>
      </c>
      <c r="C1735" s="9" t="s">
        <v>211</v>
      </c>
      <c r="D1735" s="9" t="s">
        <v>1809</v>
      </c>
      <c r="E1735" s="10" t="str">
        <f>HYPERLINK("https://twitter.com/JulieThePH/status/706209714376478723","706209714376478723")</f>
        <v>706209714376478723</v>
      </c>
      <c r="F1735" s="11" t="s">
        <v>148</v>
      </c>
      <c r="G1735" s="12">
        <v>1246.0</v>
      </c>
      <c r="H1735" s="12">
        <v>1386.0</v>
      </c>
      <c r="I1735" s="12">
        <v>0.0</v>
      </c>
      <c r="J1735" s="12">
        <v>1.0</v>
      </c>
      <c r="K1735" s="11" t="s">
        <v>21</v>
      </c>
      <c r="L1735" s="7">
        <v>40718.66918981481</v>
      </c>
      <c r="M1735" s="13" t="s">
        <v>213</v>
      </c>
      <c r="N1735" s="13" t="s">
        <v>214</v>
      </c>
      <c r="O1735" s="10" t="str">
        <f>HYPERLINK("https://pbs.twimg.com/profile_images/596509974005686273/AqBblwMR_normal.jpg","View")</f>
        <v>View</v>
      </c>
      <c r="P1735" s="14"/>
    </row>
    <row r="1736">
      <c r="A1736" s="7">
        <v>42434.58967592593</v>
      </c>
      <c r="B1736" s="8" t="str">
        <f>HYPERLINK("https://twitter.com/mathhistory","@mathhistory")</f>
        <v>@mathhistory</v>
      </c>
      <c r="C1736" s="9" t="s">
        <v>341</v>
      </c>
      <c r="D1736" s="9" t="s">
        <v>1803</v>
      </c>
      <c r="E1736" s="10" t="str">
        <f>HYPERLINK("https://twitter.com/mathhistory/status/706209954881998848","706209954881998848")</f>
        <v>706209954881998848</v>
      </c>
      <c r="F1736" s="11" t="s">
        <v>26</v>
      </c>
      <c r="G1736" s="12">
        <v>791.0</v>
      </c>
      <c r="H1736" s="12">
        <v>1111.0</v>
      </c>
      <c r="I1736" s="12">
        <v>3.0</v>
      </c>
      <c r="J1736" s="12">
        <v>0.0</v>
      </c>
      <c r="K1736" s="11" t="s">
        <v>21</v>
      </c>
      <c r="L1736" s="7">
        <v>41089.96089120371</v>
      </c>
      <c r="M1736" s="13" t="s">
        <v>343</v>
      </c>
      <c r="N1736" s="13" t="s">
        <v>344</v>
      </c>
      <c r="O1736" s="10" t="str">
        <f>HYPERLINK("https://pbs.twimg.com/profile_images/3034769023/09adfcbebccfeef2a42e39aaac64ede5_normal.jpeg","View")</f>
        <v>View</v>
      </c>
      <c r="P1736" s="14"/>
    </row>
    <row r="1737">
      <c r="A1737" s="7">
        <v>42434.59001157407</v>
      </c>
      <c r="B1737" s="8" t="str">
        <f>HYPERLINK("https://twitter.com/pastpunditry","@pastpunditry")</f>
        <v>@pastpunditry</v>
      </c>
      <c r="C1737" s="9" t="s">
        <v>92</v>
      </c>
      <c r="D1737" s="9" t="s">
        <v>1810</v>
      </c>
      <c r="E1737" s="10" t="str">
        <f>HYPERLINK("https://twitter.com/pastpunditry/status/706210077787746304","706210077787746304")</f>
        <v>706210077787746304</v>
      </c>
      <c r="F1737" s="11" t="s">
        <v>77</v>
      </c>
      <c r="G1737" s="12">
        <v>896.0</v>
      </c>
      <c r="H1737" s="12">
        <v>378.0</v>
      </c>
      <c r="I1737" s="12">
        <v>0.0</v>
      </c>
      <c r="J1737" s="12">
        <v>1.0</v>
      </c>
      <c r="K1737" s="11" t="s">
        <v>21</v>
      </c>
      <c r="L1737" s="7">
        <v>40283.384351851855</v>
      </c>
      <c r="M1737" s="13" t="s">
        <v>94</v>
      </c>
      <c r="N1737" s="13" t="s">
        <v>95</v>
      </c>
      <c r="O1737" s="10" t="str">
        <f>HYPERLINK("https://pbs.twimg.com/profile_images/704873222802636800/7aFEMOY5_normal.jpg","View")</f>
        <v>View</v>
      </c>
      <c r="P1737" s="14"/>
    </row>
    <row r="1738">
      <c r="A1738" s="7">
        <v>42434.59003472222</v>
      </c>
      <c r="B1738" s="8" t="str">
        <f>HYPERLINK("https://twitter.com/mathhistory","@mathhistory")</f>
        <v>@mathhistory</v>
      </c>
      <c r="C1738" s="9" t="s">
        <v>341</v>
      </c>
      <c r="D1738" s="9" t="s">
        <v>1760</v>
      </c>
      <c r="E1738" s="10" t="str">
        <f>HYPERLINK("https://twitter.com/mathhistory/status/706210086067298304","706210086067298304")</f>
        <v>706210086067298304</v>
      </c>
      <c r="F1738" s="11" t="s">
        <v>26</v>
      </c>
      <c r="G1738" s="12">
        <v>791.0</v>
      </c>
      <c r="H1738" s="12">
        <v>1111.0</v>
      </c>
      <c r="I1738" s="12">
        <v>5.0</v>
      </c>
      <c r="J1738" s="12">
        <v>0.0</v>
      </c>
      <c r="K1738" s="11" t="s">
        <v>21</v>
      </c>
      <c r="L1738" s="7">
        <v>41089.96089120371</v>
      </c>
      <c r="M1738" s="13" t="s">
        <v>343</v>
      </c>
      <c r="N1738" s="13" t="s">
        <v>344</v>
      </c>
      <c r="O1738" s="10" t="str">
        <f>HYPERLINK("https://pbs.twimg.com/profile_images/3034769023/09adfcbebccfeef2a42e39aaac64ede5_normal.jpeg","View")</f>
        <v>View</v>
      </c>
      <c r="P1738" s="14"/>
    </row>
    <row r="1739">
      <c r="A1739" s="7">
        <v>42434.59092592592</v>
      </c>
      <c r="B1739" s="8" t="str">
        <f>HYPERLINK("https://twitter.com/samueljredman","@samueljredman")</f>
        <v>@samueljredman</v>
      </c>
      <c r="C1739" s="9" t="s">
        <v>158</v>
      </c>
      <c r="D1739" s="9" t="s">
        <v>1811</v>
      </c>
      <c r="E1739" s="10" t="str">
        <f>HYPERLINK("https://twitter.com/samueljredman/status/706210408420548608","706210408420548608")</f>
        <v>706210408420548608</v>
      </c>
      <c r="F1739" s="11" t="s">
        <v>26</v>
      </c>
      <c r="G1739" s="12">
        <v>5626.0</v>
      </c>
      <c r="H1739" s="12">
        <v>5357.0</v>
      </c>
      <c r="I1739" s="12">
        <v>2.0</v>
      </c>
      <c r="J1739" s="12">
        <v>1.0</v>
      </c>
      <c r="K1739" s="11" t="s">
        <v>21</v>
      </c>
      <c r="L1739" s="7">
        <v>40584.98517361111</v>
      </c>
      <c r="M1739" s="13" t="s">
        <v>160</v>
      </c>
      <c r="N1739" s="13" t="s">
        <v>161</v>
      </c>
      <c r="O1739" s="10" t="str">
        <f>HYPERLINK("https://pbs.twimg.com/profile_images/548193870278688768/8Dq7gW3U_normal.png","View")</f>
        <v>View</v>
      </c>
      <c r="P1739" s="14"/>
    </row>
    <row r="1740">
      <c r="A1740" s="7">
        <v>42434.591215277775</v>
      </c>
      <c r="B1740" s="8" t="str">
        <f>HYPERLINK("https://twitter.com/mathhistory","@mathhistory")</f>
        <v>@mathhistory</v>
      </c>
      <c r="C1740" s="9" t="s">
        <v>341</v>
      </c>
      <c r="D1740" s="9" t="s">
        <v>1517</v>
      </c>
      <c r="E1740" s="10" t="str">
        <f>HYPERLINK("https://twitter.com/mathhistory/status/706210512040755201","706210512040755201")</f>
        <v>706210512040755201</v>
      </c>
      <c r="F1740" s="11" t="s">
        <v>26</v>
      </c>
      <c r="G1740" s="12">
        <v>791.0</v>
      </c>
      <c r="H1740" s="12">
        <v>1111.0</v>
      </c>
      <c r="I1740" s="12">
        <v>9.0</v>
      </c>
      <c r="J1740" s="12">
        <v>0.0</v>
      </c>
      <c r="K1740" s="11" t="s">
        <v>21</v>
      </c>
      <c r="L1740" s="7">
        <v>41089.96089120371</v>
      </c>
      <c r="M1740" s="13" t="s">
        <v>343</v>
      </c>
      <c r="N1740" s="13" t="s">
        <v>344</v>
      </c>
      <c r="O1740" s="10" t="str">
        <f>HYPERLINK("https://pbs.twimg.com/profile_images/3034769023/09adfcbebccfeef2a42e39aaac64ede5_normal.jpeg","View")</f>
        <v>View</v>
      </c>
      <c r="P1740" s="14"/>
    </row>
    <row r="1741">
      <c r="A1741" s="7">
        <v>42434.59133101851</v>
      </c>
      <c r="B1741" s="8" t="str">
        <f t="shared" ref="B1741:B1744" si="431">HYPERLINK("https://twitter.com/pastpunditry","@pastpunditry")</f>
        <v>@pastpunditry</v>
      </c>
      <c r="C1741" s="9" t="s">
        <v>92</v>
      </c>
      <c r="D1741" s="9" t="s">
        <v>1812</v>
      </c>
      <c r="E1741" s="10" t="str">
        <f>HYPERLINK("https://twitter.com/pastpunditry/status/706210555762188288","706210555762188288")</f>
        <v>706210555762188288</v>
      </c>
      <c r="F1741" s="11" t="s">
        <v>77</v>
      </c>
      <c r="G1741" s="12">
        <v>896.0</v>
      </c>
      <c r="H1741" s="12">
        <v>378.0</v>
      </c>
      <c r="I1741" s="12">
        <v>2.0</v>
      </c>
      <c r="J1741" s="12">
        <v>0.0</v>
      </c>
      <c r="K1741" s="11" t="s">
        <v>21</v>
      </c>
      <c r="L1741" s="7">
        <v>40283.384351851855</v>
      </c>
      <c r="M1741" s="13" t="s">
        <v>94</v>
      </c>
      <c r="N1741" s="13" t="s">
        <v>95</v>
      </c>
      <c r="O1741" s="10" t="str">
        <f t="shared" ref="O1741:O1744" si="432">HYPERLINK("https://pbs.twimg.com/profile_images/704873222802636800/7aFEMOY5_normal.jpg","View")</f>
        <v>View</v>
      </c>
      <c r="P1741" s="14"/>
    </row>
    <row r="1742">
      <c r="A1742" s="7">
        <v>42434.59174768519</v>
      </c>
      <c r="B1742" s="8" t="str">
        <f t="shared" si="431"/>
        <v>@pastpunditry</v>
      </c>
      <c r="C1742" s="9" t="s">
        <v>92</v>
      </c>
      <c r="D1742" s="9" t="s">
        <v>1813</v>
      </c>
      <c r="E1742" s="10" t="str">
        <f>HYPERLINK("https://twitter.com/pastpunditry/status/706210705721200640","706210705721200640")</f>
        <v>706210705721200640</v>
      </c>
      <c r="F1742" s="11" t="s">
        <v>77</v>
      </c>
      <c r="G1742" s="12">
        <v>896.0</v>
      </c>
      <c r="H1742" s="12">
        <v>378.0</v>
      </c>
      <c r="I1742" s="12">
        <v>0.0</v>
      </c>
      <c r="J1742" s="12">
        <v>1.0</v>
      </c>
      <c r="K1742" s="11" t="s">
        <v>21</v>
      </c>
      <c r="L1742" s="7">
        <v>40283.384351851855</v>
      </c>
      <c r="M1742" s="13" t="s">
        <v>94</v>
      </c>
      <c r="N1742" s="13" t="s">
        <v>95</v>
      </c>
      <c r="O1742" s="10" t="str">
        <f t="shared" si="432"/>
        <v>View</v>
      </c>
      <c r="P1742" s="14"/>
    </row>
    <row r="1743">
      <c r="A1743" s="7">
        <v>42434.592627314814</v>
      </c>
      <c r="B1743" s="8" t="str">
        <f t="shared" si="431"/>
        <v>@pastpunditry</v>
      </c>
      <c r="C1743" s="9" t="s">
        <v>92</v>
      </c>
      <c r="D1743" s="9" t="s">
        <v>1814</v>
      </c>
      <c r="E1743" s="10" t="str">
        <f>HYPERLINK("https://twitter.com/pastpunditry/status/706211024186253313","706211024186253313")</f>
        <v>706211024186253313</v>
      </c>
      <c r="F1743" s="11" t="s">
        <v>77</v>
      </c>
      <c r="G1743" s="12">
        <v>896.0</v>
      </c>
      <c r="H1743" s="12">
        <v>378.0</v>
      </c>
      <c r="I1743" s="12">
        <v>1.0</v>
      </c>
      <c r="J1743" s="12">
        <v>0.0</v>
      </c>
      <c r="K1743" s="11" t="s">
        <v>21</v>
      </c>
      <c r="L1743" s="7">
        <v>40283.384351851855</v>
      </c>
      <c r="M1743" s="13" t="s">
        <v>94</v>
      </c>
      <c r="N1743" s="13" t="s">
        <v>95</v>
      </c>
      <c r="O1743" s="10" t="str">
        <f t="shared" si="432"/>
        <v>View</v>
      </c>
      <c r="P1743" s="14"/>
    </row>
    <row r="1744">
      <c r="A1744" s="7">
        <v>42434.59291666667</v>
      </c>
      <c r="B1744" s="8" t="str">
        <f t="shared" si="431"/>
        <v>@pastpunditry</v>
      </c>
      <c r="C1744" s="9" t="s">
        <v>92</v>
      </c>
      <c r="D1744" s="9" t="s">
        <v>1815</v>
      </c>
      <c r="E1744" s="10" t="str">
        <f>HYPERLINK("https://twitter.com/pastpunditry/status/706211127437500418","706211127437500418")</f>
        <v>706211127437500418</v>
      </c>
      <c r="F1744" s="11" t="s">
        <v>77</v>
      </c>
      <c r="G1744" s="12">
        <v>896.0</v>
      </c>
      <c r="H1744" s="12">
        <v>378.0</v>
      </c>
      <c r="I1744" s="12">
        <v>1.0</v>
      </c>
      <c r="J1744" s="12">
        <v>2.0</v>
      </c>
      <c r="K1744" s="11" t="s">
        <v>21</v>
      </c>
      <c r="L1744" s="7">
        <v>40283.384351851855</v>
      </c>
      <c r="M1744" s="13" t="s">
        <v>94</v>
      </c>
      <c r="N1744" s="13" t="s">
        <v>95</v>
      </c>
      <c r="O1744" s="10" t="str">
        <f t="shared" si="432"/>
        <v>View</v>
      </c>
      <c r="P1744" s="14"/>
    </row>
    <row r="1745">
      <c r="A1745" s="7">
        <v>42434.59432870371</v>
      </c>
      <c r="B1745" s="8" t="str">
        <f>HYPERLINK("https://twitter.com/samueljredman","@samueljredman")</f>
        <v>@samueljredman</v>
      </c>
      <c r="C1745" s="9" t="s">
        <v>158</v>
      </c>
      <c r="D1745" s="9" t="s">
        <v>1816</v>
      </c>
      <c r="E1745" s="10" t="str">
        <f>HYPERLINK("https://twitter.com/samueljredman/status/706211642279895040","706211642279895040")</f>
        <v>706211642279895040</v>
      </c>
      <c r="F1745" s="11" t="s">
        <v>26</v>
      </c>
      <c r="G1745" s="12">
        <v>5626.0</v>
      </c>
      <c r="H1745" s="12">
        <v>5357.0</v>
      </c>
      <c r="I1745" s="12">
        <v>1.0</v>
      </c>
      <c r="J1745" s="12">
        <v>0.0</v>
      </c>
      <c r="K1745" s="11" t="s">
        <v>21</v>
      </c>
      <c r="L1745" s="7">
        <v>40584.98517361111</v>
      </c>
      <c r="M1745" s="13" t="s">
        <v>160</v>
      </c>
      <c r="N1745" s="13" t="s">
        <v>161</v>
      </c>
      <c r="O1745" s="10" t="str">
        <f>HYPERLINK("https://pbs.twimg.com/profile_images/548193870278688768/8Dq7gW3U_normal.png","View")</f>
        <v>View</v>
      </c>
      <c r="P1745" s="14"/>
    </row>
    <row r="1746">
      <c r="A1746" s="7">
        <v>42434.59489583333</v>
      </c>
      <c r="B1746" s="8" t="str">
        <f>HYPERLINK("https://twitter.com/pastpunditry","@pastpunditry")</f>
        <v>@pastpunditry</v>
      </c>
      <c r="C1746" s="9" t="s">
        <v>92</v>
      </c>
      <c r="D1746" s="9" t="s">
        <v>1817</v>
      </c>
      <c r="E1746" s="10" t="str">
        <f>HYPERLINK("https://twitter.com/pastpunditry/status/706211847540756480","706211847540756480")</f>
        <v>706211847540756480</v>
      </c>
      <c r="F1746" s="11" t="s">
        <v>77</v>
      </c>
      <c r="G1746" s="12">
        <v>896.0</v>
      </c>
      <c r="H1746" s="12">
        <v>378.0</v>
      </c>
      <c r="I1746" s="12">
        <v>1.0</v>
      </c>
      <c r="J1746" s="12">
        <v>0.0</v>
      </c>
      <c r="K1746" s="11" t="s">
        <v>21</v>
      </c>
      <c r="L1746" s="7">
        <v>40283.384351851855</v>
      </c>
      <c r="M1746" s="13" t="s">
        <v>94</v>
      </c>
      <c r="N1746" s="13" t="s">
        <v>95</v>
      </c>
      <c r="O1746" s="10" t="str">
        <f>HYPERLINK("https://pbs.twimg.com/profile_images/704873222802636800/7aFEMOY5_normal.jpg","View")</f>
        <v>View</v>
      </c>
      <c r="P1746" s="14"/>
    </row>
    <row r="1747">
      <c r="A1747" s="7">
        <v>42434.595034722224</v>
      </c>
      <c r="B1747" s="8" t="str">
        <f>HYPERLINK("https://twitter.com/juliegpeterson","@juliegpeterson")</f>
        <v>@juliegpeterson</v>
      </c>
      <c r="C1747" s="9" t="s">
        <v>24</v>
      </c>
      <c r="D1747" s="9" t="s">
        <v>1818</v>
      </c>
      <c r="E1747" s="10" t="str">
        <f>HYPERLINK("https://twitter.com/juliegpeterson/status/706211896479715328","706211896479715328")</f>
        <v>706211896479715328</v>
      </c>
      <c r="F1747" s="11" t="s">
        <v>26</v>
      </c>
      <c r="G1747" s="12">
        <v>240.0</v>
      </c>
      <c r="H1747" s="12">
        <v>780.0</v>
      </c>
      <c r="I1747" s="12">
        <v>1.0</v>
      </c>
      <c r="J1747" s="12">
        <v>0.0</v>
      </c>
      <c r="K1747" s="11" t="s">
        <v>21</v>
      </c>
      <c r="L1747" s="7">
        <v>41208.65523148148</v>
      </c>
      <c r="M1747" s="13" t="s">
        <v>22</v>
      </c>
      <c r="N1747" s="13" t="s">
        <v>27</v>
      </c>
      <c r="O1747" s="10" t="str">
        <f>HYPERLINK("https://pbs.twimg.com/profile_images/609765839051452416/GNW0wSt0_normal.jpg","View")</f>
        <v>View</v>
      </c>
      <c r="P1747" s="14"/>
    </row>
    <row r="1748">
      <c r="A1748" s="7">
        <v>42434.59622685185</v>
      </c>
      <c r="B1748" s="8" t="str">
        <f>HYPERLINK("https://twitter.com/pastpunditry","@pastpunditry")</f>
        <v>@pastpunditry</v>
      </c>
      <c r="C1748" s="9" t="s">
        <v>92</v>
      </c>
      <c r="D1748" s="9" t="s">
        <v>1819</v>
      </c>
      <c r="E1748" s="10" t="str">
        <f>HYPERLINK("https://twitter.com/pastpunditry/status/706212330099580928","706212330099580928")</f>
        <v>706212330099580928</v>
      </c>
      <c r="F1748" s="11" t="s">
        <v>77</v>
      </c>
      <c r="G1748" s="12">
        <v>896.0</v>
      </c>
      <c r="H1748" s="12">
        <v>378.0</v>
      </c>
      <c r="I1748" s="12">
        <v>0.0</v>
      </c>
      <c r="J1748" s="12">
        <v>1.0</v>
      </c>
      <c r="K1748" s="11" t="s">
        <v>21</v>
      </c>
      <c r="L1748" s="7">
        <v>40283.384351851855</v>
      </c>
      <c r="M1748" s="13" t="s">
        <v>94</v>
      </c>
      <c r="N1748" s="13" t="s">
        <v>95</v>
      </c>
      <c r="O1748" s="10" t="str">
        <f>HYPERLINK("https://pbs.twimg.com/profile_images/704873222802636800/7aFEMOY5_normal.jpg","View")</f>
        <v>View</v>
      </c>
      <c r="P1748" s="14"/>
    </row>
    <row r="1749">
      <c r="A1749" s="7">
        <v>42434.59658564815</v>
      </c>
      <c r="B1749" s="8" t="str">
        <f>HYPERLINK("https://twitter.com/ProfMSinha","@ProfMSinha")</f>
        <v>@ProfMSinha</v>
      </c>
      <c r="C1749" s="9" t="s">
        <v>1820</v>
      </c>
      <c r="D1749" s="9" t="s">
        <v>1812</v>
      </c>
      <c r="E1749" s="10" t="str">
        <f>HYPERLINK("https://twitter.com/ProfMSinha/status/706212458084622340","706212458084622340")</f>
        <v>706212458084622340</v>
      </c>
      <c r="F1749" s="11" t="s">
        <v>31</v>
      </c>
      <c r="G1749" s="12">
        <v>493.0</v>
      </c>
      <c r="H1749" s="12">
        <v>303.0</v>
      </c>
      <c r="I1749" s="12">
        <v>2.0</v>
      </c>
      <c r="J1749" s="12">
        <v>0.0</v>
      </c>
      <c r="K1749" s="11" t="s">
        <v>21</v>
      </c>
      <c r="L1749" s="7">
        <v>42256.89067129629</v>
      </c>
      <c r="M1749" s="13" t="s">
        <v>1821</v>
      </c>
      <c r="N1749" s="13" t="s">
        <v>1822</v>
      </c>
      <c r="O1749" s="10" t="str">
        <f>HYPERLINK("https://pbs.twimg.com/profile_images/641814924495298560/11_Xf8E3_normal.jpg","View")</f>
        <v>View</v>
      </c>
      <c r="P1749" s="14"/>
    </row>
    <row r="1750">
      <c r="A1750" s="7">
        <v>42434.59721064815</v>
      </c>
      <c r="B1750" s="8" t="str">
        <f t="shared" ref="B1750:B1751" si="433">HYPERLINK("https://twitter.com/pastpunditry","@pastpunditry")</f>
        <v>@pastpunditry</v>
      </c>
      <c r="C1750" s="9" t="s">
        <v>92</v>
      </c>
      <c r="D1750" s="9" t="s">
        <v>1823</v>
      </c>
      <c r="E1750" s="10" t="str">
        <f>HYPERLINK("https://twitter.com/pastpunditry/status/706212683658485760","706212683658485760")</f>
        <v>706212683658485760</v>
      </c>
      <c r="F1750" s="11" t="s">
        <v>77</v>
      </c>
      <c r="G1750" s="12">
        <v>896.0</v>
      </c>
      <c r="H1750" s="12">
        <v>378.0</v>
      </c>
      <c r="I1750" s="12">
        <v>1.0</v>
      </c>
      <c r="J1750" s="12">
        <v>1.0</v>
      </c>
      <c r="K1750" s="11" t="s">
        <v>21</v>
      </c>
      <c r="L1750" s="7">
        <v>40283.384351851855</v>
      </c>
      <c r="M1750" s="13" t="s">
        <v>94</v>
      </c>
      <c r="N1750" s="13" t="s">
        <v>95</v>
      </c>
      <c r="O1750" s="10" t="str">
        <f t="shared" ref="O1750:O1751" si="434">HYPERLINK("https://pbs.twimg.com/profile_images/704873222802636800/7aFEMOY5_normal.jpg","View")</f>
        <v>View</v>
      </c>
      <c r="P1750" s="14"/>
    </row>
    <row r="1751">
      <c r="A1751" s="7">
        <v>42434.59761574074</v>
      </c>
      <c r="B1751" s="8" t="str">
        <f t="shared" si="433"/>
        <v>@pastpunditry</v>
      </c>
      <c r="C1751" s="9" t="s">
        <v>92</v>
      </c>
      <c r="D1751" s="9" t="s">
        <v>1824</v>
      </c>
      <c r="E1751" s="10" t="str">
        <f>HYPERLINK("https://twitter.com/pastpunditry/status/706212833638354944","706212833638354944")</f>
        <v>706212833638354944</v>
      </c>
      <c r="F1751" s="11" t="s">
        <v>77</v>
      </c>
      <c r="G1751" s="12">
        <v>896.0</v>
      </c>
      <c r="H1751" s="12">
        <v>378.0</v>
      </c>
      <c r="I1751" s="12">
        <v>2.0</v>
      </c>
      <c r="J1751" s="12">
        <v>0.0</v>
      </c>
      <c r="K1751" s="11" t="s">
        <v>21</v>
      </c>
      <c r="L1751" s="7">
        <v>40283.384351851855</v>
      </c>
      <c r="M1751" s="13" t="s">
        <v>94</v>
      </c>
      <c r="N1751" s="13" t="s">
        <v>95</v>
      </c>
      <c r="O1751" s="10" t="str">
        <f t="shared" si="434"/>
        <v>View</v>
      </c>
      <c r="P1751" s="14"/>
    </row>
    <row r="1752">
      <c r="A1752" s="7">
        <v>42434.597662037035</v>
      </c>
      <c r="B1752" s="8" t="str">
        <f>HYPERLINK("https://twitter.com/samueljredman","@samueljredman")</f>
        <v>@samueljredman</v>
      </c>
      <c r="C1752" s="9" t="s">
        <v>158</v>
      </c>
      <c r="D1752" s="9" t="s">
        <v>1825</v>
      </c>
      <c r="E1752" s="10" t="str">
        <f>HYPERLINK("https://twitter.com/samueljredman/status/706212850340143104","706212850340143104")</f>
        <v>706212850340143104</v>
      </c>
      <c r="F1752" s="11" t="s">
        <v>26</v>
      </c>
      <c r="G1752" s="12">
        <v>5626.0</v>
      </c>
      <c r="H1752" s="12">
        <v>5357.0</v>
      </c>
      <c r="I1752" s="12">
        <v>1.0</v>
      </c>
      <c r="J1752" s="12">
        <v>0.0</v>
      </c>
      <c r="K1752" s="11" t="s">
        <v>21</v>
      </c>
      <c r="L1752" s="7">
        <v>40584.98517361111</v>
      </c>
      <c r="M1752" s="13" t="s">
        <v>160</v>
      </c>
      <c r="N1752" s="13" t="s">
        <v>161</v>
      </c>
      <c r="O1752" s="10" t="str">
        <f>HYPERLINK("https://pbs.twimg.com/profile_images/548193870278688768/8Dq7gW3U_normal.png","View")</f>
        <v>View</v>
      </c>
      <c r="P1752" s="14"/>
    </row>
    <row r="1753">
      <c r="A1753" s="7">
        <v>42434.59788194444</v>
      </c>
      <c r="B1753" s="8" t="str">
        <f>HYPERLINK("https://twitter.com/pastpunditry","@pastpunditry")</f>
        <v>@pastpunditry</v>
      </c>
      <c r="C1753" s="9" t="s">
        <v>92</v>
      </c>
      <c r="D1753" s="9" t="s">
        <v>1826</v>
      </c>
      <c r="E1753" s="10" t="str">
        <f>HYPERLINK("https://twitter.com/pastpunditry/status/706212927615987713","706212927615987713")</f>
        <v>706212927615987713</v>
      </c>
      <c r="F1753" s="11" t="s">
        <v>77</v>
      </c>
      <c r="G1753" s="12">
        <v>896.0</v>
      </c>
      <c r="H1753" s="12">
        <v>378.0</v>
      </c>
      <c r="I1753" s="12">
        <v>1.0</v>
      </c>
      <c r="J1753" s="12">
        <v>0.0</v>
      </c>
      <c r="K1753" s="11" t="s">
        <v>21</v>
      </c>
      <c r="L1753" s="7">
        <v>40283.384351851855</v>
      </c>
      <c r="M1753" s="13" t="s">
        <v>94</v>
      </c>
      <c r="N1753" s="13" t="s">
        <v>95</v>
      </c>
      <c r="O1753" s="10" t="str">
        <f>HYPERLINK("https://pbs.twimg.com/profile_images/704873222802636800/7aFEMOY5_normal.jpg","View")</f>
        <v>View</v>
      </c>
      <c r="P1753" s="14"/>
    </row>
    <row r="1754">
      <c r="A1754" s="7">
        <v>42434.59798611111</v>
      </c>
      <c r="B1754" s="8" t="str">
        <f>HYPERLINK("https://twitter.com/jamiaw","@jamiaw")</f>
        <v>@jamiaw</v>
      </c>
      <c r="C1754" s="9" t="s">
        <v>324</v>
      </c>
      <c r="D1754" s="9" t="s">
        <v>1760</v>
      </c>
      <c r="E1754" s="10" t="str">
        <f>HYPERLINK("https://twitter.com/jamiaw/status/706212965083648000","706212965083648000")</f>
        <v>706212965083648000</v>
      </c>
      <c r="F1754" s="11" t="s">
        <v>26</v>
      </c>
      <c r="G1754" s="12">
        <v>11342.0</v>
      </c>
      <c r="H1754" s="12">
        <v>7817.0</v>
      </c>
      <c r="I1754" s="12">
        <v>5.0</v>
      </c>
      <c r="J1754" s="12">
        <v>0.0</v>
      </c>
      <c r="K1754" s="11" t="s">
        <v>21</v>
      </c>
      <c r="L1754" s="7">
        <v>39642.39741898148</v>
      </c>
      <c r="M1754" s="13" t="s">
        <v>325</v>
      </c>
      <c r="N1754" s="13" t="s">
        <v>326</v>
      </c>
      <c r="O1754" s="10" t="str">
        <f>HYPERLINK("https://pbs.twimg.com/profile_images/701102020061753344/5zH70uem_normal.jpg","View")</f>
        <v>View</v>
      </c>
      <c r="P1754" s="14"/>
    </row>
    <row r="1755">
      <c r="A1755" s="7">
        <v>42434.59798611111</v>
      </c>
      <c r="B1755" s="8" t="str">
        <f>HYPERLINK("https://twitter.com/mathhistory","@mathhistory")</f>
        <v>@mathhistory</v>
      </c>
      <c r="C1755" s="9" t="s">
        <v>341</v>
      </c>
      <c r="D1755" s="9" t="s">
        <v>1827</v>
      </c>
      <c r="E1755" s="10" t="str">
        <f>HYPERLINK("https://twitter.com/mathhistory/status/706212967210217473","706212967210217473")</f>
        <v>706212967210217473</v>
      </c>
      <c r="F1755" s="11" t="s">
        <v>26</v>
      </c>
      <c r="G1755" s="12">
        <v>791.0</v>
      </c>
      <c r="H1755" s="12">
        <v>1111.0</v>
      </c>
      <c r="I1755" s="12">
        <v>1.0</v>
      </c>
      <c r="J1755" s="12">
        <v>4.0</v>
      </c>
      <c r="K1755" s="11" t="s">
        <v>21</v>
      </c>
      <c r="L1755" s="7">
        <v>41089.96089120371</v>
      </c>
      <c r="M1755" s="13" t="s">
        <v>343</v>
      </c>
      <c r="N1755" s="13" t="s">
        <v>344</v>
      </c>
      <c r="O1755" s="10" t="str">
        <f>HYPERLINK("https://pbs.twimg.com/profile_images/3034769023/09adfcbebccfeef2a42e39aaac64ede5_normal.jpeg","View")</f>
        <v>View</v>
      </c>
      <c r="P1755" s="14"/>
    </row>
    <row r="1756">
      <c r="A1756" s="7">
        <v>42434.598125000004</v>
      </c>
      <c r="B1756" s="8" t="str">
        <f>HYPERLINK("https://twitter.com/pastpunditry","@pastpunditry")</f>
        <v>@pastpunditry</v>
      </c>
      <c r="C1756" s="9" t="s">
        <v>92</v>
      </c>
      <c r="D1756" s="9" t="s">
        <v>1828</v>
      </c>
      <c r="E1756" s="10" t="str">
        <f>HYPERLINK("https://twitter.com/pastpunditry/status/706213015050436608","706213015050436608")</f>
        <v>706213015050436608</v>
      </c>
      <c r="F1756" s="11" t="s">
        <v>77</v>
      </c>
      <c r="G1756" s="12">
        <v>896.0</v>
      </c>
      <c r="H1756" s="12">
        <v>378.0</v>
      </c>
      <c r="I1756" s="12">
        <v>1.0</v>
      </c>
      <c r="J1756" s="12">
        <v>0.0</v>
      </c>
      <c r="K1756" s="11" t="s">
        <v>21</v>
      </c>
      <c r="L1756" s="7">
        <v>40283.384351851855</v>
      </c>
      <c r="M1756" s="13" t="s">
        <v>94</v>
      </c>
      <c r="N1756" s="13" t="s">
        <v>95</v>
      </c>
      <c r="O1756" s="10" t="str">
        <f>HYPERLINK("https://pbs.twimg.com/profile_images/704873222802636800/7aFEMOY5_normal.jpg","View")</f>
        <v>View</v>
      </c>
      <c r="P1756" s="14"/>
    </row>
    <row r="1757">
      <c r="A1757" s="7">
        <v>42434.598182870366</v>
      </c>
      <c r="B1757" s="8" t="str">
        <f>HYPERLINK("https://twitter.com/femrhetprof","@femrhetprof")</f>
        <v>@femrhetprof</v>
      </c>
      <c r="C1757" s="9" t="s">
        <v>1756</v>
      </c>
      <c r="D1757" s="9" t="s">
        <v>1645</v>
      </c>
      <c r="E1757" s="10" t="str">
        <f>HYPERLINK("https://twitter.com/femrhetprof/status/706213038706302976","706213038706302976")</f>
        <v>706213038706302976</v>
      </c>
      <c r="F1757" s="11" t="s">
        <v>31</v>
      </c>
      <c r="G1757" s="12">
        <v>779.0</v>
      </c>
      <c r="H1757" s="12">
        <v>1357.0</v>
      </c>
      <c r="I1757" s="12">
        <v>6.0</v>
      </c>
      <c r="J1757" s="12">
        <v>0.0</v>
      </c>
      <c r="K1757" s="11" t="s">
        <v>21</v>
      </c>
      <c r="L1757" s="7">
        <v>40491.89579861111</v>
      </c>
      <c r="M1757" s="13" t="s">
        <v>1758</v>
      </c>
      <c r="N1757" s="13" t="s">
        <v>1759</v>
      </c>
      <c r="O1757" s="10" t="str">
        <f>HYPERLINK("https://pbs.twimg.com/profile_images/666088649121906688/le8su106_normal.jpg","View")</f>
        <v>View</v>
      </c>
      <c r="P1757" s="14"/>
    </row>
    <row r="1758">
      <c r="A1758" s="7">
        <v>42434.59820601852</v>
      </c>
      <c r="B1758" s="8" t="str">
        <f>HYPERLINK("https://twitter.com/jamiaw","@jamiaw")</f>
        <v>@jamiaw</v>
      </c>
      <c r="C1758" s="9" t="s">
        <v>324</v>
      </c>
      <c r="D1758" s="9" t="s">
        <v>1829</v>
      </c>
      <c r="E1758" s="10" t="str">
        <f>HYPERLINK("https://twitter.com/jamiaw/status/706213043844288512","706213043844288512")</f>
        <v>706213043844288512</v>
      </c>
      <c r="F1758" s="11" t="s">
        <v>26</v>
      </c>
      <c r="G1758" s="12">
        <v>11342.0</v>
      </c>
      <c r="H1758" s="12">
        <v>7817.0</v>
      </c>
      <c r="I1758" s="12">
        <v>1.0</v>
      </c>
      <c r="J1758" s="12">
        <v>0.0</v>
      </c>
      <c r="K1758" s="11" t="s">
        <v>21</v>
      </c>
      <c r="L1758" s="7">
        <v>39642.39741898148</v>
      </c>
      <c r="M1758" s="13" t="s">
        <v>325</v>
      </c>
      <c r="N1758" s="13" t="s">
        <v>326</v>
      </c>
      <c r="O1758" s="10" t="str">
        <f>HYPERLINK("https://pbs.twimg.com/profile_images/701102020061753344/5zH70uem_normal.jpg","View")</f>
        <v>View</v>
      </c>
      <c r="P1758" s="14"/>
    </row>
    <row r="1759">
      <c r="A1759" s="7">
        <v>42434.598773148144</v>
      </c>
      <c r="B1759" s="8" t="str">
        <f>HYPERLINK("https://twitter.com/pastpunditry","@pastpunditry")</f>
        <v>@pastpunditry</v>
      </c>
      <c r="C1759" s="9" t="s">
        <v>92</v>
      </c>
      <c r="D1759" s="9" t="s">
        <v>1830</v>
      </c>
      <c r="E1759" s="10" t="str">
        <f>HYPERLINK("https://twitter.com/pastpunditry/status/706213252989108224","706213252989108224")</f>
        <v>706213252989108224</v>
      </c>
      <c r="F1759" s="11" t="s">
        <v>77</v>
      </c>
      <c r="G1759" s="12">
        <v>896.0</v>
      </c>
      <c r="H1759" s="12">
        <v>378.0</v>
      </c>
      <c r="I1759" s="12">
        <v>2.0</v>
      </c>
      <c r="J1759" s="12">
        <v>0.0</v>
      </c>
      <c r="K1759" s="11" t="s">
        <v>21</v>
      </c>
      <c r="L1759" s="7">
        <v>40283.384351851855</v>
      </c>
      <c r="M1759" s="13" t="s">
        <v>94</v>
      </c>
      <c r="N1759" s="13" t="s">
        <v>95</v>
      </c>
      <c r="O1759" s="10" t="str">
        <f>HYPERLINK("https://pbs.twimg.com/profile_images/704873222802636800/7aFEMOY5_normal.jpg","View")</f>
        <v>View</v>
      </c>
      <c r="P1759" s="14"/>
    </row>
    <row r="1760">
      <c r="A1760" s="7">
        <v>42434.5987962963</v>
      </c>
      <c r="B1760" s="8" t="str">
        <f>HYPERLINK("https://twitter.com/aglassofhistory","@aglassofhistory")</f>
        <v>@aglassofhistory</v>
      </c>
      <c r="C1760" s="9" t="s">
        <v>53</v>
      </c>
      <c r="D1760" s="9" t="s">
        <v>1831</v>
      </c>
      <c r="E1760" s="10" t="str">
        <f>HYPERLINK("https://twitter.com/aglassofhistory/status/706213257493790720","706213257493790720")</f>
        <v>706213257493790720</v>
      </c>
      <c r="F1760" s="11" t="s">
        <v>31</v>
      </c>
      <c r="G1760" s="12">
        <v>407.0</v>
      </c>
      <c r="H1760" s="12">
        <v>745.0</v>
      </c>
      <c r="I1760" s="12">
        <v>2.0</v>
      </c>
      <c r="J1760" s="12">
        <v>0.0</v>
      </c>
      <c r="K1760" s="11" t="s">
        <v>21</v>
      </c>
      <c r="L1760" s="7">
        <v>41697.65762731482</v>
      </c>
      <c r="M1760" s="13" t="s">
        <v>55</v>
      </c>
      <c r="N1760" s="13" t="s">
        <v>56</v>
      </c>
      <c r="O1760" s="10" t="str">
        <f>HYPERLINK("https://pbs.twimg.com/profile_images/611592888816898048/cGMlIfmz_normal.jpg","View")</f>
        <v>View</v>
      </c>
      <c r="P1760" s="14"/>
    </row>
    <row r="1761">
      <c r="A1761" s="7">
        <v>42434.5990625</v>
      </c>
      <c r="B1761" s="8" t="str">
        <f>HYPERLINK("https://twitter.com/pastpunditry","@pastpunditry")</f>
        <v>@pastpunditry</v>
      </c>
      <c r="C1761" s="9" t="s">
        <v>92</v>
      </c>
      <c r="D1761" s="9" t="s">
        <v>1832</v>
      </c>
      <c r="E1761" s="10" t="str">
        <f>HYPERLINK("https://twitter.com/pastpunditry/status/706213354982002688","706213354982002688")</f>
        <v>706213354982002688</v>
      </c>
      <c r="F1761" s="11" t="s">
        <v>77</v>
      </c>
      <c r="G1761" s="12">
        <v>896.0</v>
      </c>
      <c r="H1761" s="12">
        <v>378.0</v>
      </c>
      <c r="I1761" s="12">
        <v>0.0</v>
      </c>
      <c r="J1761" s="12">
        <v>0.0</v>
      </c>
      <c r="K1761" s="11" t="s">
        <v>21</v>
      </c>
      <c r="L1761" s="7">
        <v>40283.384351851855</v>
      </c>
      <c r="M1761" s="13" t="s">
        <v>94</v>
      </c>
      <c r="N1761" s="13" t="s">
        <v>95</v>
      </c>
      <c r="O1761" s="10" t="str">
        <f>HYPERLINK("https://pbs.twimg.com/profile_images/704873222802636800/7aFEMOY5_normal.jpg","View")</f>
        <v>View</v>
      </c>
      <c r="P1761" s="14"/>
    </row>
    <row r="1762">
      <c r="A1762" s="7">
        <v>42434.59994212963</v>
      </c>
      <c r="B1762" s="8" t="str">
        <f>HYPERLINK("https://twitter.com/samueljredman","@samueljredman")</f>
        <v>@samueljredman</v>
      </c>
      <c r="C1762" s="9" t="s">
        <v>158</v>
      </c>
      <c r="D1762" s="9" t="s">
        <v>1160</v>
      </c>
      <c r="E1762" s="10" t="str">
        <f>HYPERLINK("https://twitter.com/samueljredman/status/706213673803640832","706213673803640832")</f>
        <v>706213673803640832</v>
      </c>
      <c r="F1762" s="11" t="s">
        <v>26</v>
      </c>
      <c r="G1762" s="12">
        <v>5626.0</v>
      </c>
      <c r="H1762" s="12">
        <v>5357.0</v>
      </c>
      <c r="I1762" s="12">
        <v>12.0</v>
      </c>
      <c r="J1762" s="12">
        <v>0.0</v>
      </c>
      <c r="K1762" s="11" t="s">
        <v>21</v>
      </c>
      <c r="L1762" s="7">
        <v>40584.98517361111</v>
      </c>
      <c r="M1762" s="13" t="s">
        <v>160</v>
      </c>
      <c r="N1762" s="13" t="s">
        <v>161</v>
      </c>
      <c r="O1762" s="10" t="str">
        <f>HYPERLINK("https://pbs.twimg.com/profile_images/548193870278688768/8Dq7gW3U_normal.png","View")</f>
        <v>View</v>
      </c>
      <c r="P1762" s="14"/>
    </row>
    <row r="1763">
      <c r="A1763" s="7">
        <v>42434.600069444445</v>
      </c>
      <c r="B1763" s="8" t="str">
        <f>HYPERLINK("https://twitter.com/pastpunditry","@pastpunditry")</f>
        <v>@pastpunditry</v>
      </c>
      <c r="C1763" s="9" t="s">
        <v>92</v>
      </c>
      <c r="D1763" s="9" t="s">
        <v>1833</v>
      </c>
      <c r="E1763" s="10" t="str">
        <f>HYPERLINK("https://twitter.com/pastpunditry/status/706213719169171456","706213719169171456")</f>
        <v>706213719169171456</v>
      </c>
      <c r="F1763" s="11" t="s">
        <v>77</v>
      </c>
      <c r="G1763" s="12">
        <v>896.0</v>
      </c>
      <c r="H1763" s="12">
        <v>378.0</v>
      </c>
      <c r="I1763" s="12">
        <v>1.0</v>
      </c>
      <c r="J1763" s="12">
        <v>1.0</v>
      </c>
      <c r="K1763" s="11" t="s">
        <v>21</v>
      </c>
      <c r="L1763" s="7">
        <v>40283.384351851855</v>
      </c>
      <c r="M1763" s="13" t="s">
        <v>94</v>
      </c>
      <c r="N1763" s="13" t="s">
        <v>95</v>
      </c>
      <c r="O1763" s="10" t="str">
        <f>HYPERLINK("https://pbs.twimg.com/profile_images/704873222802636800/7aFEMOY5_normal.jpg","View")</f>
        <v>View</v>
      </c>
      <c r="P1763" s="14"/>
    </row>
    <row r="1764">
      <c r="A1764" s="7">
        <v>42434.60042824074</v>
      </c>
      <c r="B1764" s="8" t="str">
        <f t="shared" ref="B1764:B1765" si="435">HYPERLINK("https://twitter.com/samueljredman","@samueljredman")</f>
        <v>@samueljredman</v>
      </c>
      <c r="C1764" s="9" t="s">
        <v>158</v>
      </c>
      <c r="D1764" s="9" t="s">
        <v>1834</v>
      </c>
      <c r="E1764" s="10" t="str">
        <f>HYPERLINK("https://twitter.com/samueljredman/status/706213849654026240","706213849654026240")</f>
        <v>706213849654026240</v>
      </c>
      <c r="F1764" s="11" t="s">
        <v>26</v>
      </c>
      <c r="G1764" s="12">
        <v>5626.0</v>
      </c>
      <c r="H1764" s="12">
        <v>5357.0</v>
      </c>
      <c r="I1764" s="12">
        <v>2.0</v>
      </c>
      <c r="J1764" s="12">
        <v>0.0</v>
      </c>
      <c r="K1764" s="11" t="s">
        <v>21</v>
      </c>
      <c r="L1764" s="7">
        <v>40584.98517361111</v>
      </c>
      <c r="M1764" s="13" t="s">
        <v>160</v>
      </c>
      <c r="N1764" s="13" t="s">
        <v>161</v>
      </c>
      <c r="O1764" s="10" t="str">
        <f t="shared" ref="O1764:O1765" si="436">HYPERLINK("https://pbs.twimg.com/profile_images/548193870278688768/8Dq7gW3U_normal.png","View")</f>
        <v>View</v>
      </c>
      <c r="P1764" s="14"/>
    </row>
    <row r="1765">
      <c r="A1765" s="7">
        <v>42434.60050925926</v>
      </c>
      <c r="B1765" s="8" t="str">
        <f t="shared" si="435"/>
        <v>@samueljredman</v>
      </c>
      <c r="C1765" s="9" t="s">
        <v>158</v>
      </c>
      <c r="D1765" s="9" t="s">
        <v>1835</v>
      </c>
      <c r="E1765" s="10" t="str">
        <f>HYPERLINK("https://twitter.com/samueljredman/status/706213882185064454","706213882185064454")</f>
        <v>706213882185064454</v>
      </c>
      <c r="F1765" s="11" t="s">
        <v>26</v>
      </c>
      <c r="G1765" s="12">
        <v>5626.0</v>
      </c>
      <c r="H1765" s="12">
        <v>5357.0</v>
      </c>
      <c r="I1765" s="12">
        <v>1.0</v>
      </c>
      <c r="J1765" s="12">
        <v>0.0</v>
      </c>
      <c r="K1765" s="11" t="s">
        <v>21</v>
      </c>
      <c r="L1765" s="7">
        <v>40584.98517361111</v>
      </c>
      <c r="M1765" s="13" t="s">
        <v>160</v>
      </c>
      <c r="N1765" s="13" t="s">
        <v>161</v>
      </c>
      <c r="O1765" s="10" t="str">
        <f t="shared" si="436"/>
        <v>View</v>
      </c>
      <c r="P1765" s="14"/>
    </row>
    <row r="1766">
      <c r="A1766" s="7">
        <v>42434.60061342592</v>
      </c>
      <c r="B1766" s="8" t="str">
        <f>HYPERLINK("https://twitter.com/JulieThePH","@JulieThePH")</f>
        <v>@JulieThePH</v>
      </c>
      <c r="C1766" s="9" t="s">
        <v>211</v>
      </c>
      <c r="D1766" s="9" t="s">
        <v>1836</v>
      </c>
      <c r="E1766" s="10" t="str">
        <f>HYPERLINK("https://twitter.com/JulieThePH/status/706213915798147072","706213915798147072")</f>
        <v>706213915798147072</v>
      </c>
      <c r="F1766" s="11" t="s">
        <v>31</v>
      </c>
      <c r="G1766" s="12">
        <v>1246.0</v>
      </c>
      <c r="H1766" s="12">
        <v>1386.0</v>
      </c>
      <c r="I1766" s="12">
        <v>1.0</v>
      </c>
      <c r="J1766" s="12">
        <v>3.0</v>
      </c>
      <c r="K1766" s="11" t="s">
        <v>21</v>
      </c>
      <c r="L1766" s="7">
        <v>40718.66918981481</v>
      </c>
      <c r="M1766" s="13" t="s">
        <v>213</v>
      </c>
      <c r="N1766" s="13" t="s">
        <v>214</v>
      </c>
      <c r="O1766" s="10" t="str">
        <f>HYPERLINK("https://pbs.twimg.com/profile_images/596509974005686273/AqBblwMR_normal.jpg","View")</f>
        <v>View</v>
      </c>
      <c r="P1766" s="14"/>
    </row>
    <row r="1767">
      <c r="A1767" s="7">
        <v>42434.60171296296</v>
      </c>
      <c r="B1767" s="8" t="str">
        <f>HYPERLINK("https://twitter.com/aglassofhistory","@aglassofhistory")</f>
        <v>@aglassofhistory</v>
      </c>
      <c r="C1767" s="9" t="s">
        <v>53</v>
      </c>
      <c r="D1767" s="9" t="s">
        <v>1837</v>
      </c>
      <c r="E1767" s="10" t="str">
        <f>HYPERLINK("https://twitter.com/aglassofhistory/status/706214315091697665","706214315091697665")</f>
        <v>706214315091697665</v>
      </c>
      <c r="F1767" s="11" t="s">
        <v>31</v>
      </c>
      <c r="G1767" s="12">
        <v>407.0</v>
      </c>
      <c r="H1767" s="12">
        <v>745.0</v>
      </c>
      <c r="I1767" s="12">
        <v>1.0</v>
      </c>
      <c r="J1767" s="12">
        <v>0.0</v>
      </c>
      <c r="K1767" s="11" t="s">
        <v>21</v>
      </c>
      <c r="L1767" s="7">
        <v>41697.65762731482</v>
      </c>
      <c r="M1767" s="13" t="s">
        <v>55</v>
      </c>
      <c r="N1767" s="13" t="s">
        <v>56</v>
      </c>
      <c r="O1767" s="10" t="str">
        <f>HYPERLINK("https://pbs.twimg.com/profile_images/611592888816898048/cGMlIfmz_normal.jpg","View")</f>
        <v>View</v>
      </c>
      <c r="P1767" s="14"/>
    </row>
    <row r="1768">
      <c r="A1768" s="7">
        <v>42434.602858796294</v>
      </c>
      <c r="B1768" s="8" t="str">
        <f>HYPERLINK("https://twitter.com/samueljredman","@samueljredman")</f>
        <v>@samueljredman</v>
      </c>
      <c r="C1768" s="9" t="s">
        <v>158</v>
      </c>
      <c r="D1768" s="9" t="s">
        <v>1838</v>
      </c>
      <c r="E1768" s="10" t="str">
        <f>HYPERLINK("https://twitter.com/samueljredman/status/706214732181716994","706214732181716994")</f>
        <v>706214732181716994</v>
      </c>
      <c r="F1768" s="11" t="s">
        <v>26</v>
      </c>
      <c r="G1768" s="12">
        <v>5626.0</v>
      </c>
      <c r="H1768" s="12">
        <v>5357.0</v>
      </c>
      <c r="I1768" s="12">
        <v>0.0</v>
      </c>
      <c r="J1768" s="12">
        <v>0.0</v>
      </c>
      <c r="K1768" s="11" t="s">
        <v>21</v>
      </c>
      <c r="L1768" s="7">
        <v>40584.98517361111</v>
      </c>
      <c r="M1768" s="13" t="s">
        <v>160</v>
      </c>
      <c r="N1768" s="13" t="s">
        <v>161</v>
      </c>
      <c r="O1768" s="10" t="str">
        <f>HYPERLINK("https://pbs.twimg.com/profile_images/548193870278688768/8Dq7gW3U_normal.png","View")</f>
        <v>View</v>
      </c>
      <c r="P1768" s="14"/>
    </row>
    <row r="1769">
      <c r="A1769" s="7">
        <v>42434.6030787037</v>
      </c>
      <c r="B1769" s="8" t="str">
        <f>HYPERLINK("https://twitter.com/rebekkahrubin","@rebekkahrubin")</f>
        <v>@rebekkahrubin</v>
      </c>
      <c r="C1769" s="9" t="s">
        <v>141</v>
      </c>
      <c r="D1769" s="9" t="s">
        <v>1839</v>
      </c>
      <c r="E1769" s="10" t="str">
        <f>HYPERLINK("https://twitter.com/rebekkahrubin/status/706214810422222850","706214810422222850")</f>
        <v>706214810422222850</v>
      </c>
      <c r="F1769" s="11" t="s">
        <v>31</v>
      </c>
      <c r="G1769" s="12">
        <v>495.0</v>
      </c>
      <c r="H1769" s="12">
        <v>1227.0</v>
      </c>
      <c r="I1769" s="12">
        <v>1.0</v>
      </c>
      <c r="J1769" s="12">
        <v>2.0</v>
      </c>
      <c r="K1769" s="11" t="s">
        <v>21</v>
      </c>
      <c r="L1769" s="7">
        <v>40411.521527777775</v>
      </c>
      <c r="M1769" s="13" t="s">
        <v>143</v>
      </c>
      <c r="N1769" s="13" t="s">
        <v>144</v>
      </c>
      <c r="O1769" s="10" t="str">
        <f>HYPERLINK("https://pbs.twimg.com/profile_images/700317732588408832/Ym_-neUi_normal.jpg","View")</f>
        <v>View</v>
      </c>
      <c r="P1769" s="14"/>
    </row>
    <row r="1770">
      <c r="A1770" s="7">
        <v>42434.60327546296</v>
      </c>
      <c r="B1770" s="8" t="str">
        <f>HYPERLINK("https://twitter.com/LDTG117","@LDTG117")</f>
        <v>@LDTG117</v>
      </c>
      <c r="C1770" s="9" t="s">
        <v>1840</v>
      </c>
      <c r="D1770" s="9" t="s">
        <v>1160</v>
      </c>
      <c r="E1770" s="10" t="str">
        <f>HYPERLINK("https://twitter.com/LDTG117/status/706214882828533761","706214882828533761")</f>
        <v>706214882828533761</v>
      </c>
      <c r="F1770" s="11" t="s">
        <v>31</v>
      </c>
      <c r="G1770" s="12">
        <v>383.0</v>
      </c>
      <c r="H1770" s="12">
        <v>1152.0</v>
      </c>
      <c r="I1770" s="12">
        <v>12.0</v>
      </c>
      <c r="J1770" s="12">
        <v>0.0</v>
      </c>
      <c r="K1770" s="11" t="s">
        <v>21</v>
      </c>
      <c r="L1770" s="7">
        <v>39990.085335648146</v>
      </c>
      <c r="M1770" s="13" t="s">
        <v>1841</v>
      </c>
      <c r="N1770" s="13" t="s">
        <v>1842</v>
      </c>
      <c r="O1770" s="10" t="str">
        <f>HYPERLINK("https://pbs.twimg.com/profile_images/1131899468/Dylan_normal.jpg","View")</f>
        <v>View</v>
      </c>
      <c r="P1770" s="14"/>
    </row>
    <row r="1771">
      <c r="A1771" s="7">
        <v>42434.60355324074</v>
      </c>
      <c r="B1771" s="8" t="str">
        <f>HYPERLINK("https://twitter.com/juliegpeterson","@juliegpeterson")</f>
        <v>@juliegpeterson</v>
      </c>
      <c r="C1771" s="9" t="s">
        <v>24</v>
      </c>
      <c r="D1771" s="9" t="s">
        <v>1843</v>
      </c>
      <c r="E1771" s="10" t="str">
        <f>HYPERLINK("https://twitter.com/juliegpeterson/status/706214984624312321","706214984624312321")</f>
        <v>706214984624312321</v>
      </c>
      <c r="F1771" s="11" t="s">
        <v>26</v>
      </c>
      <c r="G1771" s="12">
        <v>240.0</v>
      </c>
      <c r="H1771" s="12">
        <v>780.0</v>
      </c>
      <c r="I1771" s="12">
        <v>0.0</v>
      </c>
      <c r="J1771" s="12">
        <v>1.0</v>
      </c>
      <c r="K1771" s="11" t="s">
        <v>21</v>
      </c>
      <c r="L1771" s="7">
        <v>41208.65523148148</v>
      </c>
      <c r="M1771" s="13" t="s">
        <v>22</v>
      </c>
      <c r="N1771" s="13" t="s">
        <v>27</v>
      </c>
      <c r="O1771" s="10" t="str">
        <f>HYPERLINK("https://pbs.twimg.com/profile_images/609765839051452416/GNW0wSt0_normal.jpg","View")</f>
        <v>View</v>
      </c>
      <c r="P1771" s="14"/>
    </row>
    <row r="1772">
      <c r="A1772" s="7">
        <v>42434.60383101852</v>
      </c>
      <c r="B1772" s="8" t="str">
        <f>HYPERLINK("https://twitter.com/erfagen","@erfagen")</f>
        <v>@erfagen</v>
      </c>
      <c r="C1772" s="9" t="s">
        <v>124</v>
      </c>
      <c r="D1772" s="9" t="s">
        <v>1844</v>
      </c>
      <c r="E1772" s="10" t="str">
        <f>HYPERLINK("https://twitter.com/erfagen/status/706215082250932224","706215082250932224")</f>
        <v>706215082250932224</v>
      </c>
      <c r="F1772" s="11" t="s">
        <v>31</v>
      </c>
      <c r="G1772" s="12">
        <v>1060.0</v>
      </c>
      <c r="H1772" s="12">
        <v>2059.0</v>
      </c>
      <c r="I1772" s="12">
        <v>1.0</v>
      </c>
      <c r="J1772" s="12">
        <v>0.0</v>
      </c>
      <c r="K1772" s="11" t="s">
        <v>21</v>
      </c>
      <c r="L1772" s="7">
        <v>40524.93576388889</v>
      </c>
      <c r="M1772" s="13" t="s">
        <v>125</v>
      </c>
      <c r="N1772" s="13" t="s">
        <v>126</v>
      </c>
      <c r="O1772" s="10" t="str">
        <f>HYPERLINK("https://pbs.twimg.com/profile_images/638086945722249217/mid_S_BQ_normal.jpg","View")</f>
        <v>View</v>
      </c>
      <c r="P1772" s="14"/>
    </row>
    <row r="1773">
      <c r="A1773" s="7">
        <v>42434.60501157407</v>
      </c>
      <c r="B1773" s="8" t="str">
        <f>HYPERLINK("https://twitter.com/MedievalMJJ","@MedievalMJJ")</f>
        <v>@MedievalMJJ</v>
      </c>
      <c r="C1773" s="9" t="s">
        <v>1845</v>
      </c>
      <c r="D1773" s="9" t="s">
        <v>1834</v>
      </c>
      <c r="E1773" s="10" t="str">
        <f>HYPERLINK("https://twitter.com/MedievalMJJ/status/706215512456491008","706215512456491008")</f>
        <v>706215512456491008</v>
      </c>
      <c r="F1773" s="11" t="s">
        <v>102</v>
      </c>
      <c r="G1773" s="12">
        <v>1466.0</v>
      </c>
      <c r="H1773" s="12">
        <v>2018.0</v>
      </c>
      <c r="I1773" s="12">
        <v>2.0</v>
      </c>
      <c r="J1773" s="12">
        <v>0.0</v>
      </c>
      <c r="K1773" s="11" t="s">
        <v>21</v>
      </c>
      <c r="L1773" s="7">
        <v>40352.55902777778</v>
      </c>
      <c r="M1773" s="13" t="s">
        <v>1846</v>
      </c>
      <c r="N1773" s="13" t="s">
        <v>1847</v>
      </c>
      <c r="O1773" s="10" t="str">
        <f>HYPERLINK("https://pbs.twimg.com/profile_images/684729090453188609/TZjVAtbP_normal.jpg","View")</f>
        <v>View</v>
      </c>
      <c r="P1773" s="14"/>
    </row>
    <row r="1774">
      <c r="A1774" s="7">
        <v>42434.60503472222</v>
      </c>
      <c r="B1774" s="8" t="str">
        <f>HYPERLINK("https://twitter.com/rebekkahrubin","@rebekkahrubin")</f>
        <v>@rebekkahrubin</v>
      </c>
      <c r="C1774" s="9" t="s">
        <v>141</v>
      </c>
      <c r="D1774" s="9" t="s">
        <v>1848</v>
      </c>
      <c r="E1774" s="10" t="str">
        <f>HYPERLINK("https://twitter.com/rebekkahrubin/status/706215518714392576","706215518714392576")</f>
        <v>706215518714392576</v>
      </c>
      <c r="F1774" s="11" t="s">
        <v>31</v>
      </c>
      <c r="G1774" s="12">
        <v>495.0</v>
      </c>
      <c r="H1774" s="12">
        <v>1227.0</v>
      </c>
      <c r="I1774" s="12">
        <v>2.0</v>
      </c>
      <c r="J1774" s="12">
        <v>0.0</v>
      </c>
      <c r="K1774" s="11" t="s">
        <v>21</v>
      </c>
      <c r="L1774" s="7">
        <v>40411.521527777775</v>
      </c>
      <c r="M1774" s="13" t="s">
        <v>143</v>
      </c>
      <c r="N1774" s="13" t="s">
        <v>144</v>
      </c>
      <c r="O1774" s="10" t="str">
        <f>HYPERLINK("https://pbs.twimg.com/profile_images/700317732588408832/Ym_-neUi_normal.jpg","View")</f>
        <v>View</v>
      </c>
      <c r="P1774" s="14"/>
    </row>
    <row r="1775">
      <c r="A1775" s="7">
        <v>42434.60512731482</v>
      </c>
      <c r="B1775" s="8" t="str">
        <f>HYPERLINK("https://twitter.com/aglassofhistory","@aglassofhistory")</f>
        <v>@aglassofhistory</v>
      </c>
      <c r="C1775" s="9" t="s">
        <v>53</v>
      </c>
      <c r="D1775" s="9" t="s">
        <v>1849</v>
      </c>
      <c r="E1775" s="10" t="str">
        <f>HYPERLINK("https://twitter.com/aglassofhistory/status/706215554156273664","706215554156273664")</f>
        <v>706215554156273664</v>
      </c>
      <c r="F1775" s="11" t="s">
        <v>31</v>
      </c>
      <c r="G1775" s="12">
        <v>407.0</v>
      </c>
      <c r="H1775" s="12">
        <v>745.0</v>
      </c>
      <c r="I1775" s="12">
        <v>2.0</v>
      </c>
      <c r="J1775" s="12">
        <v>0.0</v>
      </c>
      <c r="K1775" s="11" t="s">
        <v>21</v>
      </c>
      <c r="L1775" s="7">
        <v>41697.65762731482</v>
      </c>
      <c r="M1775" s="13" t="s">
        <v>55</v>
      </c>
      <c r="N1775" s="13" t="s">
        <v>56</v>
      </c>
      <c r="O1775" s="10" t="str">
        <f>HYPERLINK("https://pbs.twimg.com/profile_images/611592888816898048/cGMlIfmz_normal.jpg","View")</f>
        <v>View</v>
      </c>
      <c r="P1775" s="14"/>
    </row>
    <row r="1776">
      <c r="A1776" s="7">
        <v>42434.60517361111</v>
      </c>
      <c r="B1776" s="8" t="str">
        <f>HYPERLINK("https://twitter.com/pastpunditry","@pastpunditry")</f>
        <v>@pastpunditry</v>
      </c>
      <c r="C1776" s="9" t="s">
        <v>92</v>
      </c>
      <c r="D1776" s="9" t="s">
        <v>1850</v>
      </c>
      <c r="E1776" s="10" t="str">
        <f>HYPERLINK("https://twitter.com/pastpunditry/status/706215568785993728","706215568785993728")</f>
        <v>706215568785993728</v>
      </c>
      <c r="F1776" s="11" t="s">
        <v>77</v>
      </c>
      <c r="G1776" s="12">
        <v>896.0</v>
      </c>
      <c r="H1776" s="12">
        <v>378.0</v>
      </c>
      <c r="I1776" s="12">
        <v>1.0</v>
      </c>
      <c r="J1776" s="12">
        <v>3.0</v>
      </c>
      <c r="K1776" s="11" t="s">
        <v>21</v>
      </c>
      <c r="L1776" s="7">
        <v>40283.384351851855</v>
      </c>
      <c r="M1776" s="13" t="s">
        <v>94</v>
      </c>
      <c r="N1776" s="13" t="s">
        <v>95</v>
      </c>
      <c r="O1776" s="10" t="str">
        <f>HYPERLINK("https://pbs.twimg.com/profile_images/704873222802636800/7aFEMOY5_normal.jpg","View")</f>
        <v>View</v>
      </c>
      <c r="P1776" s="14"/>
    </row>
    <row r="1777">
      <c r="A1777" s="7">
        <v>42434.60600694444</v>
      </c>
      <c r="B1777" s="8" t="str">
        <f t="shared" ref="B1777:B1779" si="437">HYPERLINK("https://twitter.com/umassph","@umassph")</f>
        <v>@umassph</v>
      </c>
      <c r="C1777" s="9" t="s">
        <v>121</v>
      </c>
      <c r="D1777" s="9" t="s">
        <v>1803</v>
      </c>
      <c r="E1777" s="10" t="str">
        <f>HYPERLINK("https://twitter.com/umassph/status/706215874450071553","706215874450071553")</f>
        <v>706215874450071553</v>
      </c>
      <c r="F1777" s="11" t="s">
        <v>26</v>
      </c>
      <c r="G1777" s="12">
        <v>694.0</v>
      </c>
      <c r="H1777" s="12">
        <v>242.0</v>
      </c>
      <c r="I1777" s="12">
        <v>3.0</v>
      </c>
      <c r="J1777" s="12">
        <v>0.0</v>
      </c>
      <c r="K1777" s="11" t="s">
        <v>21</v>
      </c>
      <c r="L1777" s="7">
        <v>40242.52853009259</v>
      </c>
      <c r="M1777" s="13" t="s">
        <v>22</v>
      </c>
      <c r="N1777" s="13" t="s">
        <v>123</v>
      </c>
      <c r="O1777" s="10" t="str">
        <f t="shared" ref="O1777:O1779" si="438">HYPERLINK("https://pbs.twimg.com/profile_images/3583165575/54f0bc87a29b2ae8587193829ce07299_normal.jpeg","View")</f>
        <v>View</v>
      </c>
      <c r="P1777" s="14"/>
    </row>
    <row r="1778">
      <c r="A1778" s="7">
        <v>42434.606307870374</v>
      </c>
      <c r="B1778" s="8" t="str">
        <f t="shared" si="437"/>
        <v>@umassph</v>
      </c>
      <c r="C1778" s="9" t="s">
        <v>121</v>
      </c>
      <c r="D1778" s="9" t="s">
        <v>1851</v>
      </c>
      <c r="E1778" s="10" t="str">
        <f>HYPERLINK("https://twitter.com/umassph/status/706215980050092032","706215980050092032")</f>
        <v>706215980050092032</v>
      </c>
      <c r="F1778" s="11" t="s">
        <v>26</v>
      </c>
      <c r="G1778" s="12">
        <v>694.0</v>
      </c>
      <c r="H1778" s="12">
        <v>242.0</v>
      </c>
      <c r="I1778" s="12">
        <v>1.0</v>
      </c>
      <c r="J1778" s="12">
        <v>0.0</v>
      </c>
      <c r="K1778" s="11" t="s">
        <v>21</v>
      </c>
      <c r="L1778" s="7">
        <v>40242.52853009259</v>
      </c>
      <c r="M1778" s="13" t="s">
        <v>22</v>
      </c>
      <c r="N1778" s="13" t="s">
        <v>123</v>
      </c>
      <c r="O1778" s="10" t="str">
        <f t="shared" si="438"/>
        <v>View</v>
      </c>
      <c r="P1778" s="14"/>
    </row>
    <row r="1779">
      <c r="A1779" s="7">
        <v>42434.60671296297</v>
      </c>
      <c r="B1779" s="8" t="str">
        <f t="shared" si="437"/>
        <v>@umassph</v>
      </c>
      <c r="C1779" s="9" t="s">
        <v>121</v>
      </c>
      <c r="D1779" s="9" t="s">
        <v>1831</v>
      </c>
      <c r="E1779" s="10" t="str">
        <f>HYPERLINK("https://twitter.com/umassph/status/706216130344591360","706216130344591360")</f>
        <v>706216130344591360</v>
      </c>
      <c r="F1779" s="11" t="s">
        <v>26</v>
      </c>
      <c r="G1779" s="12">
        <v>694.0</v>
      </c>
      <c r="H1779" s="12">
        <v>242.0</v>
      </c>
      <c r="I1779" s="12">
        <v>2.0</v>
      </c>
      <c r="J1779" s="12">
        <v>0.0</v>
      </c>
      <c r="K1779" s="11" t="s">
        <v>21</v>
      </c>
      <c r="L1779" s="7">
        <v>40242.52853009259</v>
      </c>
      <c r="M1779" s="13" t="s">
        <v>22</v>
      </c>
      <c r="N1779" s="13" t="s">
        <v>123</v>
      </c>
      <c r="O1779" s="10" t="str">
        <f t="shared" si="438"/>
        <v>View</v>
      </c>
      <c r="P1779" s="14"/>
    </row>
    <row r="1780">
      <c r="A1780" s="7">
        <v>42434.606724537036</v>
      </c>
      <c r="B1780" s="8" t="str">
        <f>HYPERLINK("https://twitter.com/lizl_genealogy","@lizl_genealogy")</f>
        <v>@lizl_genealogy</v>
      </c>
      <c r="C1780" s="9" t="s">
        <v>89</v>
      </c>
      <c r="D1780" s="9" t="s">
        <v>1849</v>
      </c>
      <c r="E1780" s="10" t="str">
        <f>HYPERLINK("https://twitter.com/lizl_genealogy/status/706216133469163520","706216133469163520")</f>
        <v>706216133469163520</v>
      </c>
      <c r="F1780" s="11" t="s">
        <v>31</v>
      </c>
      <c r="G1780" s="12">
        <v>1548.0</v>
      </c>
      <c r="H1780" s="12">
        <v>615.0</v>
      </c>
      <c r="I1780" s="12">
        <v>2.0</v>
      </c>
      <c r="J1780" s="12">
        <v>0.0</v>
      </c>
      <c r="K1780" s="11" t="s">
        <v>21</v>
      </c>
      <c r="L1780" s="7">
        <v>40763.52722222223</v>
      </c>
      <c r="M1780" s="13" t="s">
        <v>90</v>
      </c>
      <c r="N1780" s="13" t="s">
        <v>91</v>
      </c>
      <c r="O1780" s="10" t="str">
        <f>HYPERLINK("https://pbs.twimg.com/profile_images/2700002859/1f2d610ddaf1f03ac7d033dd83847b45_normal.jpeg","View")</f>
        <v>View</v>
      </c>
      <c r="P1780" s="14"/>
    </row>
    <row r="1781">
      <c r="A1781" s="7">
        <v>42434.60681712963</v>
      </c>
      <c r="B1781" s="8" t="str">
        <f>HYPERLINK("https://twitter.com/rebekkahrubin","@rebekkahrubin")</f>
        <v>@rebekkahrubin</v>
      </c>
      <c r="C1781" s="9" t="s">
        <v>141</v>
      </c>
      <c r="D1781" s="9" t="s">
        <v>1852</v>
      </c>
      <c r="E1781" s="10" t="str">
        <f>HYPERLINK("https://twitter.com/rebekkahrubin/status/706216167489314816","706216167489314816")</f>
        <v>706216167489314816</v>
      </c>
      <c r="F1781" s="11" t="s">
        <v>31</v>
      </c>
      <c r="G1781" s="12">
        <v>495.0</v>
      </c>
      <c r="H1781" s="12">
        <v>1227.0</v>
      </c>
      <c r="I1781" s="12">
        <v>1.0</v>
      </c>
      <c r="J1781" s="12">
        <v>0.0</v>
      </c>
      <c r="K1781" s="11" t="s">
        <v>21</v>
      </c>
      <c r="L1781" s="7">
        <v>40411.521527777775</v>
      </c>
      <c r="M1781" s="13" t="s">
        <v>143</v>
      </c>
      <c r="N1781" s="13" t="s">
        <v>144</v>
      </c>
      <c r="O1781" s="10" t="str">
        <f>HYPERLINK("https://pbs.twimg.com/profile_images/700317732588408832/Ym_-neUi_normal.jpg","View")</f>
        <v>View</v>
      </c>
      <c r="P1781" s="14"/>
    </row>
    <row r="1782">
      <c r="A1782" s="7">
        <v>42434.60685185185</v>
      </c>
      <c r="B1782" s="8" t="str">
        <f>HYPERLINK("https://twitter.com/JulioCapoJr","@JulioCapoJr")</f>
        <v>@JulioCapoJr</v>
      </c>
      <c r="C1782" s="9" t="s">
        <v>1365</v>
      </c>
      <c r="D1782" s="9" t="s">
        <v>482</v>
      </c>
      <c r="E1782" s="10" t="str">
        <f>HYPERLINK("https://twitter.com/JulioCapoJr/status/706216178545467392","706216178545467392")</f>
        <v>706216178545467392</v>
      </c>
      <c r="F1782" s="11" t="s">
        <v>26</v>
      </c>
      <c r="G1782" s="12">
        <v>243.0</v>
      </c>
      <c r="H1782" s="12">
        <v>228.0</v>
      </c>
      <c r="I1782" s="12">
        <v>16.0</v>
      </c>
      <c r="J1782" s="12">
        <v>0.0</v>
      </c>
      <c r="K1782" s="11" t="s">
        <v>21</v>
      </c>
      <c r="L1782" s="7">
        <v>39957.63148148148</v>
      </c>
      <c r="M1782" s="13" t="s">
        <v>143</v>
      </c>
      <c r="N1782" s="13" t="s">
        <v>1366</v>
      </c>
      <c r="O1782" s="10" t="str">
        <f>HYPERLINK("https://pbs.twimg.com/profile_images/446458450932150274/5bSg3mny_normal.jpeg","View")</f>
        <v>View</v>
      </c>
      <c r="P1782" s="14"/>
    </row>
    <row r="1783">
      <c r="A1783" s="7">
        <v>42434.60717592592</v>
      </c>
      <c r="B1783" s="8" t="str">
        <f>HYPERLINK("https://twitter.com/umassph","@umassph")</f>
        <v>@umassph</v>
      </c>
      <c r="C1783" s="9" t="s">
        <v>121</v>
      </c>
      <c r="D1783" s="9" t="s">
        <v>1853</v>
      </c>
      <c r="E1783" s="10" t="str">
        <f>HYPERLINK("https://twitter.com/umassph/status/706216296774541312","706216296774541312")</f>
        <v>706216296774541312</v>
      </c>
      <c r="F1783" s="11" t="s">
        <v>26</v>
      </c>
      <c r="G1783" s="12">
        <v>694.0</v>
      </c>
      <c r="H1783" s="12">
        <v>242.0</v>
      </c>
      <c r="I1783" s="12">
        <v>1.0</v>
      </c>
      <c r="J1783" s="12">
        <v>0.0</v>
      </c>
      <c r="K1783" s="11" t="s">
        <v>21</v>
      </c>
      <c r="L1783" s="7">
        <v>40242.52853009259</v>
      </c>
      <c r="M1783" s="13" t="s">
        <v>22</v>
      </c>
      <c r="N1783" s="13" t="s">
        <v>123</v>
      </c>
      <c r="O1783" s="10" t="str">
        <f>HYPERLINK("https://pbs.twimg.com/profile_images/3583165575/54f0bc87a29b2ae8587193829ce07299_normal.jpeg","View")</f>
        <v>View</v>
      </c>
      <c r="P1783" s="14"/>
    </row>
    <row r="1784">
      <c r="A1784" s="7">
        <v>42434.60886574074</v>
      </c>
      <c r="B1784" s="8" t="str">
        <f>HYPERLINK("https://twitter.com/cherylharned","@cherylharned")</f>
        <v>@cherylharned</v>
      </c>
      <c r="C1784" s="9" t="s">
        <v>1371</v>
      </c>
      <c r="D1784" s="9" t="s">
        <v>1699</v>
      </c>
      <c r="E1784" s="10" t="str">
        <f>HYPERLINK("https://twitter.com/cherylharned/status/706216907700043782","706216907700043782")</f>
        <v>706216907700043782</v>
      </c>
      <c r="F1784" s="11" t="s">
        <v>26</v>
      </c>
      <c r="G1784" s="12">
        <v>101.0</v>
      </c>
      <c r="H1784" s="12">
        <v>409.0</v>
      </c>
      <c r="I1784" s="12">
        <v>5.0</v>
      </c>
      <c r="J1784" s="12">
        <v>0.0</v>
      </c>
      <c r="K1784" s="11" t="s">
        <v>21</v>
      </c>
      <c r="L1784" s="7">
        <v>41373.45469907408</v>
      </c>
      <c r="M1784" s="15"/>
      <c r="N1784" s="13" t="s">
        <v>1373</v>
      </c>
      <c r="O1784" s="10" t="str">
        <f>HYPERLINK("https://pbs.twimg.com/profile_images/535167858204893184/DNz9ruRN_normal.jpeg","View")</f>
        <v>View</v>
      </c>
      <c r="P1784" s="14"/>
    </row>
    <row r="1785">
      <c r="A1785" s="7">
        <v>42434.60946759259</v>
      </c>
      <c r="B1785" s="8" t="str">
        <f>HYPERLINK("https://twitter.com/aglassofhistory","@aglassofhistory")</f>
        <v>@aglassofhistory</v>
      </c>
      <c r="C1785" s="9" t="s">
        <v>53</v>
      </c>
      <c r="D1785" s="9" t="s">
        <v>482</v>
      </c>
      <c r="E1785" s="10" t="str">
        <f>HYPERLINK("https://twitter.com/aglassofhistory/status/706217124453289985","706217124453289985")</f>
        <v>706217124453289985</v>
      </c>
      <c r="F1785" s="11" t="s">
        <v>31</v>
      </c>
      <c r="G1785" s="12">
        <v>407.0</v>
      </c>
      <c r="H1785" s="12">
        <v>745.0</v>
      </c>
      <c r="I1785" s="12">
        <v>16.0</v>
      </c>
      <c r="J1785" s="12">
        <v>0.0</v>
      </c>
      <c r="K1785" s="11" t="s">
        <v>21</v>
      </c>
      <c r="L1785" s="7">
        <v>41697.65762731482</v>
      </c>
      <c r="M1785" s="13" t="s">
        <v>55</v>
      </c>
      <c r="N1785" s="13" t="s">
        <v>56</v>
      </c>
      <c r="O1785" s="10" t="str">
        <f>HYPERLINK("https://pbs.twimg.com/profile_images/611592888816898048/cGMlIfmz_normal.jpg","View")</f>
        <v>View</v>
      </c>
      <c r="P1785" s="14"/>
    </row>
    <row r="1786">
      <c r="A1786" s="7">
        <v>42434.61175925926</v>
      </c>
      <c r="B1786" s="8" t="str">
        <f>HYPERLINK("https://twitter.com/pastpunditry","@pastpunditry")</f>
        <v>@pastpunditry</v>
      </c>
      <c r="C1786" s="9" t="s">
        <v>92</v>
      </c>
      <c r="D1786" s="9" t="s">
        <v>1854</v>
      </c>
      <c r="E1786" s="10" t="str">
        <f>HYPERLINK("https://twitter.com/pastpunditry/status/706217957760897025","706217957760897025")</f>
        <v>706217957760897025</v>
      </c>
      <c r="F1786" s="11" t="s">
        <v>77</v>
      </c>
      <c r="G1786" s="12">
        <v>896.0</v>
      </c>
      <c r="H1786" s="12">
        <v>378.0</v>
      </c>
      <c r="I1786" s="12">
        <v>0.0</v>
      </c>
      <c r="J1786" s="12">
        <v>1.0</v>
      </c>
      <c r="K1786" s="11" t="s">
        <v>21</v>
      </c>
      <c r="L1786" s="7">
        <v>40283.384351851855</v>
      </c>
      <c r="M1786" s="13" t="s">
        <v>94</v>
      </c>
      <c r="N1786" s="13" t="s">
        <v>95</v>
      </c>
      <c r="O1786" s="10" t="str">
        <f>HYPERLINK("https://pbs.twimg.com/profile_images/704873222802636800/7aFEMOY5_normal.jpg","View")</f>
        <v>View</v>
      </c>
      <c r="P1786" s="14"/>
    </row>
    <row r="1787">
      <c r="A1787" s="7">
        <v>42434.61287037037</v>
      </c>
      <c r="B1787" s="8" t="str">
        <f>HYPERLINK("https://twitter.com/dpmckenzie","@dpmckenzie")</f>
        <v>@dpmckenzie</v>
      </c>
      <c r="C1787" s="9" t="s">
        <v>1674</v>
      </c>
      <c r="D1787" s="9" t="s">
        <v>1855</v>
      </c>
      <c r="E1787" s="10" t="str">
        <f>HYPERLINK("https://twitter.com/dpmckenzie/status/706218358320996352","706218358320996352")</f>
        <v>706218358320996352</v>
      </c>
      <c r="F1787" s="11" t="s">
        <v>462</v>
      </c>
      <c r="G1787" s="12">
        <v>2158.0</v>
      </c>
      <c r="H1787" s="12">
        <v>2431.0</v>
      </c>
      <c r="I1787" s="12">
        <v>0.0</v>
      </c>
      <c r="J1787" s="12">
        <v>0.0</v>
      </c>
      <c r="K1787" s="11" t="s">
        <v>21</v>
      </c>
      <c r="L1787" s="7">
        <v>40556.89555555556</v>
      </c>
      <c r="M1787" s="13" t="s">
        <v>1676</v>
      </c>
      <c r="N1787" s="13" t="s">
        <v>1677</v>
      </c>
      <c r="O1787" s="10" t="str">
        <f>HYPERLINK("https://pbs.twimg.com/profile_images/2594130457/E22305FD-AC31-4127-92D9-F0C08A2E52F2_normal","View")</f>
        <v>View</v>
      </c>
      <c r="P1787" s="14"/>
    </row>
    <row r="1788">
      <c r="A1788" s="7">
        <v>42434.614398148144</v>
      </c>
      <c r="B1788" s="8" t="str">
        <f>HYPERLINK("https://twitter.com/cherylharned","@cherylharned")</f>
        <v>@cherylharned</v>
      </c>
      <c r="C1788" s="9" t="s">
        <v>1371</v>
      </c>
      <c r="D1788" s="9" t="s">
        <v>1856</v>
      </c>
      <c r="E1788" s="10" t="str">
        <f>HYPERLINK("https://twitter.com/cherylharned/status/706218913957322753","706218913957322753")</f>
        <v>706218913957322753</v>
      </c>
      <c r="F1788" s="11" t="s">
        <v>26</v>
      </c>
      <c r="G1788" s="12">
        <v>101.0</v>
      </c>
      <c r="H1788" s="12">
        <v>409.0</v>
      </c>
      <c r="I1788" s="12">
        <v>0.0</v>
      </c>
      <c r="J1788" s="12">
        <v>0.0</v>
      </c>
      <c r="K1788" s="11" t="s">
        <v>21</v>
      </c>
      <c r="L1788" s="7">
        <v>41373.45469907408</v>
      </c>
      <c r="M1788" s="15"/>
      <c r="N1788" s="13" t="s">
        <v>1373</v>
      </c>
      <c r="O1788" s="10" t="str">
        <f>HYPERLINK("https://pbs.twimg.com/profile_images/535167858204893184/DNz9ruRN_normal.jpeg","View")</f>
        <v>View</v>
      </c>
      <c r="P1788" s="14"/>
    </row>
    <row r="1789">
      <c r="A1789" s="7">
        <v>42434.619155092594</v>
      </c>
      <c r="B1789" s="8" t="str">
        <f>HYPERLINK("https://twitter.com/kaylamaria311","@kaylamaria311")</f>
        <v>@kaylamaria311</v>
      </c>
      <c r="C1789" s="9" t="s">
        <v>1857</v>
      </c>
      <c r="D1789" s="9" t="s">
        <v>1858</v>
      </c>
      <c r="E1789" s="10" t="str">
        <f>HYPERLINK("https://twitter.com/kaylamaria311/status/706220635094003712","706220635094003712")</f>
        <v>706220635094003712</v>
      </c>
      <c r="F1789" s="11" t="s">
        <v>26</v>
      </c>
      <c r="G1789" s="12">
        <v>66.0</v>
      </c>
      <c r="H1789" s="12">
        <v>215.0</v>
      </c>
      <c r="I1789" s="12">
        <v>1.0</v>
      </c>
      <c r="J1789" s="12">
        <v>0.0</v>
      </c>
      <c r="K1789" s="11" t="s">
        <v>21</v>
      </c>
      <c r="L1789" s="7">
        <v>41162.39784722222</v>
      </c>
      <c r="M1789" s="15"/>
      <c r="N1789" s="13" t="s">
        <v>1859</v>
      </c>
      <c r="O1789" s="10" t="str">
        <f>HYPERLINK("https://pbs.twimg.com/profile_images/2621242537/e4f3dyjkytufqwe63ms1_normal.jpeg","View")</f>
        <v>View</v>
      </c>
      <c r="P1789" s="14"/>
    </row>
    <row r="1790">
      <c r="A1790" s="7">
        <v>42434.64884259259</v>
      </c>
      <c r="B1790" s="8" t="str">
        <f>HYPERLINK("https://twitter.com/pcstewart","@pcstewart")</f>
        <v>@pcstewart</v>
      </c>
      <c r="C1790" s="9" t="s">
        <v>1860</v>
      </c>
      <c r="D1790" s="9" t="s">
        <v>1522</v>
      </c>
      <c r="E1790" s="10" t="str">
        <f>HYPERLINK("https://twitter.com/pcstewart/status/706231394586927104","706231394586927104")</f>
        <v>706231394586927104</v>
      </c>
      <c r="F1790" s="11" t="s">
        <v>31</v>
      </c>
      <c r="G1790" s="12">
        <v>19.0</v>
      </c>
      <c r="H1790" s="12">
        <v>55.0</v>
      </c>
      <c r="I1790" s="12">
        <v>6.0</v>
      </c>
      <c r="J1790" s="12">
        <v>0.0</v>
      </c>
      <c r="K1790" s="11" t="s">
        <v>21</v>
      </c>
      <c r="L1790" s="7">
        <v>41469.83515046296</v>
      </c>
      <c r="M1790" s="13" t="s">
        <v>1861</v>
      </c>
      <c r="N1790" s="13" t="s">
        <v>1862</v>
      </c>
      <c r="O1790" s="10" t="str">
        <f>HYPERLINK("https://abs.twimg.com/sticky/default_profile_images/default_profile_4_normal.png","View")</f>
        <v>View</v>
      </c>
      <c r="P1790" s="14"/>
    </row>
    <row r="1791">
      <c r="A1791" s="7">
        <v>42434.6587037037</v>
      </c>
      <c r="B1791" s="8" t="str">
        <f t="shared" ref="B1791:B1792" si="439">HYPERLINK("https://twitter.com/JulieThePH","@JulieThePH")</f>
        <v>@JulieThePH</v>
      </c>
      <c r="C1791" s="9" t="s">
        <v>211</v>
      </c>
      <c r="D1791" s="9" t="s">
        <v>1863</v>
      </c>
      <c r="E1791" s="10" t="str">
        <f>HYPERLINK("https://twitter.com/JulieThePH/status/706234968591212545","706234968591212545")</f>
        <v>706234968591212545</v>
      </c>
      <c r="F1791" s="11" t="s">
        <v>148</v>
      </c>
      <c r="G1791" s="12">
        <v>1248.0</v>
      </c>
      <c r="H1791" s="12">
        <v>1387.0</v>
      </c>
      <c r="I1791" s="12">
        <v>0.0</v>
      </c>
      <c r="J1791" s="12">
        <v>0.0</v>
      </c>
      <c r="K1791" s="11" t="s">
        <v>21</v>
      </c>
      <c r="L1791" s="7">
        <v>40718.66918981481</v>
      </c>
      <c r="M1791" s="13" t="s">
        <v>213</v>
      </c>
      <c r="N1791" s="13" t="s">
        <v>214</v>
      </c>
      <c r="O1791" s="10" t="str">
        <f t="shared" ref="O1791:O1792" si="440">HYPERLINK("https://pbs.twimg.com/profile_images/596509974005686273/AqBblwMR_normal.jpg","View")</f>
        <v>View</v>
      </c>
      <c r="P1791" s="14"/>
    </row>
    <row r="1792">
      <c r="A1792" s="7">
        <v>42434.65957175926</v>
      </c>
      <c r="B1792" s="8" t="str">
        <f t="shared" si="439"/>
        <v>@JulieThePH</v>
      </c>
      <c r="C1792" s="9" t="s">
        <v>211</v>
      </c>
      <c r="D1792" s="9" t="s">
        <v>1864</v>
      </c>
      <c r="E1792" s="10" t="str">
        <f>HYPERLINK("https://twitter.com/JulieThePH/status/706235283113709572","706235283113709572")</f>
        <v>706235283113709572</v>
      </c>
      <c r="F1792" s="11" t="s">
        <v>148</v>
      </c>
      <c r="G1792" s="12">
        <v>1248.0</v>
      </c>
      <c r="H1792" s="12">
        <v>1387.0</v>
      </c>
      <c r="I1792" s="12">
        <v>0.0</v>
      </c>
      <c r="J1792" s="12">
        <v>0.0</v>
      </c>
      <c r="K1792" s="11" t="s">
        <v>21</v>
      </c>
      <c r="L1792" s="7">
        <v>40718.66918981481</v>
      </c>
      <c r="M1792" s="13" t="s">
        <v>213</v>
      </c>
      <c r="N1792" s="13" t="s">
        <v>214</v>
      </c>
      <c r="O1792" s="10" t="str">
        <f t="shared" si="440"/>
        <v>View</v>
      </c>
      <c r="P1792" s="14"/>
    </row>
    <row r="1793">
      <c r="A1793" s="7">
        <v>42434.6780787037</v>
      </c>
      <c r="B1793" s="8" t="str">
        <f>HYPERLINK("https://twitter.com/rebekkahrubin","@rebekkahrubin")</f>
        <v>@rebekkahrubin</v>
      </c>
      <c r="C1793" s="9" t="s">
        <v>141</v>
      </c>
      <c r="D1793" s="9" t="s">
        <v>1865</v>
      </c>
      <c r="E1793" s="10" t="str">
        <f>HYPERLINK("https://twitter.com/rebekkahrubin/status/706241991361892353","706241991361892353")</f>
        <v>706241991361892353</v>
      </c>
      <c r="F1793" s="11" t="s">
        <v>31</v>
      </c>
      <c r="G1793" s="12">
        <v>496.0</v>
      </c>
      <c r="H1793" s="12">
        <v>1227.0</v>
      </c>
      <c r="I1793" s="12">
        <v>2.0</v>
      </c>
      <c r="J1793" s="12">
        <v>3.0</v>
      </c>
      <c r="K1793" s="11" t="s">
        <v>21</v>
      </c>
      <c r="L1793" s="7">
        <v>40411.521527777775</v>
      </c>
      <c r="M1793" s="13" t="s">
        <v>143</v>
      </c>
      <c r="N1793" s="13" t="s">
        <v>144</v>
      </c>
      <c r="O1793" s="10" t="str">
        <f>HYPERLINK("https://pbs.twimg.com/profile_images/700317732588408832/Ym_-neUi_normal.jpg","View")</f>
        <v>View</v>
      </c>
      <c r="P1793" s="14"/>
    </row>
    <row r="1794">
      <c r="A1794" s="7">
        <v>42434.67855324074</v>
      </c>
      <c r="B1794" s="8" t="str">
        <f>HYPERLINK("https://twitter.com/GHAUmass","@GHAUmass")</f>
        <v>@GHAUmass</v>
      </c>
      <c r="C1794" s="9" t="s">
        <v>30</v>
      </c>
      <c r="D1794" s="9" t="s">
        <v>1866</v>
      </c>
      <c r="E1794" s="10" t="str">
        <f>HYPERLINK("https://twitter.com/GHAUmass/status/706242162455744512","706242162455744512")</f>
        <v>706242162455744512</v>
      </c>
      <c r="F1794" s="11" t="s">
        <v>31</v>
      </c>
      <c r="G1794" s="12">
        <v>75.0</v>
      </c>
      <c r="H1794" s="12">
        <v>104.0</v>
      </c>
      <c r="I1794" s="12">
        <v>2.0</v>
      </c>
      <c r="J1794" s="12">
        <v>0.0</v>
      </c>
      <c r="K1794" s="11" t="s">
        <v>21</v>
      </c>
      <c r="L1794" s="7">
        <v>42152.65289351852</v>
      </c>
      <c r="M1794" s="13" t="s">
        <v>22</v>
      </c>
      <c r="N1794" s="13" t="s">
        <v>32</v>
      </c>
      <c r="O1794" s="10" t="str">
        <f>HYPERLINK("https://pbs.twimg.com/profile_images/604060333590855682/Fk6r1D7d_normal.jpg","View")</f>
        <v>View</v>
      </c>
      <c r="P1794" s="14"/>
    </row>
    <row r="1795">
      <c r="A1795" s="7">
        <v>42434.68053240741</v>
      </c>
      <c r="B1795" s="8" t="str">
        <f>HYPERLINK("https://twitter.com/rebekkahrubin","@rebekkahrubin")</f>
        <v>@rebekkahrubin</v>
      </c>
      <c r="C1795" s="9" t="s">
        <v>141</v>
      </c>
      <c r="D1795" s="9" t="s">
        <v>1867</v>
      </c>
      <c r="E1795" s="10" t="str">
        <f>HYPERLINK("https://twitter.com/rebekkahrubin/status/706242878788542466","706242878788542466")</f>
        <v>706242878788542466</v>
      </c>
      <c r="F1795" s="11" t="s">
        <v>31</v>
      </c>
      <c r="G1795" s="12">
        <v>496.0</v>
      </c>
      <c r="H1795" s="12">
        <v>1227.0</v>
      </c>
      <c r="I1795" s="12">
        <v>1.0</v>
      </c>
      <c r="J1795" s="12">
        <v>0.0</v>
      </c>
      <c r="K1795" s="11" t="s">
        <v>21</v>
      </c>
      <c r="L1795" s="7">
        <v>40411.521527777775</v>
      </c>
      <c r="M1795" s="13" t="s">
        <v>143</v>
      </c>
      <c r="N1795" s="13" t="s">
        <v>144</v>
      </c>
      <c r="O1795" s="10" t="str">
        <f>HYPERLINK("https://pbs.twimg.com/profile_images/700317732588408832/Ym_-neUi_normal.jpg","View")</f>
        <v>View</v>
      </c>
      <c r="P1795" s="14"/>
    </row>
    <row r="1796">
      <c r="A1796" s="7">
        <v>42434.68128472222</v>
      </c>
      <c r="B1796" s="8" t="str">
        <f>HYPERLINK("https://twitter.com/GHAUmass","@GHAUmass")</f>
        <v>@GHAUmass</v>
      </c>
      <c r="C1796" s="9" t="s">
        <v>30</v>
      </c>
      <c r="D1796" s="9" t="s">
        <v>1868</v>
      </c>
      <c r="E1796" s="10" t="str">
        <f>HYPERLINK("https://twitter.com/GHAUmass/status/706243153775480836","706243153775480836")</f>
        <v>706243153775480836</v>
      </c>
      <c r="F1796" s="11" t="s">
        <v>31</v>
      </c>
      <c r="G1796" s="12">
        <v>75.0</v>
      </c>
      <c r="H1796" s="12">
        <v>104.0</v>
      </c>
      <c r="I1796" s="12">
        <v>1.0</v>
      </c>
      <c r="J1796" s="12">
        <v>0.0</v>
      </c>
      <c r="K1796" s="11" t="s">
        <v>21</v>
      </c>
      <c r="L1796" s="7">
        <v>42152.65289351852</v>
      </c>
      <c r="M1796" s="13" t="s">
        <v>22</v>
      </c>
      <c r="N1796" s="13" t="s">
        <v>32</v>
      </c>
      <c r="O1796" s="10" t="str">
        <f>HYPERLINK("https://pbs.twimg.com/profile_images/604060333590855682/Fk6r1D7d_normal.jpg","View")</f>
        <v>View</v>
      </c>
      <c r="P1796" s="14"/>
    </row>
    <row r="1797">
      <c r="A1797" s="7">
        <v>42434.68141203704</v>
      </c>
      <c r="B1797" s="8" t="str">
        <f>HYPERLINK("https://twitter.com/rebekkahrubin","@rebekkahrubin")</f>
        <v>@rebekkahrubin</v>
      </c>
      <c r="C1797" s="9" t="s">
        <v>141</v>
      </c>
      <c r="D1797" s="9" t="s">
        <v>1869</v>
      </c>
      <c r="E1797" s="10" t="str">
        <f>HYPERLINK("https://twitter.com/rebekkahrubin/status/706243200399310848","706243200399310848")</f>
        <v>706243200399310848</v>
      </c>
      <c r="F1797" s="11" t="s">
        <v>31</v>
      </c>
      <c r="G1797" s="12">
        <v>496.0</v>
      </c>
      <c r="H1797" s="12">
        <v>1227.0</v>
      </c>
      <c r="I1797" s="12">
        <v>1.0</v>
      </c>
      <c r="J1797" s="12">
        <v>0.0</v>
      </c>
      <c r="K1797" s="11" t="s">
        <v>21</v>
      </c>
      <c r="L1797" s="7">
        <v>40411.521527777775</v>
      </c>
      <c r="M1797" s="13" t="s">
        <v>143</v>
      </c>
      <c r="N1797" s="13" t="s">
        <v>144</v>
      </c>
      <c r="O1797" s="10" t="str">
        <f>HYPERLINK("https://pbs.twimg.com/profile_images/700317732588408832/Ym_-neUi_normal.jpg","View")</f>
        <v>View</v>
      </c>
      <c r="P1797" s="14"/>
    </row>
    <row r="1798">
      <c r="A1798" s="7">
        <v>42434.68207175926</v>
      </c>
      <c r="B1798" s="8" t="str">
        <f>HYPERLINK("https://twitter.com/GHAUmass","@GHAUmass")</f>
        <v>@GHAUmass</v>
      </c>
      <c r="C1798" s="9" t="s">
        <v>30</v>
      </c>
      <c r="D1798" s="9" t="s">
        <v>1870</v>
      </c>
      <c r="E1798" s="10" t="str">
        <f>HYPERLINK("https://twitter.com/GHAUmass/status/706243437385945088","706243437385945088")</f>
        <v>706243437385945088</v>
      </c>
      <c r="F1798" s="11" t="s">
        <v>31</v>
      </c>
      <c r="G1798" s="12">
        <v>75.0</v>
      </c>
      <c r="H1798" s="12">
        <v>104.0</v>
      </c>
      <c r="I1798" s="12">
        <v>1.0</v>
      </c>
      <c r="J1798" s="12">
        <v>0.0</v>
      </c>
      <c r="K1798" s="11" t="s">
        <v>21</v>
      </c>
      <c r="L1798" s="7">
        <v>42152.65289351852</v>
      </c>
      <c r="M1798" s="13" t="s">
        <v>22</v>
      </c>
      <c r="N1798" s="13" t="s">
        <v>32</v>
      </c>
      <c r="O1798" s="10" t="str">
        <f>HYPERLINK("https://pbs.twimg.com/profile_images/604060333590855682/Fk6r1D7d_normal.jpg","View")</f>
        <v>View</v>
      </c>
      <c r="P1798" s="14"/>
    </row>
    <row r="1799">
      <c r="A1799" s="7">
        <v>42434.68258101852</v>
      </c>
      <c r="B1799" s="8" t="str">
        <f>HYPERLINK("https://twitter.com/rebekkahrubin","@rebekkahrubin")</f>
        <v>@rebekkahrubin</v>
      </c>
      <c r="C1799" s="9" t="s">
        <v>141</v>
      </c>
      <c r="D1799" s="9" t="s">
        <v>1871</v>
      </c>
      <c r="E1799" s="10" t="str">
        <f>HYPERLINK("https://twitter.com/rebekkahrubin/status/706243622216318976","706243622216318976")</f>
        <v>706243622216318976</v>
      </c>
      <c r="F1799" s="11" t="s">
        <v>31</v>
      </c>
      <c r="G1799" s="12">
        <v>496.0</v>
      </c>
      <c r="H1799" s="12">
        <v>1227.0</v>
      </c>
      <c r="I1799" s="12">
        <v>1.0</v>
      </c>
      <c r="J1799" s="12">
        <v>0.0</v>
      </c>
      <c r="K1799" s="11" t="s">
        <v>21</v>
      </c>
      <c r="L1799" s="7">
        <v>40411.521527777775</v>
      </c>
      <c r="M1799" s="13" t="s">
        <v>143</v>
      </c>
      <c r="N1799" s="13" t="s">
        <v>144</v>
      </c>
      <c r="O1799" s="10" t="str">
        <f>HYPERLINK("https://pbs.twimg.com/profile_images/700317732588408832/Ym_-neUi_normal.jpg","View")</f>
        <v>View</v>
      </c>
      <c r="P1799" s="14"/>
    </row>
    <row r="1800">
      <c r="A1800" s="7">
        <v>42434.68342592593</v>
      </c>
      <c r="B1800" s="8" t="str">
        <f>HYPERLINK("https://twitter.com/GHAUmass","@GHAUmass")</f>
        <v>@GHAUmass</v>
      </c>
      <c r="C1800" s="9" t="s">
        <v>30</v>
      </c>
      <c r="D1800" s="9" t="s">
        <v>1872</v>
      </c>
      <c r="E1800" s="10" t="str">
        <f>HYPERLINK("https://twitter.com/GHAUmass/status/706243928530538498","706243928530538498")</f>
        <v>706243928530538498</v>
      </c>
      <c r="F1800" s="11" t="s">
        <v>31</v>
      </c>
      <c r="G1800" s="12">
        <v>75.0</v>
      </c>
      <c r="H1800" s="12">
        <v>104.0</v>
      </c>
      <c r="I1800" s="12">
        <v>1.0</v>
      </c>
      <c r="J1800" s="12">
        <v>0.0</v>
      </c>
      <c r="K1800" s="11" t="s">
        <v>21</v>
      </c>
      <c r="L1800" s="7">
        <v>42152.65289351852</v>
      </c>
      <c r="M1800" s="13" t="s">
        <v>22</v>
      </c>
      <c r="N1800" s="13" t="s">
        <v>32</v>
      </c>
      <c r="O1800" s="10" t="str">
        <f>HYPERLINK("https://pbs.twimg.com/profile_images/604060333590855682/Fk6r1D7d_normal.jpg","View")</f>
        <v>View</v>
      </c>
      <c r="P1800" s="14"/>
    </row>
    <row r="1801">
      <c r="A1801" s="7">
        <v>42434.68440972222</v>
      </c>
      <c r="B1801" s="8" t="str">
        <f>HYPERLINK("https://twitter.com/rebekkahrubin","@rebekkahrubin")</f>
        <v>@rebekkahrubin</v>
      </c>
      <c r="C1801" s="9" t="s">
        <v>141</v>
      </c>
      <c r="D1801" s="9" t="s">
        <v>1873</v>
      </c>
      <c r="E1801" s="10" t="str">
        <f>HYPERLINK("https://twitter.com/rebekkahrubin/status/706244284828274688","706244284828274688")</f>
        <v>706244284828274688</v>
      </c>
      <c r="F1801" s="11" t="s">
        <v>31</v>
      </c>
      <c r="G1801" s="12">
        <v>496.0</v>
      </c>
      <c r="H1801" s="12">
        <v>1227.0</v>
      </c>
      <c r="I1801" s="12">
        <v>1.0</v>
      </c>
      <c r="J1801" s="12">
        <v>1.0</v>
      </c>
      <c r="K1801" s="11" t="s">
        <v>21</v>
      </c>
      <c r="L1801" s="7">
        <v>40411.521527777775</v>
      </c>
      <c r="M1801" s="13" t="s">
        <v>143</v>
      </c>
      <c r="N1801" s="13" t="s">
        <v>144</v>
      </c>
      <c r="O1801" s="10" t="str">
        <f>HYPERLINK("https://pbs.twimg.com/profile_images/700317732588408832/Ym_-neUi_normal.jpg","View")</f>
        <v>View</v>
      </c>
      <c r="P1801" s="14"/>
    </row>
    <row r="1802">
      <c r="A1802" s="7">
        <v>42434.68703703704</v>
      </c>
      <c r="B1802" s="8" t="str">
        <f>HYPERLINK("https://twitter.com/GHAUmass","@GHAUmass")</f>
        <v>@GHAUmass</v>
      </c>
      <c r="C1802" s="9" t="s">
        <v>30</v>
      </c>
      <c r="D1802" s="9" t="s">
        <v>1874</v>
      </c>
      <c r="E1802" s="10" t="str">
        <f>HYPERLINK("https://twitter.com/GHAUmass/status/706245236952014848","706245236952014848")</f>
        <v>706245236952014848</v>
      </c>
      <c r="F1802" s="11" t="s">
        <v>31</v>
      </c>
      <c r="G1802" s="12">
        <v>75.0</v>
      </c>
      <c r="H1802" s="12">
        <v>104.0</v>
      </c>
      <c r="I1802" s="12">
        <v>1.0</v>
      </c>
      <c r="J1802" s="12">
        <v>0.0</v>
      </c>
      <c r="K1802" s="11" t="s">
        <v>21</v>
      </c>
      <c r="L1802" s="7">
        <v>42152.65289351852</v>
      </c>
      <c r="M1802" s="13" t="s">
        <v>22</v>
      </c>
      <c r="N1802" s="13" t="s">
        <v>32</v>
      </c>
      <c r="O1802" s="10" t="str">
        <f>HYPERLINK("https://pbs.twimg.com/profile_images/604060333590855682/Fk6r1D7d_normal.jpg","View")</f>
        <v>View</v>
      </c>
      <c r="P1802" s="14"/>
    </row>
    <row r="1803">
      <c r="A1803" s="7">
        <v>42434.68773148148</v>
      </c>
      <c r="B1803" s="8" t="str">
        <f>HYPERLINK("https://twitter.com/jamiaw","@jamiaw")</f>
        <v>@jamiaw</v>
      </c>
      <c r="C1803" s="9" t="s">
        <v>324</v>
      </c>
      <c r="D1803" s="9" t="s">
        <v>1866</v>
      </c>
      <c r="E1803" s="10" t="str">
        <f>HYPERLINK("https://twitter.com/jamiaw/status/706245488320909312","706245488320909312")</f>
        <v>706245488320909312</v>
      </c>
      <c r="F1803" s="11" t="s">
        <v>26</v>
      </c>
      <c r="G1803" s="12">
        <v>11343.0</v>
      </c>
      <c r="H1803" s="12">
        <v>7818.0</v>
      </c>
      <c r="I1803" s="12">
        <v>2.0</v>
      </c>
      <c r="J1803" s="12">
        <v>0.0</v>
      </c>
      <c r="K1803" s="11" t="s">
        <v>21</v>
      </c>
      <c r="L1803" s="7">
        <v>39642.39741898148</v>
      </c>
      <c r="M1803" s="13" t="s">
        <v>325</v>
      </c>
      <c r="N1803" s="13" t="s">
        <v>326</v>
      </c>
      <c r="O1803" s="10" t="str">
        <f>HYPERLINK("https://pbs.twimg.com/profile_images/701102020061753344/5zH70uem_normal.jpg","View")</f>
        <v>View</v>
      </c>
      <c r="P1803" s="14"/>
    </row>
    <row r="1804">
      <c r="A1804" s="7">
        <v>42434.687951388885</v>
      </c>
      <c r="B1804" s="8" t="str">
        <f>HYPERLINK("https://twitter.com/MidwestMMaven","@MidwestMMaven")</f>
        <v>@MidwestMMaven</v>
      </c>
      <c r="C1804" s="9" t="s">
        <v>1875</v>
      </c>
      <c r="D1804" s="9" t="s">
        <v>1876</v>
      </c>
      <c r="E1804" s="10" t="str">
        <f>HYPERLINK("https://twitter.com/MidwestMMaven/status/706245567417073664","706245567417073664")</f>
        <v>706245567417073664</v>
      </c>
      <c r="F1804" s="11" t="s">
        <v>148</v>
      </c>
      <c r="G1804" s="12">
        <v>1566.0</v>
      </c>
      <c r="H1804" s="12">
        <v>1495.0</v>
      </c>
      <c r="I1804" s="12">
        <v>1.0</v>
      </c>
      <c r="J1804" s="12">
        <v>0.0</v>
      </c>
      <c r="K1804" s="11" t="s">
        <v>21</v>
      </c>
      <c r="L1804" s="7">
        <v>41367.42579861111</v>
      </c>
      <c r="M1804" s="13" t="s">
        <v>1877</v>
      </c>
      <c r="N1804" s="13" t="s">
        <v>1878</v>
      </c>
      <c r="O1804" s="10" t="str">
        <f>HYPERLINK("https://pbs.twimg.com/profile_images/704149606498705408/PJuz9I8l_normal.jpg","View")</f>
        <v>View</v>
      </c>
      <c r="P1804" s="14"/>
    </row>
    <row r="1805">
      <c r="A1805" s="7">
        <v>42434.68833333333</v>
      </c>
      <c r="B1805" s="8" t="str">
        <f>HYPERLINK("https://twitter.com/rebekkahrubin","@rebekkahrubin")</f>
        <v>@rebekkahrubin</v>
      </c>
      <c r="C1805" s="9" t="s">
        <v>141</v>
      </c>
      <c r="D1805" s="9" t="s">
        <v>1879</v>
      </c>
      <c r="E1805" s="10" t="str">
        <f>HYPERLINK("https://twitter.com/rebekkahrubin/status/706245707041263618","706245707041263618")</f>
        <v>706245707041263618</v>
      </c>
      <c r="F1805" s="11" t="s">
        <v>31</v>
      </c>
      <c r="G1805" s="12">
        <v>496.0</v>
      </c>
      <c r="H1805" s="12">
        <v>1227.0</v>
      </c>
      <c r="I1805" s="12">
        <v>2.0</v>
      </c>
      <c r="J1805" s="12">
        <v>1.0</v>
      </c>
      <c r="K1805" s="11" t="s">
        <v>21</v>
      </c>
      <c r="L1805" s="7">
        <v>40411.521527777775</v>
      </c>
      <c r="M1805" s="13" t="s">
        <v>143</v>
      </c>
      <c r="N1805" s="13" t="s">
        <v>144</v>
      </c>
      <c r="O1805" s="10" t="str">
        <f>HYPERLINK("https://pbs.twimg.com/profile_images/700317732588408832/Ym_-neUi_normal.jpg","View")</f>
        <v>View</v>
      </c>
      <c r="P1805" s="14"/>
    </row>
    <row r="1806">
      <c r="A1806" s="7">
        <v>42434.68837962963</v>
      </c>
      <c r="B1806" s="8" t="str">
        <f>HYPERLINK("https://twitter.com/hollymsolis","@hollymsolis")</f>
        <v>@hollymsolis</v>
      </c>
      <c r="C1806" s="9" t="s">
        <v>1445</v>
      </c>
      <c r="D1806" s="9" t="s">
        <v>1785</v>
      </c>
      <c r="E1806" s="10" t="str">
        <f>HYPERLINK("https://twitter.com/hollymsolis/status/706245722308370432","706245722308370432")</f>
        <v>706245722308370432</v>
      </c>
      <c r="F1806" s="11" t="s">
        <v>26</v>
      </c>
      <c r="G1806" s="12">
        <v>120.0</v>
      </c>
      <c r="H1806" s="12">
        <v>235.0</v>
      </c>
      <c r="I1806" s="12">
        <v>4.0</v>
      </c>
      <c r="J1806" s="12">
        <v>0.0</v>
      </c>
      <c r="K1806" s="11" t="s">
        <v>21</v>
      </c>
      <c r="L1806" s="7">
        <v>40994.64928240741</v>
      </c>
      <c r="M1806" s="13" t="s">
        <v>138</v>
      </c>
      <c r="N1806" s="13" t="s">
        <v>1446</v>
      </c>
      <c r="O1806" s="10" t="str">
        <f>HYPERLINK("https://pbs.twimg.com/profile_images/563040278030712832/FIJIXZlI_normal.jpeg","View")</f>
        <v>View</v>
      </c>
      <c r="P1806" s="14"/>
    </row>
    <row r="1807">
      <c r="A1807" s="7">
        <v>42434.68849537037</v>
      </c>
      <c r="B1807" s="8" t="str">
        <f>HYPERLINK("https://twitter.com/GHAUmass","@GHAUmass")</f>
        <v>@GHAUmass</v>
      </c>
      <c r="C1807" s="9" t="s">
        <v>30</v>
      </c>
      <c r="D1807" s="9" t="s">
        <v>1880</v>
      </c>
      <c r="E1807" s="10" t="str">
        <f>HYPERLINK("https://twitter.com/GHAUmass/status/706245764700360704","706245764700360704")</f>
        <v>706245764700360704</v>
      </c>
      <c r="F1807" s="11" t="s">
        <v>31</v>
      </c>
      <c r="G1807" s="12">
        <v>75.0</v>
      </c>
      <c r="H1807" s="12">
        <v>104.0</v>
      </c>
      <c r="I1807" s="12">
        <v>2.0</v>
      </c>
      <c r="J1807" s="12">
        <v>0.0</v>
      </c>
      <c r="K1807" s="11" t="s">
        <v>21</v>
      </c>
      <c r="L1807" s="7">
        <v>42152.65289351852</v>
      </c>
      <c r="M1807" s="13" t="s">
        <v>22</v>
      </c>
      <c r="N1807" s="13" t="s">
        <v>32</v>
      </c>
      <c r="O1807" s="10" t="str">
        <f>HYPERLINK("https://pbs.twimg.com/profile_images/604060333590855682/Fk6r1D7d_normal.jpg","View")</f>
        <v>View</v>
      </c>
      <c r="P1807" s="14"/>
    </row>
    <row r="1808">
      <c r="A1808" s="7">
        <v>42434.68918981482</v>
      </c>
      <c r="B1808" s="8" t="str">
        <f>HYPERLINK("https://twitter.com/cherylharned","@cherylharned")</f>
        <v>@cherylharned</v>
      </c>
      <c r="C1808" s="9" t="s">
        <v>1371</v>
      </c>
      <c r="D1808" s="9" t="s">
        <v>1881</v>
      </c>
      <c r="E1808" s="10" t="str">
        <f>HYPERLINK("https://twitter.com/cherylharned/status/706246017176477697","706246017176477697")</f>
        <v>706246017176477697</v>
      </c>
      <c r="F1808" s="11" t="s">
        <v>26</v>
      </c>
      <c r="G1808" s="12">
        <v>102.0</v>
      </c>
      <c r="H1808" s="12">
        <v>418.0</v>
      </c>
      <c r="I1808" s="12">
        <v>0.0</v>
      </c>
      <c r="J1808" s="12">
        <v>0.0</v>
      </c>
      <c r="K1808" s="11" t="s">
        <v>21</v>
      </c>
      <c r="L1808" s="7">
        <v>41373.45469907408</v>
      </c>
      <c r="M1808" s="15"/>
      <c r="N1808" s="13" t="s">
        <v>1373</v>
      </c>
      <c r="O1808" s="10" t="str">
        <f>HYPERLINK("https://pbs.twimg.com/profile_images/535167858204893184/DNz9ruRN_normal.jpeg","View")</f>
        <v>View</v>
      </c>
      <c r="P1808" s="14"/>
    </row>
    <row r="1809">
      <c r="A1809" s="7">
        <v>42434.689247685186</v>
      </c>
      <c r="B1809" s="8" t="str">
        <f>HYPERLINK("https://twitter.com/rebekkahrubin","@rebekkahrubin")</f>
        <v>@rebekkahrubin</v>
      </c>
      <c r="C1809" s="9" t="s">
        <v>141</v>
      </c>
      <c r="D1809" s="9" t="s">
        <v>1882</v>
      </c>
      <c r="E1809" s="10" t="str">
        <f>HYPERLINK("https://twitter.com/rebekkahrubin/status/706246037023940608","706246037023940608")</f>
        <v>706246037023940608</v>
      </c>
      <c r="F1809" s="11" t="s">
        <v>31</v>
      </c>
      <c r="G1809" s="12">
        <v>496.0</v>
      </c>
      <c r="H1809" s="12">
        <v>1227.0</v>
      </c>
      <c r="I1809" s="12">
        <v>2.0</v>
      </c>
      <c r="J1809" s="12">
        <v>1.0</v>
      </c>
      <c r="K1809" s="11" t="s">
        <v>21</v>
      </c>
      <c r="L1809" s="7">
        <v>40411.521527777775</v>
      </c>
      <c r="M1809" s="13" t="s">
        <v>143</v>
      </c>
      <c r="N1809" s="13" t="s">
        <v>144</v>
      </c>
      <c r="O1809" s="10" t="str">
        <f>HYPERLINK("https://pbs.twimg.com/profile_images/700317732588408832/Ym_-neUi_normal.jpg","View")</f>
        <v>View</v>
      </c>
      <c r="P1809" s="14"/>
    </row>
    <row r="1810">
      <c r="A1810" s="7">
        <v>42434.68982638889</v>
      </c>
      <c r="B1810" s="8" t="str">
        <f>HYPERLINK("https://twitter.com/j3foley","@j3foley")</f>
        <v>@j3foley</v>
      </c>
      <c r="C1810" s="9" t="s">
        <v>1492</v>
      </c>
      <c r="D1810" s="9" t="s">
        <v>1883</v>
      </c>
      <c r="E1810" s="10" t="str">
        <f>HYPERLINK("https://twitter.com/j3foley/status/706246246827220993","706246246827220993")</f>
        <v>706246246827220993</v>
      </c>
      <c r="F1810" s="11" t="s">
        <v>26</v>
      </c>
      <c r="G1810" s="12">
        <v>155.0</v>
      </c>
      <c r="H1810" s="12">
        <v>293.0</v>
      </c>
      <c r="I1810" s="12">
        <v>1.0</v>
      </c>
      <c r="J1810" s="12">
        <v>0.0</v>
      </c>
      <c r="K1810" s="11" t="s">
        <v>21</v>
      </c>
      <c r="L1810" s="7">
        <v>40267.63636574074</v>
      </c>
      <c r="M1810" s="13" t="s">
        <v>252</v>
      </c>
      <c r="N1810" s="13" t="s">
        <v>1494</v>
      </c>
      <c r="O1810" s="10" t="str">
        <f>HYPERLINK("https://pbs.twimg.com/profile_images/627686554861834241/UcDo7crN_normal.jpg","View")</f>
        <v>View</v>
      </c>
      <c r="P1810" s="14"/>
    </row>
    <row r="1811">
      <c r="A1811" s="7">
        <v>42434.69012731481</v>
      </c>
      <c r="B1811" s="8" t="str">
        <f t="shared" ref="B1811:B1812" si="441">HYPERLINK("https://twitter.com/GHAUmass","@GHAUmass")</f>
        <v>@GHAUmass</v>
      </c>
      <c r="C1811" s="9" t="s">
        <v>30</v>
      </c>
      <c r="D1811" s="9" t="s">
        <v>1884</v>
      </c>
      <c r="E1811" s="10" t="str">
        <f>HYPERLINK("https://twitter.com/GHAUmass/status/706246356030136322","706246356030136322")</f>
        <v>706246356030136322</v>
      </c>
      <c r="F1811" s="11" t="s">
        <v>31</v>
      </c>
      <c r="G1811" s="12">
        <v>75.0</v>
      </c>
      <c r="H1811" s="12">
        <v>104.0</v>
      </c>
      <c r="I1811" s="12">
        <v>1.0</v>
      </c>
      <c r="J1811" s="12">
        <v>0.0</v>
      </c>
      <c r="K1811" s="11" t="s">
        <v>21</v>
      </c>
      <c r="L1811" s="7">
        <v>42152.65289351852</v>
      </c>
      <c r="M1811" s="13" t="s">
        <v>22</v>
      </c>
      <c r="N1811" s="13" t="s">
        <v>32</v>
      </c>
      <c r="O1811" s="10" t="str">
        <f t="shared" ref="O1811:O1812" si="442">HYPERLINK("https://pbs.twimg.com/profile_images/604060333590855682/Fk6r1D7d_normal.jpg","View")</f>
        <v>View</v>
      </c>
      <c r="P1811" s="14"/>
    </row>
    <row r="1812">
      <c r="A1812" s="7">
        <v>42434.69024305556</v>
      </c>
      <c r="B1812" s="8" t="str">
        <f t="shared" si="441"/>
        <v>@GHAUmass</v>
      </c>
      <c r="C1812" s="9" t="s">
        <v>30</v>
      </c>
      <c r="D1812" s="9" t="s">
        <v>1885</v>
      </c>
      <c r="E1812" s="10" t="str">
        <f>HYPERLINK("https://twitter.com/GHAUmass/status/706246399751491584","706246399751491584")</f>
        <v>706246399751491584</v>
      </c>
      <c r="F1812" s="11" t="s">
        <v>31</v>
      </c>
      <c r="G1812" s="12">
        <v>75.0</v>
      </c>
      <c r="H1812" s="12">
        <v>104.0</v>
      </c>
      <c r="I1812" s="12">
        <v>2.0</v>
      </c>
      <c r="J1812" s="12">
        <v>0.0</v>
      </c>
      <c r="K1812" s="11" t="s">
        <v>21</v>
      </c>
      <c r="L1812" s="7">
        <v>42152.65289351852</v>
      </c>
      <c r="M1812" s="13" t="s">
        <v>22</v>
      </c>
      <c r="N1812" s="13" t="s">
        <v>32</v>
      </c>
      <c r="O1812" s="10" t="str">
        <f t="shared" si="442"/>
        <v>View</v>
      </c>
      <c r="P1812" s="14"/>
    </row>
    <row r="1813">
      <c r="A1813" s="7">
        <v>42434.690509259264</v>
      </c>
      <c r="B1813" s="8" t="str">
        <f>HYPERLINK("https://twitter.com/rebekkahrubin","@rebekkahrubin")</f>
        <v>@rebekkahrubin</v>
      </c>
      <c r="C1813" s="9" t="s">
        <v>141</v>
      </c>
      <c r="D1813" s="9" t="s">
        <v>1886</v>
      </c>
      <c r="E1813" s="10" t="str">
        <f>HYPERLINK("https://twitter.com/rebekkahrubin/status/706246496593780736","706246496593780736")</f>
        <v>706246496593780736</v>
      </c>
      <c r="F1813" s="11" t="s">
        <v>31</v>
      </c>
      <c r="G1813" s="12">
        <v>496.0</v>
      </c>
      <c r="H1813" s="12">
        <v>1227.0</v>
      </c>
      <c r="I1813" s="12">
        <v>1.0</v>
      </c>
      <c r="J1813" s="12">
        <v>0.0</v>
      </c>
      <c r="K1813" s="11" t="s">
        <v>21</v>
      </c>
      <c r="L1813" s="7">
        <v>40411.521527777775</v>
      </c>
      <c r="M1813" s="13" t="s">
        <v>143</v>
      </c>
      <c r="N1813" s="13" t="s">
        <v>144</v>
      </c>
      <c r="O1813" s="10" t="str">
        <f>HYPERLINK("https://pbs.twimg.com/profile_images/700317732588408832/Ym_-neUi_normal.jpg","View")</f>
        <v>View</v>
      </c>
      <c r="P1813" s="14"/>
    </row>
    <row r="1814">
      <c r="A1814" s="7">
        <v>42434.690682870365</v>
      </c>
      <c r="B1814" s="8" t="str">
        <f>HYPERLINK("https://twitter.com/GHAUmass","@GHAUmass")</f>
        <v>@GHAUmass</v>
      </c>
      <c r="C1814" s="9" t="s">
        <v>30</v>
      </c>
      <c r="D1814" s="9" t="s">
        <v>1887</v>
      </c>
      <c r="E1814" s="10" t="str">
        <f>HYPERLINK("https://twitter.com/GHAUmass/status/706246557461553153","706246557461553153")</f>
        <v>706246557461553153</v>
      </c>
      <c r="F1814" s="11" t="s">
        <v>31</v>
      </c>
      <c r="G1814" s="12">
        <v>75.0</v>
      </c>
      <c r="H1814" s="12">
        <v>104.0</v>
      </c>
      <c r="I1814" s="12">
        <v>1.0</v>
      </c>
      <c r="J1814" s="12">
        <v>0.0</v>
      </c>
      <c r="K1814" s="11" t="s">
        <v>21</v>
      </c>
      <c r="L1814" s="7">
        <v>42152.65289351852</v>
      </c>
      <c r="M1814" s="13" t="s">
        <v>22</v>
      </c>
      <c r="N1814" s="13" t="s">
        <v>32</v>
      </c>
      <c r="O1814" s="10" t="str">
        <f>HYPERLINK("https://pbs.twimg.com/profile_images/604060333590855682/Fk6r1D7d_normal.jpg","View")</f>
        <v>View</v>
      </c>
      <c r="P1814" s="14"/>
    </row>
    <row r="1815">
      <c r="A1815" s="7">
        <v>42434.69071759259</v>
      </c>
      <c r="B1815" s="8" t="str">
        <f>HYPERLINK("https://twitter.com/hollymsolis","@hollymsolis")</f>
        <v>@hollymsolis</v>
      </c>
      <c r="C1815" s="9" t="s">
        <v>1445</v>
      </c>
      <c r="D1815" s="9" t="s">
        <v>1699</v>
      </c>
      <c r="E1815" s="10" t="str">
        <f>HYPERLINK("https://twitter.com/hollymsolis/status/706246571881435136","706246571881435136")</f>
        <v>706246571881435136</v>
      </c>
      <c r="F1815" s="11" t="s">
        <v>26</v>
      </c>
      <c r="G1815" s="12">
        <v>120.0</v>
      </c>
      <c r="H1815" s="12">
        <v>235.0</v>
      </c>
      <c r="I1815" s="12">
        <v>7.0</v>
      </c>
      <c r="J1815" s="12">
        <v>0.0</v>
      </c>
      <c r="K1815" s="11" t="s">
        <v>21</v>
      </c>
      <c r="L1815" s="7">
        <v>40994.64928240741</v>
      </c>
      <c r="M1815" s="13" t="s">
        <v>138</v>
      </c>
      <c r="N1815" s="13" t="s">
        <v>1446</v>
      </c>
      <c r="O1815" s="10" t="str">
        <f>HYPERLINK("https://pbs.twimg.com/profile_images/563040278030712832/FIJIXZlI_normal.jpeg","View")</f>
        <v>View</v>
      </c>
      <c r="P1815" s="14"/>
    </row>
    <row r="1816">
      <c r="A1816" s="7">
        <v>42434.69143518519</v>
      </c>
      <c r="B1816" s="8" t="str">
        <f>HYPERLINK("https://twitter.com/BronxBomber67","@BronxBomber67")</f>
        <v>@BronxBomber67</v>
      </c>
      <c r="C1816" s="9" t="s">
        <v>1888</v>
      </c>
      <c r="D1816" s="9" t="s">
        <v>726</v>
      </c>
      <c r="E1816" s="10" t="str">
        <f>HYPERLINK("https://twitter.com/BronxBomber67/status/706246831005700096","706246831005700096")</f>
        <v>706246831005700096</v>
      </c>
      <c r="F1816" s="11" t="s">
        <v>148</v>
      </c>
      <c r="G1816" s="12">
        <v>133.0</v>
      </c>
      <c r="H1816" s="12">
        <v>602.0</v>
      </c>
      <c r="I1816" s="12">
        <v>2.0</v>
      </c>
      <c r="J1816" s="12">
        <v>0.0</v>
      </c>
      <c r="K1816" s="11" t="s">
        <v>21</v>
      </c>
      <c r="L1816" s="7">
        <v>40934.634259259255</v>
      </c>
      <c r="M1816" s="15"/>
      <c r="N1816" s="15"/>
      <c r="O1816" s="10" t="str">
        <f>HYPERLINK("https://pbs.twimg.com/profile_images/625456662741061632/MOgtZTpK_normal.jpg","View")</f>
        <v>View</v>
      </c>
      <c r="P1816" s="14"/>
    </row>
    <row r="1817">
      <c r="A1817" s="7">
        <v>42434.69149305555</v>
      </c>
      <c r="B1817" s="8" t="str">
        <f t="shared" ref="B1817:B1818" si="443">HYPERLINK("https://twitter.com/rebekkahrubin","@rebekkahrubin")</f>
        <v>@rebekkahrubin</v>
      </c>
      <c r="C1817" s="9" t="s">
        <v>141</v>
      </c>
      <c r="D1817" s="9" t="s">
        <v>1889</v>
      </c>
      <c r="E1817" s="10" t="str">
        <f>HYPERLINK("https://twitter.com/rebekkahrubin/status/706246849720623104","706246849720623104")</f>
        <v>706246849720623104</v>
      </c>
      <c r="F1817" s="11" t="s">
        <v>31</v>
      </c>
      <c r="G1817" s="12">
        <v>496.0</v>
      </c>
      <c r="H1817" s="12">
        <v>1227.0</v>
      </c>
      <c r="I1817" s="12">
        <v>1.0</v>
      </c>
      <c r="J1817" s="12">
        <v>0.0</v>
      </c>
      <c r="K1817" s="11" t="s">
        <v>21</v>
      </c>
      <c r="L1817" s="7">
        <v>40411.521527777775</v>
      </c>
      <c r="M1817" s="13" t="s">
        <v>143</v>
      </c>
      <c r="N1817" s="13" t="s">
        <v>144</v>
      </c>
      <c r="O1817" s="10" t="str">
        <f t="shared" ref="O1817:O1818" si="444">HYPERLINK("https://pbs.twimg.com/profile_images/700317732588408832/Ym_-neUi_normal.jpg","View")</f>
        <v>View</v>
      </c>
      <c r="P1817" s="14"/>
    </row>
    <row r="1818">
      <c r="A1818" s="7">
        <v>42434.6921875</v>
      </c>
      <c r="B1818" s="8" t="str">
        <f t="shared" si="443"/>
        <v>@rebekkahrubin</v>
      </c>
      <c r="C1818" s="9" t="s">
        <v>141</v>
      </c>
      <c r="D1818" s="9" t="s">
        <v>1890</v>
      </c>
      <c r="E1818" s="10" t="str">
        <f>HYPERLINK("https://twitter.com/rebekkahrubin/status/706247101160792064","706247101160792064")</f>
        <v>706247101160792064</v>
      </c>
      <c r="F1818" s="11" t="s">
        <v>31</v>
      </c>
      <c r="G1818" s="12">
        <v>496.0</v>
      </c>
      <c r="H1818" s="12">
        <v>1227.0</v>
      </c>
      <c r="I1818" s="12">
        <v>1.0</v>
      </c>
      <c r="J1818" s="12">
        <v>0.0</v>
      </c>
      <c r="K1818" s="11" t="s">
        <v>21</v>
      </c>
      <c r="L1818" s="7">
        <v>40411.521527777775</v>
      </c>
      <c r="M1818" s="13" t="s">
        <v>143</v>
      </c>
      <c r="N1818" s="13" t="s">
        <v>144</v>
      </c>
      <c r="O1818" s="10" t="str">
        <f t="shared" si="444"/>
        <v>View</v>
      </c>
      <c r="P1818" s="14"/>
    </row>
    <row r="1819">
      <c r="A1819" s="7">
        <v>42434.69270833333</v>
      </c>
      <c r="B1819" s="8" t="str">
        <f>HYPERLINK("https://twitter.com/NicoNolden","@NicoNolden")</f>
        <v>@NicoNolden</v>
      </c>
      <c r="C1819" s="9" t="s">
        <v>146</v>
      </c>
      <c r="D1819" s="9" t="s">
        <v>1880</v>
      </c>
      <c r="E1819" s="10" t="str">
        <f>HYPERLINK("https://twitter.com/NicoNolden/status/706247291368312833","706247291368312833")</f>
        <v>706247291368312833</v>
      </c>
      <c r="F1819" s="11" t="s">
        <v>148</v>
      </c>
      <c r="G1819" s="12">
        <v>660.0</v>
      </c>
      <c r="H1819" s="12">
        <v>1666.0</v>
      </c>
      <c r="I1819" s="12">
        <v>2.0</v>
      </c>
      <c r="J1819" s="12">
        <v>0.0</v>
      </c>
      <c r="K1819" s="11" t="s">
        <v>21</v>
      </c>
      <c r="L1819" s="7">
        <v>40938.61688657408</v>
      </c>
      <c r="M1819" s="13" t="s">
        <v>149</v>
      </c>
      <c r="N1819" s="13" t="s">
        <v>150</v>
      </c>
      <c r="O1819" s="10" t="str">
        <f>HYPERLINK("https://pbs.twimg.com/profile_images/1792930381/Blitze_normal.jpg","View")</f>
        <v>View</v>
      </c>
      <c r="P1819" s="14"/>
    </row>
    <row r="1820">
      <c r="A1820" s="7">
        <v>42434.693136574075</v>
      </c>
      <c r="B1820" s="8" t="str">
        <f t="shared" ref="B1820:B1821" si="445">HYPERLINK("https://twitter.com/GHAUmass","@GHAUmass")</f>
        <v>@GHAUmass</v>
      </c>
      <c r="C1820" s="9" t="s">
        <v>30</v>
      </c>
      <c r="D1820" s="9" t="s">
        <v>1891</v>
      </c>
      <c r="E1820" s="10" t="str">
        <f>HYPERLINK("https://twitter.com/GHAUmass/status/706247446704291840","706247446704291840")</f>
        <v>706247446704291840</v>
      </c>
      <c r="F1820" s="11" t="s">
        <v>31</v>
      </c>
      <c r="G1820" s="12">
        <v>75.0</v>
      </c>
      <c r="H1820" s="12">
        <v>104.0</v>
      </c>
      <c r="I1820" s="12">
        <v>1.0</v>
      </c>
      <c r="J1820" s="12">
        <v>0.0</v>
      </c>
      <c r="K1820" s="11" t="s">
        <v>21</v>
      </c>
      <c r="L1820" s="7">
        <v>42152.65289351852</v>
      </c>
      <c r="M1820" s="13" t="s">
        <v>22</v>
      </c>
      <c r="N1820" s="13" t="s">
        <v>32</v>
      </c>
      <c r="O1820" s="10" t="str">
        <f t="shared" ref="O1820:O1821" si="446">HYPERLINK("https://pbs.twimg.com/profile_images/604060333590855682/Fk6r1D7d_normal.jpg","View")</f>
        <v>View</v>
      </c>
      <c r="P1820" s="14"/>
    </row>
    <row r="1821">
      <c r="A1821" s="7">
        <v>42434.69318287037</v>
      </c>
      <c r="B1821" s="8" t="str">
        <f t="shared" si="445"/>
        <v>@GHAUmass</v>
      </c>
      <c r="C1821" s="9" t="s">
        <v>30</v>
      </c>
      <c r="D1821" s="9" t="s">
        <v>1892</v>
      </c>
      <c r="E1821" s="10" t="str">
        <f>HYPERLINK("https://twitter.com/GHAUmass/status/706247462449782785","706247462449782785")</f>
        <v>706247462449782785</v>
      </c>
      <c r="F1821" s="11" t="s">
        <v>31</v>
      </c>
      <c r="G1821" s="12">
        <v>75.0</v>
      </c>
      <c r="H1821" s="12">
        <v>104.0</v>
      </c>
      <c r="I1821" s="12">
        <v>1.0</v>
      </c>
      <c r="J1821" s="12">
        <v>0.0</v>
      </c>
      <c r="K1821" s="11" t="s">
        <v>21</v>
      </c>
      <c r="L1821" s="7">
        <v>42152.65289351852</v>
      </c>
      <c r="M1821" s="13" t="s">
        <v>22</v>
      </c>
      <c r="N1821" s="13" t="s">
        <v>32</v>
      </c>
      <c r="O1821" s="10" t="str">
        <f t="shared" si="446"/>
        <v>View</v>
      </c>
      <c r="P1821" s="14"/>
    </row>
    <row r="1822">
      <c r="A1822" s="7">
        <v>42434.69494212963</v>
      </c>
      <c r="B1822" s="8" t="str">
        <f>HYPERLINK("https://twitter.com/erfagen","@erfagen")</f>
        <v>@erfagen</v>
      </c>
      <c r="C1822" s="9" t="s">
        <v>124</v>
      </c>
      <c r="D1822" s="9" t="s">
        <v>1893</v>
      </c>
      <c r="E1822" s="10" t="str">
        <f>HYPERLINK("https://twitter.com/erfagen/status/706248099916861440","706248099916861440")</f>
        <v>706248099916861440</v>
      </c>
      <c r="F1822" s="11" t="s">
        <v>26</v>
      </c>
      <c r="G1822" s="12">
        <v>1060.0</v>
      </c>
      <c r="H1822" s="12">
        <v>2059.0</v>
      </c>
      <c r="I1822" s="12">
        <v>1.0</v>
      </c>
      <c r="J1822" s="12">
        <v>0.0</v>
      </c>
      <c r="K1822" s="11" t="s">
        <v>21</v>
      </c>
      <c r="L1822" s="7">
        <v>40524.93576388889</v>
      </c>
      <c r="M1822" s="13" t="s">
        <v>125</v>
      </c>
      <c r="N1822" s="13" t="s">
        <v>126</v>
      </c>
      <c r="O1822" s="10" t="str">
        <f>HYPERLINK("https://pbs.twimg.com/profile_images/638086945722249217/mid_S_BQ_normal.jpg","View")</f>
        <v>View</v>
      </c>
      <c r="P1822" s="14"/>
    </row>
    <row r="1823">
      <c r="A1823" s="7">
        <v>42434.69528935185</v>
      </c>
      <c r="B1823" s="8" t="str">
        <f>HYPERLINK("https://twitter.com/GHAUmass","@GHAUmass")</f>
        <v>@GHAUmass</v>
      </c>
      <c r="C1823" s="9" t="s">
        <v>30</v>
      </c>
      <c r="D1823" s="9" t="s">
        <v>1894</v>
      </c>
      <c r="E1823" s="10" t="str">
        <f>HYPERLINK("https://twitter.com/GHAUmass/status/706248227482423297","706248227482423297")</f>
        <v>706248227482423297</v>
      </c>
      <c r="F1823" s="11" t="s">
        <v>31</v>
      </c>
      <c r="G1823" s="12">
        <v>75.0</v>
      </c>
      <c r="H1823" s="12">
        <v>104.0</v>
      </c>
      <c r="I1823" s="12">
        <v>0.0</v>
      </c>
      <c r="J1823" s="12">
        <v>0.0</v>
      </c>
      <c r="K1823" s="11" t="s">
        <v>21</v>
      </c>
      <c r="L1823" s="7">
        <v>42152.65289351852</v>
      </c>
      <c r="M1823" s="13" t="s">
        <v>22</v>
      </c>
      <c r="N1823" s="13" t="s">
        <v>32</v>
      </c>
      <c r="O1823" s="10" t="str">
        <f>HYPERLINK("https://pbs.twimg.com/profile_images/604060333590855682/Fk6r1D7d_normal.jpg","View")</f>
        <v>View</v>
      </c>
      <c r="P1823" s="14"/>
    </row>
    <row r="1824">
      <c r="A1824" s="7">
        <v>42434.69534722222</v>
      </c>
      <c r="B1824" s="8" t="str">
        <f>HYPERLINK("https://twitter.com/rebekkahrubin","@rebekkahrubin")</f>
        <v>@rebekkahrubin</v>
      </c>
      <c r="C1824" s="9" t="s">
        <v>141</v>
      </c>
      <c r="D1824" s="9" t="s">
        <v>1895</v>
      </c>
      <c r="E1824" s="10" t="str">
        <f>HYPERLINK("https://twitter.com/rebekkahrubin/status/706248247413760000","706248247413760000")</f>
        <v>706248247413760000</v>
      </c>
      <c r="F1824" s="11" t="s">
        <v>31</v>
      </c>
      <c r="G1824" s="12">
        <v>496.0</v>
      </c>
      <c r="H1824" s="12">
        <v>1227.0</v>
      </c>
      <c r="I1824" s="12">
        <v>1.0</v>
      </c>
      <c r="J1824" s="12">
        <v>0.0</v>
      </c>
      <c r="K1824" s="11" t="s">
        <v>21</v>
      </c>
      <c r="L1824" s="7">
        <v>40411.521527777775</v>
      </c>
      <c r="M1824" s="13" t="s">
        <v>143</v>
      </c>
      <c r="N1824" s="13" t="s">
        <v>144</v>
      </c>
      <c r="O1824" s="10" t="str">
        <f>HYPERLINK("https://pbs.twimg.com/profile_images/700317732588408832/Ym_-neUi_normal.jpg","View")</f>
        <v>View</v>
      </c>
      <c r="P1824" s="14"/>
    </row>
    <row r="1825">
      <c r="A1825" s="7">
        <v>42434.695393518516</v>
      </c>
      <c r="B1825" s="8" t="str">
        <f t="shared" ref="B1825:B1826" si="447">HYPERLINK("https://twitter.com/GHAUmass","@GHAUmass")</f>
        <v>@GHAUmass</v>
      </c>
      <c r="C1825" s="9" t="s">
        <v>30</v>
      </c>
      <c r="D1825" s="9" t="s">
        <v>1896</v>
      </c>
      <c r="E1825" s="10" t="str">
        <f>HYPERLINK("https://twitter.com/GHAUmass/status/706248265893847042","706248265893847042")</f>
        <v>706248265893847042</v>
      </c>
      <c r="F1825" s="11" t="s">
        <v>31</v>
      </c>
      <c r="G1825" s="12">
        <v>75.0</v>
      </c>
      <c r="H1825" s="12">
        <v>104.0</v>
      </c>
      <c r="I1825" s="12">
        <v>1.0</v>
      </c>
      <c r="J1825" s="12">
        <v>0.0</v>
      </c>
      <c r="K1825" s="11" t="s">
        <v>21</v>
      </c>
      <c r="L1825" s="7">
        <v>42152.65289351852</v>
      </c>
      <c r="M1825" s="13" t="s">
        <v>22</v>
      </c>
      <c r="N1825" s="13" t="s">
        <v>32</v>
      </c>
      <c r="O1825" s="10" t="str">
        <f t="shared" ref="O1825:O1826" si="448">HYPERLINK("https://pbs.twimg.com/profile_images/604060333590855682/Fk6r1D7d_normal.jpg","View")</f>
        <v>View</v>
      </c>
      <c r="P1825" s="14"/>
    </row>
    <row r="1826">
      <c r="A1826" s="7">
        <v>42434.69556712963</v>
      </c>
      <c r="B1826" s="8" t="str">
        <f t="shared" si="447"/>
        <v>@GHAUmass</v>
      </c>
      <c r="C1826" s="9" t="s">
        <v>30</v>
      </c>
      <c r="D1826" s="9" t="s">
        <v>1897</v>
      </c>
      <c r="E1826" s="10" t="str">
        <f>HYPERLINK("https://twitter.com/GHAUmass/status/706248328145666049","706248328145666049")</f>
        <v>706248328145666049</v>
      </c>
      <c r="F1826" s="11" t="s">
        <v>31</v>
      </c>
      <c r="G1826" s="12">
        <v>75.0</v>
      </c>
      <c r="H1826" s="12">
        <v>104.0</v>
      </c>
      <c r="I1826" s="12">
        <v>1.0</v>
      </c>
      <c r="J1826" s="12">
        <v>0.0</v>
      </c>
      <c r="K1826" s="11" t="s">
        <v>21</v>
      </c>
      <c r="L1826" s="7">
        <v>42152.65289351852</v>
      </c>
      <c r="M1826" s="13" t="s">
        <v>22</v>
      </c>
      <c r="N1826" s="13" t="s">
        <v>32</v>
      </c>
      <c r="O1826" s="10" t="str">
        <f t="shared" si="448"/>
        <v>View</v>
      </c>
      <c r="P1826" s="14"/>
    </row>
    <row r="1827">
      <c r="A1827" s="7">
        <v>42434.69625</v>
      </c>
      <c r="B1827" s="8" t="str">
        <f>HYPERLINK("https://twitter.com/rebekkahrubin","@rebekkahrubin")</f>
        <v>@rebekkahrubin</v>
      </c>
      <c r="C1827" s="9" t="s">
        <v>141</v>
      </c>
      <c r="D1827" s="9" t="s">
        <v>1898</v>
      </c>
      <c r="E1827" s="10" t="str">
        <f>HYPERLINK("https://twitter.com/rebekkahrubin/status/706248575118868480","706248575118868480")</f>
        <v>706248575118868480</v>
      </c>
      <c r="F1827" s="11" t="s">
        <v>31</v>
      </c>
      <c r="G1827" s="12">
        <v>496.0</v>
      </c>
      <c r="H1827" s="12">
        <v>1227.0</v>
      </c>
      <c r="I1827" s="12">
        <v>1.0</v>
      </c>
      <c r="J1827" s="12">
        <v>0.0</v>
      </c>
      <c r="K1827" s="11" t="s">
        <v>21</v>
      </c>
      <c r="L1827" s="7">
        <v>40411.521527777775</v>
      </c>
      <c r="M1827" s="13" t="s">
        <v>143</v>
      </c>
      <c r="N1827" s="13" t="s">
        <v>144</v>
      </c>
      <c r="O1827" s="10" t="str">
        <f>HYPERLINK("https://pbs.twimg.com/profile_images/700317732588408832/Ym_-neUi_normal.jpg","View")</f>
        <v>View</v>
      </c>
      <c r="P1827" s="14"/>
    </row>
    <row r="1828">
      <c r="A1828" s="7">
        <v>42434.696608796294</v>
      </c>
      <c r="B1828" s="8" t="str">
        <f>HYPERLINK("https://twitter.com/GHAUmass","@GHAUmass")</f>
        <v>@GHAUmass</v>
      </c>
      <c r="C1828" s="9" t="s">
        <v>30</v>
      </c>
      <c r="D1828" s="9" t="s">
        <v>1899</v>
      </c>
      <c r="E1828" s="10" t="str">
        <f>HYPERLINK("https://twitter.com/GHAUmass/status/706248704093720577","706248704093720577")</f>
        <v>706248704093720577</v>
      </c>
      <c r="F1828" s="11" t="s">
        <v>31</v>
      </c>
      <c r="G1828" s="12">
        <v>75.0</v>
      </c>
      <c r="H1828" s="12">
        <v>104.0</v>
      </c>
      <c r="I1828" s="12">
        <v>1.0</v>
      </c>
      <c r="J1828" s="12">
        <v>0.0</v>
      </c>
      <c r="K1828" s="11" t="s">
        <v>21</v>
      </c>
      <c r="L1828" s="7">
        <v>42152.65289351852</v>
      </c>
      <c r="M1828" s="13" t="s">
        <v>22</v>
      </c>
      <c r="N1828" s="13" t="s">
        <v>32</v>
      </c>
      <c r="O1828" s="10" t="str">
        <f>HYPERLINK("https://pbs.twimg.com/profile_images/604060333590855682/Fk6r1D7d_normal.jpg","View")</f>
        <v>View</v>
      </c>
      <c r="P1828" s="14"/>
    </row>
    <row r="1829">
      <c r="A1829" s="7">
        <v>42434.69666666667</v>
      </c>
      <c r="B1829" s="8" t="str">
        <f>HYPERLINK("https://twitter.com/jp_exhibitsvcs","@jp_exhibitsvcs")</f>
        <v>@jp_exhibitsvcs</v>
      </c>
      <c r="C1829" s="9" t="s">
        <v>1900</v>
      </c>
      <c r="D1829" s="9" t="s">
        <v>1699</v>
      </c>
      <c r="E1829" s="10" t="str">
        <f>HYPERLINK("https://twitter.com/jp_exhibitsvcs/status/706248725111242753","706248725111242753")</f>
        <v>706248725111242753</v>
      </c>
      <c r="F1829" s="11" t="s">
        <v>26</v>
      </c>
      <c r="G1829" s="12">
        <v>144.0</v>
      </c>
      <c r="H1829" s="12">
        <v>325.0</v>
      </c>
      <c r="I1829" s="12">
        <v>7.0</v>
      </c>
      <c r="J1829" s="12">
        <v>0.0</v>
      </c>
      <c r="K1829" s="11" t="s">
        <v>21</v>
      </c>
      <c r="L1829" s="7">
        <v>42010.798425925925</v>
      </c>
      <c r="M1829" s="13" t="s">
        <v>1901</v>
      </c>
      <c r="N1829" s="13" t="s">
        <v>1902</v>
      </c>
      <c r="O1829" s="10" t="str">
        <f>HYPERLINK("https://pbs.twimg.com/profile_images/643464944592097280/43Y7QtKR_normal.jpg","View")</f>
        <v>View</v>
      </c>
      <c r="P1829" s="14"/>
    </row>
    <row r="1830">
      <c r="A1830" s="7">
        <v>42434.69695601852</v>
      </c>
      <c r="B1830" s="8" t="str">
        <f>HYPERLINK("https://twitter.com/zlewis02","@zlewis02")</f>
        <v>@zlewis02</v>
      </c>
      <c r="C1830" s="9" t="s">
        <v>481</v>
      </c>
      <c r="D1830" s="9" t="s">
        <v>1245</v>
      </c>
      <c r="E1830" s="10" t="str">
        <f>HYPERLINK("https://twitter.com/zlewis02/status/706248830119976961","706248830119976961")</f>
        <v>706248830119976961</v>
      </c>
      <c r="F1830" s="11" t="s">
        <v>26</v>
      </c>
      <c r="G1830" s="12">
        <v>102.0</v>
      </c>
      <c r="H1830" s="12">
        <v>274.0</v>
      </c>
      <c r="I1830" s="12">
        <v>5.0</v>
      </c>
      <c r="J1830" s="12">
        <v>0.0</v>
      </c>
      <c r="K1830" s="11" t="s">
        <v>21</v>
      </c>
      <c r="L1830" s="7">
        <v>41704.61883101852</v>
      </c>
      <c r="M1830" s="15"/>
      <c r="N1830" s="13" t="s">
        <v>483</v>
      </c>
      <c r="O1830" s="10" t="str">
        <f>HYPERLINK("https://pbs.twimg.com/profile_images/664973835544993792/NmIALyK8_normal.jpg","View")</f>
        <v>View</v>
      </c>
      <c r="P1830" s="14"/>
    </row>
    <row r="1831">
      <c r="A1831" s="7">
        <v>42434.697384259256</v>
      </c>
      <c r="B1831" s="8" t="str">
        <f>HYPERLINK("https://twitter.com/rebekkahrubin","@rebekkahrubin")</f>
        <v>@rebekkahrubin</v>
      </c>
      <c r="C1831" s="9" t="s">
        <v>141</v>
      </c>
      <c r="D1831" s="9" t="s">
        <v>1903</v>
      </c>
      <c r="E1831" s="10" t="str">
        <f>HYPERLINK("https://twitter.com/rebekkahrubin/status/706248985279926274","706248985279926274")</f>
        <v>706248985279926274</v>
      </c>
      <c r="F1831" s="11" t="s">
        <v>31</v>
      </c>
      <c r="G1831" s="12">
        <v>496.0</v>
      </c>
      <c r="H1831" s="12">
        <v>1227.0</v>
      </c>
      <c r="I1831" s="12">
        <v>1.0</v>
      </c>
      <c r="J1831" s="12">
        <v>0.0</v>
      </c>
      <c r="K1831" s="11" t="s">
        <v>21</v>
      </c>
      <c r="L1831" s="7">
        <v>40411.521527777775</v>
      </c>
      <c r="M1831" s="13" t="s">
        <v>143</v>
      </c>
      <c r="N1831" s="13" t="s">
        <v>144</v>
      </c>
      <c r="O1831" s="10" t="str">
        <f>HYPERLINK("https://pbs.twimg.com/profile_images/700317732588408832/Ym_-neUi_normal.jpg","View")</f>
        <v>View</v>
      </c>
      <c r="P1831" s="14"/>
    </row>
    <row r="1832">
      <c r="A1832" s="7">
        <v>42434.697604166664</v>
      </c>
      <c r="B1832" s="8" t="str">
        <f>HYPERLINK("https://twitter.com/GHAUmass","@GHAUmass")</f>
        <v>@GHAUmass</v>
      </c>
      <c r="C1832" s="9" t="s">
        <v>30</v>
      </c>
      <c r="D1832" s="9" t="s">
        <v>1904</v>
      </c>
      <c r="E1832" s="10" t="str">
        <f>HYPERLINK("https://twitter.com/GHAUmass/status/706249067362439168","706249067362439168")</f>
        <v>706249067362439168</v>
      </c>
      <c r="F1832" s="11" t="s">
        <v>31</v>
      </c>
      <c r="G1832" s="12">
        <v>75.0</v>
      </c>
      <c r="H1832" s="12">
        <v>104.0</v>
      </c>
      <c r="I1832" s="12">
        <v>1.0</v>
      </c>
      <c r="J1832" s="12">
        <v>0.0</v>
      </c>
      <c r="K1832" s="11" t="s">
        <v>21</v>
      </c>
      <c r="L1832" s="7">
        <v>42152.65289351852</v>
      </c>
      <c r="M1832" s="13" t="s">
        <v>22</v>
      </c>
      <c r="N1832" s="13" t="s">
        <v>32</v>
      </c>
      <c r="O1832" s="10" t="str">
        <f>HYPERLINK("https://pbs.twimg.com/profile_images/604060333590855682/Fk6r1D7d_normal.jpg","View")</f>
        <v>View</v>
      </c>
      <c r="P1832" s="14"/>
    </row>
    <row r="1833">
      <c r="A1833" s="7">
        <v>42434.69820601852</v>
      </c>
      <c r="B1833" s="8" t="str">
        <f>HYPERLINK("https://twitter.com/samueljredman","@samueljredman")</f>
        <v>@samueljredman</v>
      </c>
      <c r="C1833" s="9" t="s">
        <v>158</v>
      </c>
      <c r="D1833" s="9" t="s">
        <v>1905</v>
      </c>
      <c r="E1833" s="10" t="str">
        <f>HYPERLINK("https://twitter.com/samueljredman/status/706249285210382336","706249285210382336")</f>
        <v>706249285210382336</v>
      </c>
      <c r="F1833" s="11" t="s">
        <v>72</v>
      </c>
      <c r="G1833" s="12">
        <v>5627.0</v>
      </c>
      <c r="H1833" s="12">
        <v>5357.0</v>
      </c>
      <c r="I1833" s="12">
        <v>1.0</v>
      </c>
      <c r="J1833" s="12">
        <v>0.0</v>
      </c>
      <c r="K1833" s="11" t="s">
        <v>21</v>
      </c>
      <c r="L1833" s="7">
        <v>40584.98517361111</v>
      </c>
      <c r="M1833" s="13" t="s">
        <v>160</v>
      </c>
      <c r="N1833" s="13" t="s">
        <v>161</v>
      </c>
      <c r="O1833" s="10" t="str">
        <f>HYPERLINK("https://pbs.twimg.com/profile_images/548193870278688768/8Dq7gW3U_normal.png","View")</f>
        <v>View</v>
      </c>
      <c r="P1833" s="14"/>
    </row>
    <row r="1834">
      <c r="A1834" s="7">
        <v>42434.698333333334</v>
      </c>
      <c r="B1834" s="8" t="str">
        <f>HYPERLINK("https://twitter.com/rebekkahrubin","@rebekkahrubin")</f>
        <v>@rebekkahrubin</v>
      </c>
      <c r="C1834" s="9" t="s">
        <v>141</v>
      </c>
      <c r="D1834" s="9" t="s">
        <v>1906</v>
      </c>
      <c r="E1834" s="10" t="str">
        <f>HYPERLINK("https://twitter.com/rebekkahrubin/status/706249331037347842","706249331037347842")</f>
        <v>706249331037347842</v>
      </c>
      <c r="F1834" s="11" t="s">
        <v>31</v>
      </c>
      <c r="G1834" s="12">
        <v>496.0</v>
      </c>
      <c r="H1834" s="12">
        <v>1227.0</v>
      </c>
      <c r="I1834" s="12">
        <v>1.0</v>
      </c>
      <c r="J1834" s="12">
        <v>0.0</v>
      </c>
      <c r="K1834" s="11" t="s">
        <v>21</v>
      </c>
      <c r="L1834" s="7">
        <v>40411.521527777775</v>
      </c>
      <c r="M1834" s="13" t="s">
        <v>143</v>
      </c>
      <c r="N1834" s="13" t="s">
        <v>144</v>
      </c>
      <c r="O1834" s="10" t="str">
        <f>HYPERLINK("https://pbs.twimg.com/profile_images/700317732588408832/Ym_-neUi_normal.jpg","View")</f>
        <v>View</v>
      </c>
      <c r="P1834" s="14"/>
    </row>
    <row r="1835">
      <c r="A1835" s="7">
        <v>42434.69923611111</v>
      </c>
      <c r="B1835" s="8" t="str">
        <f>HYPERLINK("https://twitter.com/GHAUmass","@GHAUmass")</f>
        <v>@GHAUmass</v>
      </c>
      <c r="C1835" s="9" t="s">
        <v>30</v>
      </c>
      <c r="D1835" s="9" t="s">
        <v>1907</v>
      </c>
      <c r="E1835" s="10" t="str">
        <f>HYPERLINK("https://twitter.com/GHAUmass/status/706249656565682176","706249656565682176")</f>
        <v>706249656565682176</v>
      </c>
      <c r="F1835" s="11" t="s">
        <v>31</v>
      </c>
      <c r="G1835" s="12">
        <v>75.0</v>
      </c>
      <c r="H1835" s="12">
        <v>104.0</v>
      </c>
      <c r="I1835" s="12">
        <v>1.0</v>
      </c>
      <c r="J1835" s="12">
        <v>0.0</v>
      </c>
      <c r="K1835" s="11" t="s">
        <v>21</v>
      </c>
      <c r="L1835" s="7">
        <v>42152.65289351852</v>
      </c>
      <c r="M1835" s="13" t="s">
        <v>22</v>
      </c>
      <c r="N1835" s="13" t="s">
        <v>32</v>
      </c>
      <c r="O1835" s="10" t="str">
        <f>HYPERLINK("https://pbs.twimg.com/profile_images/604060333590855682/Fk6r1D7d_normal.jpg","View")</f>
        <v>View</v>
      </c>
      <c r="P1835" s="14"/>
    </row>
    <row r="1836">
      <c r="A1836" s="7">
        <v>42434.70075231481</v>
      </c>
      <c r="B1836" s="8" t="str">
        <f>HYPERLINK("https://twitter.com/lizl_genealogy","@lizl_genealogy")</f>
        <v>@lizl_genealogy</v>
      </c>
      <c r="C1836" s="9" t="s">
        <v>89</v>
      </c>
      <c r="D1836" s="9" t="s">
        <v>1885</v>
      </c>
      <c r="E1836" s="10" t="str">
        <f>HYPERLINK("https://twitter.com/lizl_genealogy/status/706250207919534080","706250207919534080")</f>
        <v>706250207919534080</v>
      </c>
      <c r="F1836" s="11" t="s">
        <v>31</v>
      </c>
      <c r="G1836" s="12">
        <v>1548.0</v>
      </c>
      <c r="H1836" s="12">
        <v>614.0</v>
      </c>
      <c r="I1836" s="12">
        <v>2.0</v>
      </c>
      <c r="J1836" s="12">
        <v>0.0</v>
      </c>
      <c r="K1836" s="11" t="s">
        <v>21</v>
      </c>
      <c r="L1836" s="7">
        <v>40763.52722222223</v>
      </c>
      <c r="M1836" s="13" t="s">
        <v>90</v>
      </c>
      <c r="N1836" s="13" t="s">
        <v>91</v>
      </c>
      <c r="O1836" s="10" t="str">
        <f>HYPERLINK("https://pbs.twimg.com/profile_images/2700002859/1f2d610ddaf1f03ac7d033dd83847b45_normal.jpeg","View")</f>
        <v>View</v>
      </c>
      <c r="P1836" s="14"/>
    </row>
    <row r="1837">
      <c r="A1837" s="7">
        <v>42434.70123842593</v>
      </c>
      <c r="B1837" s="8" t="str">
        <f t="shared" ref="B1837:B1842" si="449">HYPERLINK("https://twitter.com/rebekkahrubin","@rebekkahrubin")</f>
        <v>@rebekkahrubin</v>
      </c>
      <c r="C1837" s="9" t="s">
        <v>141</v>
      </c>
      <c r="D1837" s="9" t="s">
        <v>1908</v>
      </c>
      <c r="E1837" s="10" t="str">
        <f>HYPERLINK("https://twitter.com/rebekkahrubin/status/706250381374918657","706250381374918657")</f>
        <v>706250381374918657</v>
      </c>
      <c r="F1837" s="11" t="s">
        <v>31</v>
      </c>
      <c r="G1837" s="12">
        <v>496.0</v>
      </c>
      <c r="H1837" s="12">
        <v>1227.0</v>
      </c>
      <c r="I1837" s="12">
        <v>0.0</v>
      </c>
      <c r="J1837" s="12">
        <v>0.0</v>
      </c>
      <c r="K1837" s="11" t="s">
        <v>21</v>
      </c>
      <c r="L1837" s="7">
        <v>40411.521527777775</v>
      </c>
      <c r="M1837" s="13" t="s">
        <v>143</v>
      </c>
      <c r="N1837" s="13" t="s">
        <v>144</v>
      </c>
      <c r="O1837" s="10" t="str">
        <f t="shared" ref="O1837:O1842" si="450">HYPERLINK("https://pbs.twimg.com/profile_images/700317732588408832/Ym_-neUi_normal.jpg","View")</f>
        <v>View</v>
      </c>
      <c r="P1837" s="14"/>
    </row>
    <row r="1838">
      <c r="A1838" s="7">
        <v>42434.701875</v>
      </c>
      <c r="B1838" s="8" t="str">
        <f t="shared" si="449"/>
        <v>@rebekkahrubin</v>
      </c>
      <c r="C1838" s="9" t="s">
        <v>141</v>
      </c>
      <c r="D1838" s="9" t="s">
        <v>1909</v>
      </c>
      <c r="E1838" s="10" t="str">
        <f>HYPERLINK("https://twitter.com/rebekkahrubin/status/706250612690853888","706250612690853888")</f>
        <v>706250612690853888</v>
      </c>
      <c r="F1838" s="11" t="s">
        <v>31</v>
      </c>
      <c r="G1838" s="12">
        <v>496.0</v>
      </c>
      <c r="H1838" s="12">
        <v>1227.0</v>
      </c>
      <c r="I1838" s="12">
        <v>0.0</v>
      </c>
      <c r="J1838" s="12">
        <v>0.0</v>
      </c>
      <c r="K1838" s="11" t="s">
        <v>21</v>
      </c>
      <c r="L1838" s="7">
        <v>40411.521527777775</v>
      </c>
      <c r="M1838" s="13" t="s">
        <v>143</v>
      </c>
      <c r="N1838" s="13" t="s">
        <v>144</v>
      </c>
      <c r="O1838" s="10" t="str">
        <f t="shared" si="450"/>
        <v>View</v>
      </c>
      <c r="P1838" s="14"/>
    </row>
    <row r="1839">
      <c r="A1839" s="7">
        <v>42434.70297453704</v>
      </c>
      <c r="B1839" s="8" t="str">
        <f t="shared" si="449"/>
        <v>@rebekkahrubin</v>
      </c>
      <c r="C1839" s="9" t="s">
        <v>141</v>
      </c>
      <c r="D1839" s="9" t="s">
        <v>1910</v>
      </c>
      <c r="E1839" s="10" t="str">
        <f>HYPERLINK("https://twitter.com/rebekkahrubin/status/706251012164685824","706251012164685824")</f>
        <v>706251012164685824</v>
      </c>
      <c r="F1839" s="11" t="s">
        <v>31</v>
      </c>
      <c r="G1839" s="12">
        <v>496.0</v>
      </c>
      <c r="H1839" s="12">
        <v>1227.0</v>
      </c>
      <c r="I1839" s="12">
        <v>0.0</v>
      </c>
      <c r="J1839" s="12">
        <v>0.0</v>
      </c>
      <c r="K1839" s="11" t="s">
        <v>21</v>
      </c>
      <c r="L1839" s="7">
        <v>40411.521527777775</v>
      </c>
      <c r="M1839" s="13" t="s">
        <v>143</v>
      </c>
      <c r="N1839" s="13" t="s">
        <v>144</v>
      </c>
      <c r="O1839" s="10" t="str">
        <f t="shared" si="450"/>
        <v>View</v>
      </c>
      <c r="P1839" s="14"/>
    </row>
    <row r="1840">
      <c r="A1840" s="7">
        <v>42434.70358796296</v>
      </c>
      <c r="B1840" s="8" t="str">
        <f t="shared" si="449"/>
        <v>@rebekkahrubin</v>
      </c>
      <c r="C1840" s="9" t="s">
        <v>141</v>
      </c>
      <c r="D1840" s="9" t="s">
        <v>1911</v>
      </c>
      <c r="E1840" s="10" t="str">
        <f>HYPERLINK("https://twitter.com/rebekkahrubin/status/706251233644957699","706251233644957699")</f>
        <v>706251233644957699</v>
      </c>
      <c r="F1840" s="11" t="s">
        <v>31</v>
      </c>
      <c r="G1840" s="12">
        <v>496.0</v>
      </c>
      <c r="H1840" s="12">
        <v>1227.0</v>
      </c>
      <c r="I1840" s="12">
        <v>0.0</v>
      </c>
      <c r="J1840" s="12">
        <v>0.0</v>
      </c>
      <c r="K1840" s="11" t="s">
        <v>21</v>
      </c>
      <c r="L1840" s="7">
        <v>40411.521527777775</v>
      </c>
      <c r="M1840" s="13" t="s">
        <v>143</v>
      </c>
      <c r="N1840" s="13" t="s">
        <v>144</v>
      </c>
      <c r="O1840" s="10" t="str">
        <f t="shared" si="450"/>
        <v>View</v>
      </c>
      <c r="P1840" s="14"/>
    </row>
    <row r="1841">
      <c r="A1841" s="7">
        <v>42434.7052662037</v>
      </c>
      <c r="B1841" s="8" t="str">
        <f t="shared" si="449"/>
        <v>@rebekkahrubin</v>
      </c>
      <c r="C1841" s="9" t="s">
        <v>141</v>
      </c>
      <c r="D1841" s="9" t="s">
        <v>1912</v>
      </c>
      <c r="E1841" s="10" t="str">
        <f>HYPERLINK("https://twitter.com/rebekkahrubin/status/706251844000071680","706251844000071680")</f>
        <v>706251844000071680</v>
      </c>
      <c r="F1841" s="11" t="s">
        <v>31</v>
      </c>
      <c r="G1841" s="12">
        <v>496.0</v>
      </c>
      <c r="H1841" s="12">
        <v>1227.0</v>
      </c>
      <c r="I1841" s="12">
        <v>0.0</v>
      </c>
      <c r="J1841" s="12">
        <v>0.0</v>
      </c>
      <c r="K1841" s="11" t="s">
        <v>21</v>
      </c>
      <c r="L1841" s="7">
        <v>40411.521527777775</v>
      </c>
      <c r="M1841" s="13" t="s">
        <v>143</v>
      </c>
      <c r="N1841" s="13" t="s">
        <v>144</v>
      </c>
      <c r="O1841" s="10" t="str">
        <f t="shared" si="450"/>
        <v>View</v>
      </c>
      <c r="P1841" s="14"/>
    </row>
    <row r="1842">
      <c r="A1842" s="7">
        <v>42434.70599537037</v>
      </c>
      <c r="B1842" s="8" t="str">
        <f t="shared" si="449"/>
        <v>@rebekkahrubin</v>
      </c>
      <c r="C1842" s="9" t="s">
        <v>141</v>
      </c>
      <c r="D1842" s="9" t="s">
        <v>1913</v>
      </c>
      <c r="E1842" s="10" t="str">
        <f>HYPERLINK("https://twitter.com/rebekkahrubin/status/706252106949402624","706252106949402624")</f>
        <v>706252106949402624</v>
      </c>
      <c r="F1842" s="11" t="s">
        <v>31</v>
      </c>
      <c r="G1842" s="12">
        <v>496.0</v>
      </c>
      <c r="H1842" s="12">
        <v>1227.0</v>
      </c>
      <c r="I1842" s="12">
        <v>2.0</v>
      </c>
      <c r="J1842" s="12">
        <v>1.0</v>
      </c>
      <c r="K1842" s="11" t="s">
        <v>21</v>
      </c>
      <c r="L1842" s="7">
        <v>40411.521527777775</v>
      </c>
      <c r="M1842" s="13" t="s">
        <v>143</v>
      </c>
      <c r="N1842" s="13" t="s">
        <v>144</v>
      </c>
      <c r="O1842" s="10" t="str">
        <f t="shared" si="450"/>
        <v>View</v>
      </c>
      <c r="P1842" s="14"/>
    </row>
    <row r="1843">
      <c r="A1843" s="7">
        <v>42434.70633101852</v>
      </c>
      <c r="B1843" s="8" t="str">
        <f>HYPERLINK("https://twitter.com/cameshascruggs","@cameshascruggs")</f>
        <v>@cameshascruggs</v>
      </c>
      <c r="C1843" s="9" t="s">
        <v>761</v>
      </c>
      <c r="D1843" s="9" t="s">
        <v>1914</v>
      </c>
      <c r="E1843" s="10" t="str">
        <f>HYPERLINK("https://twitter.com/cameshascruggs/status/706252228605169664","706252228605169664")</f>
        <v>706252228605169664</v>
      </c>
      <c r="F1843" s="11" t="s">
        <v>148</v>
      </c>
      <c r="G1843" s="12">
        <v>146.0</v>
      </c>
      <c r="H1843" s="12">
        <v>559.0</v>
      </c>
      <c r="I1843" s="12">
        <v>2.0</v>
      </c>
      <c r="J1843" s="12">
        <v>0.0</v>
      </c>
      <c r="K1843" s="11" t="s">
        <v>21</v>
      </c>
      <c r="L1843" s="7">
        <v>39897.69201388889</v>
      </c>
      <c r="M1843" s="15"/>
      <c r="N1843" s="13" t="s">
        <v>762</v>
      </c>
      <c r="O1843" s="10" t="str">
        <f>HYPERLINK("https://pbs.twimg.com/profile_images/187613030/me_in_panel_mode_normal.jpg","View")</f>
        <v>View</v>
      </c>
      <c r="P1843" s="14"/>
    </row>
    <row r="1844">
      <c r="A1844" s="7">
        <v>42434.706412037034</v>
      </c>
      <c r="B1844" s="8" t="str">
        <f>HYPERLINK("https://twitter.com/mathhistory","@mathhistory")</f>
        <v>@mathhistory</v>
      </c>
      <c r="C1844" s="9" t="s">
        <v>341</v>
      </c>
      <c r="D1844" s="9" t="s">
        <v>1915</v>
      </c>
      <c r="E1844" s="10" t="str">
        <f>HYPERLINK("https://twitter.com/mathhistory/status/706252259378733057","706252259378733057")</f>
        <v>706252259378733057</v>
      </c>
      <c r="F1844" s="11" t="s">
        <v>26</v>
      </c>
      <c r="G1844" s="12">
        <v>792.0</v>
      </c>
      <c r="H1844" s="12">
        <v>1111.0</v>
      </c>
      <c r="I1844" s="12">
        <v>1.0</v>
      </c>
      <c r="J1844" s="12">
        <v>1.0</v>
      </c>
      <c r="K1844" s="11" t="s">
        <v>21</v>
      </c>
      <c r="L1844" s="7">
        <v>41089.96089120371</v>
      </c>
      <c r="M1844" s="13" t="s">
        <v>343</v>
      </c>
      <c r="N1844" s="13" t="s">
        <v>344</v>
      </c>
      <c r="O1844" s="10" t="str">
        <f>HYPERLINK("https://pbs.twimg.com/profile_images/3034769023/09adfcbebccfeef2a42e39aaac64ede5_normal.jpeg","View")</f>
        <v>View</v>
      </c>
      <c r="P1844" s="14"/>
    </row>
    <row r="1845">
      <c r="A1845" s="7">
        <v>42434.70762731481</v>
      </c>
      <c r="B1845" s="8" t="str">
        <f>HYPERLINK("https://twitter.com/cherylharned","@cherylharned")</f>
        <v>@cherylharned</v>
      </c>
      <c r="C1845" s="9" t="s">
        <v>1371</v>
      </c>
      <c r="D1845" s="9" t="s">
        <v>1916</v>
      </c>
      <c r="E1845" s="10" t="str">
        <f>HYPERLINK("https://twitter.com/cherylharned/status/706252696521723904","706252696521723904")</f>
        <v>706252696521723904</v>
      </c>
      <c r="F1845" s="11" t="s">
        <v>26</v>
      </c>
      <c r="G1845" s="12">
        <v>103.0</v>
      </c>
      <c r="H1845" s="12">
        <v>420.0</v>
      </c>
      <c r="I1845" s="12">
        <v>0.0</v>
      </c>
      <c r="J1845" s="12">
        <v>1.0</v>
      </c>
      <c r="K1845" s="11" t="s">
        <v>21</v>
      </c>
      <c r="L1845" s="7">
        <v>41373.45469907408</v>
      </c>
      <c r="M1845" s="15"/>
      <c r="N1845" s="13" t="s">
        <v>1373</v>
      </c>
      <c r="O1845" s="10" t="str">
        <f>HYPERLINK("https://pbs.twimg.com/profile_images/535167858204893184/DNz9ruRN_normal.jpeg","View")</f>
        <v>View</v>
      </c>
      <c r="P1845" s="14"/>
    </row>
    <row r="1846">
      <c r="A1846" s="7">
        <v>42434.70819444444</v>
      </c>
      <c r="B1846" s="8" t="str">
        <f t="shared" ref="B1846:B1850" si="451">HYPERLINK("https://twitter.com/erfagen","@erfagen")</f>
        <v>@erfagen</v>
      </c>
      <c r="C1846" s="9" t="s">
        <v>124</v>
      </c>
      <c r="D1846" s="9" t="s">
        <v>1884</v>
      </c>
      <c r="E1846" s="10" t="str">
        <f>HYPERLINK("https://twitter.com/erfagen/status/706252904714407936","706252904714407936")</f>
        <v>706252904714407936</v>
      </c>
      <c r="F1846" s="11" t="s">
        <v>26</v>
      </c>
      <c r="G1846" s="12">
        <v>1060.0</v>
      </c>
      <c r="H1846" s="12">
        <v>2059.0</v>
      </c>
      <c r="I1846" s="12">
        <v>2.0</v>
      </c>
      <c r="J1846" s="12">
        <v>0.0</v>
      </c>
      <c r="K1846" s="11" t="s">
        <v>21</v>
      </c>
      <c r="L1846" s="7">
        <v>40524.93576388889</v>
      </c>
      <c r="M1846" s="13" t="s">
        <v>125</v>
      </c>
      <c r="N1846" s="13" t="s">
        <v>126</v>
      </c>
      <c r="O1846" s="10" t="str">
        <f t="shared" ref="O1846:O1850" si="452">HYPERLINK("https://pbs.twimg.com/profile_images/638086945722249217/mid_S_BQ_normal.jpg","View")</f>
        <v>View</v>
      </c>
      <c r="P1846" s="14"/>
    </row>
    <row r="1847">
      <c r="A1847" s="7">
        <v>42434.70842592593</v>
      </c>
      <c r="B1847" s="8" t="str">
        <f t="shared" si="451"/>
        <v>@erfagen</v>
      </c>
      <c r="C1847" s="9" t="s">
        <v>124</v>
      </c>
      <c r="D1847" s="9" t="s">
        <v>1917</v>
      </c>
      <c r="E1847" s="10" t="str">
        <f>HYPERLINK("https://twitter.com/erfagen/status/706252987707092992","706252987707092992")</f>
        <v>706252987707092992</v>
      </c>
      <c r="F1847" s="11" t="s">
        <v>26</v>
      </c>
      <c r="G1847" s="12">
        <v>1060.0</v>
      </c>
      <c r="H1847" s="12">
        <v>2059.0</v>
      </c>
      <c r="I1847" s="12">
        <v>1.0</v>
      </c>
      <c r="J1847" s="12">
        <v>0.0</v>
      </c>
      <c r="K1847" s="11" t="s">
        <v>21</v>
      </c>
      <c r="L1847" s="7">
        <v>40524.93576388889</v>
      </c>
      <c r="M1847" s="13" t="s">
        <v>125</v>
      </c>
      <c r="N1847" s="13" t="s">
        <v>126</v>
      </c>
      <c r="O1847" s="10" t="str">
        <f t="shared" si="452"/>
        <v>View</v>
      </c>
      <c r="P1847" s="14"/>
    </row>
    <row r="1848">
      <c r="A1848" s="7">
        <v>42434.708495370374</v>
      </c>
      <c r="B1848" s="8" t="str">
        <f t="shared" si="451"/>
        <v>@erfagen</v>
      </c>
      <c r="C1848" s="9" t="s">
        <v>124</v>
      </c>
      <c r="D1848" s="9" t="s">
        <v>1914</v>
      </c>
      <c r="E1848" s="10" t="str">
        <f>HYPERLINK("https://twitter.com/erfagen/status/706253014957424640","706253014957424640")</f>
        <v>706253014957424640</v>
      </c>
      <c r="F1848" s="11" t="s">
        <v>26</v>
      </c>
      <c r="G1848" s="12">
        <v>1060.0</v>
      </c>
      <c r="H1848" s="12">
        <v>2059.0</v>
      </c>
      <c r="I1848" s="12">
        <v>2.0</v>
      </c>
      <c r="J1848" s="12">
        <v>0.0</v>
      </c>
      <c r="K1848" s="11" t="s">
        <v>21</v>
      </c>
      <c r="L1848" s="7">
        <v>40524.93576388889</v>
      </c>
      <c r="M1848" s="13" t="s">
        <v>125</v>
      </c>
      <c r="N1848" s="13" t="s">
        <v>126</v>
      </c>
      <c r="O1848" s="10" t="str">
        <f t="shared" si="452"/>
        <v>View</v>
      </c>
      <c r="P1848" s="14"/>
    </row>
    <row r="1849">
      <c r="A1849" s="7">
        <v>42434.70854166667</v>
      </c>
      <c r="B1849" s="8" t="str">
        <f t="shared" si="451"/>
        <v>@erfagen</v>
      </c>
      <c r="C1849" s="9" t="s">
        <v>124</v>
      </c>
      <c r="D1849" s="9" t="s">
        <v>1918</v>
      </c>
      <c r="E1849" s="10" t="str">
        <f>HYPERLINK("https://twitter.com/erfagen/status/706253029608198144","706253029608198144")</f>
        <v>706253029608198144</v>
      </c>
      <c r="F1849" s="11" t="s">
        <v>26</v>
      </c>
      <c r="G1849" s="12">
        <v>1060.0</v>
      </c>
      <c r="H1849" s="12">
        <v>2059.0</v>
      </c>
      <c r="I1849" s="12">
        <v>1.0</v>
      </c>
      <c r="J1849" s="12">
        <v>0.0</v>
      </c>
      <c r="K1849" s="11" t="s">
        <v>21</v>
      </c>
      <c r="L1849" s="7">
        <v>40524.93576388889</v>
      </c>
      <c r="M1849" s="13" t="s">
        <v>125</v>
      </c>
      <c r="N1849" s="13" t="s">
        <v>126</v>
      </c>
      <c r="O1849" s="10" t="str">
        <f t="shared" si="452"/>
        <v>View</v>
      </c>
      <c r="P1849" s="14"/>
    </row>
    <row r="1850">
      <c r="A1850" s="7">
        <v>42434.71166666667</v>
      </c>
      <c r="B1850" s="8" t="str">
        <f t="shared" si="451"/>
        <v>@erfagen</v>
      </c>
      <c r="C1850" s="9" t="s">
        <v>124</v>
      </c>
      <c r="D1850" s="9" t="s">
        <v>1919</v>
      </c>
      <c r="E1850" s="10" t="str">
        <f>HYPERLINK("https://twitter.com/erfagen/status/706254164104507396","706254164104507396")</f>
        <v>706254164104507396</v>
      </c>
      <c r="F1850" s="11" t="s">
        <v>26</v>
      </c>
      <c r="G1850" s="12">
        <v>1060.0</v>
      </c>
      <c r="H1850" s="12">
        <v>2059.0</v>
      </c>
      <c r="I1850" s="12">
        <v>2.0</v>
      </c>
      <c r="J1850" s="12">
        <v>2.0</v>
      </c>
      <c r="K1850" s="11" t="s">
        <v>21</v>
      </c>
      <c r="L1850" s="7">
        <v>40524.93576388889</v>
      </c>
      <c r="M1850" s="13" t="s">
        <v>125</v>
      </c>
      <c r="N1850" s="13" t="s">
        <v>126</v>
      </c>
      <c r="O1850" s="10" t="str">
        <f t="shared" si="452"/>
        <v>View</v>
      </c>
      <c r="P1850" s="14"/>
    </row>
    <row r="1851">
      <c r="A1851" s="7">
        <v>42434.71306712963</v>
      </c>
      <c r="B1851" s="8" t="str">
        <f>HYPERLINK("https://twitter.com/lizl_genealogy","@lizl_genealogy")</f>
        <v>@lizl_genealogy</v>
      </c>
      <c r="C1851" s="9" t="s">
        <v>89</v>
      </c>
      <c r="D1851" s="9" t="s">
        <v>1920</v>
      </c>
      <c r="E1851" s="10" t="str">
        <f>HYPERLINK("https://twitter.com/lizl_genealogy/status/706254670440882176","706254670440882176")</f>
        <v>706254670440882176</v>
      </c>
      <c r="F1851" s="11" t="s">
        <v>31</v>
      </c>
      <c r="G1851" s="12">
        <v>1548.0</v>
      </c>
      <c r="H1851" s="12">
        <v>614.0</v>
      </c>
      <c r="I1851" s="12">
        <v>2.0</v>
      </c>
      <c r="J1851" s="12">
        <v>0.0</v>
      </c>
      <c r="K1851" s="11" t="s">
        <v>21</v>
      </c>
      <c r="L1851" s="7">
        <v>40763.52722222223</v>
      </c>
      <c r="M1851" s="13" t="s">
        <v>90</v>
      </c>
      <c r="N1851" s="13" t="s">
        <v>91</v>
      </c>
      <c r="O1851" s="10" t="str">
        <f>HYPERLINK("https://pbs.twimg.com/profile_images/2700002859/1f2d610ddaf1f03ac7d033dd83847b45_normal.jpeg","View")</f>
        <v>View</v>
      </c>
      <c r="P1851" s="14"/>
    </row>
    <row r="1852">
      <c r="A1852" s="7">
        <v>42434.713171296295</v>
      </c>
      <c r="B1852" s="8" t="str">
        <f>HYPERLINK("https://twitter.com/lizcovart","@lizcovart")</f>
        <v>@lizcovart</v>
      </c>
      <c r="C1852" s="9" t="s">
        <v>1640</v>
      </c>
      <c r="D1852" s="9" t="s">
        <v>1921</v>
      </c>
      <c r="E1852" s="10" t="str">
        <f>HYPERLINK("https://twitter.com/lizcovart/status/706254706042134528","706254706042134528")</f>
        <v>706254706042134528</v>
      </c>
      <c r="F1852" s="11" t="s">
        <v>1585</v>
      </c>
      <c r="G1852" s="12">
        <v>3952.0</v>
      </c>
      <c r="H1852" s="12">
        <v>800.0</v>
      </c>
      <c r="I1852" s="12">
        <v>0.0</v>
      </c>
      <c r="J1852" s="12">
        <v>0.0</v>
      </c>
      <c r="K1852" s="11" t="s">
        <v>21</v>
      </c>
      <c r="L1852" s="7">
        <v>40700.57754629629</v>
      </c>
      <c r="M1852" s="13" t="s">
        <v>1642</v>
      </c>
      <c r="N1852" s="13" t="s">
        <v>1643</v>
      </c>
      <c r="O1852" s="10" t="str">
        <f>HYPERLINK("https://pbs.twimg.com/profile_images/689446576201142272/MpeUISSP_normal.jpg","View")</f>
        <v>View</v>
      </c>
      <c r="P1852" s="14"/>
    </row>
    <row r="1853">
      <c r="A1853" s="7">
        <v>42434.71540509259</v>
      </c>
      <c r="B1853" s="8" t="str">
        <f>HYPERLINK("https://twitter.com/rebekkahrubin","@rebekkahrubin")</f>
        <v>@rebekkahrubin</v>
      </c>
      <c r="C1853" s="9" t="s">
        <v>141</v>
      </c>
      <c r="D1853" s="9" t="s">
        <v>1922</v>
      </c>
      <c r="E1853" s="10" t="str">
        <f>HYPERLINK("https://twitter.com/rebekkahrubin/status/706255518801780738","706255518801780738")</f>
        <v>706255518801780738</v>
      </c>
      <c r="F1853" s="11" t="s">
        <v>31</v>
      </c>
      <c r="G1853" s="12">
        <v>496.0</v>
      </c>
      <c r="H1853" s="12">
        <v>1227.0</v>
      </c>
      <c r="I1853" s="12">
        <v>0.0</v>
      </c>
      <c r="J1853" s="12">
        <v>0.0</v>
      </c>
      <c r="K1853" s="11" t="s">
        <v>21</v>
      </c>
      <c r="L1853" s="7">
        <v>40411.521527777775</v>
      </c>
      <c r="M1853" s="13" t="s">
        <v>143</v>
      </c>
      <c r="N1853" s="13" t="s">
        <v>144</v>
      </c>
      <c r="O1853" s="10" t="str">
        <f>HYPERLINK("https://pbs.twimg.com/profile_images/700317732588408832/Ym_-neUi_normal.jpg","View")</f>
        <v>View</v>
      </c>
      <c r="P1853" s="14"/>
    </row>
    <row r="1854">
      <c r="A1854" s="7">
        <v>42434.715740740736</v>
      </c>
      <c r="B1854" s="8" t="str">
        <f>HYPERLINK("https://twitter.com/erfagen","@erfagen")</f>
        <v>@erfagen</v>
      </c>
      <c r="C1854" s="9" t="s">
        <v>124</v>
      </c>
      <c r="D1854" s="9" t="s">
        <v>1923</v>
      </c>
      <c r="E1854" s="10" t="str">
        <f>HYPERLINK("https://twitter.com/erfagen/status/706255636783370240","706255636783370240")</f>
        <v>706255636783370240</v>
      </c>
      <c r="F1854" s="11" t="s">
        <v>26</v>
      </c>
      <c r="G1854" s="12">
        <v>1060.0</v>
      </c>
      <c r="H1854" s="12">
        <v>2059.0</v>
      </c>
      <c r="I1854" s="12">
        <v>0.0</v>
      </c>
      <c r="J1854" s="12">
        <v>0.0</v>
      </c>
      <c r="K1854" s="11" t="s">
        <v>21</v>
      </c>
      <c r="L1854" s="7">
        <v>40524.93576388889</v>
      </c>
      <c r="M1854" s="13" t="s">
        <v>125</v>
      </c>
      <c r="N1854" s="13" t="s">
        <v>126</v>
      </c>
      <c r="O1854" s="10" t="str">
        <f>HYPERLINK("https://pbs.twimg.com/profile_images/638086945722249217/mid_S_BQ_normal.jpg","View")</f>
        <v>View</v>
      </c>
      <c r="P1854" s="14"/>
    </row>
    <row r="1855">
      <c r="A1855" s="7">
        <v>42434.71677083333</v>
      </c>
      <c r="B1855" s="8" t="str">
        <f>HYPERLINK("https://twitter.com/jamiaw","@jamiaw")</f>
        <v>@jamiaw</v>
      </c>
      <c r="C1855" s="9" t="s">
        <v>324</v>
      </c>
      <c r="D1855" s="9" t="s">
        <v>1920</v>
      </c>
      <c r="E1855" s="10" t="str">
        <f>HYPERLINK("https://twitter.com/jamiaw/status/706256013373140992","706256013373140992")</f>
        <v>706256013373140992</v>
      </c>
      <c r="F1855" s="11" t="s">
        <v>26</v>
      </c>
      <c r="G1855" s="12">
        <v>11343.0</v>
      </c>
      <c r="H1855" s="12">
        <v>7817.0</v>
      </c>
      <c r="I1855" s="12">
        <v>2.0</v>
      </c>
      <c r="J1855" s="12">
        <v>0.0</v>
      </c>
      <c r="K1855" s="11" t="s">
        <v>21</v>
      </c>
      <c r="L1855" s="7">
        <v>39642.39741898148</v>
      </c>
      <c r="M1855" s="13" t="s">
        <v>325</v>
      </c>
      <c r="N1855" s="13" t="s">
        <v>326</v>
      </c>
      <c r="O1855" s="10" t="str">
        <f>HYPERLINK("https://pbs.twimg.com/profile_images/701102020061753344/5zH70uem_normal.jpg","View")</f>
        <v>View</v>
      </c>
      <c r="P1855" s="14"/>
    </row>
    <row r="1856">
      <c r="A1856" s="7">
        <v>42434.71710648148</v>
      </c>
      <c r="B1856" s="8" t="str">
        <f>HYPERLINK("https://twitter.com/cherylharned","@cherylharned")</f>
        <v>@cherylharned</v>
      </c>
      <c r="C1856" s="9" t="s">
        <v>1371</v>
      </c>
      <c r="D1856" s="9" t="s">
        <v>1924</v>
      </c>
      <c r="E1856" s="10" t="str">
        <f>HYPERLINK("https://twitter.com/cherylharned/status/706256134848512003","706256134848512003")</f>
        <v>706256134848512003</v>
      </c>
      <c r="F1856" s="11" t="s">
        <v>26</v>
      </c>
      <c r="G1856" s="12">
        <v>103.0</v>
      </c>
      <c r="H1856" s="12">
        <v>420.0</v>
      </c>
      <c r="I1856" s="12">
        <v>0.0</v>
      </c>
      <c r="J1856" s="12">
        <v>0.0</v>
      </c>
      <c r="K1856" s="11" t="s">
        <v>21</v>
      </c>
      <c r="L1856" s="7">
        <v>41373.45469907408</v>
      </c>
      <c r="M1856" s="15"/>
      <c r="N1856" s="13" t="s">
        <v>1373</v>
      </c>
      <c r="O1856" s="10" t="str">
        <f>HYPERLINK("https://pbs.twimg.com/profile_images/535167858204893184/DNz9ruRN_normal.jpeg","View")</f>
        <v>View</v>
      </c>
      <c r="P1856" s="14"/>
    </row>
    <row r="1857">
      <c r="A1857" s="7">
        <v>42434.717731481476</v>
      </c>
      <c r="B1857" s="8" t="str">
        <f>HYPERLINK("https://twitter.com/sholalynch","@sholalynch")</f>
        <v>@sholalynch</v>
      </c>
      <c r="C1857" s="9" t="s">
        <v>628</v>
      </c>
      <c r="D1857" s="9" t="s">
        <v>1858</v>
      </c>
      <c r="E1857" s="10" t="str">
        <f>HYPERLINK("https://twitter.com/sholalynch/status/706256362112688128","706256362112688128")</f>
        <v>706256362112688128</v>
      </c>
      <c r="F1857" s="11" t="s">
        <v>26</v>
      </c>
      <c r="G1857" s="12">
        <v>2394.0</v>
      </c>
      <c r="H1857" s="12">
        <v>348.0</v>
      </c>
      <c r="I1857" s="12">
        <v>2.0</v>
      </c>
      <c r="J1857" s="12">
        <v>0.0</v>
      </c>
      <c r="K1857" s="11" t="s">
        <v>21</v>
      </c>
      <c r="L1857" s="7">
        <v>40793.5580787037</v>
      </c>
      <c r="M1857" s="13" t="s">
        <v>629</v>
      </c>
      <c r="N1857" s="13" t="s">
        <v>630</v>
      </c>
      <c r="O1857" s="10" t="str">
        <f>HYPERLINK("https://pbs.twimg.com/profile_images/688533447195758593/LTuyp1_c_normal.jpg","View")</f>
        <v>View</v>
      </c>
      <c r="P1857" s="14"/>
    </row>
    <row r="1858">
      <c r="A1858" s="7">
        <v>42434.72331018519</v>
      </c>
      <c r="B1858" s="8" t="str">
        <f>HYPERLINK("https://twitter.com/erfagen","@erfagen")</f>
        <v>@erfagen</v>
      </c>
      <c r="C1858" s="9" t="s">
        <v>124</v>
      </c>
      <c r="D1858" s="9" t="s">
        <v>1925</v>
      </c>
      <c r="E1858" s="10" t="str">
        <f>HYPERLINK("https://twitter.com/erfagen/status/706258382920011777","706258382920011777")</f>
        <v>706258382920011777</v>
      </c>
      <c r="F1858" s="11" t="s">
        <v>26</v>
      </c>
      <c r="G1858" s="12">
        <v>1060.0</v>
      </c>
      <c r="H1858" s="12">
        <v>2059.0</v>
      </c>
      <c r="I1858" s="12">
        <v>1.0</v>
      </c>
      <c r="J1858" s="12">
        <v>3.0</v>
      </c>
      <c r="K1858" s="11" t="s">
        <v>21</v>
      </c>
      <c r="L1858" s="7">
        <v>40524.93576388889</v>
      </c>
      <c r="M1858" s="13" t="s">
        <v>125</v>
      </c>
      <c r="N1858" s="13" t="s">
        <v>126</v>
      </c>
      <c r="O1858" s="10" t="str">
        <f>HYPERLINK("https://pbs.twimg.com/profile_images/638086945722249217/mid_S_BQ_normal.jpg","View")</f>
        <v>View</v>
      </c>
      <c r="P1858" s="14"/>
    </row>
    <row r="1859">
      <c r="A1859" s="7">
        <v>42434.73131944444</v>
      </c>
      <c r="B1859" s="8" t="str">
        <f>HYPERLINK("https://twitter.com/MrPowley","@MrPowley")</f>
        <v>@MrPowley</v>
      </c>
      <c r="C1859" s="9" t="s">
        <v>1926</v>
      </c>
      <c r="D1859" s="9" t="s">
        <v>1927</v>
      </c>
      <c r="E1859" s="10" t="str">
        <f>HYPERLINK("https://twitter.com/MrPowley/status/706261285479030784","706261285479030784")</f>
        <v>706261285479030784</v>
      </c>
      <c r="F1859" s="11" t="s">
        <v>26</v>
      </c>
      <c r="G1859" s="12">
        <v>317.0</v>
      </c>
      <c r="H1859" s="12">
        <v>511.0</v>
      </c>
      <c r="I1859" s="12">
        <v>0.0</v>
      </c>
      <c r="J1859" s="12">
        <v>0.0</v>
      </c>
      <c r="K1859" s="11" t="s">
        <v>21</v>
      </c>
      <c r="L1859" s="7">
        <v>40032.66048611111</v>
      </c>
      <c r="M1859" s="15"/>
      <c r="N1859" s="13" t="s">
        <v>1928</v>
      </c>
      <c r="O1859" s="10" t="str">
        <f>HYPERLINK("https://pbs.twimg.com/profile_images/563057559188172800/imxRLuFq_normal.png","View")</f>
        <v>View</v>
      </c>
      <c r="P1859" s="14"/>
    </row>
    <row r="1860">
      <c r="A1860" s="7">
        <v>42434.73212962963</v>
      </c>
      <c r="B1860" s="8" t="str">
        <f>HYPERLINK("https://twitter.com/jamiaw","@jamiaw")</f>
        <v>@jamiaw</v>
      </c>
      <c r="C1860" s="9" t="s">
        <v>324</v>
      </c>
      <c r="D1860" s="9" t="s">
        <v>1929</v>
      </c>
      <c r="E1860" s="10" t="str">
        <f>HYPERLINK("https://twitter.com/jamiaw/status/706261579222937600","706261579222937600")</f>
        <v>706261579222937600</v>
      </c>
      <c r="F1860" s="11" t="s">
        <v>26</v>
      </c>
      <c r="G1860" s="12">
        <v>11343.0</v>
      </c>
      <c r="H1860" s="12">
        <v>7817.0</v>
      </c>
      <c r="I1860" s="12">
        <v>1.0</v>
      </c>
      <c r="J1860" s="12">
        <v>0.0</v>
      </c>
      <c r="K1860" s="11" t="s">
        <v>21</v>
      </c>
      <c r="L1860" s="7">
        <v>39642.39741898148</v>
      </c>
      <c r="M1860" s="13" t="s">
        <v>325</v>
      </c>
      <c r="N1860" s="13" t="s">
        <v>326</v>
      </c>
      <c r="O1860" s="10" t="str">
        <f>HYPERLINK("https://pbs.twimg.com/profile_images/701102020061753344/5zH70uem_normal.jpg","View")</f>
        <v>View</v>
      </c>
      <c r="P1860" s="14"/>
    </row>
    <row r="1861">
      <c r="A1861" s="7">
        <v>42434.73943287037</v>
      </c>
      <c r="B1861" s="8" t="str">
        <f>HYPERLINK("https://twitter.com/JimGrossmanAHA","@JimGrossmanAHA")</f>
        <v>@JimGrossmanAHA</v>
      </c>
      <c r="C1861" s="9" t="s">
        <v>278</v>
      </c>
      <c r="D1861" s="9" t="s">
        <v>1930</v>
      </c>
      <c r="E1861" s="10" t="str">
        <f>HYPERLINK("https://twitter.com/JimGrossmanAHA/status/706264224880787456","706264224880787456")</f>
        <v>706264224880787456</v>
      </c>
      <c r="F1861" s="11" t="s">
        <v>31</v>
      </c>
      <c r="G1861" s="12">
        <v>2249.0</v>
      </c>
      <c r="H1861" s="12">
        <v>368.0</v>
      </c>
      <c r="I1861" s="12">
        <v>2.0</v>
      </c>
      <c r="J1861" s="12">
        <v>0.0</v>
      </c>
      <c r="K1861" s="11" t="s">
        <v>21</v>
      </c>
      <c r="L1861" s="7">
        <v>41576.36603009259</v>
      </c>
      <c r="M1861" s="13" t="s">
        <v>279</v>
      </c>
      <c r="N1861" s="13" t="s">
        <v>280</v>
      </c>
      <c r="O1861" s="10" t="str">
        <f>HYPERLINK("https://pbs.twimg.com/profile_images/378800000667891782/44d7b181c077bf16ab07b242f7ad81b9_normal.png","View")</f>
        <v>View</v>
      </c>
      <c r="P1861" s="14"/>
    </row>
    <row r="1862">
      <c r="A1862" s="7">
        <v>42434.742361111115</v>
      </c>
      <c r="B1862" s="8" t="str">
        <f>HYPERLINK("https://twitter.com/jmadelman","@jmadelman")</f>
        <v>@jmadelman</v>
      </c>
      <c r="C1862" s="9" t="s">
        <v>155</v>
      </c>
      <c r="D1862" s="9" t="s">
        <v>1931</v>
      </c>
      <c r="E1862" s="10" t="str">
        <f>HYPERLINK("https://twitter.com/jmadelman/status/706265286568243200","706265286568243200")</f>
        <v>706265286568243200</v>
      </c>
      <c r="F1862" s="11" t="s">
        <v>26</v>
      </c>
      <c r="G1862" s="12">
        <v>2677.0</v>
      </c>
      <c r="H1862" s="12">
        <v>1258.0</v>
      </c>
      <c r="I1862" s="12">
        <v>2.0</v>
      </c>
      <c r="J1862" s="12">
        <v>0.0</v>
      </c>
      <c r="K1862" s="11" t="s">
        <v>21</v>
      </c>
      <c r="L1862" s="7">
        <v>40198.888761574075</v>
      </c>
      <c r="M1862" s="13" t="s">
        <v>156</v>
      </c>
      <c r="N1862" s="13" t="s">
        <v>157</v>
      </c>
      <c r="O1862" s="10" t="str">
        <f>HYPERLINK("https://pbs.twimg.com/profile_images/633292774570201089/pdNFZfya_normal.jpg","View")</f>
        <v>View</v>
      </c>
      <c r="P1862" s="14"/>
    </row>
    <row r="1863">
      <c r="A1863" s="7">
        <v>42434.743483796294</v>
      </c>
      <c r="B1863" s="8" t="str">
        <f>HYPERLINK("https://twitter.com/SmabAudio","@SmabAudio")</f>
        <v>@SmabAudio</v>
      </c>
      <c r="C1863" s="9" t="s">
        <v>619</v>
      </c>
      <c r="D1863" s="9" t="s">
        <v>1931</v>
      </c>
      <c r="E1863" s="10" t="str">
        <f>HYPERLINK("https://twitter.com/SmabAudio/status/706265692077686785","706265692077686785")</f>
        <v>706265692077686785</v>
      </c>
      <c r="F1863" s="11" t="s">
        <v>621</v>
      </c>
      <c r="G1863" s="12">
        <v>3126.0</v>
      </c>
      <c r="H1863" s="12">
        <v>3296.0</v>
      </c>
      <c r="I1863" s="12">
        <v>2.0</v>
      </c>
      <c r="J1863" s="12">
        <v>0.0</v>
      </c>
      <c r="K1863" s="11" t="s">
        <v>21</v>
      </c>
      <c r="L1863" s="7">
        <v>41016.61496527778</v>
      </c>
      <c r="M1863" s="13" t="s">
        <v>622</v>
      </c>
      <c r="N1863" s="13" t="s">
        <v>623</v>
      </c>
      <c r="O1863" s="10" t="str">
        <f>HYPERLINK("https://pbs.twimg.com/profile_images/670034143808499712/5uUpStFP_normal.png","View")</f>
        <v>View</v>
      </c>
      <c r="P1863" s="14"/>
    </row>
    <row r="1864">
      <c r="A1864" s="14"/>
      <c r="B1864" s="17"/>
      <c r="C1864" s="17"/>
      <c r="D1864" s="17"/>
      <c r="E1864" s="14"/>
      <c r="F1864" s="14"/>
      <c r="G1864" s="14"/>
      <c r="H1864" s="14"/>
      <c r="I1864" s="14"/>
      <c r="J1864" s="14"/>
      <c r="K1864" s="14"/>
      <c r="L1864" s="14"/>
      <c r="M1864" s="15"/>
      <c r="N1864" s="15"/>
      <c r="O1864" s="14"/>
      <c r="P1864" s="14"/>
    </row>
    <row r="1865">
      <c r="A1865" s="14"/>
      <c r="B1865" s="17"/>
      <c r="C1865" s="17"/>
      <c r="D1865" s="17"/>
      <c r="E1865" s="14"/>
      <c r="F1865" s="14"/>
      <c r="G1865" s="14"/>
      <c r="H1865" s="14"/>
      <c r="I1865" s="14"/>
      <c r="J1865" s="14"/>
      <c r="K1865" s="14"/>
      <c r="L1865" s="14"/>
      <c r="M1865" s="15"/>
      <c r="N1865" s="15"/>
      <c r="O1865" s="14"/>
      <c r="P1865" s="14"/>
    </row>
    <row r="1866">
      <c r="A1866" s="14"/>
      <c r="B1866" s="17"/>
      <c r="C1866" s="17"/>
      <c r="D1866" s="18"/>
      <c r="E1866" s="14"/>
      <c r="F1866" s="14"/>
      <c r="G1866" s="14"/>
      <c r="H1866" s="14"/>
      <c r="I1866" s="14"/>
      <c r="J1866" s="14"/>
      <c r="K1866" s="14"/>
      <c r="L1866" s="14"/>
      <c r="M1866" s="15"/>
      <c r="N1866" s="15"/>
      <c r="O1866" s="14"/>
      <c r="P1866" s="14"/>
    </row>
    <row r="1867">
      <c r="A1867" s="14"/>
      <c r="B1867" s="17"/>
      <c r="C1867" s="17"/>
      <c r="D1867" s="17"/>
      <c r="E1867" s="14"/>
      <c r="F1867" s="14"/>
      <c r="G1867" s="14"/>
      <c r="H1867" s="14"/>
      <c r="I1867" s="14"/>
      <c r="J1867" s="14"/>
      <c r="K1867" s="14"/>
      <c r="L1867" s="14"/>
      <c r="M1867" s="15"/>
      <c r="N1867" s="15"/>
      <c r="O1867" s="14"/>
      <c r="P1867" s="14"/>
    </row>
    <row r="1868">
      <c r="A1868" s="14"/>
      <c r="B1868" s="17"/>
      <c r="C1868" s="17"/>
      <c r="D1868" s="17"/>
      <c r="E1868" s="14"/>
      <c r="F1868" s="14"/>
      <c r="G1868" s="14"/>
      <c r="H1868" s="14"/>
      <c r="I1868" s="14"/>
      <c r="J1868" s="14"/>
      <c r="K1868" s="14"/>
      <c r="L1868" s="14"/>
      <c r="M1868" s="15"/>
      <c r="N1868" s="15"/>
      <c r="O1868" s="14"/>
      <c r="P1868" s="14"/>
    </row>
    <row r="1869">
      <c r="A1869" s="14"/>
      <c r="B1869" s="17"/>
      <c r="C1869" s="17"/>
      <c r="D1869" s="17"/>
      <c r="E1869" s="14"/>
      <c r="F1869" s="14"/>
      <c r="G1869" s="14"/>
      <c r="H1869" s="14"/>
      <c r="I1869" s="14"/>
      <c r="J1869" s="14"/>
      <c r="K1869" s="14"/>
      <c r="L1869" s="14"/>
      <c r="M1869" s="15"/>
      <c r="N1869" s="15"/>
      <c r="O1869" s="14"/>
      <c r="P1869" s="14"/>
    </row>
    <row r="1870">
      <c r="A1870" s="14"/>
      <c r="B1870" s="17"/>
      <c r="C1870" s="17"/>
      <c r="D1870" s="17"/>
      <c r="E1870" s="14"/>
      <c r="F1870" s="14"/>
      <c r="G1870" s="14"/>
      <c r="H1870" s="14"/>
      <c r="I1870" s="14"/>
      <c r="J1870" s="14"/>
      <c r="K1870" s="14"/>
      <c r="L1870" s="14"/>
      <c r="M1870" s="15"/>
      <c r="N1870" s="15"/>
      <c r="O1870" s="14"/>
      <c r="P1870" s="14"/>
    </row>
    <row r="1871">
      <c r="A1871" s="14"/>
      <c r="B1871" s="17"/>
      <c r="C1871" s="17"/>
      <c r="D1871" s="17"/>
      <c r="E1871" s="14"/>
      <c r="F1871" s="14"/>
      <c r="G1871" s="14"/>
      <c r="H1871" s="14"/>
      <c r="I1871" s="14"/>
      <c r="J1871" s="14"/>
      <c r="K1871" s="14"/>
      <c r="L1871" s="14"/>
      <c r="M1871" s="15"/>
      <c r="N1871" s="15"/>
      <c r="O1871" s="14"/>
      <c r="P1871" s="14"/>
    </row>
    <row r="1872">
      <c r="A1872" s="14"/>
      <c r="B1872" s="17"/>
      <c r="C1872" s="17"/>
      <c r="D1872" s="17"/>
      <c r="E1872" s="14"/>
      <c r="F1872" s="14"/>
      <c r="G1872" s="14"/>
      <c r="H1872" s="14"/>
      <c r="I1872" s="14"/>
      <c r="J1872" s="14"/>
      <c r="K1872" s="14"/>
      <c r="L1872" s="14"/>
      <c r="M1872" s="15"/>
      <c r="N1872" s="15"/>
      <c r="O1872" s="14"/>
      <c r="P1872" s="14"/>
    </row>
    <row r="1873">
      <c r="A1873" s="14"/>
      <c r="B1873" s="17"/>
      <c r="C1873" s="17"/>
      <c r="D1873" s="17"/>
      <c r="E1873" s="14"/>
      <c r="F1873" s="14"/>
      <c r="G1873" s="14"/>
      <c r="H1873" s="14"/>
      <c r="I1873" s="14"/>
      <c r="J1873" s="14"/>
      <c r="K1873" s="14"/>
      <c r="L1873" s="14"/>
      <c r="M1873" s="15"/>
      <c r="N1873" s="15"/>
      <c r="O1873" s="14"/>
      <c r="P1873" s="14"/>
    </row>
    <row r="1874">
      <c r="A1874" s="14"/>
      <c r="B1874" s="17"/>
      <c r="C1874" s="17"/>
      <c r="D1874" s="17"/>
      <c r="E1874" s="14"/>
      <c r="F1874" s="14"/>
      <c r="G1874" s="14"/>
      <c r="H1874" s="14"/>
      <c r="I1874" s="14"/>
      <c r="J1874" s="14"/>
      <c r="K1874" s="14"/>
      <c r="L1874" s="14"/>
      <c r="M1874" s="15"/>
      <c r="N1874" s="15"/>
      <c r="O1874" s="14"/>
      <c r="P1874" s="14"/>
    </row>
    <row r="1875">
      <c r="A1875" s="14"/>
      <c r="B1875" s="17"/>
      <c r="C1875" s="17"/>
      <c r="D1875" s="17"/>
      <c r="E1875" s="14"/>
      <c r="F1875" s="14"/>
      <c r="G1875" s="14"/>
      <c r="H1875" s="14"/>
      <c r="I1875" s="14"/>
      <c r="J1875" s="14"/>
      <c r="K1875" s="14"/>
      <c r="L1875" s="14"/>
      <c r="M1875" s="15"/>
      <c r="N1875" s="15"/>
      <c r="O1875" s="14"/>
      <c r="P1875" s="14"/>
    </row>
    <row r="1876">
      <c r="A1876" s="14"/>
      <c r="B1876" s="17"/>
      <c r="C1876" s="17"/>
      <c r="D1876" s="17"/>
      <c r="E1876" s="14"/>
      <c r="F1876" s="14"/>
      <c r="G1876" s="14"/>
      <c r="H1876" s="14"/>
      <c r="I1876" s="14"/>
      <c r="J1876" s="14"/>
      <c r="K1876" s="14"/>
      <c r="L1876" s="14"/>
      <c r="M1876" s="15"/>
      <c r="N1876" s="15"/>
      <c r="O1876" s="14"/>
      <c r="P1876" s="14"/>
    </row>
    <row r="1877">
      <c r="A1877" s="14"/>
      <c r="B1877" s="17"/>
      <c r="C1877" s="17"/>
      <c r="D1877" s="17"/>
      <c r="E1877" s="14"/>
      <c r="F1877" s="14"/>
      <c r="G1877" s="14"/>
      <c r="H1877" s="14"/>
      <c r="I1877" s="14"/>
      <c r="J1877" s="14"/>
      <c r="K1877" s="14"/>
      <c r="L1877" s="14"/>
      <c r="M1877" s="15"/>
      <c r="N1877" s="15"/>
      <c r="O1877" s="14"/>
      <c r="P1877" s="14"/>
    </row>
    <row r="1878">
      <c r="A1878" s="14"/>
      <c r="B1878" s="17"/>
      <c r="C1878" s="17"/>
      <c r="D1878" s="17"/>
      <c r="E1878" s="14"/>
      <c r="F1878" s="14"/>
      <c r="G1878" s="14"/>
      <c r="H1878" s="14"/>
      <c r="I1878" s="14"/>
      <c r="J1878" s="14"/>
      <c r="K1878" s="14"/>
      <c r="L1878" s="14"/>
      <c r="M1878" s="15"/>
      <c r="N1878" s="15"/>
      <c r="O1878" s="14"/>
      <c r="P1878" s="14"/>
    </row>
    <row r="1879">
      <c r="A1879" s="14"/>
      <c r="B1879" s="17"/>
      <c r="C1879" s="17"/>
      <c r="D1879" s="17"/>
      <c r="E1879" s="14"/>
      <c r="F1879" s="14"/>
      <c r="G1879" s="14"/>
      <c r="H1879" s="14"/>
      <c r="I1879" s="14"/>
      <c r="J1879" s="14"/>
      <c r="K1879" s="14"/>
      <c r="L1879" s="14"/>
      <c r="M1879" s="15"/>
      <c r="N1879" s="15"/>
      <c r="O1879" s="14"/>
      <c r="P1879" s="14"/>
    </row>
    <row r="1880">
      <c r="A1880" s="14"/>
      <c r="B1880" s="17"/>
      <c r="C1880" s="17"/>
      <c r="D1880" s="17"/>
      <c r="E1880" s="14"/>
      <c r="F1880" s="14"/>
      <c r="G1880" s="14"/>
      <c r="H1880" s="14"/>
      <c r="I1880" s="14"/>
      <c r="J1880" s="14"/>
      <c r="K1880" s="14"/>
      <c r="L1880" s="14"/>
      <c r="M1880" s="15"/>
      <c r="N1880" s="15"/>
      <c r="O1880" s="14"/>
      <c r="P1880" s="14"/>
    </row>
    <row r="1881">
      <c r="A1881" s="14"/>
      <c r="B1881" s="17"/>
      <c r="C1881" s="17"/>
      <c r="D1881" s="17"/>
      <c r="E1881" s="14"/>
      <c r="F1881" s="14"/>
      <c r="G1881" s="14"/>
      <c r="H1881" s="14"/>
      <c r="I1881" s="14"/>
      <c r="J1881" s="14"/>
      <c r="K1881" s="14"/>
      <c r="L1881" s="14"/>
      <c r="M1881" s="15"/>
      <c r="N1881" s="15"/>
      <c r="O1881" s="14"/>
      <c r="P1881" s="14"/>
    </row>
    <row r="1882">
      <c r="A1882" s="14"/>
      <c r="B1882" s="17"/>
      <c r="C1882" s="17"/>
      <c r="D1882" s="17"/>
      <c r="E1882" s="14"/>
      <c r="F1882" s="14"/>
      <c r="G1882" s="14"/>
      <c r="H1882" s="14"/>
      <c r="I1882" s="14"/>
      <c r="J1882" s="14"/>
      <c r="K1882" s="14"/>
      <c r="L1882" s="14"/>
      <c r="M1882" s="15"/>
      <c r="N1882" s="15"/>
      <c r="O1882" s="14"/>
      <c r="P1882" s="14"/>
    </row>
    <row r="1883">
      <c r="A1883" s="14"/>
      <c r="B1883" s="17"/>
      <c r="C1883" s="17"/>
      <c r="D1883" s="17"/>
      <c r="E1883" s="14"/>
      <c r="F1883" s="14"/>
      <c r="G1883" s="14"/>
      <c r="H1883" s="14"/>
      <c r="I1883" s="14"/>
      <c r="J1883" s="14"/>
      <c r="K1883" s="14"/>
      <c r="L1883" s="14"/>
      <c r="M1883" s="15"/>
      <c r="N1883" s="15"/>
      <c r="O1883" s="14"/>
      <c r="P1883" s="14"/>
    </row>
    <row r="1884">
      <c r="A1884" s="14"/>
      <c r="B1884" s="17"/>
      <c r="C1884" s="17"/>
      <c r="D1884" s="17"/>
      <c r="E1884" s="14"/>
      <c r="F1884" s="14"/>
      <c r="G1884" s="14"/>
      <c r="H1884" s="14"/>
      <c r="I1884" s="14"/>
      <c r="J1884" s="14"/>
      <c r="K1884" s="14"/>
      <c r="L1884" s="14"/>
      <c r="M1884" s="15"/>
      <c r="N1884" s="15"/>
      <c r="O1884" s="14"/>
      <c r="P1884" s="14"/>
    </row>
    <row r="1885">
      <c r="A1885" s="14"/>
      <c r="B1885" s="17"/>
      <c r="C1885" s="17"/>
      <c r="D1885" s="17"/>
      <c r="E1885" s="14"/>
      <c r="F1885" s="14"/>
      <c r="G1885" s="14"/>
      <c r="H1885" s="14"/>
      <c r="I1885" s="14"/>
      <c r="J1885" s="14"/>
      <c r="K1885" s="14"/>
      <c r="L1885" s="14"/>
      <c r="M1885" s="15"/>
      <c r="N1885" s="15"/>
      <c r="O1885" s="14"/>
      <c r="P1885" s="14"/>
    </row>
    <row r="1886">
      <c r="A1886" s="14"/>
      <c r="B1886" s="17"/>
      <c r="C1886" s="17"/>
      <c r="D1886" s="17"/>
      <c r="E1886" s="14"/>
      <c r="F1886" s="14"/>
      <c r="G1886" s="14"/>
      <c r="H1886" s="14"/>
      <c r="I1886" s="14"/>
      <c r="J1886" s="14"/>
      <c r="K1886" s="14"/>
      <c r="L1886" s="14"/>
      <c r="M1886" s="15"/>
      <c r="N1886" s="15"/>
      <c r="O1886" s="14"/>
      <c r="P1886" s="14"/>
    </row>
    <row r="1887">
      <c r="A1887" s="14"/>
      <c r="B1887" s="17"/>
      <c r="C1887" s="17"/>
      <c r="D1887" s="17"/>
      <c r="E1887" s="14"/>
      <c r="F1887" s="14"/>
      <c r="G1887" s="14"/>
      <c r="H1887" s="14"/>
      <c r="I1887" s="14"/>
      <c r="J1887" s="14"/>
      <c r="K1887" s="14"/>
      <c r="L1887" s="14"/>
      <c r="M1887" s="15"/>
      <c r="N1887" s="15"/>
      <c r="O1887" s="14"/>
      <c r="P1887" s="14"/>
    </row>
    <row r="1888">
      <c r="A1888" s="14"/>
      <c r="B1888" s="17"/>
      <c r="C1888" s="17"/>
      <c r="D1888" s="17"/>
      <c r="E1888" s="14"/>
      <c r="F1888" s="14"/>
      <c r="G1888" s="14"/>
      <c r="H1888" s="14"/>
      <c r="I1888" s="14"/>
      <c r="J1888" s="14"/>
      <c r="K1888" s="14"/>
      <c r="L1888" s="14"/>
      <c r="M1888" s="15"/>
      <c r="N1888" s="15"/>
      <c r="O1888" s="14"/>
      <c r="P1888" s="14"/>
    </row>
    <row r="1889">
      <c r="A1889" s="14"/>
      <c r="B1889" s="17"/>
      <c r="C1889" s="17"/>
      <c r="D1889" s="17"/>
      <c r="E1889" s="14"/>
      <c r="F1889" s="14"/>
      <c r="G1889" s="14"/>
      <c r="H1889" s="14"/>
      <c r="I1889" s="14"/>
      <c r="J1889" s="14"/>
      <c r="K1889" s="14"/>
      <c r="L1889" s="14"/>
      <c r="M1889" s="15"/>
      <c r="N1889" s="15"/>
      <c r="O1889" s="14"/>
      <c r="P1889" s="14"/>
    </row>
    <row r="1890">
      <c r="A1890" s="14"/>
      <c r="B1890" s="17"/>
      <c r="C1890" s="17"/>
      <c r="D1890" s="17"/>
      <c r="E1890" s="14"/>
      <c r="F1890" s="14"/>
      <c r="G1890" s="14"/>
      <c r="H1890" s="14"/>
      <c r="I1890" s="14"/>
      <c r="J1890" s="14"/>
      <c r="K1890" s="14"/>
      <c r="L1890" s="14"/>
      <c r="M1890" s="15"/>
      <c r="N1890" s="15"/>
      <c r="O1890" s="14"/>
      <c r="P1890" s="14"/>
    </row>
    <row r="1891">
      <c r="A1891" s="14"/>
      <c r="B1891" s="17"/>
      <c r="C1891" s="17"/>
      <c r="D1891" s="17"/>
      <c r="E1891" s="14"/>
      <c r="F1891" s="14"/>
      <c r="G1891" s="14"/>
      <c r="H1891" s="14"/>
      <c r="I1891" s="14"/>
      <c r="J1891" s="14"/>
      <c r="K1891" s="14"/>
      <c r="L1891" s="14"/>
      <c r="M1891" s="15"/>
      <c r="N1891" s="15"/>
      <c r="O1891" s="14"/>
      <c r="P1891" s="14"/>
    </row>
    <row r="1892">
      <c r="A1892" s="14"/>
      <c r="B1892" s="17"/>
      <c r="C1892" s="17"/>
      <c r="D1892" s="17"/>
      <c r="E1892" s="14"/>
      <c r="F1892" s="14"/>
      <c r="G1892" s="14"/>
      <c r="H1892" s="14"/>
      <c r="I1892" s="14"/>
      <c r="J1892" s="14"/>
      <c r="K1892" s="14"/>
      <c r="L1892" s="14"/>
      <c r="M1892" s="15"/>
      <c r="N1892" s="15"/>
      <c r="O1892" s="14"/>
      <c r="P1892" s="14"/>
    </row>
    <row r="1893">
      <c r="A1893" s="14"/>
      <c r="B1893" s="17"/>
      <c r="C1893" s="17"/>
      <c r="D1893" s="17"/>
      <c r="E1893" s="14"/>
      <c r="F1893" s="14"/>
      <c r="G1893" s="14"/>
      <c r="H1893" s="14"/>
      <c r="I1893" s="14"/>
      <c r="J1893" s="14"/>
      <c r="K1893" s="14"/>
      <c r="L1893" s="14"/>
      <c r="M1893" s="15"/>
      <c r="N1893" s="15"/>
      <c r="O1893" s="14"/>
      <c r="P1893" s="14"/>
    </row>
    <row r="1894">
      <c r="A1894" s="14"/>
      <c r="B1894" s="17"/>
      <c r="C1894" s="17"/>
      <c r="D1894" s="17"/>
      <c r="E1894" s="14"/>
      <c r="F1894" s="14"/>
      <c r="G1894" s="14"/>
      <c r="H1894" s="14"/>
      <c r="I1894" s="14"/>
      <c r="J1894" s="14"/>
      <c r="K1894" s="14"/>
      <c r="L1894" s="14"/>
      <c r="M1894" s="15"/>
      <c r="N1894" s="15"/>
      <c r="O1894" s="14"/>
      <c r="P1894" s="14"/>
    </row>
    <row r="1895">
      <c r="A1895" s="14"/>
      <c r="B1895" s="17"/>
      <c r="C1895" s="17"/>
      <c r="D1895" s="17"/>
      <c r="E1895" s="14"/>
      <c r="F1895" s="14"/>
      <c r="G1895" s="14"/>
      <c r="H1895" s="14"/>
      <c r="I1895" s="14"/>
      <c r="J1895" s="14"/>
      <c r="K1895" s="14"/>
      <c r="L1895" s="14"/>
      <c r="M1895" s="15"/>
      <c r="N1895" s="15"/>
      <c r="O1895" s="14"/>
      <c r="P1895" s="14"/>
    </row>
    <row r="1896">
      <c r="A1896" s="14"/>
      <c r="B1896" s="17"/>
      <c r="C1896" s="17"/>
      <c r="D1896" s="17"/>
      <c r="E1896" s="14"/>
      <c r="F1896" s="14"/>
      <c r="G1896" s="14"/>
      <c r="H1896" s="14"/>
      <c r="I1896" s="14"/>
      <c r="J1896" s="14"/>
      <c r="K1896" s="14"/>
      <c r="L1896" s="14"/>
      <c r="M1896" s="15"/>
      <c r="N1896" s="15"/>
      <c r="O1896" s="14"/>
      <c r="P1896" s="14"/>
    </row>
    <row r="1897">
      <c r="A1897" s="14"/>
      <c r="B1897" s="17"/>
      <c r="C1897" s="17"/>
      <c r="D1897" s="17"/>
      <c r="E1897" s="14"/>
      <c r="F1897" s="14"/>
      <c r="G1897" s="14"/>
      <c r="H1897" s="14"/>
      <c r="I1897" s="14"/>
      <c r="J1897" s="14"/>
      <c r="K1897" s="14"/>
      <c r="L1897" s="14"/>
      <c r="M1897" s="15"/>
      <c r="N1897" s="15"/>
      <c r="O1897" s="14"/>
      <c r="P1897" s="14"/>
    </row>
    <row r="1898">
      <c r="A1898" s="14"/>
      <c r="B1898" s="17"/>
      <c r="C1898" s="17"/>
      <c r="D1898" s="17"/>
      <c r="E1898" s="14"/>
      <c r="F1898" s="14"/>
      <c r="G1898" s="14"/>
      <c r="H1898" s="14"/>
      <c r="I1898" s="14"/>
      <c r="J1898" s="14"/>
      <c r="K1898" s="14"/>
      <c r="L1898" s="14"/>
      <c r="M1898" s="15"/>
      <c r="N1898" s="15"/>
      <c r="O1898" s="14"/>
      <c r="P1898" s="14"/>
    </row>
    <row r="1899">
      <c r="A1899" s="14"/>
      <c r="B1899" s="17"/>
      <c r="C1899" s="17"/>
      <c r="D1899" s="17"/>
      <c r="E1899" s="14"/>
      <c r="F1899" s="14"/>
      <c r="G1899" s="14"/>
      <c r="H1899" s="14"/>
      <c r="I1899" s="14"/>
      <c r="J1899" s="14"/>
      <c r="K1899" s="14"/>
      <c r="L1899" s="14"/>
      <c r="M1899" s="15"/>
      <c r="N1899" s="15"/>
      <c r="O1899" s="14"/>
      <c r="P1899" s="14"/>
    </row>
    <row r="1900">
      <c r="A1900" s="14"/>
      <c r="B1900" s="17"/>
      <c r="C1900" s="17"/>
      <c r="D1900" s="17"/>
      <c r="E1900" s="14"/>
      <c r="F1900" s="14"/>
      <c r="G1900" s="14"/>
      <c r="H1900" s="14"/>
      <c r="I1900" s="14"/>
      <c r="J1900" s="14"/>
      <c r="K1900" s="14"/>
      <c r="L1900" s="14"/>
      <c r="M1900" s="15"/>
      <c r="N1900" s="15"/>
      <c r="O1900" s="14"/>
      <c r="P1900" s="14"/>
    </row>
    <row r="1901">
      <c r="A1901" s="14"/>
      <c r="B1901" s="17"/>
      <c r="C1901" s="17"/>
      <c r="D1901" s="17"/>
      <c r="E1901" s="14"/>
      <c r="F1901" s="14"/>
      <c r="G1901" s="14"/>
      <c r="H1901" s="14"/>
      <c r="I1901" s="14"/>
      <c r="J1901" s="14"/>
      <c r="K1901" s="14"/>
      <c r="L1901" s="14"/>
      <c r="M1901" s="15"/>
      <c r="N1901" s="15"/>
      <c r="O1901" s="14"/>
      <c r="P1901" s="14"/>
    </row>
    <row r="1902">
      <c r="A1902" s="14"/>
      <c r="B1902" s="17"/>
      <c r="C1902" s="17"/>
      <c r="D1902" s="17"/>
      <c r="E1902" s="14"/>
      <c r="F1902" s="14"/>
      <c r="G1902" s="14"/>
      <c r="H1902" s="14"/>
      <c r="I1902" s="14"/>
      <c r="J1902" s="14"/>
      <c r="K1902" s="14"/>
      <c r="L1902" s="14"/>
      <c r="M1902" s="15"/>
      <c r="N1902" s="15"/>
      <c r="O1902" s="14"/>
      <c r="P1902" s="14"/>
    </row>
    <row r="1903">
      <c r="A1903" s="14"/>
      <c r="B1903" s="17"/>
      <c r="C1903" s="17"/>
      <c r="D1903" s="17"/>
      <c r="E1903" s="14"/>
      <c r="F1903" s="14"/>
      <c r="G1903" s="14"/>
      <c r="H1903" s="14"/>
      <c r="I1903" s="14"/>
      <c r="J1903" s="14"/>
      <c r="K1903" s="14"/>
      <c r="L1903" s="14"/>
      <c r="M1903" s="15"/>
      <c r="N1903" s="15"/>
      <c r="O1903" s="14"/>
      <c r="P1903" s="14"/>
    </row>
    <row r="1904">
      <c r="A1904" s="14"/>
      <c r="B1904" s="17"/>
      <c r="C1904" s="17"/>
      <c r="D1904" s="17"/>
      <c r="E1904" s="14"/>
      <c r="F1904" s="14"/>
      <c r="G1904" s="14"/>
      <c r="H1904" s="14"/>
      <c r="I1904" s="14"/>
      <c r="J1904" s="14"/>
      <c r="K1904" s="14"/>
      <c r="L1904" s="14"/>
      <c r="M1904" s="15"/>
      <c r="N1904" s="15"/>
      <c r="O1904" s="14"/>
      <c r="P1904" s="14"/>
    </row>
    <row r="1905">
      <c r="A1905" s="14"/>
      <c r="B1905" s="17"/>
      <c r="C1905" s="17"/>
      <c r="D1905" s="17"/>
      <c r="E1905" s="14"/>
      <c r="F1905" s="14"/>
      <c r="G1905" s="14"/>
      <c r="H1905" s="14"/>
      <c r="I1905" s="14"/>
      <c r="J1905" s="14"/>
      <c r="K1905" s="14"/>
      <c r="L1905" s="14"/>
      <c r="M1905" s="15"/>
      <c r="N1905" s="15"/>
      <c r="O1905" s="14"/>
      <c r="P1905" s="14"/>
    </row>
    <row r="1906">
      <c r="A1906" s="14"/>
      <c r="B1906" s="17"/>
      <c r="C1906" s="17"/>
      <c r="D1906" s="17"/>
      <c r="E1906" s="14"/>
      <c r="F1906" s="14"/>
      <c r="G1906" s="14"/>
      <c r="H1906" s="14"/>
      <c r="I1906" s="14"/>
      <c r="J1906" s="14"/>
      <c r="K1906" s="14"/>
      <c r="L1906" s="14"/>
      <c r="M1906" s="15"/>
      <c r="N1906" s="15"/>
      <c r="O1906" s="14"/>
      <c r="P1906" s="14"/>
    </row>
    <row r="1907">
      <c r="A1907" s="14"/>
      <c r="B1907" s="17"/>
      <c r="C1907" s="17"/>
      <c r="D1907" s="17"/>
      <c r="E1907" s="14"/>
      <c r="F1907" s="14"/>
      <c r="G1907" s="14"/>
      <c r="H1907" s="14"/>
      <c r="I1907" s="14"/>
      <c r="J1907" s="14"/>
      <c r="K1907" s="14"/>
      <c r="L1907" s="14"/>
      <c r="M1907" s="15"/>
      <c r="N1907" s="15"/>
      <c r="O1907" s="14"/>
      <c r="P1907" s="14"/>
    </row>
    <row r="1908">
      <c r="A1908" s="14"/>
      <c r="B1908" s="17"/>
      <c r="C1908" s="17"/>
      <c r="D1908" s="17"/>
      <c r="E1908" s="14"/>
      <c r="F1908" s="14"/>
      <c r="G1908" s="14"/>
      <c r="H1908" s="14"/>
      <c r="I1908" s="14"/>
      <c r="J1908" s="14"/>
      <c r="K1908" s="14"/>
      <c r="L1908" s="14"/>
      <c r="M1908" s="15"/>
      <c r="N1908" s="15"/>
      <c r="O1908" s="14"/>
      <c r="P1908" s="14"/>
    </row>
    <row r="1909">
      <c r="A1909" s="14"/>
      <c r="B1909" s="17"/>
      <c r="C1909" s="17"/>
      <c r="D1909" s="17"/>
      <c r="E1909" s="14"/>
      <c r="F1909" s="14"/>
      <c r="G1909" s="14"/>
      <c r="H1909" s="14"/>
      <c r="I1909" s="14"/>
      <c r="J1909" s="14"/>
      <c r="K1909" s="14"/>
      <c r="L1909" s="14"/>
      <c r="M1909" s="15"/>
      <c r="N1909" s="15"/>
      <c r="O1909" s="14"/>
      <c r="P1909" s="14"/>
    </row>
    <row r="1910">
      <c r="A1910" s="14"/>
      <c r="B1910" s="17"/>
      <c r="C1910" s="17"/>
      <c r="D1910" s="17"/>
      <c r="E1910" s="14"/>
      <c r="F1910" s="14"/>
      <c r="G1910" s="14"/>
      <c r="H1910" s="14"/>
      <c r="I1910" s="14"/>
      <c r="J1910" s="14"/>
      <c r="K1910" s="14"/>
      <c r="L1910" s="14"/>
      <c r="M1910" s="15"/>
      <c r="N1910" s="15"/>
      <c r="O1910" s="14"/>
      <c r="P1910" s="14"/>
    </row>
    <row r="1911">
      <c r="A1911" s="14"/>
      <c r="B1911" s="17"/>
      <c r="C1911" s="17"/>
      <c r="D1911" s="17"/>
      <c r="E1911" s="14"/>
      <c r="F1911" s="14"/>
      <c r="G1911" s="14"/>
      <c r="H1911" s="14"/>
      <c r="I1911" s="14"/>
      <c r="J1911" s="14"/>
      <c r="K1911" s="14"/>
      <c r="L1911" s="14"/>
      <c r="M1911" s="15"/>
      <c r="N1911" s="15"/>
      <c r="O1911" s="14"/>
      <c r="P1911" s="14"/>
    </row>
    <row r="1912">
      <c r="A1912" s="14"/>
      <c r="B1912" s="17"/>
      <c r="C1912" s="17"/>
      <c r="D1912" s="17"/>
      <c r="E1912" s="14"/>
      <c r="F1912" s="14"/>
      <c r="G1912" s="14"/>
      <c r="H1912" s="14"/>
      <c r="I1912" s="14"/>
      <c r="J1912" s="14"/>
      <c r="K1912" s="14"/>
      <c r="L1912" s="14"/>
      <c r="M1912" s="15"/>
      <c r="N1912" s="15"/>
      <c r="O1912" s="14"/>
      <c r="P1912" s="14"/>
    </row>
    <row r="1913">
      <c r="A1913" s="14"/>
      <c r="B1913" s="17"/>
      <c r="C1913" s="17"/>
      <c r="D1913" s="17"/>
      <c r="E1913" s="14"/>
      <c r="F1913" s="14"/>
      <c r="G1913" s="14"/>
      <c r="H1913" s="14"/>
      <c r="I1913" s="14"/>
      <c r="J1913" s="14"/>
      <c r="K1913" s="14"/>
      <c r="L1913" s="14"/>
      <c r="M1913" s="15"/>
      <c r="N1913" s="15"/>
      <c r="O1913" s="14"/>
      <c r="P1913" s="14"/>
    </row>
    <row r="1914">
      <c r="A1914" s="14"/>
      <c r="B1914" s="17"/>
      <c r="C1914" s="17"/>
      <c r="D1914" s="17"/>
      <c r="E1914" s="14"/>
      <c r="F1914" s="14"/>
      <c r="G1914" s="14"/>
      <c r="H1914" s="14"/>
      <c r="I1914" s="14"/>
      <c r="J1914" s="14"/>
      <c r="K1914" s="14"/>
      <c r="L1914" s="14"/>
      <c r="M1914" s="15"/>
      <c r="N1914" s="15"/>
      <c r="O1914" s="14"/>
      <c r="P1914" s="14"/>
    </row>
    <row r="1915">
      <c r="A1915" s="14"/>
      <c r="B1915" s="17"/>
      <c r="C1915" s="17"/>
      <c r="D1915" s="17"/>
      <c r="E1915" s="14"/>
      <c r="F1915" s="14"/>
      <c r="G1915" s="14"/>
      <c r="H1915" s="14"/>
      <c r="I1915" s="14"/>
      <c r="J1915" s="14"/>
      <c r="K1915" s="14"/>
      <c r="L1915" s="14"/>
      <c r="M1915" s="15"/>
      <c r="N1915" s="15"/>
      <c r="O1915" s="14"/>
      <c r="P1915" s="14"/>
    </row>
    <row r="1916">
      <c r="A1916" s="14"/>
      <c r="B1916" s="17"/>
      <c r="C1916" s="17"/>
      <c r="D1916" s="17"/>
      <c r="E1916" s="14"/>
      <c r="F1916" s="14"/>
      <c r="G1916" s="14"/>
      <c r="H1916" s="14"/>
      <c r="I1916" s="14"/>
      <c r="J1916" s="14"/>
      <c r="K1916" s="14"/>
      <c r="L1916" s="14"/>
      <c r="M1916" s="15"/>
      <c r="N1916" s="15"/>
      <c r="O1916" s="14"/>
      <c r="P1916" s="14"/>
    </row>
    <row r="1917">
      <c r="A1917" s="14"/>
      <c r="B1917" s="17"/>
      <c r="C1917" s="17"/>
      <c r="D1917" s="17"/>
      <c r="E1917" s="14"/>
      <c r="F1917" s="14"/>
      <c r="G1917" s="14"/>
      <c r="H1917" s="14"/>
      <c r="I1917" s="14"/>
      <c r="J1917" s="14"/>
      <c r="K1917" s="14"/>
      <c r="L1917" s="14"/>
      <c r="M1917" s="15"/>
      <c r="N1917" s="15"/>
      <c r="O1917" s="14"/>
      <c r="P1917" s="14"/>
    </row>
    <row r="1918">
      <c r="A1918" s="14"/>
      <c r="B1918" s="17"/>
      <c r="C1918" s="17"/>
      <c r="D1918" s="17"/>
      <c r="E1918" s="14"/>
      <c r="F1918" s="14"/>
      <c r="G1918" s="14"/>
      <c r="H1918" s="14"/>
      <c r="I1918" s="14"/>
      <c r="J1918" s="14"/>
      <c r="K1918" s="14"/>
      <c r="L1918" s="14"/>
      <c r="M1918" s="15"/>
      <c r="N1918" s="15"/>
      <c r="O1918" s="14"/>
      <c r="P1918" s="14"/>
    </row>
    <row r="1919">
      <c r="A1919" s="14"/>
      <c r="B1919" s="17"/>
      <c r="C1919" s="17"/>
      <c r="D1919" s="17"/>
      <c r="E1919" s="14"/>
      <c r="F1919" s="14"/>
      <c r="G1919" s="14"/>
      <c r="H1919" s="14"/>
      <c r="I1919" s="14"/>
      <c r="J1919" s="14"/>
      <c r="K1919" s="14"/>
      <c r="L1919" s="14"/>
      <c r="M1919" s="15"/>
      <c r="N1919" s="15"/>
      <c r="O1919" s="14"/>
      <c r="P1919" s="14"/>
    </row>
    <row r="1920">
      <c r="A1920" s="14"/>
      <c r="B1920" s="17"/>
      <c r="C1920" s="17"/>
      <c r="D1920" s="17"/>
      <c r="E1920" s="14"/>
      <c r="F1920" s="14"/>
      <c r="G1920" s="14"/>
      <c r="H1920" s="14"/>
      <c r="I1920" s="14"/>
      <c r="J1920" s="14"/>
      <c r="K1920" s="14"/>
      <c r="L1920" s="14"/>
      <c r="M1920" s="15"/>
      <c r="N1920" s="15"/>
      <c r="O1920" s="14"/>
      <c r="P1920" s="14"/>
    </row>
    <row r="1921">
      <c r="A1921" s="14"/>
      <c r="B1921" s="17"/>
      <c r="C1921" s="17"/>
      <c r="D1921" s="17"/>
      <c r="E1921" s="14"/>
      <c r="F1921" s="14"/>
      <c r="G1921" s="14"/>
      <c r="H1921" s="14"/>
      <c r="I1921" s="14"/>
      <c r="J1921" s="14"/>
      <c r="K1921" s="14"/>
      <c r="L1921" s="14"/>
      <c r="M1921" s="15"/>
      <c r="N1921" s="15"/>
      <c r="O1921" s="14"/>
      <c r="P1921" s="14"/>
    </row>
    <row r="1922">
      <c r="A1922" s="14"/>
      <c r="B1922" s="17"/>
      <c r="C1922" s="17"/>
      <c r="D1922" s="17"/>
      <c r="E1922" s="14"/>
      <c r="F1922" s="14"/>
      <c r="G1922" s="14"/>
      <c r="H1922" s="14"/>
      <c r="I1922" s="14"/>
      <c r="J1922" s="14"/>
      <c r="K1922" s="14"/>
      <c r="L1922" s="14"/>
      <c r="M1922" s="15"/>
      <c r="N1922" s="15"/>
      <c r="O1922" s="14"/>
      <c r="P1922" s="14"/>
    </row>
    <row r="1923">
      <c r="A1923" s="14"/>
      <c r="B1923" s="17"/>
      <c r="C1923" s="17"/>
      <c r="D1923" s="17"/>
      <c r="E1923" s="14"/>
      <c r="F1923" s="14"/>
      <c r="G1923" s="14"/>
      <c r="H1923" s="14"/>
      <c r="I1923" s="14"/>
      <c r="J1923" s="14"/>
      <c r="K1923" s="14"/>
      <c r="L1923" s="14"/>
      <c r="M1923" s="15"/>
      <c r="N1923" s="15"/>
      <c r="O1923" s="14"/>
      <c r="P1923" s="14"/>
    </row>
    <row r="1924">
      <c r="A1924" s="14"/>
      <c r="B1924" s="17"/>
      <c r="C1924" s="17"/>
      <c r="D1924" s="17"/>
      <c r="E1924" s="14"/>
      <c r="F1924" s="14"/>
      <c r="G1924" s="14"/>
      <c r="H1924" s="14"/>
      <c r="I1924" s="14"/>
      <c r="J1924" s="14"/>
      <c r="K1924" s="14"/>
      <c r="L1924" s="14"/>
      <c r="M1924" s="15"/>
      <c r="N1924" s="15"/>
      <c r="O1924" s="14"/>
      <c r="P1924" s="14"/>
    </row>
    <row r="1925">
      <c r="A1925" s="14"/>
      <c r="B1925" s="17"/>
      <c r="C1925" s="17"/>
      <c r="D1925" s="17"/>
      <c r="E1925" s="14"/>
      <c r="F1925" s="14"/>
      <c r="G1925" s="14"/>
      <c r="H1925" s="14"/>
      <c r="I1925" s="14"/>
      <c r="J1925" s="14"/>
      <c r="K1925" s="14"/>
      <c r="L1925" s="14"/>
      <c r="M1925" s="15"/>
      <c r="N1925" s="15"/>
      <c r="O1925" s="14"/>
      <c r="P1925" s="14"/>
    </row>
    <row r="1926">
      <c r="A1926" s="14"/>
      <c r="B1926" s="17"/>
      <c r="C1926" s="17"/>
      <c r="D1926" s="17"/>
      <c r="E1926" s="14"/>
      <c r="F1926" s="14"/>
      <c r="G1926" s="14"/>
      <c r="H1926" s="14"/>
      <c r="I1926" s="14"/>
      <c r="J1926" s="14"/>
      <c r="K1926" s="14"/>
      <c r="L1926" s="14"/>
      <c r="M1926" s="15"/>
      <c r="N1926" s="15"/>
      <c r="O1926" s="14"/>
      <c r="P1926" s="14"/>
    </row>
    <row r="1927">
      <c r="A1927" s="14"/>
      <c r="B1927" s="17"/>
      <c r="C1927" s="17"/>
      <c r="D1927" s="17"/>
      <c r="E1927" s="14"/>
      <c r="F1927" s="14"/>
      <c r="G1927" s="14"/>
      <c r="H1927" s="14"/>
      <c r="I1927" s="14"/>
      <c r="J1927" s="14"/>
      <c r="K1927" s="14"/>
      <c r="L1927" s="14"/>
      <c r="M1927" s="15"/>
      <c r="N1927" s="15"/>
      <c r="O1927" s="14"/>
      <c r="P1927" s="14"/>
    </row>
    <row r="1928">
      <c r="A1928" s="14"/>
      <c r="B1928" s="17"/>
      <c r="C1928" s="17"/>
      <c r="D1928" s="17"/>
      <c r="E1928" s="14"/>
      <c r="F1928" s="14"/>
      <c r="G1928" s="14"/>
      <c r="H1928" s="14"/>
      <c r="I1928" s="14"/>
      <c r="J1928" s="14"/>
      <c r="K1928" s="14"/>
      <c r="L1928" s="14"/>
      <c r="M1928" s="15"/>
      <c r="N1928" s="15"/>
      <c r="O1928" s="14"/>
      <c r="P1928" s="14"/>
    </row>
    <row r="1929">
      <c r="A1929" s="14"/>
      <c r="B1929" s="17"/>
      <c r="C1929" s="17"/>
      <c r="D1929" s="17"/>
      <c r="E1929" s="14"/>
      <c r="F1929" s="14"/>
      <c r="G1929" s="14"/>
      <c r="H1929" s="14"/>
      <c r="I1929" s="14"/>
      <c r="J1929" s="14"/>
      <c r="K1929" s="14"/>
      <c r="L1929" s="14"/>
      <c r="M1929" s="15"/>
      <c r="N1929" s="15"/>
      <c r="O1929" s="14"/>
      <c r="P1929" s="14"/>
    </row>
    <row r="1930">
      <c r="A1930" s="14"/>
      <c r="B1930" s="17"/>
      <c r="C1930" s="17"/>
      <c r="D1930" s="17"/>
      <c r="E1930" s="14"/>
      <c r="F1930" s="14"/>
      <c r="G1930" s="14"/>
      <c r="H1930" s="14"/>
      <c r="I1930" s="14"/>
      <c r="J1930" s="14"/>
      <c r="K1930" s="14"/>
      <c r="L1930" s="14"/>
      <c r="M1930" s="15"/>
      <c r="N1930" s="15"/>
      <c r="O1930" s="14"/>
      <c r="P1930" s="14"/>
    </row>
    <row r="1931">
      <c r="A1931" s="14"/>
      <c r="B1931" s="17"/>
      <c r="C1931" s="17"/>
      <c r="D1931" s="17"/>
      <c r="E1931" s="14"/>
      <c r="F1931" s="14"/>
      <c r="G1931" s="14"/>
      <c r="H1931" s="14"/>
      <c r="I1931" s="14"/>
      <c r="J1931" s="14"/>
      <c r="K1931" s="14"/>
      <c r="L1931" s="14"/>
      <c r="M1931" s="15"/>
      <c r="N1931" s="15"/>
      <c r="O1931" s="14"/>
      <c r="P1931" s="14"/>
    </row>
    <row r="1932">
      <c r="A1932" s="14"/>
      <c r="B1932" s="17"/>
      <c r="C1932" s="17"/>
      <c r="D1932" s="17"/>
      <c r="E1932" s="14"/>
      <c r="F1932" s="14"/>
      <c r="G1932" s="14"/>
      <c r="H1932" s="14"/>
      <c r="I1932" s="14"/>
      <c r="J1932" s="14"/>
      <c r="K1932" s="14"/>
      <c r="L1932" s="14"/>
      <c r="M1932" s="15"/>
      <c r="N1932" s="15"/>
      <c r="O1932" s="14"/>
      <c r="P1932" s="14"/>
    </row>
    <row r="1933">
      <c r="A1933" s="14"/>
      <c r="B1933" s="17"/>
      <c r="C1933" s="17"/>
      <c r="D1933" s="17"/>
      <c r="E1933" s="14"/>
      <c r="F1933" s="14"/>
      <c r="G1933" s="14"/>
      <c r="H1933" s="14"/>
      <c r="I1933" s="14"/>
      <c r="J1933" s="14"/>
      <c r="K1933" s="14"/>
      <c r="L1933" s="14"/>
      <c r="M1933" s="15"/>
      <c r="N1933" s="15"/>
      <c r="O1933" s="14"/>
      <c r="P1933" s="14"/>
    </row>
    <row r="1934">
      <c r="A1934" s="14"/>
      <c r="B1934" s="17"/>
      <c r="C1934" s="17"/>
      <c r="D1934" s="17"/>
      <c r="E1934" s="14"/>
      <c r="F1934" s="14"/>
      <c r="G1934" s="14"/>
      <c r="H1934" s="14"/>
      <c r="I1934" s="14"/>
      <c r="J1934" s="14"/>
      <c r="K1934" s="14"/>
      <c r="L1934" s="14"/>
      <c r="M1934" s="15"/>
      <c r="N1934" s="15"/>
      <c r="O1934" s="14"/>
      <c r="P1934" s="14"/>
    </row>
    <row r="1935">
      <c r="A1935" s="14"/>
      <c r="B1935" s="17"/>
      <c r="C1935" s="17"/>
      <c r="D1935" s="17"/>
      <c r="E1935" s="14"/>
      <c r="F1935" s="14"/>
      <c r="G1935" s="14"/>
      <c r="H1935" s="14"/>
      <c r="I1935" s="14"/>
      <c r="J1935" s="14"/>
      <c r="K1935" s="14"/>
      <c r="L1935" s="14"/>
      <c r="M1935" s="15"/>
      <c r="N1935" s="15"/>
      <c r="O1935" s="14"/>
      <c r="P1935" s="14"/>
    </row>
    <row r="1936">
      <c r="A1936" s="14"/>
      <c r="B1936" s="17"/>
      <c r="C1936" s="17"/>
      <c r="D1936" s="17"/>
      <c r="E1936" s="14"/>
      <c r="F1936" s="14"/>
      <c r="G1936" s="14"/>
      <c r="H1936" s="14"/>
      <c r="I1936" s="14"/>
      <c r="J1936" s="14"/>
      <c r="K1936" s="14"/>
      <c r="L1936" s="14"/>
      <c r="M1936" s="15"/>
      <c r="N1936" s="15"/>
      <c r="O1936" s="14"/>
      <c r="P1936" s="14"/>
    </row>
    <row r="1937">
      <c r="A1937" s="14"/>
      <c r="B1937" s="17"/>
      <c r="C1937" s="17"/>
      <c r="D1937" s="17"/>
      <c r="E1937" s="14"/>
      <c r="F1937" s="14"/>
      <c r="G1937" s="14"/>
      <c r="H1937" s="14"/>
      <c r="I1937" s="14"/>
      <c r="J1937" s="14"/>
      <c r="K1937" s="14"/>
      <c r="L1937" s="14"/>
      <c r="M1937" s="15"/>
      <c r="N1937" s="15"/>
      <c r="O1937" s="14"/>
      <c r="P1937" s="14"/>
    </row>
    <row r="1938">
      <c r="A1938" s="14"/>
      <c r="B1938" s="17"/>
      <c r="C1938" s="17"/>
      <c r="D1938" s="17"/>
      <c r="E1938" s="14"/>
      <c r="F1938" s="14"/>
      <c r="G1938" s="14"/>
      <c r="H1938" s="14"/>
      <c r="I1938" s="14"/>
      <c r="J1938" s="14"/>
      <c r="K1938" s="14"/>
      <c r="L1938" s="14"/>
      <c r="M1938" s="15"/>
      <c r="N1938" s="15"/>
      <c r="O1938" s="14"/>
      <c r="P1938" s="14"/>
    </row>
    <row r="1939">
      <c r="A1939" s="14"/>
      <c r="B1939" s="17"/>
      <c r="C1939" s="17"/>
      <c r="D1939" s="17"/>
      <c r="E1939" s="14"/>
      <c r="F1939" s="14"/>
      <c r="G1939" s="14"/>
      <c r="H1939" s="14"/>
      <c r="I1939" s="14"/>
      <c r="J1939" s="14"/>
      <c r="K1939" s="14"/>
      <c r="L1939" s="14"/>
      <c r="M1939" s="15"/>
      <c r="N1939" s="15"/>
      <c r="O1939" s="14"/>
      <c r="P1939" s="14"/>
    </row>
    <row r="1940">
      <c r="A1940" s="14"/>
      <c r="B1940" s="17"/>
      <c r="C1940" s="17"/>
      <c r="D1940" s="17"/>
      <c r="E1940" s="14"/>
      <c r="F1940" s="14"/>
      <c r="G1940" s="14"/>
      <c r="H1940" s="14"/>
      <c r="I1940" s="14"/>
      <c r="J1940" s="14"/>
      <c r="K1940" s="14"/>
      <c r="L1940" s="14"/>
      <c r="M1940" s="15"/>
      <c r="N1940" s="15"/>
      <c r="O1940" s="14"/>
      <c r="P1940" s="14"/>
    </row>
    <row r="1941">
      <c r="A1941" s="14"/>
      <c r="B1941" s="17"/>
      <c r="C1941" s="17"/>
      <c r="D1941" s="17"/>
      <c r="E1941" s="14"/>
      <c r="F1941" s="14"/>
      <c r="G1941" s="14"/>
      <c r="H1941" s="14"/>
      <c r="I1941" s="14"/>
      <c r="J1941" s="14"/>
      <c r="K1941" s="14"/>
      <c r="L1941" s="14"/>
      <c r="M1941" s="15"/>
      <c r="N1941" s="15"/>
      <c r="O1941" s="14"/>
      <c r="P1941" s="14"/>
    </row>
    <row r="1942">
      <c r="A1942" s="14"/>
      <c r="B1942" s="17"/>
      <c r="C1942" s="17"/>
      <c r="D1942" s="17"/>
      <c r="E1942" s="14"/>
      <c r="F1942" s="14"/>
      <c r="G1942" s="14"/>
      <c r="H1942" s="14"/>
      <c r="I1942" s="14"/>
      <c r="J1942" s="14"/>
      <c r="K1942" s="14"/>
      <c r="L1942" s="14"/>
      <c r="M1942" s="15"/>
      <c r="N1942" s="15"/>
      <c r="O1942" s="14"/>
      <c r="P1942" s="14"/>
    </row>
    <row r="1943">
      <c r="A1943" s="14"/>
      <c r="B1943" s="17"/>
      <c r="C1943" s="17"/>
      <c r="D1943" s="17"/>
      <c r="E1943" s="14"/>
      <c r="F1943" s="14"/>
      <c r="G1943" s="14"/>
      <c r="H1943" s="14"/>
      <c r="I1943" s="14"/>
      <c r="J1943" s="14"/>
      <c r="K1943" s="14"/>
      <c r="L1943" s="14"/>
      <c r="M1943" s="15"/>
      <c r="N1943" s="15"/>
      <c r="O1943" s="14"/>
      <c r="P1943" s="14"/>
    </row>
    <row r="1944">
      <c r="A1944" s="14"/>
      <c r="B1944" s="17"/>
      <c r="C1944" s="17"/>
      <c r="D1944" s="17"/>
      <c r="E1944" s="14"/>
      <c r="F1944" s="14"/>
      <c r="G1944" s="14"/>
      <c r="H1944" s="14"/>
      <c r="I1944" s="14"/>
      <c r="J1944" s="14"/>
      <c r="K1944" s="14"/>
      <c r="L1944" s="14"/>
      <c r="M1944" s="15"/>
      <c r="N1944" s="15"/>
      <c r="O1944" s="14"/>
      <c r="P1944" s="14"/>
    </row>
    <row r="1945">
      <c r="A1945" s="14"/>
      <c r="B1945" s="17"/>
      <c r="C1945" s="17"/>
      <c r="D1945" s="17"/>
      <c r="E1945" s="14"/>
      <c r="F1945" s="14"/>
      <c r="G1945" s="14"/>
      <c r="H1945" s="14"/>
      <c r="I1945" s="14"/>
      <c r="J1945" s="14"/>
      <c r="K1945" s="14"/>
      <c r="L1945" s="14"/>
      <c r="M1945" s="15"/>
      <c r="N1945" s="15"/>
      <c r="O1945" s="14"/>
      <c r="P1945" s="14"/>
    </row>
    <row r="1946">
      <c r="A1946" s="14"/>
      <c r="B1946" s="17"/>
      <c r="C1946" s="17"/>
      <c r="D1946" s="17"/>
      <c r="E1946" s="14"/>
      <c r="F1946" s="14"/>
      <c r="G1946" s="14"/>
      <c r="H1946" s="14"/>
      <c r="I1946" s="14"/>
      <c r="J1946" s="14"/>
      <c r="K1946" s="14"/>
      <c r="L1946" s="14"/>
      <c r="M1946" s="15"/>
      <c r="N1946" s="15"/>
      <c r="O1946" s="14"/>
      <c r="P1946" s="14"/>
    </row>
    <row r="1947">
      <c r="A1947" s="14"/>
      <c r="B1947" s="17"/>
      <c r="C1947" s="17"/>
      <c r="D1947" s="17"/>
      <c r="E1947" s="14"/>
      <c r="F1947" s="14"/>
      <c r="G1947" s="14"/>
      <c r="H1947" s="14"/>
      <c r="I1947" s="14"/>
      <c r="J1947" s="14"/>
      <c r="K1947" s="14"/>
      <c r="L1947" s="14"/>
      <c r="M1947" s="15"/>
      <c r="N1947" s="15"/>
      <c r="O1947" s="14"/>
      <c r="P1947" s="14"/>
    </row>
    <row r="1948">
      <c r="A1948" s="14"/>
      <c r="B1948" s="17"/>
      <c r="C1948" s="17"/>
      <c r="D1948" s="17"/>
      <c r="E1948" s="14"/>
      <c r="F1948" s="14"/>
      <c r="G1948" s="14"/>
      <c r="H1948" s="14"/>
      <c r="I1948" s="14"/>
      <c r="J1948" s="14"/>
      <c r="K1948" s="14"/>
      <c r="L1948" s="14"/>
      <c r="M1948" s="15"/>
      <c r="N1948" s="15"/>
      <c r="O1948" s="14"/>
      <c r="P1948" s="14"/>
    </row>
    <row r="1949">
      <c r="A1949" s="14"/>
      <c r="B1949" s="17"/>
      <c r="C1949" s="17"/>
      <c r="D1949" s="17"/>
      <c r="E1949" s="14"/>
      <c r="F1949" s="14"/>
      <c r="G1949" s="14"/>
      <c r="H1949" s="14"/>
      <c r="I1949" s="14"/>
      <c r="J1949" s="14"/>
      <c r="K1949" s="14"/>
      <c r="L1949" s="14"/>
      <c r="M1949" s="15"/>
      <c r="N1949" s="15"/>
      <c r="O1949" s="14"/>
      <c r="P1949" s="14"/>
    </row>
    <row r="1950">
      <c r="A1950" s="14"/>
      <c r="B1950" s="17"/>
      <c r="C1950" s="17"/>
      <c r="D1950" s="17"/>
      <c r="E1950" s="14"/>
      <c r="F1950" s="14"/>
      <c r="G1950" s="14"/>
      <c r="H1950" s="14"/>
      <c r="I1950" s="14"/>
      <c r="J1950" s="14"/>
      <c r="K1950" s="14"/>
      <c r="L1950" s="14"/>
      <c r="M1950" s="15"/>
      <c r="N1950" s="15"/>
      <c r="O1950" s="14"/>
      <c r="P1950" s="14"/>
    </row>
    <row r="1951">
      <c r="A1951" s="14"/>
      <c r="B1951" s="17"/>
      <c r="C1951" s="17"/>
      <c r="D1951" s="17"/>
      <c r="E1951" s="14"/>
      <c r="F1951" s="14"/>
      <c r="G1951" s="14"/>
      <c r="H1951" s="14"/>
      <c r="I1951" s="14"/>
      <c r="J1951" s="14"/>
      <c r="K1951" s="14"/>
      <c r="L1951" s="14"/>
      <c r="M1951" s="15"/>
      <c r="N1951" s="15"/>
      <c r="O1951" s="14"/>
      <c r="P1951" s="14"/>
    </row>
    <row r="1952">
      <c r="A1952" s="14"/>
      <c r="B1952" s="17"/>
      <c r="C1952" s="17"/>
      <c r="D1952" s="17"/>
      <c r="E1952" s="14"/>
      <c r="F1952" s="14"/>
      <c r="G1952" s="14"/>
      <c r="H1952" s="14"/>
      <c r="I1952" s="14"/>
      <c r="J1952" s="14"/>
      <c r="K1952" s="14"/>
      <c r="L1952" s="14"/>
      <c r="M1952" s="15"/>
      <c r="N1952" s="15"/>
      <c r="O1952" s="14"/>
      <c r="P1952" s="14"/>
    </row>
    <row r="1953">
      <c r="A1953" s="14"/>
      <c r="B1953" s="17"/>
      <c r="C1953" s="17"/>
      <c r="D1953" s="17"/>
      <c r="E1953" s="14"/>
      <c r="F1953" s="14"/>
      <c r="G1953" s="14"/>
      <c r="H1953" s="14"/>
      <c r="I1953" s="14"/>
      <c r="J1953" s="14"/>
      <c r="K1953" s="14"/>
      <c r="L1953" s="14"/>
      <c r="M1953" s="15"/>
      <c r="N1953" s="15"/>
      <c r="O1953" s="14"/>
      <c r="P1953" s="14"/>
    </row>
    <row r="1954">
      <c r="A1954" s="14"/>
      <c r="B1954" s="17"/>
      <c r="C1954" s="17"/>
      <c r="D1954" s="17"/>
      <c r="E1954" s="14"/>
      <c r="F1954" s="14"/>
      <c r="G1954" s="14"/>
      <c r="H1954" s="14"/>
      <c r="I1954" s="14"/>
      <c r="J1954" s="14"/>
      <c r="K1954" s="14"/>
      <c r="L1954" s="14"/>
      <c r="M1954" s="15"/>
      <c r="N1954" s="15"/>
      <c r="O1954" s="14"/>
      <c r="P1954" s="14"/>
    </row>
    <row r="1955">
      <c r="A1955" s="14"/>
      <c r="B1955" s="17"/>
      <c r="C1955" s="17"/>
      <c r="D1955" s="17"/>
      <c r="E1955" s="14"/>
      <c r="F1955" s="14"/>
      <c r="G1955" s="14"/>
      <c r="H1955" s="14"/>
      <c r="I1955" s="14"/>
      <c r="J1955" s="14"/>
      <c r="K1955" s="14"/>
      <c r="L1955" s="14"/>
      <c r="M1955" s="15"/>
      <c r="N1955" s="15"/>
      <c r="O1955" s="14"/>
      <c r="P1955" s="14"/>
    </row>
    <row r="1956">
      <c r="A1956" s="14"/>
      <c r="B1956" s="17"/>
      <c r="C1956" s="17"/>
      <c r="D1956" s="17"/>
      <c r="E1956" s="14"/>
      <c r="F1956" s="14"/>
      <c r="G1956" s="14"/>
      <c r="H1956" s="14"/>
      <c r="I1956" s="14"/>
      <c r="J1956" s="14"/>
      <c r="K1956" s="14"/>
      <c r="L1956" s="14"/>
      <c r="M1956" s="15"/>
      <c r="N1956" s="15"/>
      <c r="O1956" s="14"/>
      <c r="P1956" s="14"/>
    </row>
    <row r="1957">
      <c r="A1957" s="14"/>
      <c r="B1957" s="17"/>
      <c r="C1957" s="17"/>
      <c r="D1957" s="17"/>
      <c r="E1957" s="14"/>
      <c r="F1957" s="14"/>
      <c r="G1957" s="14"/>
      <c r="H1957" s="14"/>
      <c r="I1957" s="14"/>
      <c r="J1957" s="14"/>
      <c r="K1957" s="14"/>
      <c r="L1957" s="14"/>
      <c r="M1957" s="15"/>
      <c r="N1957" s="15"/>
      <c r="O1957" s="14"/>
      <c r="P1957" s="14"/>
    </row>
    <row r="1958">
      <c r="A1958" s="14"/>
      <c r="B1958" s="17"/>
      <c r="C1958" s="17"/>
      <c r="D1958" s="17"/>
      <c r="E1958" s="14"/>
      <c r="F1958" s="14"/>
      <c r="G1958" s="14"/>
      <c r="H1958" s="14"/>
      <c r="I1958" s="14"/>
      <c r="J1958" s="14"/>
      <c r="K1958" s="14"/>
      <c r="L1958" s="14"/>
      <c r="M1958" s="15"/>
      <c r="N1958" s="15"/>
      <c r="O1958" s="14"/>
      <c r="P1958" s="14"/>
    </row>
    <row r="1959">
      <c r="A1959" s="14"/>
      <c r="B1959" s="17"/>
      <c r="C1959" s="17"/>
      <c r="D1959" s="17"/>
      <c r="E1959" s="14"/>
      <c r="F1959" s="14"/>
      <c r="G1959" s="14"/>
      <c r="H1959" s="14"/>
      <c r="I1959" s="14"/>
      <c r="J1959" s="14"/>
      <c r="K1959" s="14"/>
      <c r="L1959" s="14"/>
      <c r="M1959" s="15"/>
      <c r="N1959" s="15"/>
      <c r="O1959" s="14"/>
      <c r="P1959" s="14"/>
    </row>
    <row r="1960">
      <c r="A1960" s="14"/>
      <c r="B1960" s="17"/>
      <c r="C1960" s="17"/>
      <c r="D1960" s="17"/>
      <c r="E1960" s="14"/>
      <c r="F1960" s="14"/>
      <c r="G1960" s="14"/>
      <c r="H1960" s="14"/>
      <c r="I1960" s="14"/>
      <c r="J1960" s="14"/>
      <c r="K1960" s="14"/>
      <c r="L1960" s="14"/>
      <c r="M1960" s="15"/>
      <c r="N1960" s="15"/>
      <c r="O1960" s="14"/>
      <c r="P1960" s="14"/>
    </row>
    <row r="1961">
      <c r="A1961" s="14"/>
      <c r="B1961" s="17"/>
      <c r="C1961" s="17"/>
      <c r="D1961" s="17"/>
      <c r="E1961" s="14"/>
      <c r="F1961" s="14"/>
      <c r="G1961" s="14"/>
      <c r="H1961" s="14"/>
      <c r="I1961" s="14"/>
      <c r="J1961" s="14"/>
      <c r="K1961" s="14"/>
      <c r="L1961" s="14"/>
      <c r="M1961" s="15"/>
      <c r="N1961" s="15"/>
      <c r="O1961" s="14"/>
      <c r="P1961" s="14"/>
    </row>
    <row r="1962">
      <c r="A1962" s="14"/>
      <c r="B1962" s="17"/>
      <c r="C1962" s="17"/>
      <c r="D1962" s="17"/>
      <c r="E1962" s="14"/>
      <c r="F1962" s="14"/>
      <c r="G1962" s="14"/>
      <c r="H1962" s="14"/>
      <c r="I1962" s="14"/>
      <c r="J1962" s="14"/>
      <c r="K1962" s="14"/>
      <c r="L1962" s="14"/>
      <c r="M1962" s="15"/>
      <c r="N1962" s="15"/>
      <c r="O1962" s="14"/>
      <c r="P1962" s="14"/>
    </row>
    <row r="1963">
      <c r="A1963" s="14"/>
      <c r="B1963" s="17"/>
      <c r="C1963" s="17"/>
      <c r="D1963" s="17"/>
      <c r="E1963" s="14"/>
      <c r="F1963" s="14"/>
      <c r="G1963" s="14"/>
      <c r="H1963" s="14"/>
      <c r="I1963" s="14"/>
      <c r="J1963" s="14"/>
      <c r="K1963" s="14"/>
      <c r="L1963" s="14"/>
      <c r="M1963" s="15"/>
      <c r="N1963" s="15"/>
      <c r="O1963" s="14"/>
      <c r="P1963" s="14"/>
    </row>
    <row r="1964">
      <c r="A1964" s="14"/>
      <c r="B1964" s="17"/>
      <c r="C1964" s="17"/>
      <c r="D1964" s="17"/>
      <c r="E1964" s="14"/>
      <c r="F1964" s="14"/>
      <c r="G1964" s="14"/>
      <c r="H1964" s="14"/>
      <c r="I1964" s="14"/>
      <c r="J1964" s="14"/>
      <c r="K1964" s="14"/>
      <c r="L1964" s="14"/>
      <c r="M1964" s="15"/>
      <c r="N1964" s="15"/>
      <c r="O1964" s="14"/>
      <c r="P1964" s="14"/>
    </row>
    <row r="1965">
      <c r="A1965" s="14"/>
      <c r="B1965" s="17"/>
      <c r="C1965" s="17"/>
      <c r="D1965" s="17"/>
      <c r="E1965" s="14"/>
      <c r="F1965" s="14"/>
      <c r="G1965" s="14"/>
      <c r="H1965" s="14"/>
      <c r="I1965" s="14"/>
      <c r="J1965" s="14"/>
      <c r="K1965" s="14"/>
      <c r="L1965" s="14"/>
      <c r="M1965" s="15"/>
      <c r="N1965" s="15"/>
      <c r="O1965" s="14"/>
      <c r="P1965" s="14"/>
    </row>
    <row r="1966">
      <c r="A1966" s="14"/>
      <c r="B1966" s="17"/>
      <c r="C1966" s="17"/>
      <c r="D1966" s="17"/>
      <c r="E1966" s="14"/>
      <c r="F1966" s="14"/>
      <c r="G1966" s="14"/>
      <c r="H1966" s="14"/>
      <c r="I1966" s="14"/>
      <c r="J1966" s="14"/>
      <c r="K1966" s="14"/>
      <c r="L1966" s="14"/>
      <c r="M1966" s="15"/>
      <c r="N1966" s="15"/>
      <c r="O1966" s="14"/>
      <c r="P1966" s="14"/>
    </row>
    <row r="1967">
      <c r="A1967" s="14"/>
      <c r="B1967" s="17"/>
      <c r="C1967" s="17"/>
      <c r="D1967" s="17"/>
      <c r="E1967" s="14"/>
      <c r="F1967" s="14"/>
      <c r="G1967" s="14"/>
      <c r="H1967" s="14"/>
      <c r="I1967" s="14"/>
      <c r="J1967" s="14"/>
      <c r="K1967" s="14"/>
      <c r="L1967" s="14"/>
      <c r="M1967" s="15"/>
      <c r="N1967" s="15"/>
      <c r="O1967" s="14"/>
      <c r="P1967" s="14"/>
    </row>
    <row r="1968">
      <c r="A1968" s="14"/>
      <c r="B1968" s="17"/>
      <c r="C1968" s="17"/>
      <c r="D1968" s="17"/>
      <c r="E1968" s="14"/>
      <c r="F1968" s="14"/>
      <c r="G1968" s="14"/>
      <c r="H1968" s="14"/>
      <c r="I1968" s="14"/>
      <c r="J1968" s="14"/>
      <c r="K1968" s="14"/>
      <c r="L1968" s="14"/>
      <c r="M1968" s="15"/>
      <c r="N1968" s="15"/>
      <c r="O1968" s="14"/>
      <c r="P1968" s="14"/>
    </row>
    <row r="1969">
      <c r="A1969" s="14"/>
      <c r="B1969" s="17"/>
      <c r="C1969" s="17"/>
      <c r="D1969" s="17"/>
      <c r="E1969" s="14"/>
      <c r="F1969" s="14"/>
      <c r="G1969" s="14"/>
      <c r="H1969" s="14"/>
      <c r="I1969" s="14"/>
      <c r="J1969" s="14"/>
      <c r="K1969" s="14"/>
      <c r="L1969" s="14"/>
      <c r="M1969" s="15"/>
      <c r="N1969" s="15"/>
      <c r="O1969" s="14"/>
      <c r="P1969" s="14"/>
    </row>
    <row r="1970">
      <c r="A1970" s="14"/>
      <c r="B1970" s="17"/>
      <c r="C1970" s="17"/>
      <c r="D1970" s="17"/>
      <c r="E1970" s="14"/>
      <c r="F1970" s="14"/>
      <c r="G1970" s="14"/>
      <c r="H1970" s="14"/>
      <c r="I1970" s="14"/>
      <c r="J1970" s="14"/>
      <c r="K1970" s="14"/>
      <c r="L1970" s="14"/>
      <c r="M1970" s="15"/>
      <c r="N1970" s="15"/>
      <c r="O1970" s="14"/>
      <c r="P1970" s="14"/>
    </row>
    <row r="1971">
      <c r="A1971" s="14"/>
      <c r="B1971" s="17"/>
      <c r="C1971" s="17"/>
      <c r="D1971" s="17"/>
      <c r="E1971" s="14"/>
      <c r="F1971" s="14"/>
      <c r="G1971" s="14"/>
      <c r="H1971" s="14"/>
      <c r="I1971" s="14"/>
      <c r="J1971" s="14"/>
      <c r="K1971" s="14"/>
      <c r="L1971" s="14"/>
      <c r="M1971" s="15"/>
      <c r="N1971" s="15"/>
      <c r="O1971" s="14"/>
      <c r="P1971" s="14"/>
    </row>
    <row r="1972">
      <c r="A1972" s="14"/>
      <c r="B1972" s="17"/>
      <c r="C1972" s="17"/>
      <c r="D1972" s="17"/>
      <c r="E1972" s="14"/>
      <c r="F1972" s="14"/>
      <c r="G1972" s="14"/>
      <c r="H1972" s="14"/>
      <c r="I1972" s="14"/>
      <c r="J1972" s="14"/>
      <c r="K1972" s="14"/>
      <c r="L1972" s="14"/>
      <c r="M1972" s="15"/>
      <c r="N1972" s="15"/>
      <c r="O1972" s="14"/>
      <c r="P1972" s="14"/>
    </row>
    <row r="1973">
      <c r="A1973" s="14"/>
      <c r="B1973" s="17"/>
      <c r="C1973" s="17"/>
      <c r="D1973" s="17"/>
      <c r="E1973" s="14"/>
      <c r="F1973" s="14"/>
      <c r="G1973" s="14"/>
      <c r="H1973" s="14"/>
      <c r="I1973" s="14"/>
      <c r="J1973" s="14"/>
      <c r="K1973" s="14"/>
      <c r="L1973" s="14"/>
      <c r="M1973" s="15"/>
      <c r="N1973" s="15"/>
      <c r="O1973" s="14"/>
      <c r="P1973" s="14"/>
    </row>
    <row r="1974">
      <c r="A1974" s="14"/>
      <c r="B1974" s="17"/>
      <c r="C1974" s="17"/>
      <c r="D1974" s="17"/>
      <c r="E1974" s="14"/>
      <c r="F1974" s="14"/>
      <c r="G1974" s="14"/>
      <c r="H1974" s="14"/>
      <c r="I1974" s="14"/>
      <c r="J1974" s="14"/>
      <c r="K1974" s="14"/>
      <c r="L1974" s="14"/>
      <c r="M1974" s="15"/>
      <c r="N1974" s="15"/>
      <c r="O1974" s="14"/>
      <c r="P1974" s="14"/>
    </row>
    <row r="1975">
      <c r="A1975" s="14"/>
      <c r="B1975" s="17"/>
      <c r="C1975" s="17"/>
      <c r="D1975" s="17"/>
      <c r="E1975" s="14"/>
      <c r="F1975" s="14"/>
      <c r="G1975" s="14"/>
      <c r="H1975" s="14"/>
      <c r="I1975" s="14"/>
      <c r="J1975" s="14"/>
      <c r="K1975" s="14"/>
      <c r="L1975" s="14"/>
      <c r="M1975" s="15"/>
      <c r="N1975" s="15"/>
      <c r="O1975" s="14"/>
      <c r="P1975" s="14"/>
    </row>
    <row r="1976">
      <c r="A1976" s="14"/>
      <c r="B1976" s="17"/>
      <c r="C1976" s="17"/>
      <c r="D1976" s="17"/>
      <c r="E1976" s="14"/>
      <c r="F1976" s="14"/>
      <c r="G1976" s="14"/>
      <c r="H1976" s="14"/>
      <c r="I1976" s="14"/>
      <c r="J1976" s="14"/>
      <c r="K1976" s="14"/>
      <c r="L1976" s="14"/>
      <c r="M1976" s="15"/>
      <c r="N1976" s="15"/>
      <c r="O1976" s="14"/>
      <c r="P1976" s="14"/>
    </row>
    <row r="1977">
      <c r="A1977" s="14"/>
      <c r="B1977" s="17"/>
      <c r="C1977" s="17"/>
      <c r="D1977" s="17"/>
      <c r="E1977" s="14"/>
      <c r="F1977" s="14"/>
      <c r="G1977" s="14"/>
      <c r="H1977" s="14"/>
      <c r="I1977" s="14"/>
      <c r="J1977" s="14"/>
      <c r="K1977" s="14"/>
      <c r="L1977" s="14"/>
      <c r="M1977" s="15"/>
      <c r="N1977" s="15"/>
      <c r="O1977" s="14"/>
      <c r="P1977" s="14"/>
    </row>
    <row r="1978">
      <c r="A1978" s="14"/>
      <c r="B1978" s="17"/>
      <c r="C1978" s="17"/>
      <c r="D1978" s="17"/>
      <c r="E1978" s="14"/>
      <c r="F1978" s="14"/>
      <c r="G1978" s="14"/>
      <c r="H1978" s="14"/>
      <c r="I1978" s="14"/>
      <c r="J1978" s="14"/>
      <c r="K1978" s="14"/>
      <c r="L1978" s="14"/>
      <c r="M1978" s="15"/>
      <c r="N1978" s="15"/>
      <c r="O1978" s="14"/>
      <c r="P1978" s="14"/>
    </row>
    <row r="1979">
      <c r="A1979" s="14"/>
      <c r="B1979" s="17"/>
      <c r="C1979" s="17"/>
      <c r="D1979" s="17"/>
      <c r="E1979" s="14"/>
      <c r="F1979" s="14"/>
      <c r="G1979" s="14"/>
      <c r="H1979" s="14"/>
      <c r="I1979" s="14"/>
      <c r="J1979" s="14"/>
      <c r="K1979" s="14"/>
      <c r="L1979" s="14"/>
      <c r="M1979" s="15"/>
      <c r="N1979" s="15"/>
      <c r="O1979" s="14"/>
      <c r="P1979" s="14"/>
    </row>
    <row r="1980">
      <c r="A1980" s="14"/>
      <c r="B1980" s="17"/>
      <c r="C1980" s="17"/>
      <c r="D1980" s="17"/>
      <c r="E1980" s="14"/>
      <c r="F1980" s="14"/>
      <c r="G1980" s="14"/>
      <c r="H1980" s="14"/>
      <c r="I1980" s="14"/>
      <c r="J1980" s="14"/>
      <c r="K1980" s="14"/>
      <c r="L1980" s="14"/>
      <c r="M1980" s="15"/>
      <c r="N1980" s="15"/>
      <c r="O1980" s="14"/>
      <c r="P1980" s="14"/>
    </row>
    <row r="1981">
      <c r="A1981" s="14"/>
      <c r="B1981" s="17"/>
      <c r="C1981" s="17"/>
      <c r="D1981" s="17"/>
      <c r="E1981" s="14"/>
      <c r="F1981" s="14"/>
      <c r="G1981" s="14"/>
      <c r="H1981" s="14"/>
      <c r="I1981" s="14"/>
      <c r="J1981" s="14"/>
      <c r="K1981" s="14"/>
      <c r="L1981" s="14"/>
      <c r="M1981" s="15"/>
      <c r="N1981" s="15"/>
      <c r="O1981" s="14"/>
      <c r="P1981" s="14"/>
    </row>
    <row r="1982">
      <c r="A1982" s="14"/>
      <c r="B1982" s="17"/>
      <c r="C1982" s="17"/>
      <c r="D1982" s="17"/>
      <c r="E1982" s="14"/>
      <c r="F1982" s="14"/>
      <c r="G1982" s="14"/>
      <c r="H1982" s="14"/>
      <c r="I1982" s="14"/>
      <c r="J1982" s="14"/>
      <c r="K1982" s="14"/>
      <c r="L1982" s="14"/>
      <c r="M1982" s="15"/>
      <c r="N1982" s="15"/>
      <c r="O1982" s="14"/>
      <c r="P1982" s="14"/>
    </row>
    <row r="1983">
      <c r="A1983" s="14"/>
      <c r="B1983" s="17"/>
      <c r="C1983" s="17"/>
      <c r="D1983" s="17"/>
      <c r="E1983" s="14"/>
      <c r="F1983" s="14"/>
      <c r="G1983" s="14"/>
      <c r="H1983" s="14"/>
      <c r="I1983" s="14"/>
      <c r="J1983" s="14"/>
      <c r="K1983" s="14"/>
      <c r="L1983" s="14"/>
      <c r="M1983" s="15"/>
      <c r="N1983" s="15"/>
      <c r="O1983" s="14"/>
      <c r="P1983" s="14"/>
    </row>
    <row r="1984">
      <c r="A1984" s="14"/>
      <c r="B1984" s="17"/>
      <c r="C1984" s="17"/>
      <c r="D1984" s="17"/>
      <c r="E1984" s="14"/>
      <c r="F1984" s="14"/>
      <c r="G1984" s="14"/>
      <c r="H1984" s="14"/>
      <c r="I1984" s="14"/>
      <c r="J1984" s="14"/>
      <c r="K1984" s="14"/>
      <c r="L1984" s="14"/>
      <c r="M1984" s="15"/>
      <c r="N1984" s="15"/>
      <c r="O1984" s="14"/>
      <c r="P1984" s="14"/>
    </row>
    <row r="1985">
      <c r="A1985" s="14"/>
      <c r="B1985" s="17"/>
      <c r="C1985" s="17"/>
      <c r="D1985" s="17"/>
      <c r="E1985" s="14"/>
      <c r="F1985" s="14"/>
      <c r="G1985" s="14"/>
      <c r="H1985" s="14"/>
      <c r="I1985" s="14"/>
      <c r="J1985" s="14"/>
      <c r="K1985" s="14"/>
      <c r="L1985" s="14"/>
      <c r="M1985" s="15"/>
      <c r="N1985" s="15"/>
      <c r="O1985" s="14"/>
      <c r="P1985" s="14"/>
    </row>
    <row r="1986">
      <c r="A1986" s="14"/>
      <c r="B1986" s="17"/>
      <c r="C1986" s="17"/>
      <c r="D1986" s="17"/>
      <c r="E1986" s="14"/>
      <c r="F1986" s="14"/>
      <c r="G1986" s="14"/>
      <c r="H1986" s="14"/>
      <c r="I1986" s="14"/>
      <c r="J1986" s="14"/>
      <c r="K1986" s="14"/>
      <c r="L1986" s="14"/>
      <c r="M1986" s="15"/>
      <c r="N1986" s="15"/>
      <c r="O1986" s="14"/>
      <c r="P1986" s="14"/>
    </row>
    <row r="1987">
      <c r="A1987" s="14"/>
      <c r="B1987" s="17"/>
      <c r="C1987" s="17"/>
      <c r="D1987" s="17"/>
      <c r="E1987" s="14"/>
      <c r="F1987" s="14"/>
      <c r="G1987" s="14"/>
      <c r="H1987" s="14"/>
      <c r="I1987" s="14"/>
      <c r="J1987" s="14"/>
      <c r="K1987" s="14"/>
      <c r="L1987" s="14"/>
      <c r="M1987" s="15"/>
      <c r="N1987" s="15"/>
      <c r="O1987" s="14"/>
      <c r="P1987" s="14"/>
    </row>
    <row r="1988">
      <c r="A1988" s="14"/>
      <c r="B1988" s="17"/>
      <c r="C1988" s="17"/>
      <c r="D1988" s="17"/>
      <c r="E1988" s="14"/>
      <c r="F1988" s="14"/>
      <c r="G1988" s="14"/>
      <c r="H1988" s="14"/>
      <c r="I1988" s="14"/>
      <c r="J1988" s="14"/>
      <c r="K1988" s="14"/>
      <c r="L1988" s="14"/>
      <c r="M1988" s="15"/>
      <c r="N1988" s="15"/>
      <c r="O1988" s="14"/>
      <c r="P1988" s="14"/>
    </row>
    <row r="1989">
      <c r="A1989" s="14"/>
      <c r="B1989" s="17"/>
      <c r="C1989" s="17"/>
      <c r="D1989" s="17"/>
      <c r="E1989" s="14"/>
      <c r="F1989" s="14"/>
      <c r="G1989" s="14"/>
      <c r="H1989" s="14"/>
      <c r="I1989" s="14"/>
      <c r="J1989" s="14"/>
      <c r="K1989" s="14"/>
      <c r="L1989" s="14"/>
      <c r="M1989" s="15"/>
      <c r="N1989" s="15"/>
      <c r="O1989" s="14"/>
      <c r="P1989" s="14"/>
    </row>
    <row r="1990">
      <c r="A1990" s="14"/>
      <c r="B1990" s="17"/>
      <c r="C1990" s="17"/>
      <c r="D1990" s="17"/>
      <c r="E1990" s="14"/>
      <c r="F1990" s="14"/>
      <c r="G1990" s="14"/>
      <c r="H1990" s="14"/>
      <c r="I1990" s="14"/>
      <c r="J1990" s="14"/>
      <c r="K1990" s="14"/>
      <c r="L1990" s="14"/>
      <c r="M1990" s="15"/>
      <c r="N1990" s="15"/>
      <c r="O1990" s="14"/>
      <c r="P1990" s="14"/>
    </row>
    <row r="1991">
      <c r="A1991" s="14"/>
      <c r="B1991" s="17"/>
      <c r="C1991" s="17"/>
      <c r="D1991" s="17"/>
      <c r="E1991" s="14"/>
      <c r="F1991" s="14"/>
      <c r="G1991" s="14"/>
      <c r="H1991" s="14"/>
      <c r="I1991" s="14"/>
      <c r="J1991" s="14"/>
      <c r="K1991" s="14"/>
      <c r="L1991" s="14"/>
      <c r="M1991" s="15"/>
      <c r="N1991" s="15"/>
      <c r="O1991" s="14"/>
      <c r="P1991" s="14"/>
    </row>
    <row r="1992">
      <c r="A1992" s="14"/>
      <c r="B1992" s="17"/>
      <c r="C1992" s="17"/>
      <c r="D1992" s="17"/>
      <c r="E1992" s="14"/>
      <c r="F1992" s="14"/>
      <c r="G1992" s="14"/>
      <c r="H1992" s="14"/>
      <c r="I1992" s="14"/>
      <c r="J1992" s="14"/>
      <c r="K1992" s="14"/>
      <c r="L1992" s="14"/>
      <c r="M1992" s="15"/>
      <c r="N1992" s="15"/>
      <c r="O1992" s="14"/>
      <c r="P1992" s="14"/>
    </row>
    <row r="1993">
      <c r="A1993" s="14"/>
      <c r="B1993" s="17"/>
      <c r="C1993" s="17"/>
      <c r="D1993" s="17"/>
      <c r="E1993" s="14"/>
      <c r="F1993" s="14"/>
      <c r="G1993" s="14"/>
      <c r="H1993" s="14"/>
      <c r="I1993" s="14"/>
      <c r="J1993" s="14"/>
      <c r="K1993" s="14"/>
      <c r="L1993" s="14"/>
      <c r="M1993" s="15"/>
      <c r="N1993" s="15"/>
      <c r="O1993" s="14"/>
      <c r="P1993" s="14"/>
    </row>
    <row r="1994">
      <c r="A1994" s="14"/>
      <c r="B1994" s="17"/>
      <c r="C1994" s="17"/>
      <c r="D1994" s="17"/>
      <c r="E1994" s="14"/>
      <c r="F1994" s="14"/>
      <c r="G1994" s="14"/>
      <c r="H1994" s="14"/>
      <c r="I1994" s="14"/>
      <c r="J1994" s="14"/>
      <c r="K1994" s="14"/>
      <c r="L1994" s="14"/>
      <c r="M1994" s="15"/>
      <c r="N1994" s="15"/>
      <c r="O1994" s="14"/>
      <c r="P1994" s="14"/>
    </row>
    <row r="1995">
      <c r="A1995" s="14"/>
      <c r="B1995" s="17"/>
      <c r="C1995" s="17"/>
      <c r="D1995" s="17"/>
      <c r="E1995" s="14"/>
      <c r="F1995" s="14"/>
      <c r="G1995" s="14"/>
      <c r="H1995" s="14"/>
      <c r="I1995" s="14"/>
      <c r="J1995" s="14"/>
      <c r="K1995" s="14"/>
      <c r="L1995" s="14"/>
      <c r="M1995" s="15"/>
      <c r="N1995" s="15"/>
      <c r="O1995" s="14"/>
      <c r="P1995" s="14"/>
    </row>
    <row r="1996">
      <c r="A1996" s="14"/>
      <c r="B1996" s="17"/>
      <c r="C1996" s="17"/>
      <c r="D1996" s="17"/>
      <c r="E1996" s="14"/>
      <c r="F1996" s="14"/>
      <c r="G1996" s="14"/>
      <c r="H1996" s="14"/>
      <c r="I1996" s="14"/>
      <c r="J1996" s="14"/>
      <c r="K1996" s="14"/>
      <c r="L1996" s="14"/>
      <c r="M1996" s="15"/>
      <c r="N1996" s="15"/>
      <c r="O1996" s="14"/>
      <c r="P1996" s="14"/>
    </row>
    <row r="1997">
      <c r="A1997" s="14"/>
      <c r="B1997" s="17"/>
      <c r="C1997" s="17"/>
      <c r="D1997" s="17"/>
      <c r="E1997" s="14"/>
      <c r="F1997" s="14"/>
      <c r="G1997" s="14"/>
      <c r="H1997" s="14"/>
      <c r="I1997" s="14"/>
      <c r="J1997" s="14"/>
      <c r="K1997" s="14"/>
      <c r="L1997" s="14"/>
      <c r="M1997" s="15"/>
      <c r="N1997" s="15"/>
      <c r="O1997" s="14"/>
      <c r="P1997" s="14"/>
    </row>
    <row r="1998">
      <c r="A1998" s="14"/>
      <c r="B1998" s="17"/>
      <c r="C1998" s="17"/>
      <c r="D1998" s="17"/>
      <c r="E1998" s="14"/>
      <c r="F1998" s="14"/>
      <c r="G1998" s="14"/>
      <c r="H1998" s="14"/>
      <c r="I1998" s="14"/>
      <c r="J1998" s="14"/>
      <c r="K1998" s="14"/>
      <c r="L1998" s="14"/>
      <c r="M1998" s="15"/>
      <c r="N1998" s="15"/>
      <c r="O1998" s="14"/>
      <c r="P1998" s="14"/>
    </row>
    <row r="1999">
      <c r="A1999" s="14"/>
      <c r="B1999" s="17"/>
      <c r="C1999" s="17"/>
      <c r="D1999" s="17"/>
      <c r="E1999" s="14"/>
      <c r="F1999" s="14"/>
      <c r="G1999" s="14"/>
      <c r="H1999" s="14"/>
      <c r="I1999" s="14"/>
      <c r="J1999" s="14"/>
      <c r="K1999" s="14"/>
      <c r="L1999" s="14"/>
      <c r="M1999" s="15"/>
      <c r="N1999" s="15"/>
      <c r="O1999" s="14"/>
      <c r="P1999" s="14"/>
    </row>
    <row r="2000">
      <c r="A2000" s="14"/>
      <c r="B2000" s="17"/>
      <c r="C2000" s="17"/>
      <c r="D2000" s="17"/>
      <c r="E2000" s="14"/>
      <c r="F2000" s="14"/>
      <c r="G2000" s="14"/>
      <c r="H2000" s="14"/>
      <c r="I2000" s="14"/>
      <c r="J2000" s="14"/>
      <c r="K2000" s="14"/>
      <c r="L2000" s="14"/>
      <c r="M2000" s="15"/>
      <c r="N2000" s="15"/>
      <c r="O2000" s="14"/>
      <c r="P2000" s="14"/>
    </row>
    <row r="2001">
      <c r="A2001" s="14"/>
      <c r="B2001" s="17"/>
      <c r="C2001" s="17"/>
      <c r="D2001" s="17"/>
      <c r="E2001" s="14"/>
      <c r="F2001" s="14"/>
      <c r="G2001" s="14"/>
      <c r="H2001" s="14"/>
      <c r="I2001" s="14"/>
      <c r="J2001" s="14"/>
      <c r="K2001" s="14"/>
      <c r="L2001" s="14"/>
      <c r="M2001" s="15"/>
      <c r="N2001" s="15"/>
      <c r="O2001" s="14"/>
      <c r="P2001" s="14"/>
    </row>
    <row r="2002">
      <c r="A2002" s="14"/>
      <c r="B2002" s="17"/>
      <c r="C2002" s="17"/>
      <c r="D2002" s="17"/>
      <c r="E2002" s="14"/>
      <c r="F2002" s="14"/>
      <c r="G2002" s="14"/>
      <c r="H2002" s="14"/>
      <c r="I2002" s="14"/>
      <c r="J2002" s="14"/>
      <c r="K2002" s="14"/>
      <c r="L2002" s="14"/>
      <c r="M2002" s="15"/>
      <c r="N2002" s="15"/>
      <c r="O2002" s="14"/>
      <c r="P2002" s="14"/>
    </row>
    <row r="2003">
      <c r="A2003" s="14"/>
      <c r="B2003" s="17"/>
      <c r="C2003" s="17"/>
      <c r="D2003" s="17"/>
      <c r="E2003" s="14"/>
      <c r="F2003" s="14"/>
      <c r="G2003" s="14"/>
      <c r="H2003" s="14"/>
      <c r="I2003" s="14"/>
      <c r="J2003" s="14"/>
      <c r="K2003" s="14"/>
      <c r="L2003" s="14"/>
      <c r="M2003" s="15"/>
      <c r="N2003" s="15"/>
      <c r="O2003" s="14"/>
      <c r="P2003" s="14"/>
    </row>
    <row r="2004">
      <c r="A2004" s="14"/>
      <c r="B2004" s="17"/>
      <c r="C2004" s="17"/>
      <c r="D2004" s="17"/>
      <c r="E2004" s="14"/>
      <c r="F2004" s="14"/>
      <c r="G2004" s="14"/>
      <c r="H2004" s="14"/>
      <c r="I2004" s="14"/>
      <c r="J2004" s="14"/>
      <c r="K2004" s="14"/>
      <c r="L2004" s="14"/>
      <c r="M2004" s="15"/>
      <c r="N2004" s="15"/>
      <c r="O2004" s="14"/>
      <c r="P2004" s="14"/>
    </row>
    <row r="2005">
      <c r="A2005" s="14"/>
      <c r="B2005" s="17"/>
      <c r="C2005" s="17"/>
      <c r="D2005" s="17"/>
      <c r="E2005" s="14"/>
      <c r="F2005" s="14"/>
      <c r="G2005" s="14"/>
      <c r="H2005" s="14"/>
      <c r="I2005" s="14"/>
      <c r="J2005" s="14"/>
      <c r="K2005" s="14"/>
      <c r="L2005" s="14"/>
      <c r="M2005" s="15"/>
      <c r="N2005" s="15"/>
      <c r="O2005" s="14"/>
      <c r="P2005" s="14"/>
    </row>
    <row r="2006">
      <c r="A2006" s="14"/>
      <c r="B2006" s="17"/>
      <c r="C2006" s="17"/>
      <c r="D2006" s="17"/>
      <c r="E2006" s="14"/>
      <c r="F2006" s="14"/>
      <c r="G2006" s="14"/>
      <c r="H2006" s="14"/>
      <c r="I2006" s="14"/>
      <c r="J2006" s="14"/>
      <c r="K2006" s="14"/>
      <c r="L2006" s="14"/>
      <c r="M2006" s="15"/>
      <c r="N2006" s="15"/>
      <c r="O2006" s="14"/>
      <c r="P2006" s="14"/>
    </row>
    <row r="2007">
      <c r="A2007" s="14"/>
      <c r="B2007" s="17"/>
      <c r="C2007" s="17"/>
      <c r="D2007" s="17"/>
      <c r="E2007" s="14"/>
      <c r="F2007" s="14"/>
      <c r="G2007" s="14"/>
      <c r="H2007" s="14"/>
      <c r="I2007" s="14"/>
      <c r="J2007" s="14"/>
      <c r="K2007" s="14"/>
      <c r="L2007" s="14"/>
      <c r="M2007" s="15"/>
      <c r="N2007" s="15"/>
      <c r="O2007" s="14"/>
      <c r="P2007" s="14"/>
    </row>
    <row r="2008">
      <c r="A2008" s="14"/>
      <c r="B2008" s="17"/>
      <c r="C2008" s="17"/>
      <c r="D2008" s="17"/>
      <c r="E2008" s="14"/>
      <c r="F2008" s="14"/>
      <c r="G2008" s="14"/>
      <c r="H2008" s="14"/>
      <c r="I2008" s="14"/>
      <c r="J2008" s="14"/>
      <c r="K2008" s="14"/>
      <c r="L2008" s="14"/>
      <c r="M2008" s="15"/>
      <c r="N2008" s="15"/>
      <c r="O2008" s="14"/>
      <c r="P2008" s="14"/>
    </row>
    <row r="2009">
      <c r="A2009" s="14"/>
      <c r="B2009" s="17"/>
      <c r="C2009" s="17"/>
      <c r="D2009" s="17"/>
      <c r="E2009" s="14"/>
      <c r="F2009" s="14"/>
      <c r="G2009" s="14"/>
      <c r="H2009" s="14"/>
      <c r="I2009" s="14"/>
      <c r="J2009" s="14"/>
      <c r="K2009" s="14"/>
      <c r="L2009" s="14"/>
      <c r="M2009" s="15"/>
      <c r="N2009" s="15"/>
      <c r="O2009" s="14"/>
      <c r="P2009" s="14"/>
    </row>
    <row r="2010">
      <c r="A2010" s="14"/>
      <c r="B2010" s="17"/>
      <c r="C2010" s="17"/>
      <c r="D2010" s="17"/>
      <c r="E2010" s="14"/>
      <c r="F2010" s="14"/>
      <c r="G2010" s="14"/>
      <c r="H2010" s="14"/>
      <c r="I2010" s="14"/>
      <c r="J2010" s="14"/>
      <c r="K2010" s="14"/>
      <c r="L2010" s="14"/>
      <c r="M2010" s="15"/>
      <c r="N2010" s="15"/>
      <c r="O2010" s="14"/>
      <c r="P2010" s="14"/>
    </row>
    <row r="2011">
      <c r="A2011" s="14"/>
      <c r="B2011" s="17"/>
      <c r="C2011" s="17"/>
      <c r="D2011" s="17"/>
      <c r="E2011" s="14"/>
      <c r="F2011" s="14"/>
      <c r="G2011" s="14"/>
      <c r="H2011" s="14"/>
      <c r="I2011" s="14"/>
      <c r="J2011" s="14"/>
      <c r="K2011" s="14"/>
      <c r="L2011" s="14"/>
      <c r="M2011" s="15"/>
      <c r="N2011" s="15"/>
      <c r="O2011" s="14"/>
      <c r="P2011" s="14"/>
    </row>
    <row r="2012">
      <c r="A2012" s="14"/>
      <c r="B2012" s="17"/>
      <c r="C2012" s="17"/>
      <c r="D2012" s="17"/>
      <c r="E2012" s="14"/>
      <c r="F2012" s="14"/>
      <c r="G2012" s="14"/>
      <c r="H2012" s="14"/>
      <c r="I2012" s="14"/>
      <c r="J2012" s="14"/>
      <c r="K2012" s="14"/>
      <c r="L2012" s="14"/>
      <c r="M2012" s="15"/>
      <c r="N2012" s="15"/>
      <c r="O2012" s="14"/>
      <c r="P2012" s="14"/>
    </row>
    <row r="2013">
      <c r="A2013" s="14"/>
      <c r="B2013" s="17"/>
      <c r="C2013" s="17"/>
      <c r="D2013" s="17"/>
      <c r="E2013" s="14"/>
      <c r="F2013" s="14"/>
      <c r="G2013" s="14"/>
      <c r="H2013" s="14"/>
      <c r="I2013" s="14"/>
      <c r="J2013" s="14"/>
      <c r="K2013" s="14"/>
      <c r="L2013" s="14"/>
      <c r="M2013" s="15"/>
      <c r="N2013" s="15"/>
      <c r="O2013" s="14"/>
      <c r="P2013" s="14"/>
    </row>
    <row r="2014">
      <c r="A2014" s="14"/>
      <c r="B2014" s="17"/>
      <c r="C2014" s="17"/>
      <c r="D2014" s="17"/>
      <c r="E2014" s="14"/>
      <c r="F2014" s="14"/>
      <c r="G2014" s="14"/>
      <c r="H2014" s="14"/>
      <c r="I2014" s="14"/>
      <c r="J2014" s="14"/>
      <c r="K2014" s="14"/>
      <c r="L2014" s="14"/>
      <c r="M2014" s="15"/>
      <c r="N2014" s="15"/>
      <c r="O2014" s="14"/>
      <c r="P2014" s="14"/>
    </row>
    <row r="2015">
      <c r="A2015" s="14"/>
      <c r="B2015" s="17"/>
      <c r="C2015" s="17"/>
      <c r="D2015" s="17"/>
      <c r="E2015" s="14"/>
      <c r="F2015" s="14"/>
      <c r="G2015" s="14"/>
      <c r="H2015" s="14"/>
      <c r="I2015" s="14"/>
      <c r="J2015" s="14"/>
      <c r="K2015" s="14"/>
      <c r="L2015" s="14"/>
      <c r="M2015" s="15"/>
      <c r="N2015" s="15"/>
      <c r="O2015" s="14"/>
      <c r="P2015" s="14"/>
    </row>
    <row r="2016">
      <c r="A2016" s="14"/>
      <c r="B2016" s="17"/>
      <c r="C2016" s="17"/>
      <c r="D2016" s="17"/>
      <c r="E2016" s="14"/>
      <c r="F2016" s="14"/>
      <c r="G2016" s="14"/>
      <c r="H2016" s="14"/>
      <c r="I2016" s="14"/>
      <c r="J2016" s="14"/>
      <c r="K2016" s="14"/>
      <c r="L2016" s="14"/>
      <c r="M2016" s="15"/>
      <c r="N2016" s="15"/>
      <c r="O2016" s="14"/>
      <c r="P2016" s="14"/>
    </row>
    <row r="2017">
      <c r="A2017" s="14"/>
      <c r="B2017" s="17"/>
      <c r="C2017" s="17"/>
      <c r="D2017" s="17"/>
      <c r="E2017" s="14"/>
      <c r="F2017" s="14"/>
      <c r="G2017" s="14"/>
      <c r="H2017" s="14"/>
      <c r="I2017" s="14"/>
      <c r="J2017" s="14"/>
      <c r="K2017" s="14"/>
      <c r="L2017" s="14"/>
      <c r="M2017" s="15"/>
      <c r="N2017" s="15"/>
      <c r="O2017" s="14"/>
      <c r="P2017" s="14"/>
    </row>
    <row r="2018">
      <c r="A2018" s="14"/>
      <c r="B2018" s="17"/>
      <c r="C2018" s="17"/>
      <c r="D2018" s="17"/>
      <c r="E2018" s="14"/>
      <c r="F2018" s="14"/>
      <c r="G2018" s="14"/>
      <c r="H2018" s="14"/>
      <c r="I2018" s="14"/>
      <c r="J2018" s="14"/>
      <c r="K2018" s="14"/>
      <c r="L2018" s="14"/>
      <c r="M2018" s="15"/>
      <c r="N2018" s="15"/>
      <c r="O2018" s="14"/>
      <c r="P2018" s="14"/>
    </row>
    <row r="2019">
      <c r="A2019" s="14"/>
      <c r="B2019" s="17"/>
      <c r="C2019" s="17"/>
      <c r="D2019" s="17"/>
      <c r="E2019" s="14"/>
      <c r="F2019" s="14"/>
      <c r="G2019" s="14"/>
      <c r="H2019" s="14"/>
      <c r="I2019" s="14"/>
      <c r="J2019" s="14"/>
      <c r="K2019" s="14"/>
      <c r="L2019" s="14"/>
      <c r="M2019" s="15"/>
      <c r="N2019" s="15"/>
      <c r="O2019" s="14"/>
      <c r="P2019" s="14"/>
    </row>
    <row r="2020">
      <c r="A2020" s="14"/>
      <c r="B2020" s="17"/>
      <c r="C2020" s="17"/>
      <c r="D2020" s="17"/>
      <c r="E2020" s="14"/>
      <c r="F2020" s="14"/>
      <c r="G2020" s="14"/>
      <c r="H2020" s="14"/>
      <c r="I2020" s="14"/>
      <c r="J2020" s="14"/>
      <c r="K2020" s="14"/>
      <c r="L2020" s="14"/>
      <c r="M2020" s="15"/>
      <c r="N2020" s="15"/>
      <c r="O2020" s="14"/>
      <c r="P2020" s="14"/>
    </row>
    <row r="2021">
      <c r="A2021" s="14"/>
      <c r="B2021" s="17"/>
      <c r="C2021" s="17"/>
      <c r="D2021" s="17"/>
      <c r="E2021" s="14"/>
      <c r="F2021" s="14"/>
      <c r="G2021" s="14"/>
      <c r="H2021" s="14"/>
      <c r="I2021" s="14"/>
      <c r="J2021" s="14"/>
      <c r="K2021" s="14"/>
      <c r="L2021" s="14"/>
      <c r="M2021" s="15"/>
      <c r="N2021" s="15"/>
      <c r="O2021" s="14"/>
      <c r="P2021" s="14"/>
    </row>
    <row r="2022">
      <c r="A2022" s="14"/>
      <c r="B2022" s="17"/>
      <c r="C2022" s="17"/>
      <c r="D2022" s="17"/>
      <c r="E2022" s="14"/>
      <c r="F2022" s="14"/>
      <c r="G2022" s="14"/>
      <c r="H2022" s="14"/>
      <c r="I2022" s="14"/>
      <c r="J2022" s="14"/>
      <c r="K2022" s="14"/>
      <c r="L2022" s="14"/>
      <c r="M2022" s="15"/>
      <c r="N2022" s="15"/>
      <c r="O2022" s="14"/>
      <c r="P2022" s="14"/>
    </row>
    <row r="2023">
      <c r="A2023" s="14"/>
      <c r="B2023" s="17"/>
      <c r="C2023" s="17"/>
      <c r="D2023" s="17"/>
      <c r="E2023" s="14"/>
      <c r="F2023" s="14"/>
      <c r="G2023" s="14"/>
      <c r="H2023" s="14"/>
      <c r="I2023" s="14"/>
      <c r="J2023" s="14"/>
      <c r="K2023" s="14"/>
      <c r="L2023" s="14"/>
      <c r="M2023" s="15"/>
      <c r="N2023" s="15"/>
      <c r="O2023" s="14"/>
      <c r="P2023" s="14"/>
    </row>
    <row r="2024">
      <c r="A2024" s="14"/>
      <c r="B2024" s="17"/>
      <c r="C2024" s="17"/>
      <c r="D2024" s="17"/>
      <c r="E2024" s="14"/>
      <c r="F2024" s="14"/>
      <c r="G2024" s="14"/>
      <c r="H2024" s="14"/>
      <c r="I2024" s="14"/>
      <c r="J2024" s="14"/>
      <c r="K2024" s="14"/>
      <c r="L2024" s="14"/>
      <c r="M2024" s="15"/>
      <c r="N2024" s="15"/>
      <c r="O2024" s="14"/>
      <c r="P2024" s="14"/>
    </row>
    <row r="2025">
      <c r="A2025" s="14"/>
      <c r="B2025" s="17"/>
      <c r="C2025" s="17"/>
      <c r="D2025" s="17"/>
      <c r="E2025" s="14"/>
      <c r="F2025" s="14"/>
      <c r="G2025" s="14"/>
      <c r="H2025" s="14"/>
      <c r="I2025" s="14"/>
      <c r="J2025" s="14"/>
      <c r="K2025" s="14"/>
      <c r="L2025" s="14"/>
      <c r="M2025" s="15"/>
      <c r="N2025" s="15"/>
      <c r="O2025" s="14"/>
      <c r="P2025" s="14"/>
    </row>
    <row r="2026">
      <c r="A2026" s="14"/>
      <c r="B2026" s="17"/>
      <c r="C2026" s="17"/>
      <c r="D2026" s="17"/>
      <c r="E2026" s="14"/>
      <c r="F2026" s="14"/>
      <c r="G2026" s="14"/>
      <c r="H2026" s="14"/>
      <c r="I2026" s="14"/>
      <c r="J2026" s="14"/>
      <c r="K2026" s="14"/>
      <c r="L2026" s="14"/>
      <c r="M2026" s="15"/>
      <c r="N2026" s="15"/>
      <c r="O2026" s="14"/>
      <c r="P2026" s="14"/>
    </row>
    <row r="2027">
      <c r="A2027" s="14"/>
      <c r="B2027" s="17"/>
      <c r="C2027" s="17"/>
      <c r="D2027" s="17"/>
      <c r="E2027" s="14"/>
      <c r="F2027" s="14"/>
      <c r="G2027" s="14"/>
      <c r="H2027" s="14"/>
      <c r="I2027" s="14"/>
      <c r="J2027" s="14"/>
      <c r="K2027" s="14"/>
      <c r="L2027" s="14"/>
      <c r="M2027" s="15"/>
      <c r="N2027" s="15"/>
      <c r="O2027" s="14"/>
      <c r="P2027" s="14"/>
    </row>
    <row r="2028">
      <c r="A2028" s="14"/>
      <c r="B2028" s="17"/>
      <c r="C2028" s="17"/>
      <c r="D2028" s="17"/>
      <c r="E2028" s="14"/>
      <c r="F2028" s="14"/>
      <c r="G2028" s="14"/>
      <c r="H2028" s="14"/>
      <c r="I2028" s="14"/>
      <c r="J2028" s="14"/>
      <c r="K2028" s="14"/>
      <c r="L2028" s="14"/>
      <c r="M2028" s="15"/>
      <c r="N2028" s="15"/>
      <c r="O2028" s="14"/>
      <c r="P2028" s="14"/>
    </row>
    <row r="2029">
      <c r="A2029" s="14"/>
      <c r="B2029" s="17"/>
      <c r="C2029" s="17"/>
      <c r="D2029" s="17"/>
      <c r="E2029" s="14"/>
      <c r="F2029" s="14"/>
      <c r="G2029" s="14"/>
      <c r="H2029" s="14"/>
      <c r="I2029" s="14"/>
      <c r="J2029" s="14"/>
      <c r="K2029" s="14"/>
      <c r="L2029" s="14"/>
      <c r="M2029" s="15"/>
      <c r="N2029" s="15"/>
      <c r="O2029" s="14"/>
      <c r="P2029" s="14"/>
    </row>
    <row r="2030">
      <c r="A2030" s="14"/>
      <c r="B2030" s="17"/>
      <c r="C2030" s="17"/>
      <c r="D2030" s="17"/>
      <c r="E2030" s="14"/>
      <c r="F2030" s="14"/>
      <c r="G2030" s="14"/>
      <c r="H2030" s="14"/>
      <c r="I2030" s="14"/>
      <c r="J2030" s="14"/>
      <c r="K2030" s="14"/>
      <c r="L2030" s="14"/>
      <c r="M2030" s="15"/>
      <c r="N2030" s="15"/>
      <c r="O2030" s="14"/>
      <c r="P2030" s="14"/>
    </row>
    <row r="2031">
      <c r="A2031" s="14"/>
      <c r="B2031" s="17"/>
      <c r="C2031" s="17"/>
      <c r="D2031" s="17"/>
      <c r="E2031" s="14"/>
      <c r="F2031" s="14"/>
      <c r="G2031" s="14"/>
      <c r="H2031" s="14"/>
      <c r="I2031" s="14"/>
      <c r="J2031" s="14"/>
      <c r="K2031" s="14"/>
      <c r="L2031" s="14"/>
      <c r="M2031" s="15"/>
      <c r="N2031" s="15"/>
      <c r="O2031" s="14"/>
      <c r="P2031" s="14"/>
    </row>
    <row r="2032">
      <c r="A2032" s="14"/>
      <c r="B2032" s="17"/>
      <c r="C2032" s="17"/>
      <c r="D2032" s="17"/>
      <c r="E2032" s="14"/>
      <c r="F2032" s="14"/>
      <c r="G2032" s="14"/>
      <c r="H2032" s="14"/>
      <c r="I2032" s="14"/>
      <c r="J2032" s="14"/>
      <c r="K2032" s="14"/>
      <c r="L2032" s="14"/>
      <c r="M2032" s="15"/>
      <c r="N2032" s="15"/>
      <c r="O2032" s="14"/>
      <c r="P2032" s="14"/>
    </row>
    <row r="2033">
      <c r="A2033" s="14"/>
      <c r="B2033" s="17"/>
      <c r="C2033" s="17"/>
      <c r="D2033" s="17"/>
      <c r="E2033" s="14"/>
      <c r="F2033" s="14"/>
      <c r="G2033" s="14"/>
      <c r="H2033" s="14"/>
      <c r="I2033" s="14"/>
      <c r="J2033" s="14"/>
      <c r="K2033" s="14"/>
      <c r="L2033" s="14"/>
      <c r="M2033" s="15"/>
      <c r="N2033" s="15"/>
      <c r="O2033" s="14"/>
      <c r="P2033" s="14"/>
    </row>
    <row r="2034">
      <c r="A2034" s="14"/>
      <c r="B2034" s="17"/>
      <c r="C2034" s="17"/>
      <c r="D2034" s="17"/>
      <c r="E2034" s="14"/>
      <c r="F2034" s="14"/>
      <c r="G2034" s="14"/>
      <c r="H2034" s="14"/>
      <c r="I2034" s="14"/>
      <c r="J2034" s="14"/>
      <c r="K2034" s="14"/>
      <c r="L2034" s="14"/>
      <c r="M2034" s="15"/>
      <c r="N2034" s="15"/>
      <c r="O2034" s="14"/>
      <c r="P2034" s="14"/>
    </row>
    <row r="2035">
      <c r="A2035" s="14"/>
      <c r="B2035" s="17"/>
      <c r="C2035" s="17"/>
      <c r="D2035" s="17"/>
      <c r="E2035" s="14"/>
      <c r="F2035" s="14"/>
      <c r="G2035" s="14"/>
      <c r="H2035" s="14"/>
      <c r="I2035" s="14"/>
      <c r="J2035" s="14"/>
      <c r="K2035" s="14"/>
      <c r="L2035" s="14"/>
      <c r="M2035" s="15"/>
      <c r="N2035" s="15"/>
      <c r="O2035" s="14"/>
      <c r="P2035" s="14"/>
    </row>
    <row r="2036">
      <c r="A2036" s="14"/>
      <c r="B2036" s="17"/>
      <c r="C2036" s="17"/>
      <c r="D2036" s="17"/>
      <c r="E2036" s="14"/>
      <c r="F2036" s="14"/>
      <c r="G2036" s="14"/>
      <c r="H2036" s="14"/>
      <c r="I2036" s="14"/>
      <c r="J2036" s="14"/>
      <c r="K2036" s="14"/>
      <c r="L2036" s="14"/>
      <c r="M2036" s="15"/>
      <c r="N2036" s="15"/>
      <c r="O2036" s="14"/>
      <c r="P2036" s="14"/>
    </row>
    <row r="2037">
      <c r="A2037" s="14"/>
      <c r="B2037" s="17"/>
      <c r="C2037" s="17"/>
      <c r="D2037" s="17"/>
      <c r="E2037" s="14"/>
      <c r="F2037" s="14"/>
      <c r="G2037" s="14"/>
      <c r="H2037" s="14"/>
      <c r="I2037" s="14"/>
      <c r="J2037" s="14"/>
      <c r="K2037" s="14"/>
      <c r="L2037" s="14"/>
      <c r="M2037" s="15"/>
      <c r="N2037" s="15"/>
      <c r="O2037" s="14"/>
      <c r="P2037" s="14"/>
    </row>
    <row r="2038">
      <c r="A2038" s="14"/>
      <c r="B2038" s="17"/>
      <c r="C2038" s="17"/>
      <c r="D2038" s="17"/>
      <c r="E2038" s="14"/>
      <c r="F2038" s="14"/>
      <c r="G2038" s="14"/>
      <c r="H2038" s="14"/>
      <c r="I2038" s="14"/>
      <c r="J2038" s="14"/>
      <c r="K2038" s="14"/>
      <c r="L2038" s="14"/>
      <c r="M2038" s="15"/>
      <c r="N2038" s="15"/>
      <c r="O2038" s="14"/>
      <c r="P2038" s="14"/>
    </row>
    <row r="2039">
      <c r="A2039" s="14"/>
      <c r="B2039" s="17"/>
      <c r="C2039" s="17"/>
      <c r="D2039" s="17"/>
      <c r="E2039" s="14"/>
      <c r="F2039" s="14"/>
      <c r="G2039" s="14"/>
      <c r="H2039" s="14"/>
      <c r="I2039" s="14"/>
      <c r="J2039" s="14"/>
      <c r="K2039" s="14"/>
      <c r="L2039" s="14"/>
      <c r="M2039" s="15"/>
      <c r="N2039" s="15"/>
      <c r="O2039" s="14"/>
      <c r="P2039" s="14"/>
    </row>
    <row r="2040">
      <c r="A2040" s="14"/>
      <c r="B2040" s="17"/>
      <c r="C2040" s="17"/>
      <c r="D2040" s="17"/>
      <c r="E2040" s="14"/>
      <c r="F2040" s="14"/>
      <c r="G2040" s="14"/>
      <c r="H2040" s="14"/>
      <c r="I2040" s="14"/>
      <c r="J2040" s="14"/>
      <c r="K2040" s="14"/>
      <c r="L2040" s="14"/>
      <c r="M2040" s="15"/>
      <c r="N2040" s="15"/>
      <c r="O2040" s="14"/>
      <c r="P2040" s="14"/>
    </row>
    <row r="2041">
      <c r="A2041" s="14"/>
      <c r="B2041" s="17"/>
      <c r="C2041" s="17"/>
      <c r="D2041" s="17"/>
      <c r="E2041" s="14"/>
      <c r="F2041" s="14"/>
      <c r="G2041" s="14"/>
      <c r="H2041" s="14"/>
      <c r="I2041" s="14"/>
      <c r="J2041" s="14"/>
      <c r="K2041" s="14"/>
      <c r="L2041" s="14"/>
      <c r="M2041" s="15"/>
      <c r="N2041" s="15"/>
      <c r="O2041" s="14"/>
      <c r="P2041" s="14"/>
    </row>
    <row r="2042">
      <c r="A2042" s="14"/>
      <c r="B2042" s="17"/>
      <c r="C2042" s="17"/>
      <c r="D2042" s="17"/>
      <c r="E2042" s="14"/>
      <c r="F2042" s="14"/>
      <c r="G2042" s="14"/>
      <c r="H2042" s="14"/>
      <c r="I2042" s="14"/>
      <c r="J2042" s="14"/>
      <c r="K2042" s="14"/>
      <c r="L2042" s="14"/>
      <c r="M2042" s="15"/>
      <c r="N2042" s="15"/>
      <c r="O2042" s="14"/>
      <c r="P2042" s="14"/>
    </row>
    <row r="2043">
      <c r="A2043" s="14"/>
      <c r="B2043" s="17"/>
      <c r="C2043" s="17"/>
      <c r="D2043" s="17"/>
      <c r="E2043" s="14"/>
      <c r="F2043" s="14"/>
      <c r="G2043" s="14"/>
      <c r="H2043" s="14"/>
      <c r="I2043" s="14"/>
      <c r="J2043" s="14"/>
      <c r="K2043" s="14"/>
      <c r="L2043" s="14"/>
      <c r="M2043" s="15"/>
      <c r="N2043" s="15"/>
      <c r="O2043" s="14"/>
      <c r="P2043" s="14"/>
    </row>
    <row r="2044">
      <c r="A2044" s="14"/>
      <c r="B2044" s="17"/>
      <c r="C2044" s="17"/>
      <c r="D2044" s="17"/>
      <c r="E2044" s="14"/>
      <c r="F2044" s="14"/>
      <c r="G2044" s="14"/>
      <c r="H2044" s="14"/>
      <c r="I2044" s="14"/>
      <c r="J2044" s="14"/>
      <c r="K2044" s="14"/>
      <c r="L2044" s="14"/>
      <c r="M2044" s="15"/>
      <c r="N2044" s="15"/>
      <c r="O2044" s="14"/>
      <c r="P2044" s="14"/>
    </row>
    <row r="2045">
      <c r="A2045" s="14"/>
      <c r="B2045" s="17"/>
      <c r="C2045" s="17"/>
      <c r="D2045" s="17"/>
      <c r="E2045" s="14"/>
      <c r="F2045" s="14"/>
      <c r="G2045" s="14"/>
      <c r="H2045" s="14"/>
      <c r="I2045" s="14"/>
      <c r="J2045" s="14"/>
      <c r="K2045" s="14"/>
      <c r="L2045" s="14"/>
      <c r="M2045" s="15"/>
      <c r="N2045" s="15"/>
      <c r="O2045" s="14"/>
      <c r="P2045" s="14"/>
    </row>
    <row r="2046">
      <c r="A2046" s="14"/>
      <c r="B2046" s="17"/>
      <c r="C2046" s="17"/>
      <c r="D2046" s="17"/>
      <c r="E2046" s="14"/>
      <c r="F2046" s="14"/>
      <c r="G2046" s="14"/>
      <c r="H2046" s="14"/>
      <c r="I2046" s="14"/>
      <c r="J2046" s="14"/>
      <c r="K2046" s="14"/>
      <c r="L2046" s="14"/>
      <c r="M2046" s="15"/>
      <c r="N2046" s="15"/>
      <c r="O2046" s="14"/>
      <c r="P2046" s="14"/>
    </row>
    <row r="2047">
      <c r="A2047" s="14"/>
      <c r="B2047" s="17"/>
      <c r="C2047" s="17"/>
      <c r="D2047" s="17"/>
      <c r="E2047" s="14"/>
      <c r="F2047" s="14"/>
      <c r="G2047" s="14"/>
      <c r="H2047" s="14"/>
      <c r="I2047" s="14"/>
      <c r="J2047" s="14"/>
      <c r="K2047" s="14"/>
      <c r="L2047" s="14"/>
      <c r="M2047" s="15"/>
      <c r="N2047" s="15"/>
      <c r="O2047" s="14"/>
      <c r="P2047" s="14"/>
    </row>
    <row r="2048">
      <c r="A2048" s="14"/>
      <c r="B2048" s="17"/>
      <c r="C2048" s="17"/>
      <c r="D2048" s="17"/>
      <c r="E2048" s="14"/>
      <c r="F2048" s="14"/>
      <c r="G2048" s="14"/>
      <c r="H2048" s="14"/>
      <c r="I2048" s="14"/>
      <c r="J2048" s="14"/>
      <c r="K2048" s="14"/>
      <c r="L2048" s="14"/>
      <c r="M2048" s="15"/>
      <c r="N2048" s="15"/>
      <c r="O2048" s="14"/>
      <c r="P2048" s="14"/>
    </row>
    <row r="2049">
      <c r="A2049" s="14"/>
      <c r="B2049" s="17"/>
      <c r="C2049" s="17"/>
      <c r="D2049" s="17"/>
      <c r="E2049" s="14"/>
      <c r="F2049" s="14"/>
      <c r="G2049" s="14"/>
      <c r="H2049" s="14"/>
      <c r="I2049" s="14"/>
      <c r="J2049" s="14"/>
      <c r="K2049" s="14"/>
      <c r="L2049" s="14"/>
      <c r="M2049" s="15"/>
      <c r="N2049" s="15"/>
      <c r="O2049" s="14"/>
      <c r="P2049" s="14"/>
    </row>
    <row r="2050">
      <c r="A2050" s="14"/>
      <c r="B2050" s="17"/>
      <c r="C2050" s="17"/>
      <c r="D2050" s="17"/>
      <c r="E2050" s="14"/>
      <c r="F2050" s="14"/>
      <c r="G2050" s="14"/>
      <c r="H2050" s="14"/>
      <c r="I2050" s="14"/>
      <c r="J2050" s="14"/>
      <c r="K2050" s="14"/>
      <c r="L2050" s="14"/>
      <c r="M2050" s="15"/>
      <c r="N2050" s="15"/>
      <c r="O2050" s="14"/>
      <c r="P2050" s="14"/>
    </row>
    <row r="2051">
      <c r="A2051" s="14"/>
      <c r="B2051" s="17"/>
      <c r="C2051" s="17"/>
      <c r="D2051" s="17"/>
      <c r="E2051" s="14"/>
      <c r="F2051" s="14"/>
      <c r="G2051" s="14"/>
      <c r="H2051" s="14"/>
      <c r="I2051" s="14"/>
      <c r="J2051" s="14"/>
      <c r="K2051" s="14"/>
      <c r="L2051" s="14"/>
      <c r="M2051" s="15"/>
      <c r="N2051" s="15"/>
      <c r="O2051" s="14"/>
      <c r="P2051" s="14"/>
    </row>
    <row r="2052">
      <c r="A2052" s="14"/>
      <c r="B2052" s="17"/>
      <c r="C2052" s="17"/>
      <c r="D2052" s="17"/>
      <c r="E2052" s="14"/>
      <c r="F2052" s="14"/>
      <c r="G2052" s="14"/>
      <c r="H2052" s="14"/>
      <c r="I2052" s="14"/>
      <c r="J2052" s="14"/>
      <c r="K2052" s="14"/>
      <c r="L2052" s="14"/>
      <c r="M2052" s="15"/>
      <c r="N2052" s="15"/>
      <c r="O2052" s="14"/>
      <c r="P2052" s="14"/>
    </row>
    <row r="2053">
      <c r="A2053" s="14"/>
      <c r="B2053" s="17"/>
      <c r="C2053" s="17"/>
      <c r="D2053" s="17"/>
      <c r="E2053" s="14"/>
      <c r="F2053" s="14"/>
      <c r="G2053" s="14"/>
      <c r="H2053" s="14"/>
      <c r="I2053" s="14"/>
      <c r="J2053" s="14"/>
      <c r="K2053" s="14"/>
      <c r="L2053" s="14"/>
      <c r="M2053" s="15"/>
      <c r="N2053" s="15"/>
      <c r="O2053" s="14"/>
      <c r="P2053" s="14"/>
    </row>
    <row r="2054">
      <c r="A2054" s="14"/>
      <c r="B2054" s="17"/>
      <c r="C2054" s="17"/>
      <c r="D2054" s="17"/>
      <c r="E2054" s="14"/>
      <c r="F2054" s="14"/>
      <c r="G2054" s="14"/>
      <c r="H2054" s="14"/>
      <c r="I2054" s="14"/>
      <c r="J2054" s="14"/>
      <c r="K2054" s="14"/>
      <c r="L2054" s="14"/>
      <c r="M2054" s="15"/>
      <c r="N2054" s="15"/>
      <c r="O2054" s="14"/>
      <c r="P2054" s="14"/>
    </row>
    <row r="2055">
      <c r="A2055" s="14"/>
      <c r="B2055" s="17"/>
      <c r="C2055" s="17"/>
      <c r="D2055" s="17"/>
      <c r="E2055" s="14"/>
      <c r="F2055" s="14"/>
      <c r="G2055" s="14"/>
      <c r="H2055" s="14"/>
      <c r="I2055" s="14"/>
      <c r="J2055" s="14"/>
      <c r="K2055" s="14"/>
      <c r="L2055" s="14"/>
      <c r="M2055" s="15"/>
      <c r="N2055" s="15"/>
      <c r="O2055" s="14"/>
      <c r="P2055" s="14"/>
    </row>
    <row r="2056">
      <c r="A2056" s="14"/>
      <c r="B2056" s="17"/>
      <c r="C2056" s="17"/>
      <c r="D2056" s="17"/>
      <c r="E2056" s="14"/>
      <c r="F2056" s="14"/>
      <c r="G2056" s="14"/>
      <c r="H2056" s="14"/>
      <c r="I2056" s="14"/>
      <c r="J2056" s="14"/>
      <c r="K2056" s="14"/>
      <c r="L2056" s="14"/>
      <c r="M2056" s="15"/>
      <c r="N2056" s="15"/>
      <c r="O2056" s="14"/>
      <c r="P2056" s="14"/>
    </row>
    <row r="2057">
      <c r="A2057" s="14"/>
      <c r="B2057" s="17"/>
      <c r="C2057" s="17"/>
      <c r="D2057" s="17"/>
      <c r="E2057" s="14"/>
      <c r="F2057" s="14"/>
      <c r="G2057" s="14"/>
      <c r="H2057" s="14"/>
      <c r="I2057" s="14"/>
      <c r="J2057" s="14"/>
      <c r="K2057" s="14"/>
      <c r="L2057" s="14"/>
      <c r="M2057" s="15"/>
      <c r="N2057" s="15"/>
      <c r="O2057" s="14"/>
      <c r="P2057" s="14"/>
    </row>
    <row r="2058">
      <c r="A2058" s="14"/>
      <c r="B2058" s="17"/>
      <c r="C2058" s="17"/>
      <c r="D2058" s="17"/>
      <c r="E2058" s="14"/>
      <c r="F2058" s="14"/>
      <c r="G2058" s="14"/>
      <c r="H2058" s="14"/>
      <c r="I2058" s="14"/>
      <c r="J2058" s="14"/>
      <c r="K2058" s="14"/>
      <c r="L2058" s="14"/>
      <c r="M2058" s="15"/>
      <c r="N2058" s="15"/>
      <c r="O2058" s="14"/>
      <c r="P2058" s="14"/>
    </row>
    <row r="2059">
      <c r="A2059" s="14"/>
      <c r="B2059" s="17"/>
      <c r="C2059" s="17"/>
      <c r="D2059" s="17"/>
      <c r="E2059" s="14"/>
      <c r="F2059" s="14"/>
      <c r="G2059" s="14"/>
      <c r="H2059" s="14"/>
      <c r="I2059" s="14"/>
      <c r="J2059" s="14"/>
      <c r="K2059" s="14"/>
      <c r="L2059" s="14"/>
      <c r="M2059" s="15"/>
      <c r="N2059" s="15"/>
      <c r="O2059" s="14"/>
      <c r="P2059" s="14"/>
    </row>
    <row r="2060">
      <c r="A2060" s="14"/>
      <c r="B2060" s="17"/>
      <c r="C2060" s="17"/>
      <c r="D2060" s="17"/>
      <c r="E2060" s="14"/>
      <c r="F2060" s="14"/>
      <c r="G2060" s="14"/>
      <c r="H2060" s="14"/>
      <c r="I2060" s="14"/>
      <c r="J2060" s="14"/>
      <c r="K2060" s="14"/>
      <c r="L2060" s="14"/>
      <c r="M2060" s="15"/>
      <c r="N2060" s="15"/>
      <c r="O2060" s="14"/>
      <c r="P2060" s="14"/>
    </row>
    <row r="2061">
      <c r="A2061" s="14"/>
      <c r="B2061" s="17"/>
      <c r="C2061" s="17"/>
      <c r="D2061" s="17"/>
      <c r="E2061" s="14"/>
      <c r="F2061" s="14"/>
      <c r="G2061" s="14"/>
      <c r="H2061" s="14"/>
      <c r="I2061" s="14"/>
      <c r="J2061" s="14"/>
      <c r="K2061" s="14"/>
      <c r="L2061" s="14"/>
      <c r="M2061" s="15"/>
      <c r="N2061" s="15"/>
      <c r="O2061" s="14"/>
      <c r="P2061" s="14"/>
    </row>
    <row r="2062">
      <c r="A2062" s="14"/>
      <c r="B2062" s="17"/>
      <c r="C2062" s="17"/>
      <c r="D2062" s="17"/>
      <c r="E2062" s="14"/>
      <c r="F2062" s="14"/>
      <c r="G2062" s="14"/>
      <c r="H2062" s="14"/>
      <c r="I2062" s="14"/>
      <c r="J2062" s="14"/>
      <c r="K2062" s="14"/>
      <c r="L2062" s="14"/>
      <c r="M2062" s="15"/>
      <c r="N2062" s="15"/>
      <c r="O2062" s="14"/>
      <c r="P2062" s="14"/>
    </row>
    <row r="2063">
      <c r="A2063" s="14"/>
      <c r="B2063" s="17"/>
      <c r="C2063" s="17"/>
      <c r="D2063" s="17"/>
      <c r="E2063" s="14"/>
      <c r="F2063" s="14"/>
      <c r="G2063" s="14"/>
      <c r="H2063" s="14"/>
      <c r="I2063" s="14"/>
      <c r="J2063" s="14"/>
      <c r="K2063" s="14"/>
      <c r="L2063" s="14"/>
      <c r="M2063" s="15"/>
      <c r="N2063" s="15"/>
      <c r="O2063" s="14"/>
      <c r="P2063" s="14"/>
    </row>
    <row r="2064">
      <c r="A2064" s="14"/>
      <c r="B2064" s="17"/>
      <c r="C2064" s="17"/>
      <c r="D2064" s="17"/>
      <c r="E2064" s="14"/>
      <c r="F2064" s="14"/>
      <c r="G2064" s="14"/>
      <c r="H2064" s="14"/>
      <c r="I2064" s="14"/>
      <c r="J2064" s="14"/>
      <c r="K2064" s="14"/>
      <c r="L2064" s="14"/>
      <c r="M2064" s="15"/>
      <c r="N2064" s="15"/>
      <c r="O2064" s="14"/>
      <c r="P2064" s="14"/>
    </row>
    <row r="2065">
      <c r="A2065" s="14"/>
      <c r="B2065" s="17"/>
      <c r="C2065" s="17"/>
      <c r="D2065" s="17"/>
      <c r="E2065" s="14"/>
      <c r="F2065" s="14"/>
      <c r="G2065" s="14"/>
      <c r="H2065" s="14"/>
      <c r="I2065" s="14"/>
      <c r="J2065" s="14"/>
      <c r="K2065" s="14"/>
      <c r="L2065" s="14"/>
      <c r="M2065" s="15"/>
      <c r="N2065" s="15"/>
      <c r="O2065" s="14"/>
      <c r="P2065" s="14"/>
    </row>
    <row r="2066">
      <c r="A2066" s="14"/>
      <c r="B2066" s="17"/>
      <c r="C2066" s="17"/>
      <c r="D2066" s="17"/>
      <c r="E2066" s="14"/>
      <c r="F2066" s="14"/>
      <c r="G2066" s="14"/>
      <c r="H2066" s="14"/>
      <c r="I2066" s="14"/>
      <c r="J2066" s="14"/>
      <c r="K2066" s="14"/>
      <c r="L2066" s="14"/>
      <c r="M2066" s="15"/>
      <c r="N2066" s="15"/>
      <c r="O2066" s="14"/>
      <c r="P2066" s="14"/>
    </row>
    <row r="2067">
      <c r="A2067" s="14"/>
      <c r="B2067" s="17"/>
      <c r="C2067" s="17"/>
      <c r="D2067" s="17"/>
      <c r="E2067" s="14"/>
      <c r="F2067" s="14"/>
      <c r="G2067" s="14"/>
      <c r="H2067" s="14"/>
      <c r="I2067" s="14"/>
      <c r="J2067" s="14"/>
      <c r="K2067" s="14"/>
      <c r="L2067" s="14"/>
      <c r="M2067" s="15"/>
      <c r="N2067" s="15"/>
      <c r="O2067" s="14"/>
      <c r="P2067" s="14"/>
    </row>
    <row r="2068">
      <c r="A2068" s="14"/>
      <c r="B2068" s="17"/>
      <c r="C2068" s="17"/>
      <c r="D2068" s="17"/>
      <c r="E2068" s="14"/>
      <c r="F2068" s="14"/>
      <c r="G2068" s="14"/>
      <c r="H2068" s="14"/>
      <c r="I2068" s="14"/>
      <c r="J2068" s="14"/>
      <c r="K2068" s="14"/>
      <c r="L2068" s="14"/>
      <c r="M2068" s="15"/>
      <c r="N2068" s="15"/>
      <c r="O2068" s="14"/>
      <c r="P2068" s="14"/>
    </row>
    <row r="2069">
      <c r="A2069" s="14"/>
      <c r="B2069" s="17"/>
      <c r="C2069" s="17"/>
      <c r="D2069" s="17"/>
      <c r="E2069" s="14"/>
      <c r="F2069" s="14"/>
      <c r="G2069" s="14"/>
      <c r="H2069" s="14"/>
      <c r="I2069" s="14"/>
      <c r="J2069" s="14"/>
      <c r="K2069" s="14"/>
      <c r="L2069" s="14"/>
      <c r="M2069" s="15"/>
      <c r="N2069" s="15"/>
      <c r="O2069" s="14"/>
      <c r="P2069" s="14"/>
    </row>
    <row r="2070">
      <c r="A2070" s="14"/>
      <c r="B2070" s="17"/>
      <c r="C2070" s="17"/>
      <c r="D2070" s="17"/>
      <c r="E2070" s="14"/>
      <c r="F2070" s="14"/>
      <c r="G2070" s="14"/>
      <c r="H2070" s="14"/>
      <c r="I2070" s="14"/>
      <c r="J2070" s="14"/>
      <c r="K2070" s="14"/>
      <c r="L2070" s="14"/>
      <c r="M2070" s="15"/>
      <c r="N2070" s="15"/>
      <c r="O2070" s="14"/>
      <c r="P2070" s="14"/>
    </row>
    <row r="2071">
      <c r="A2071" s="14"/>
      <c r="B2071" s="17"/>
      <c r="C2071" s="17"/>
      <c r="D2071" s="17"/>
      <c r="E2071" s="14"/>
      <c r="F2071" s="14"/>
      <c r="G2071" s="14"/>
      <c r="H2071" s="14"/>
      <c r="I2071" s="14"/>
      <c r="J2071" s="14"/>
      <c r="K2071" s="14"/>
      <c r="L2071" s="14"/>
      <c r="M2071" s="15"/>
      <c r="N2071" s="15"/>
      <c r="O2071" s="14"/>
      <c r="P2071" s="14"/>
    </row>
    <row r="2072">
      <c r="A2072" s="14"/>
      <c r="B2072" s="17"/>
      <c r="C2072" s="17"/>
      <c r="D2072" s="17"/>
      <c r="E2072" s="14"/>
      <c r="F2072" s="14"/>
      <c r="G2072" s="14"/>
      <c r="H2072" s="14"/>
      <c r="I2072" s="14"/>
      <c r="J2072" s="14"/>
      <c r="K2072" s="14"/>
      <c r="L2072" s="14"/>
      <c r="M2072" s="15"/>
      <c r="N2072" s="15"/>
      <c r="O2072" s="14"/>
      <c r="P2072" s="14"/>
    </row>
    <row r="2073">
      <c r="A2073" s="14"/>
      <c r="B2073" s="17"/>
      <c r="C2073" s="17"/>
      <c r="D2073" s="17"/>
      <c r="E2073" s="14"/>
      <c r="F2073" s="14"/>
      <c r="G2073" s="14"/>
      <c r="H2073" s="14"/>
      <c r="I2073" s="14"/>
      <c r="J2073" s="14"/>
      <c r="K2073" s="14"/>
      <c r="L2073" s="14"/>
      <c r="M2073" s="15"/>
      <c r="N2073" s="15"/>
      <c r="O2073" s="14"/>
      <c r="P2073" s="14"/>
    </row>
    <row r="2074">
      <c r="A2074" s="14"/>
      <c r="B2074" s="17"/>
      <c r="C2074" s="17"/>
      <c r="D2074" s="17"/>
      <c r="E2074" s="14"/>
      <c r="F2074" s="14"/>
      <c r="G2074" s="14"/>
      <c r="H2074" s="14"/>
      <c r="I2074" s="14"/>
      <c r="J2074" s="14"/>
      <c r="K2074" s="14"/>
      <c r="L2074" s="14"/>
      <c r="M2074" s="15"/>
      <c r="N2074" s="15"/>
      <c r="O2074" s="14"/>
      <c r="P2074" s="14"/>
    </row>
    <row r="2075">
      <c r="A2075" s="14"/>
      <c r="B2075" s="17"/>
      <c r="C2075" s="17"/>
      <c r="D2075" s="17"/>
      <c r="E2075" s="14"/>
      <c r="F2075" s="14"/>
      <c r="G2075" s="14"/>
      <c r="H2075" s="14"/>
      <c r="I2075" s="14"/>
      <c r="J2075" s="14"/>
      <c r="K2075" s="14"/>
      <c r="L2075" s="14"/>
      <c r="M2075" s="15"/>
      <c r="N2075" s="15"/>
      <c r="O2075" s="14"/>
      <c r="P2075" s="14"/>
    </row>
    <row r="2076">
      <c r="A2076" s="14"/>
      <c r="B2076" s="17"/>
      <c r="C2076" s="17"/>
      <c r="D2076" s="17"/>
      <c r="E2076" s="14"/>
      <c r="F2076" s="14"/>
      <c r="G2076" s="14"/>
      <c r="H2076" s="14"/>
      <c r="I2076" s="14"/>
      <c r="J2076" s="14"/>
      <c r="K2076" s="14"/>
      <c r="L2076" s="14"/>
      <c r="M2076" s="15"/>
      <c r="N2076" s="15"/>
      <c r="O2076" s="14"/>
      <c r="P2076" s="14"/>
    </row>
    <row r="2077">
      <c r="A2077" s="14"/>
      <c r="B2077" s="17"/>
      <c r="C2077" s="17"/>
      <c r="D2077" s="17"/>
      <c r="E2077" s="14"/>
      <c r="F2077" s="14"/>
      <c r="G2077" s="14"/>
      <c r="H2077" s="14"/>
      <c r="I2077" s="14"/>
      <c r="J2077" s="14"/>
      <c r="K2077" s="14"/>
      <c r="L2077" s="14"/>
      <c r="M2077" s="15"/>
      <c r="N2077" s="15"/>
      <c r="O2077" s="14"/>
      <c r="P2077" s="14"/>
    </row>
    <row r="2078">
      <c r="A2078" s="14"/>
      <c r="B2078" s="17"/>
      <c r="C2078" s="17"/>
      <c r="D2078" s="17"/>
      <c r="E2078" s="14"/>
      <c r="F2078" s="14"/>
      <c r="G2078" s="14"/>
      <c r="H2078" s="14"/>
      <c r="I2078" s="14"/>
      <c r="J2078" s="14"/>
      <c r="K2078" s="14"/>
      <c r="L2078" s="14"/>
      <c r="M2078" s="15"/>
      <c r="N2078" s="15"/>
      <c r="O2078" s="14"/>
      <c r="P2078" s="14"/>
    </row>
    <row r="2079">
      <c r="A2079" s="14"/>
      <c r="B2079" s="17"/>
      <c r="C2079" s="17"/>
      <c r="D2079" s="17"/>
      <c r="E2079" s="14"/>
      <c r="F2079" s="14"/>
      <c r="G2079" s="14"/>
      <c r="H2079" s="14"/>
      <c r="I2079" s="14"/>
      <c r="J2079" s="14"/>
      <c r="K2079" s="14"/>
      <c r="L2079" s="14"/>
      <c r="M2079" s="15"/>
      <c r="N2079" s="15"/>
      <c r="O2079" s="14"/>
      <c r="P2079" s="14"/>
    </row>
    <row r="2080">
      <c r="A2080" s="14"/>
      <c r="B2080" s="17"/>
      <c r="C2080" s="17"/>
      <c r="D2080" s="17"/>
      <c r="E2080" s="14"/>
      <c r="F2080" s="14"/>
      <c r="G2080" s="14"/>
      <c r="H2080" s="14"/>
      <c r="I2080" s="14"/>
      <c r="J2080" s="14"/>
      <c r="K2080" s="14"/>
      <c r="L2080" s="14"/>
      <c r="M2080" s="15"/>
      <c r="N2080" s="15"/>
      <c r="O2080" s="14"/>
      <c r="P2080" s="14"/>
    </row>
    <row r="2081">
      <c r="A2081" s="14"/>
      <c r="B2081" s="17"/>
      <c r="C2081" s="17"/>
      <c r="D2081" s="17"/>
      <c r="E2081" s="14"/>
      <c r="F2081" s="14"/>
      <c r="G2081" s="14"/>
      <c r="H2081" s="14"/>
      <c r="I2081" s="14"/>
      <c r="J2081" s="14"/>
      <c r="K2081" s="14"/>
      <c r="L2081" s="14"/>
      <c r="M2081" s="15"/>
      <c r="N2081" s="15"/>
      <c r="O2081" s="14"/>
      <c r="P2081" s="14"/>
    </row>
    <row r="2082">
      <c r="A2082" s="14"/>
      <c r="B2082" s="17"/>
      <c r="C2082" s="17"/>
      <c r="D2082" s="17"/>
      <c r="E2082" s="14"/>
      <c r="F2082" s="14"/>
      <c r="G2082" s="14"/>
      <c r="H2082" s="14"/>
      <c r="I2082" s="14"/>
      <c r="J2082" s="14"/>
      <c r="K2082" s="14"/>
      <c r="L2082" s="14"/>
      <c r="M2082" s="15"/>
      <c r="N2082" s="15"/>
      <c r="O2082" s="14"/>
      <c r="P2082" s="14"/>
    </row>
    <row r="2083">
      <c r="A2083" s="14"/>
      <c r="B2083" s="17"/>
      <c r="C2083" s="17"/>
      <c r="D2083" s="17"/>
      <c r="E2083" s="14"/>
      <c r="F2083" s="14"/>
      <c r="G2083" s="14"/>
      <c r="H2083" s="14"/>
      <c r="I2083" s="14"/>
      <c r="J2083" s="14"/>
      <c r="K2083" s="14"/>
      <c r="L2083" s="14"/>
      <c r="M2083" s="15"/>
      <c r="N2083" s="15"/>
      <c r="O2083" s="14"/>
      <c r="P2083" s="14"/>
    </row>
    <row r="2084">
      <c r="A2084" s="14"/>
      <c r="B2084" s="17"/>
      <c r="C2084" s="17"/>
      <c r="D2084" s="17"/>
      <c r="E2084" s="14"/>
      <c r="F2084" s="14"/>
      <c r="G2084" s="14"/>
      <c r="H2084" s="14"/>
      <c r="I2084" s="14"/>
      <c r="J2084" s="14"/>
      <c r="K2084" s="14"/>
      <c r="L2084" s="14"/>
      <c r="M2084" s="15"/>
      <c r="N2084" s="15"/>
      <c r="O2084" s="14"/>
      <c r="P2084" s="14"/>
    </row>
    <row r="2085">
      <c r="A2085" s="14"/>
      <c r="B2085" s="17"/>
      <c r="C2085" s="17"/>
      <c r="D2085" s="17"/>
      <c r="E2085" s="14"/>
      <c r="F2085" s="14"/>
      <c r="G2085" s="14"/>
      <c r="H2085" s="14"/>
      <c r="I2085" s="14"/>
      <c r="J2085" s="14"/>
      <c r="K2085" s="14"/>
      <c r="L2085" s="14"/>
      <c r="M2085" s="15"/>
      <c r="N2085" s="15"/>
      <c r="O2085" s="14"/>
      <c r="P2085" s="14"/>
    </row>
    <row r="2086">
      <c r="A2086" s="14"/>
      <c r="B2086" s="17"/>
      <c r="C2086" s="17"/>
      <c r="D2086" s="17"/>
      <c r="E2086" s="14"/>
      <c r="F2086" s="14"/>
      <c r="G2086" s="14"/>
      <c r="H2086" s="14"/>
      <c r="I2086" s="14"/>
      <c r="J2086" s="14"/>
      <c r="K2086" s="14"/>
      <c r="L2086" s="14"/>
      <c r="M2086" s="15"/>
      <c r="N2086" s="15"/>
      <c r="O2086" s="14"/>
      <c r="P2086" s="14"/>
    </row>
    <row r="2087">
      <c r="A2087" s="14"/>
      <c r="B2087" s="17"/>
      <c r="C2087" s="17"/>
      <c r="D2087" s="17"/>
      <c r="E2087" s="14"/>
      <c r="F2087" s="14"/>
      <c r="G2087" s="14"/>
      <c r="H2087" s="14"/>
      <c r="I2087" s="14"/>
      <c r="J2087" s="14"/>
      <c r="K2087" s="14"/>
      <c r="L2087" s="14"/>
      <c r="M2087" s="15"/>
      <c r="N2087" s="15"/>
      <c r="O2087" s="14"/>
      <c r="P2087" s="14"/>
    </row>
    <row r="2088">
      <c r="A2088" s="14"/>
      <c r="B2088" s="17"/>
      <c r="C2088" s="17"/>
      <c r="D2088" s="17"/>
      <c r="E2088" s="14"/>
      <c r="F2088" s="14"/>
      <c r="G2088" s="14"/>
      <c r="H2088" s="14"/>
      <c r="I2088" s="14"/>
      <c r="J2088" s="14"/>
      <c r="K2088" s="14"/>
      <c r="L2088" s="14"/>
      <c r="M2088" s="15"/>
      <c r="N2088" s="15"/>
      <c r="O2088" s="14"/>
      <c r="P2088" s="14"/>
    </row>
    <row r="2089">
      <c r="A2089" s="14"/>
      <c r="B2089" s="17"/>
      <c r="C2089" s="17"/>
      <c r="D2089" s="17"/>
      <c r="E2089" s="14"/>
      <c r="F2089" s="14"/>
      <c r="G2089" s="14"/>
      <c r="H2089" s="14"/>
      <c r="I2089" s="14"/>
      <c r="J2089" s="14"/>
      <c r="K2089" s="14"/>
      <c r="L2089" s="14"/>
      <c r="M2089" s="15"/>
      <c r="N2089" s="15"/>
      <c r="O2089" s="14"/>
      <c r="P2089" s="14"/>
    </row>
    <row r="2090">
      <c r="A2090" s="14"/>
      <c r="B2090" s="17"/>
      <c r="C2090" s="17"/>
      <c r="D2090" s="17"/>
      <c r="E2090" s="14"/>
      <c r="F2090" s="14"/>
      <c r="G2090" s="14"/>
      <c r="H2090" s="14"/>
      <c r="I2090" s="14"/>
      <c r="J2090" s="14"/>
      <c r="K2090" s="14"/>
      <c r="L2090" s="14"/>
      <c r="M2090" s="15"/>
      <c r="N2090" s="15"/>
      <c r="O2090" s="14"/>
      <c r="P2090" s="14"/>
    </row>
    <row r="2091">
      <c r="A2091" s="14"/>
      <c r="B2091" s="17"/>
      <c r="C2091" s="17"/>
      <c r="D2091" s="17"/>
      <c r="E2091" s="14"/>
      <c r="F2091" s="14"/>
      <c r="G2091" s="14"/>
      <c r="H2091" s="14"/>
      <c r="I2091" s="14"/>
      <c r="J2091" s="14"/>
      <c r="K2091" s="14"/>
      <c r="L2091" s="14"/>
      <c r="M2091" s="15"/>
      <c r="N2091" s="15"/>
      <c r="O2091" s="14"/>
      <c r="P2091" s="14"/>
    </row>
    <row r="2092">
      <c r="A2092" s="14"/>
      <c r="B2092" s="17"/>
      <c r="C2092" s="17"/>
      <c r="D2092" s="17"/>
      <c r="E2092" s="14"/>
      <c r="F2092" s="14"/>
      <c r="G2092" s="14"/>
      <c r="H2092" s="14"/>
      <c r="I2092" s="14"/>
      <c r="J2092" s="14"/>
      <c r="K2092" s="14"/>
      <c r="L2092" s="14"/>
      <c r="M2092" s="15"/>
      <c r="N2092" s="15"/>
      <c r="O2092" s="14"/>
      <c r="P2092" s="14"/>
    </row>
    <row r="2093">
      <c r="A2093" s="14"/>
      <c r="B2093" s="17"/>
      <c r="C2093" s="17"/>
      <c r="D2093" s="17"/>
      <c r="E2093" s="14"/>
      <c r="F2093" s="14"/>
      <c r="G2093" s="14"/>
      <c r="H2093" s="14"/>
      <c r="I2093" s="14"/>
      <c r="J2093" s="14"/>
      <c r="K2093" s="14"/>
      <c r="L2093" s="14"/>
      <c r="M2093" s="15"/>
      <c r="N2093" s="15"/>
      <c r="O2093" s="14"/>
      <c r="P2093" s="14"/>
    </row>
    <row r="2094">
      <c r="A2094" s="14"/>
      <c r="B2094" s="17"/>
      <c r="C2094" s="17"/>
      <c r="D2094" s="17"/>
      <c r="E2094" s="14"/>
      <c r="F2094" s="14"/>
      <c r="G2094" s="14"/>
      <c r="H2094" s="14"/>
      <c r="I2094" s="14"/>
      <c r="J2094" s="14"/>
      <c r="K2094" s="14"/>
      <c r="L2094" s="14"/>
      <c r="M2094" s="15"/>
      <c r="N2094" s="15"/>
      <c r="O2094" s="14"/>
      <c r="P2094" s="14"/>
    </row>
    <row r="2095">
      <c r="A2095" s="14"/>
      <c r="B2095" s="17"/>
      <c r="C2095" s="17"/>
      <c r="D2095" s="17"/>
      <c r="E2095" s="14"/>
      <c r="F2095" s="14"/>
      <c r="G2095" s="14"/>
      <c r="H2095" s="14"/>
      <c r="I2095" s="14"/>
      <c r="J2095" s="14"/>
      <c r="K2095" s="14"/>
      <c r="L2095" s="14"/>
      <c r="M2095" s="15"/>
      <c r="N2095" s="15"/>
      <c r="O2095" s="14"/>
      <c r="P2095" s="14"/>
    </row>
    <row r="2096">
      <c r="A2096" s="14"/>
      <c r="B2096" s="17"/>
      <c r="C2096" s="17"/>
      <c r="D2096" s="17"/>
      <c r="E2096" s="14"/>
      <c r="F2096" s="14"/>
      <c r="G2096" s="14"/>
      <c r="H2096" s="14"/>
      <c r="I2096" s="14"/>
      <c r="J2096" s="14"/>
      <c r="K2096" s="14"/>
      <c r="L2096" s="14"/>
      <c r="M2096" s="15"/>
      <c r="N2096" s="15"/>
      <c r="O2096" s="14"/>
      <c r="P2096" s="14"/>
    </row>
    <row r="2097">
      <c r="A2097" s="14"/>
      <c r="B2097" s="17"/>
      <c r="C2097" s="17"/>
      <c r="D2097" s="17"/>
      <c r="E2097" s="14"/>
      <c r="F2097" s="14"/>
      <c r="G2097" s="14"/>
      <c r="H2097" s="14"/>
      <c r="I2097" s="14"/>
      <c r="J2097" s="14"/>
      <c r="K2097" s="14"/>
      <c r="L2097" s="14"/>
      <c r="M2097" s="15"/>
      <c r="N2097" s="15"/>
      <c r="O2097" s="14"/>
      <c r="P2097" s="14"/>
    </row>
    <row r="2098">
      <c r="A2098" s="14"/>
      <c r="B2098" s="17"/>
      <c r="C2098" s="17"/>
      <c r="D2098" s="17"/>
      <c r="E2098" s="14"/>
      <c r="F2098" s="14"/>
      <c r="G2098" s="14"/>
      <c r="H2098" s="14"/>
      <c r="I2098" s="14"/>
      <c r="J2098" s="14"/>
      <c r="K2098" s="14"/>
      <c r="L2098" s="14"/>
      <c r="M2098" s="15"/>
      <c r="N2098" s="15"/>
      <c r="O2098" s="14"/>
      <c r="P2098" s="14"/>
    </row>
    <row r="2099">
      <c r="A2099" s="14"/>
      <c r="B2099" s="17"/>
      <c r="C2099" s="17"/>
      <c r="D2099" s="17"/>
      <c r="E2099" s="14"/>
      <c r="F2099" s="14"/>
      <c r="G2099" s="14"/>
      <c r="H2099" s="14"/>
      <c r="I2099" s="14"/>
      <c r="J2099" s="14"/>
      <c r="K2099" s="14"/>
      <c r="L2099" s="14"/>
      <c r="M2099" s="15"/>
      <c r="N2099" s="15"/>
      <c r="O2099" s="14"/>
      <c r="P2099" s="14"/>
    </row>
    <row r="2100">
      <c r="A2100" s="14"/>
      <c r="B2100" s="17"/>
      <c r="C2100" s="17"/>
      <c r="D2100" s="17"/>
      <c r="E2100" s="14"/>
      <c r="F2100" s="14"/>
      <c r="G2100" s="14"/>
      <c r="H2100" s="14"/>
      <c r="I2100" s="14"/>
      <c r="J2100" s="14"/>
      <c r="K2100" s="14"/>
      <c r="L2100" s="14"/>
      <c r="M2100" s="15"/>
      <c r="N2100" s="15"/>
      <c r="O2100" s="14"/>
      <c r="P2100" s="14"/>
    </row>
    <row r="2101">
      <c r="A2101" s="14"/>
      <c r="B2101" s="17"/>
      <c r="C2101" s="17"/>
      <c r="D2101" s="17"/>
      <c r="E2101" s="14"/>
      <c r="F2101" s="14"/>
      <c r="G2101" s="14"/>
      <c r="H2101" s="14"/>
      <c r="I2101" s="14"/>
      <c r="J2101" s="14"/>
      <c r="K2101" s="14"/>
      <c r="L2101" s="14"/>
      <c r="M2101" s="15"/>
      <c r="N2101" s="15"/>
      <c r="O2101" s="14"/>
      <c r="P2101" s="14"/>
    </row>
    <row r="2102">
      <c r="A2102" s="14"/>
      <c r="B2102" s="17"/>
      <c r="C2102" s="17"/>
      <c r="D2102" s="17"/>
      <c r="E2102" s="14"/>
      <c r="F2102" s="14"/>
      <c r="G2102" s="14"/>
      <c r="H2102" s="14"/>
      <c r="I2102" s="14"/>
      <c r="J2102" s="14"/>
      <c r="K2102" s="14"/>
      <c r="L2102" s="14"/>
      <c r="M2102" s="15"/>
      <c r="N2102" s="15"/>
      <c r="O2102" s="14"/>
      <c r="P2102" s="14"/>
    </row>
    <row r="2103">
      <c r="A2103" s="14"/>
      <c r="B2103" s="17"/>
      <c r="C2103" s="17"/>
      <c r="D2103" s="17"/>
      <c r="E2103" s="14"/>
      <c r="F2103" s="14"/>
      <c r="G2103" s="14"/>
      <c r="H2103" s="14"/>
      <c r="I2103" s="14"/>
      <c r="J2103" s="14"/>
      <c r="K2103" s="14"/>
      <c r="L2103" s="14"/>
      <c r="M2103" s="15"/>
      <c r="N2103" s="15"/>
      <c r="O2103" s="14"/>
      <c r="P2103" s="14"/>
    </row>
    <row r="2104">
      <c r="A2104" s="14"/>
      <c r="B2104" s="17"/>
      <c r="C2104" s="17"/>
      <c r="D2104" s="17"/>
      <c r="E2104" s="14"/>
      <c r="F2104" s="14"/>
      <c r="G2104" s="14"/>
      <c r="H2104" s="14"/>
      <c r="I2104" s="14"/>
      <c r="J2104" s="14"/>
      <c r="K2104" s="14"/>
      <c r="L2104" s="14"/>
      <c r="M2104" s="15"/>
      <c r="N2104" s="15"/>
      <c r="O2104" s="14"/>
      <c r="P2104" s="14"/>
    </row>
    <row r="2105">
      <c r="A2105" s="14"/>
      <c r="B2105" s="17"/>
      <c r="C2105" s="17"/>
      <c r="D2105" s="17"/>
      <c r="E2105" s="14"/>
      <c r="F2105" s="14"/>
      <c r="G2105" s="14"/>
      <c r="H2105" s="14"/>
      <c r="I2105" s="14"/>
      <c r="J2105" s="14"/>
      <c r="K2105" s="14"/>
      <c r="L2105" s="14"/>
      <c r="M2105" s="15"/>
      <c r="N2105" s="15"/>
      <c r="O2105" s="14"/>
      <c r="P2105" s="14"/>
    </row>
    <row r="2106">
      <c r="A2106" s="14"/>
      <c r="B2106" s="17"/>
      <c r="C2106" s="17"/>
      <c r="D2106" s="17"/>
      <c r="E2106" s="14"/>
      <c r="F2106" s="14"/>
      <c r="G2106" s="14"/>
      <c r="H2106" s="14"/>
      <c r="I2106" s="14"/>
      <c r="J2106" s="14"/>
      <c r="K2106" s="14"/>
      <c r="L2106" s="14"/>
      <c r="M2106" s="15"/>
      <c r="N2106" s="15"/>
      <c r="O2106" s="14"/>
      <c r="P2106" s="14"/>
    </row>
    <row r="2107">
      <c r="A2107" s="14"/>
      <c r="B2107" s="17"/>
      <c r="C2107" s="17"/>
      <c r="D2107" s="17"/>
      <c r="E2107" s="14"/>
      <c r="F2107" s="14"/>
      <c r="G2107" s="14"/>
      <c r="H2107" s="14"/>
      <c r="I2107" s="14"/>
      <c r="J2107" s="14"/>
      <c r="K2107" s="14"/>
      <c r="L2107" s="14"/>
      <c r="M2107" s="15"/>
      <c r="N2107" s="15"/>
      <c r="O2107" s="14"/>
      <c r="P2107" s="14"/>
    </row>
    <row r="2108">
      <c r="A2108" s="14"/>
      <c r="B2108" s="17"/>
      <c r="C2108" s="17"/>
      <c r="D2108" s="17"/>
      <c r="E2108" s="14"/>
      <c r="F2108" s="14"/>
      <c r="G2108" s="14"/>
      <c r="H2108" s="14"/>
      <c r="I2108" s="14"/>
      <c r="J2108" s="14"/>
      <c r="K2108" s="14"/>
      <c r="L2108" s="14"/>
      <c r="M2108" s="15"/>
      <c r="N2108" s="15"/>
      <c r="O2108" s="14"/>
      <c r="P2108" s="14"/>
    </row>
    <row r="2109">
      <c r="A2109" s="14"/>
      <c r="B2109" s="17"/>
      <c r="C2109" s="17"/>
      <c r="D2109" s="17"/>
      <c r="E2109" s="14"/>
      <c r="F2109" s="14"/>
      <c r="G2109" s="14"/>
      <c r="H2109" s="14"/>
      <c r="I2109" s="14"/>
      <c r="J2109" s="14"/>
      <c r="K2109" s="14"/>
      <c r="L2109" s="14"/>
      <c r="M2109" s="15"/>
      <c r="N2109" s="15"/>
      <c r="O2109" s="14"/>
      <c r="P2109" s="14"/>
    </row>
    <row r="2110">
      <c r="A2110" s="14"/>
      <c r="B2110" s="17"/>
      <c r="C2110" s="17"/>
      <c r="D2110" s="17"/>
      <c r="E2110" s="14"/>
      <c r="F2110" s="14"/>
      <c r="G2110" s="14"/>
      <c r="H2110" s="14"/>
      <c r="I2110" s="14"/>
      <c r="J2110" s="14"/>
      <c r="K2110" s="14"/>
      <c r="L2110" s="14"/>
      <c r="M2110" s="15"/>
      <c r="N2110" s="15"/>
      <c r="O2110" s="14"/>
      <c r="P2110" s="14"/>
    </row>
    <row r="2111">
      <c r="A2111" s="14"/>
      <c r="B2111" s="17"/>
      <c r="C2111" s="17"/>
      <c r="D2111" s="17"/>
      <c r="E2111" s="14"/>
      <c r="F2111" s="14"/>
      <c r="G2111" s="14"/>
      <c r="H2111" s="14"/>
      <c r="I2111" s="14"/>
      <c r="J2111" s="14"/>
      <c r="K2111" s="14"/>
      <c r="L2111" s="14"/>
      <c r="M2111" s="15"/>
      <c r="N2111" s="15"/>
      <c r="O2111" s="14"/>
      <c r="P2111" s="14"/>
    </row>
    <row r="2112">
      <c r="A2112" s="14"/>
      <c r="B2112" s="17"/>
      <c r="C2112" s="17"/>
      <c r="D2112" s="17"/>
      <c r="E2112" s="14"/>
      <c r="F2112" s="14"/>
      <c r="G2112" s="14"/>
      <c r="H2112" s="14"/>
      <c r="I2112" s="14"/>
      <c r="J2112" s="14"/>
      <c r="K2112" s="14"/>
      <c r="L2112" s="14"/>
      <c r="M2112" s="15"/>
      <c r="N2112" s="15"/>
      <c r="O2112" s="14"/>
      <c r="P2112" s="14"/>
    </row>
    <row r="2113">
      <c r="A2113" s="14"/>
      <c r="B2113" s="17"/>
      <c r="C2113" s="17"/>
      <c r="D2113" s="17"/>
      <c r="E2113" s="14"/>
      <c r="F2113" s="14"/>
      <c r="G2113" s="14"/>
      <c r="H2113" s="14"/>
      <c r="I2113" s="14"/>
      <c r="J2113" s="14"/>
      <c r="K2113" s="14"/>
      <c r="L2113" s="14"/>
      <c r="M2113" s="15"/>
      <c r="N2113" s="15"/>
      <c r="O2113" s="14"/>
      <c r="P2113" s="14"/>
    </row>
    <row r="2114">
      <c r="A2114" s="14"/>
      <c r="B2114" s="17"/>
      <c r="C2114" s="17"/>
      <c r="D2114" s="17"/>
      <c r="E2114" s="14"/>
      <c r="F2114" s="14"/>
      <c r="G2114" s="14"/>
      <c r="H2114" s="14"/>
      <c r="I2114" s="14"/>
      <c r="J2114" s="14"/>
      <c r="K2114" s="14"/>
      <c r="L2114" s="14"/>
      <c r="M2114" s="15"/>
      <c r="N2114" s="15"/>
      <c r="O2114" s="14"/>
      <c r="P2114" s="14"/>
    </row>
    <row r="2115">
      <c r="A2115" s="14"/>
      <c r="B2115" s="17"/>
      <c r="C2115" s="17"/>
      <c r="D2115" s="17"/>
      <c r="E2115" s="14"/>
      <c r="F2115" s="14"/>
      <c r="G2115" s="14"/>
      <c r="H2115" s="14"/>
      <c r="I2115" s="14"/>
      <c r="J2115" s="14"/>
      <c r="K2115" s="14"/>
      <c r="L2115" s="14"/>
      <c r="M2115" s="15"/>
      <c r="N2115" s="15"/>
      <c r="O2115" s="14"/>
      <c r="P2115" s="14"/>
    </row>
    <row r="2116">
      <c r="A2116" s="14"/>
      <c r="B2116" s="17"/>
      <c r="C2116" s="17"/>
      <c r="D2116" s="17"/>
      <c r="E2116" s="14"/>
      <c r="F2116" s="14"/>
      <c r="G2116" s="14"/>
      <c r="H2116" s="14"/>
      <c r="I2116" s="14"/>
      <c r="J2116" s="14"/>
      <c r="K2116" s="14"/>
      <c r="L2116" s="14"/>
      <c r="M2116" s="15"/>
      <c r="N2116" s="15"/>
      <c r="O2116" s="14"/>
      <c r="P2116" s="14"/>
    </row>
    <row r="2117">
      <c r="A2117" s="14"/>
      <c r="B2117" s="17"/>
      <c r="C2117" s="17"/>
      <c r="D2117" s="17"/>
      <c r="E2117" s="14"/>
      <c r="F2117" s="14"/>
      <c r="G2117" s="14"/>
      <c r="H2117" s="14"/>
      <c r="I2117" s="14"/>
      <c r="J2117" s="14"/>
      <c r="K2117" s="14"/>
      <c r="L2117" s="14"/>
      <c r="M2117" s="15"/>
      <c r="N2117" s="15"/>
      <c r="O2117" s="14"/>
      <c r="P2117" s="14"/>
    </row>
    <row r="2118">
      <c r="A2118" s="14"/>
      <c r="B2118" s="17"/>
      <c r="C2118" s="17"/>
      <c r="D2118" s="17"/>
      <c r="E2118" s="14"/>
      <c r="F2118" s="14"/>
      <c r="G2118" s="14"/>
      <c r="H2118" s="14"/>
      <c r="I2118" s="14"/>
      <c r="J2118" s="14"/>
      <c r="K2118" s="14"/>
      <c r="L2118" s="14"/>
      <c r="M2118" s="15"/>
      <c r="N2118" s="15"/>
      <c r="O2118" s="14"/>
      <c r="P2118" s="14"/>
    </row>
    <row r="2119">
      <c r="A2119" s="14"/>
      <c r="B2119" s="17"/>
      <c r="C2119" s="17"/>
      <c r="D2119" s="17"/>
      <c r="E2119" s="14"/>
      <c r="F2119" s="14"/>
      <c r="G2119" s="14"/>
      <c r="H2119" s="14"/>
      <c r="I2119" s="14"/>
      <c r="J2119" s="14"/>
      <c r="K2119" s="14"/>
      <c r="L2119" s="14"/>
      <c r="M2119" s="15"/>
      <c r="N2119" s="15"/>
      <c r="O2119" s="14"/>
      <c r="P2119" s="14"/>
    </row>
    <row r="2120">
      <c r="A2120" s="14"/>
      <c r="B2120" s="17"/>
      <c r="C2120" s="17"/>
      <c r="D2120" s="17"/>
      <c r="E2120" s="14"/>
      <c r="F2120" s="14"/>
      <c r="G2120" s="14"/>
      <c r="H2120" s="14"/>
      <c r="I2120" s="14"/>
      <c r="J2120" s="14"/>
      <c r="K2120" s="14"/>
      <c r="L2120" s="14"/>
      <c r="M2120" s="15"/>
      <c r="N2120" s="15"/>
      <c r="O2120" s="14"/>
      <c r="P2120" s="14"/>
    </row>
    <row r="2121">
      <c r="A2121" s="14"/>
      <c r="B2121" s="17"/>
      <c r="C2121" s="17"/>
      <c r="D2121" s="17"/>
      <c r="E2121" s="14"/>
      <c r="F2121" s="14"/>
      <c r="G2121" s="14"/>
      <c r="H2121" s="14"/>
      <c r="I2121" s="14"/>
      <c r="J2121" s="14"/>
      <c r="K2121" s="14"/>
      <c r="L2121" s="14"/>
      <c r="M2121" s="15"/>
      <c r="N2121" s="15"/>
      <c r="O2121" s="14"/>
      <c r="P2121" s="14"/>
    </row>
    <row r="2122">
      <c r="A2122" s="14"/>
      <c r="B2122" s="17"/>
      <c r="C2122" s="17"/>
      <c r="D2122" s="17"/>
      <c r="E2122" s="14"/>
      <c r="F2122" s="14"/>
      <c r="G2122" s="14"/>
      <c r="H2122" s="14"/>
      <c r="I2122" s="14"/>
      <c r="J2122" s="14"/>
      <c r="K2122" s="14"/>
      <c r="L2122" s="14"/>
      <c r="M2122" s="15"/>
      <c r="N2122" s="15"/>
      <c r="O2122" s="14"/>
      <c r="P2122" s="14"/>
    </row>
    <row r="2123">
      <c r="A2123" s="14"/>
      <c r="B2123" s="17"/>
      <c r="C2123" s="17"/>
      <c r="D2123" s="17"/>
      <c r="E2123" s="14"/>
      <c r="F2123" s="14"/>
      <c r="G2123" s="14"/>
      <c r="H2123" s="14"/>
      <c r="I2123" s="14"/>
      <c r="J2123" s="14"/>
      <c r="K2123" s="14"/>
      <c r="L2123" s="14"/>
      <c r="M2123" s="15"/>
      <c r="N2123" s="15"/>
      <c r="O2123" s="14"/>
      <c r="P2123" s="14"/>
    </row>
    <row r="2124">
      <c r="A2124" s="14"/>
      <c r="B2124" s="17"/>
      <c r="C2124" s="17"/>
      <c r="D2124" s="17"/>
      <c r="E2124" s="14"/>
      <c r="F2124" s="14"/>
      <c r="G2124" s="14"/>
      <c r="H2124" s="14"/>
      <c r="I2124" s="14"/>
      <c r="J2124" s="14"/>
      <c r="K2124" s="14"/>
      <c r="L2124" s="14"/>
      <c r="M2124" s="15"/>
      <c r="N2124" s="15"/>
      <c r="O2124" s="14"/>
      <c r="P2124" s="14"/>
    </row>
    <row r="2125">
      <c r="A2125" s="14"/>
      <c r="B2125" s="17"/>
      <c r="C2125" s="17"/>
      <c r="D2125" s="17"/>
      <c r="E2125" s="14"/>
      <c r="F2125" s="14"/>
      <c r="G2125" s="14"/>
      <c r="H2125" s="14"/>
      <c r="I2125" s="14"/>
      <c r="J2125" s="14"/>
      <c r="K2125" s="14"/>
      <c r="L2125" s="14"/>
      <c r="M2125" s="15"/>
      <c r="N2125" s="15"/>
      <c r="O2125" s="14"/>
      <c r="P2125" s="14"/>
    </row>
    <row r="2126">
      <c r="A2126" s="14"/>
      <c r="B2126" s="17"/>
      <c r="C2126" s="17"/>
      <c r="D2126" s="17"/>
      <c r="E2126" s="14"/>
      <c r="F2126" s="14"/>
      <c r="G2126" s="14"/>
      <c r="H2126" s="14"/>
      <c r="I2126" s="14"/>
      <c r="J2126" s="14"/>
      <c r="K2126" s="14"/>
      <c r="L2126" s="14"/>
      <c r="M2126" s="15"/>
      <c r="N2126" s="15"/>
      <c r="O2126" s="14"/>
      <c r="P2126" s="14"/>
    </row>
    <row r="2127">
      <c r="A2127" s="14"/>
      <c r="B2127" s="17"/>
      <c r="C2127" s="17"/>
      <c r="D2127" s="17"/>
      <c r="E2127" s="14"/>
      <c r="F2127" s="14"/>
      <c r="G2127" s="14"/>
      <c r="H2127" s="14"/>
      <c r="I2127" s="14"/>
      <c r="J2127" s="14"/>
      <c r="K2127" s="14"/>
      <c r="L2127" s="14"/>
      <c r="M2127" s="15"/>
      <c r="N2127" s="15"/>
      <c r="O2127" s="14"/>
      <c r="P2127" s="14"/>
    </row>
    <row r="2128">
      <c r="A2128" s="14"/>
      <c r="B2128" s="17"/>
      <c r="C2128" s="17"/>
      <c r="D2128" s="17"/>
      <c r="E2128" s="14"/>
      <c r="F2128" s="14"/>
      <c r="G2128" s="14"/>
      <c r="H2128" s="14"/>
      <c r="I2128" s="14"/>
      <c r="J2128" s="14"/>
      <c r="K2128" s="14"/>
      <c r="L2128" s="14"/>
      <c r="M2128" s="15"/>
      <c r="N2128" s="15"/>
      <c r="O2128" s="14"/>
      <c r="P2128" s="14"/>
    </row>
    <row r="2129">
      <c r="A2129" s="14"/>
      <c r="B2129" s="17"/>
      <c r="C2129" s="17"/>
      <c r="D2129" s="17"/>
      <c r="E2129" s="14"/>
      <c r="F2129" s="14"/>
      <c r="G2129" s="14"/>
      <c r="H2129" s="14"/>
      <c r="I2129" s="14"/>
      <c r="J2129" s="14"/>
      <c r="K2129" s="14"/>
      <c r="L2129" s="14"/>
      <c r="M2129" s="15"/>
      <c r="N2129" s="15"/>
      <c r="O2129" s="14"/>
      <c r="P2129" s="14"/>
    </row>
    <row r="2130">
      <c r="A2130" s="14"/>
      <c r="B2130" s="17"/>
      <c r="C2130" s="17"/>
      <c r="D2130" s="17"/>
      <c r="E2130" s="14"/>
      <c r="F2130" s="14"/>
      <c r="G2130" s="14"/>
      <c r="H2130" s="14"/>
      <c r="I2130" s="14"/>
      <c r="J2130" s="14"/>
      <c r="K2130" s="14"/>
      <c r="L2130" s="14"/>
      <c r="M2130" s="15"/>
      <c r="N2130" s="15"/>
      <c r="O2130" s="14"/>
      <c r="P2130" s="14"/>
    </row>
    <row r="2131">
      <c r="A2131" s="14"/>
      <c r="B2131" s="17"/>
      <c r="C2131" s="17"/>
      <c r="D2131" s="17"/>
      <c r="E2131" s="14"/>
      <c r="F2131" s="14"/>
      <c r="G2131" s="14"/>
      <c r="H2131" s="14"/>
      <c r="I2131" s="14"/>
      <c r="J2131" s="14"/>
      <c r="K2131" s="14"/>
      <c r="L2131" s="14"/>
      <c r="M2131" s="15"/>
      <c r="N2131" s="15"/>
      <c r="O2131" s="14"/>
      <c r="P2131" s="14"/>
    </row>
    <row r="2132">
      <c r="A2132" s="14"/>
      <c r="B2132" s="17"/>
      <c r="C2132" s="17"/>
      <c r="D2132" s="17"/>
      <c r="E2132" s="14"/>
      <c r="F2132" s="14"/>
      <c r="G2132" s="14"/>
      <c r="H2132" s="14"/>
      <c r="I2132" s="14"/>
      <c r="J2132" s="14"/>
      <c r="K2132" s="14"/>
      <c r="L2132" s="14"/>
      <c r="M2132" s="15"/>
      <c r="N2132" s="15"/>
      <c r="O2132" s="14"/>
      <c r="P2132" s="14"/>
    </row>
    <row r="2133">
      <c r="A2133" s="14"/>
      <c r="B2133" s="17"/>
      <c r="C2133" s="17"/>
      <c r="D2133" s="17"/>
      <c r="E2133" s="14"/>
      <c r="F2133" s="14"/>
      <c r="G2133" s="14"/>
      <c r="H2133" s="14"/>
      <c r="I2133" s="14"/>
      <c r="J2133" s="14"/>
      <c r="K2133" s="14"/>
      <c r="L2133" s="14"/>
      <c r="M2133" s="15"/>
      <c r="N2133" s="15"/>
      <c r="O2133" s="14"/>
      <c r="P2133" s="14"/>
    </row>
    <row r="2134">
      <c r="A2134" s="14"/>
      <c r="B2134" s="17"/>
      <c r="C2134" s="17"/>
      <c r="D2134" s="17"/>
      <c r="E2134" s="14"/>
      <c r="F2134" s="14"/>
      <c r="G2134" s="14"/>
      <c r="H2134" s="14"/>
      <c r="I2134" s="14"/>
      <c r="J2134" s="14"/>
      <c r="K2134" s="14"/>
      <c r="L2134" s="14"/>
      <c r="M2134" s="15"/>
      <c r="N2134" s="15"/>
      <c r="O2134" s="14"/>
      <c r="P2134" s="14"/>
    </row>
    <row r="2135">
      <c r="A2135" s="14"/>
      <c r="B2135" s="17"/>
      <c r="C2135" s="17"/>
      <c r="D2135" s="17"/>
      <c r="E2135" s="14"/>
      <c r="F2135" s="14"/>
      <c r="G2135" s="14"/>
      <c r="H2135" s="14"/>
      <c r="I2135" s="14"/>
      <c r="J2135" s="14"/>
      <c r="K2135" s="14"/>
      <c r="L2135" s="14"/>
      <c r="M2135" s="15"/>
      <c r="N2135" s="15"/>
      <c r="O2135" s="14"/>
      <c r="P2135" s="14"/>
    </row>
    <row r="2136">
      <c r="A2136" s="14"/>
      <c r="B2136" s="17"/>
      <c r="C2136" s="17"/>
      <c r="D2136" s="17"/>
      <c r="E2136" s="14"/>
      <c r="F2136" s="14"/>
      <c r="G2136" s="14"/>
      <c r="H2136" s="14"/>
      <c r="I2136" s="14"/>
      <c r="J2136" s="14"/>
      <c r="K2136" s="14"/>
      <c r="L2136" s="14"/>
      <c r="M2136" s="15"/>
      <c r="N2136" s="15"/>
      <c r="O2136" s="14"/>
      <c r="P2136" s="14"/>
    </row>
    <row r="2137">
      <c r="A2137" s="14"/>
      <c r="B2137" s="17"/>
      <c r="C2137" s="17"/>
      <c r="D2137" s="17"/>
      <c r="E2137" s="14"/>
      <c r="F2137" s="14"/>
      <c r="G2137" s="14"/>
      <c r="H2137" s="14"/>
      <c r="I2137" s="14"/>
      <c r="J2137" s="14"/>
      <c r="K2137" s="14"/>
      <c r="L2137" s="14"/>
      <c r="M2137" s="15"/>
      <c r="N2137" s="15"/>
      <c r="O2137" s="14"/>
      <c r="P2137" s="14"/>
    </row>
    <row r="2138">
      <c r="A2138" s="14"/>
      <c r="B2138" s="17"/>
      <c r="C2138" s="17"/>
      <c r="D2138" s="17"/>
      <c r="E2138" s="14"/>
      <c r="F2138" s="14"/>
      <c r="G2138" s="14"/>
      <c r="H2138" s="14"/>
      <c r="I2138" s="14"/>
      <c r="J2138" s="14"/>
      <c r="K2138" s="14"/>
      <c r="L2138" s="14"/>
      <c r="M2138" s="15"/>
      <c r="N2138" s="15"/>
      <c r="O2138" s="14"/>
      <c r="P2138" s="14"/>
    </row>
    <row r="2139">
      <c r="A2139" s="14"/>
      <c r="B2139" s="17"/>
      <c r="C2139" s="17"/>
      <c r="D2139" s="17"/>
      <c r="E2139" s="14"/>
      <c r="F2139" s="14"/>
      <c r="G2139" s="14"/>
      <c r="H2139" s="14"/>
      <c r="I2139" s="14"/>
      <c r="J2139" s="14"/>
      <c r="K2139" s="14"/>
      <c r="L2139" s="14"/>
      <c r="M2139" s="15"/>
      <c r="N2139" s="15"/>
      <c r="O2139" s="14"/>
      <c r="P2139" s="14"/>
    </row>
    <row r="2140">
      <c r="A2140" s="14"/>
      <c r="B2140" s="17"/>
      <c r="C2140" s="17"/>
      <c r="D2140" s="17"/>
      <c r="E2140" s="14"/>
      <c r="F2140" s="14"/>
      <c r="G2140" s="14"/>
      <c r="H2140" s="14"/>
      <c r="I2140" s="14"/>
      <c r="J2140" s="14"/>
      <c r="K2140" s="14"/>
      <c r="L2140" s="14"/>
      <c r="M2140" s="15"/>
      <c r="N2140" s="15"/>
      <c r="O2140" s="14"/>
      <c r="P2140" s="14"/>
    </row>
    <row r="2141">
      <c r="A2141" s="14"/>
      <c r="B2141" s="17"/>
      <c r="C2141" s="17"/>
      <c r="D2141" s="17"/>
      <c r="E2141" s="14"/>
      <c r="F2141" s="14"/>
      <c r="G2141" s="14"/>
      <c r="H2141" s="14"/>
      <c r="I2141" s="14"/>
      <c r="J2141" s="14"/>
      <c r="K2141" s="14"/>
      <c r="L2141" s="14"/>
      <c r="M2141" s="15"/>
      <c r="N2141" s="15"/>
      <c r="O2141" s="14"/>
      <c r="P2141" s="14"/>
    </row>
    <row r="2142">
      <c r="A2142" s="14"/>
      <c r="B2142" s="17"/>
      <c r="C2142" s="17"/>
      <c r="D2142" s="17"/>
      <c r="E2142" s="14"/>
      <c r="F2142" s="14"/>
      <c r="G2142" s="14"/>
      <c r="H2142" s="14"/>
      <c r="I2142" s="14"/>
      <c r="J2142" s="14"/>
      <c r="K2142" s="14"/>
      <c r="L2142" s="14"/>
      <c r="M2142" s="15"/>
      <c r="N2142" s="15"/>
      <c r="O2142" s="14"/>
      <c r="P2142" s="14"/>
    </row>
    <row r="2143">
      <c r="A2143" s="14"/>
      <c r="B2143" s="17"/>
      <c r="C2143" s="17"/>
      <c r="D2143" s="17"/>
      <c r="E2143" s="14"/>
      <c r="F2143" s="14"/>
      <c r="G2143" s="14"/>
      <c r="H2143" s="14"/>
      <c r="I2143" s="14"/>
      <c r="J2143" s="14"/>
      <c r="K2143" s="14"/>
      <c r="L2143" s="14"/>
      <c r="M2143" s="15"/>
      <c r="N2143" s="15"/>
      <c r="O2143" s="14"/>
      <c r="P2143" s="14"/>
    </row>
    <row r="2144">
      <c r="A2144" s="14"/>
      <c r="B2144" s="17"/>
      <c r="C2144" s="17"/>
      <c r="D2144" s="17"/>
      <c r="E2144" s="14"/>
      <c r="F2144" s="14"/>
      <c r="G2144" s="14"/>
      <c r="H2144" s="14"/>
      <c r="I2144" s="14"/>
      <c r="J2144" s="14"/>
      <c r="K2144" s="14"/>
      <c r="L2144" s="14"/>
      <c r="M2144" s="15"/>
      <c r="N2144" s="15"/>
      <c r="O2144" s="14"/>
      <c r="P2144" s="14"/>
    </row>
    <row r="2145">
      <c r="A2145" s="14"/>
      <c r="B2145" s="17"/>
      <c r="C2145" s="17"/>
      <c r="D2145" s="17"/>
      <c r="E2145" s="14"/>
      <c r="F2145" s="14"/>
      <c r="G2145" s="14"/>
      <c r="H2145" s="14"/>
      <c r="I2145" s="14"/>
      <c r="J2145" s="14"/>
      <c r="K2145" s="14"/>
      <c r="L2145" s="14"/>
      <c r="M2145" s="15"/>
      <c r="N2145" s="15"/>
      <c r="O2145" s="14"/>
      <c r="P2145" s="14"/>
    </row>
    <row r="2146">
      <c r="A2146" s="14"/>
      <c r="B2146" s="17"/>
      <c r="C2146" s="17"/>
      <c r="D2146" s="17"/>
      <c r="E2146" s="14"/>
      <c r="F2146" s="14"/>
      <c r="G2146" s="14"/>
      <c r="H2146" s="14"/>
      <c r="I2146" s="14"/>
      <c r="J2146" s="14"/>
      <c r="K2146" s="14"/>
      <c r="L2146" s="14"/>
      <c r="M2146" s="15"/>
      <c r="N2146" s="15"/>
      <c r="O2146" s="14"/>
      <c r="P2146" s="14"/>
    </row>
    <row r="2147">
      <c r="A2147" s="14"/>
      <c r="B2147" s="17"/>
      <c r="C2147" s="17"/>
      <c r="D2147" s="17"/>
      <c r="E2147" s="14"/>
      <c r="F2147" s="14"/>
      <c r="G2147" s="14"/>
      <c r="H2147" s="14"/>
      <c r="I2147" s="14"/>
      <c r="J2147" s="14"/>
      <c r="K2147" s="14"/>
      <c r="L2147" s="14"/>
      <c r="M2147" s="15"/>
      <c r="N2147" s="15"/>
      <c r="O2147" s="14"/>
      <c r="P2147" s="14"/>
    </row>
    <row r="2148">
      <c r="A2148" s="14"/>
      <c r="B2148" s="17"/>
      <c r="C2148" s="17"/>
      <c r="D2148" s="17"/>
      <c r="E2148" s="14"/>
      <c r="F2148" s="14"/>
      <c r="G2148" s="14"/>
      <c r="H2148" s="14"/>
      <c r="I2148" s="14"/>
      <c r="J2148" s="14"/>
      <c r="K2148" s="14"/>
      <c r="L2148" s="14"/>
      <c r="M2148" s="15"/>
      <c r="N2148" s="15"/>
      <c r="O2148" s="14"/>
      <c r="P2148" s="14"/>
    </row>
    <row r="2149">
      <c r="A2149" s="14"/>
      <c r="B2149" s="17"/>
      <c r="C2149" s="17"/>
      <c r="D2149" s="17"/>
      <c r="E2149" s="14"/>
      <c r="F2149" s="14"/>
      <c r="G2149" s="14"/>
      <c r="H2149" s="14"/>
      <c r="I2149" s="14"/>
      <c r="J2149" s="14"/>
      <c r="K2149" s="14"/>
      <c r="L2149" s="14"/>
      <c r="M2149" s="15"/>
      <c r="N2149" s="15"/>
      <c r="O2149" s="14"/>
      <c r="P2149" s="14"/>
    </row>
    <row r="2150">
      <c r="A2150" s="14"/>
      <c r="B2150" s="17"/>
      <c r="C2150" s="17"/>
      <c r="D2150" s="17"/>
      <c r="E2150" s="14"/>
      <c r="F2150" s="14"/>
      <c r="G2150" s="14"/>
      <c r="H2150" s="14"/>
      <c r="I2150" s="14"/>
      <c r="J2150" s="14"/>
      <c r="K2150" s="14"/>
      <c r="L2150" s="14"/>
      <c r="M2150" s="15"/>
      <c r="N2150" s="15"/>
      <c r="O2150" s="14"/>
      <c r="P2150" s="14"/>
    </row>
    <row r="2151">
      <c r="A2151" s="14"/>
      <c r="B2151" s="17"/>
      <c r="C2151" s="17"/>
      <c r="D2151" s="17"/>
      <c r="E2151" s="14"/>
      <c r="F2151" s="14"/>
      <c r="G2151" s="14"/>
      <c r="H2151" s="14"/>
      <c r="I2151" s="14"/>
      <c r="J2151" s="14"/>
      <c r="K2151" s="14"/>
      <c r="L2151" s="14"/>
      <c r="M2151" s="15"/>
      <c r="N2151" s="15"/>
      <c r="O2151" s="14"/>
      <c r="P2151" s="14"/>
    </row>
    <row r="2152">
      <c r="A2152" s="14"/>
      <c r="B2152" s="17"/>
      <c r="C2152" s="17"/>
      <c r="D2152" s="17"/>
      <c r="E2152" s="14"/>
      <c r="F2152" s="14"/>
      <c r="G2152" s="14"/>
      <c r="H2152" s="14"/>
      <c r="I2152" s="14"/>
      <c r="J2152" s="14"/>
      <c r="K2152" s="14"/>
      <c r="L2152" s="14"/>
      <c r="M2152" s="15"/>
      <c r="N2152" s="15"/>
      <c r="O2152" s="14"/>
      <c r="P2152" s="14"/>
    </row>
    <row r="2153">
      <c r="A2153" s="14"/>
      <c r="B2153" s="17"/>
      <c r="C2153" s="17"/>
      <c r="D2153" s="17"/>
      <c r="E2153" s="14"/>
      <c r="F2153" s="14"/>
      <c r="G2153" s="14"/>
      <c r="H2153" s="14"/>
      <c r="I2153" s="14"/>
      <c r="J2153" s="14"/>
      <c r="K2153" s="14"/>
      <c r="L2153" s="14"/>
      <c r="M2153" s="15"/>
      <c r="N2153" s="15"/>
      <c r="O2153" s="14"/>
      <c r="P2153" s="14"/>
    </row>
    <row r="2154">
      <c r="A2154" s="14"/>
      <c r="B2154" s="17"/>
      <c r="C2154" s="17"/>
      <c r="D2154" s="17"/>
      <c r="E2154" s="14"/>
      <c r="F2154" s="14"/>
      <c r="G2154" s="14"/>
      <c r="H2154" s="14"/>
      <c r="I2154" s="14"/>
      <c r="J2154" s="14"/>
      <c r="K2154" s="14"/>
      <c r="L2154" s="14"/>
      <c r="M2154" s="15"/>
      <c r="N2154" s="15"/>
      <c r="O2154" s="14"/>
      <c r="P2154" s="14"/>
    </row>
    <row r="2155">
      <c r="A2155" s="14"/>
      <c r="B2155" s="17"/>
      <c r="C2155" s="17"/>
      <c r="D2155" s="17"/>
      <c r="E2155" s="14"/>
      <c r="F2155" s="14"/>
      <c r="G2155" s="14"/>
      <c r="H2155" s="14"/>
      <c r="I2155" s="14"/>
      <c r="J2155" s="14"/>
      <c r="K2155" s="14"/>
      <c r="L2155" s="14"/>
      <c r="M2155" s="15"/>
      <c r="N2155" s="15"/>
      <c r="O2155" s="14"/>
      <c r="P2155" s="14"/>
    </row>
    <row r="2156">
      <c r="A2156" s="14"/>
      <c r="B2156" s="17"/>
      <c r="C2156" s="17"/>
      <c r="D2156" s="17"/>
      <c r="E2156" s="14"/>
      <c r="F2156" s="14"/>
      <c r="G2156" s="14"/>
      <c r="H2156" s="14"/>
      <c r="I2156" s="14"/>
      <c r="J2156" s="14"/>
      <c r="K2156" s="14"/>
      <c r="L2156" s="14"/>
      <c r="M2156" s="15"/>
      <c r="N2156" s="15"/>
      <c r="O2156" s="14"/>
      <c r="P2156" s="14"/>
    </row>
    <row r="2157">
      <c r="A2157" s="14"/>
      <c r="B2157" s="17"/>
      <c r="C2157" s="17"/>
      <c r="D2157" s="17"/>
      <c r="E2157" s="14"/>
      <c r="F2157" s="14"/>
      <c r="G2157" s="14"/>
      <c r="H2157" s="14"/>
      <c r="I2157" s="14"/>
      <c r="J2157" s="14"/>
      <c r="K2157" s="14"/>
      <c r="L2157" s="14"/>
      <c r="M2157" s="15"/>
      <c r="N2157" s="15"/>
      <c r="O2157" s="14"/>
      <c r="P2157" s="14"/>
    </row>
    <row r="2158">
      <c r="A2158" s="14"/>
      <c r="B2158" s="17"/>
      <c r="C2158" s="17"/>
      <c r="D2158" s="17"/>
      <c r="E2158" s="14"/>
      <c r="F2158" s="14"/>
      <c r="G2158" s="14"/>
      <c r="H2158" s="14"/>
      <c r="I2158" s="14"/>
      <c r="J2158" s="14"/>
      <c r="K2158" s="14"/>
      <c r="L2158" s="14"/>
      <c r="M2158" s="15"/>
      <c r="N2158" s="15"/>
      <c r="O2158" s="14"/>
      <c r="P2158" s="14"/>
    </row>
    <row r="2159">
      <c r="A2159" s="14"/>
      <c r="B2159" s="17"/>
      <c r="C2159" s="17"/>
      <c r="D2159" s="17"/>
      <c r="E2159" s="14"/>
      <c r="F2159" s="14"/>
      <c r="G2159" s="14"/>
      <c r="H2159" s="14"/>
      <c r="I2159" s="14"/>
      <c r="J2159" s="14"/>
      <c r="K2159" s="14"/>
      <c r="L2159" s="14"/>
      <c r="M2159" s="15"/>
      <c r="N2159" s="15"/>
      <c r="O2159" s="14"/>
      <c r="P2159" s="14"/>
    </row>
    <row r="2160">
      <c r="A2160" s="14"/>
      <c r="B2160" s="17"/>
      <c r="C2160" s="17"/>
      <c r="D2160" s="17"/>
      <c r="E2160" s="14"/>
      <c r="F2160" s="14"/>
      <c r="G2160" s="14"/>
      <c r="H2160" s="14"/>
      <c r="I2160" s="14"/>
      <c r="J2160" s="14"/>
      <c r="K2160" s="14"/>
      <c r="L2160" s="14"/>
      <c r="M2160" s="15"/>
      <c r="N2160" s="15"/>
      <c r="O2160" s="14"/>
      <c r="P2160" s="14"/>
    </row>
    <row r="2161">
      <c r="A2161" s="14"/>
      <c r="B2161" s="17"/>
      <c r="C2161" s="17"/>
      <c r="D2161" s="17"/>
      <c r="E2161" s="14"/>
      <c r="F2161" s="14"/>
      <c r="G2161" s="14"/>
      <c r="H2161" s="14"/>
      <c r="I2161" s="14"/>
      <c r="J2161" s="14"/>
      <c r="K2161" s="14"/>
      <c r="L2161" s="14"/>
      <c r="M2161" s="15"/>
      <c r="N2161" s="15"/>
      <c r="O2161" s="14"/>
      <c r="P2161" s="14"/>
    </row>
    <row r="2162">
      <c r="A2162" s="14"/>
      <c r="B2162" s="17"/>
      <c r="C2162" s="17"/>
      <c r="D2162" s="17"/>
      <c r="E2162" s="14"/>
      <c r="F2162" s="14"/>
      <c r="G2162" s="14"/>
      <c r="H2162" s="14"/>
      <c r="I2162" s="14"/>
      <c r="J2162" s="14"/>
      <c r="K2162" s="14"/>
      <c r="L2162" s="14"/>
      <c r="M2162" s="15"/>
      <c r="N2162" s="15"/>
      <c r="O2162" s="14"/>
      <c r="P2162" s="14"/>
    </row>
    <row r="2163">
      <c r="A2163" s="14"/>
      <c r="B2163" s="17"/>
      <c r="C2163" s="17"/>
      <c r="D2163" s="17"/>
      <c r="E2163" s="14"/>
      <c r="F2163" s="14"/>
      <c r="G2163" s="14"/>
      <c r="H2163" s="14"/>
      <c r="I2163" s="14"/>
      <c r="J2163" s="14"/>
      <c r="K2163" s="14"/>
      <c r="L2163" s="14"/>
      <c r="M2163" s="15"/>
      <c r="N2163" s="15"/>
      <c r="O2163" s="14"/>
      <c r="P2163" s="14"/>
    </row>
    <row r="2164">
      <c r="A2164" s="14"/>
      <c r="B2164" s="17"/>
      <c r="C2164" s="17"/>
      <c r="D2164" s="17"/>
      <c r="E2164" s="14"/>
      <c r="F2164" s="14"/>
      <c r="G2164" s="14"/>
      <c r="H2164" s="14"/>
      <c r="I2164" s="14"/>
      <c r="J2164" s="14"/>
      <c r="K2164" s="14"/>
      <c r="L2164" s="14"/>
      <c r="M2164" s="15"/>
      <c r="N2164" s="15"/>
      <c r="O2164" s="14"/>
      <c r="P2164" s="14"/>
    </row>
    <row r="2165">
      <c r="A2165" s="14"/>
      <c r="B2165" s="17"/>
      <c r="C2165" s="17"/>
      <c r="D2165" s="17"/>
      <c r="E2165" s="14"/>
      <c r="F2165" s="14"/>
      <c r="G2165" s="14"/>
      <c r="H2165" s="14"/>
      <c r="I2165" s="14"/>
      <c r="J2165" s="14"/>
      <c r="K2165" s="14"/>
      <c r="L2165" s="14"/>
      <c r="M2165" s="15"/>
      <c r="N2165" s="15"/>
      <c r="O2165" s="14"/>
      <c r="P2165" s="14"/>
    </row>
    <row r="2166">
      <c r="A2166" s="14"/>
      <c r="B2166" s="17"/>
      <c r="C2166" s="17"/>
      <c r="D2166" s="17"/>
      <c r="E2166" s="14"/>
      <c r="F2166" s="14"/>
      <c r="G2166" s="14"/>
      <c r="H2166" s="14"/>
      <c r="I2166" s="14"/>
      <c r="J2166" s="14"/>
      <c r="K2166" s="14"/>
      <c r="L2166" s="14"/>
      <c r="M2166" s="15"/>
      <c r="N2166" s="15"/>
      <c r="O2166" s="14"/>
      <c r="P2166" s="14"/>
    </row>
    <row r="2167">
      <c r="A2167" s="14"/>
      <c r="B2167" s="17"/>
      <c r="C2167" s="17"/>
      <c r="D2167" s="17"/>
      <c r="E2167" s="14"/>
      <c r="F2167" s="14"/>
      <c r="G2167" s="14"/>
      <c r="H2167" s="14"/>
      <c r="I2167" s="14"/>
      <c r="J2167" s="14"/>
      <c r="K2167" s="14"/>
      <c r="L2167" s="14"/>
      <c r="M2167" s="15"/>
      <c r="N2167" s="15"/>
      <c r="O2167" s="14"/>
      <c r="P2167" s="14"/>
    </row>
    <row r="2168">
      <c r="A2168" s="14"/>
      <c r="B2168" s="17"/>
      <c r="C2168" s="17"/>
      <c r="D2168" s="17"/>
      <c r="E2168" s="14"/>
      <c r="F2168" s="14"/>
      <c r="G2168" s="14"/>
      <c r="H2168" s="14"/>
      <c r="I2168" s="14"/>
      <c r="J2168" s="14"/>
      <c r="K2168" s="14"/>
      <c r="L2168" s="14"/>
      <c r="M2168" s="15"/>
      <c r="N2168" s="15"/>
      <c r="O2168" s="14"/>
      <c r="P2168" s="14"/>
    </row>
    <row r="2169">
      <c r="A2169" s="14"/>
      <c r="B2169" s="17"/>
      <c r="C2169" s="17"/>
      <c r="D2169" s="17"/>
      <c r="E2169" s="14"/>
      <c r="F2169" s="14"/>
      <c r="G2169" s="14"/>
      <c r="H2169" s="14"/>
      <c r="I2169" s="14"/>
      <c r="J2169" s="14"/>
      <c r="K2169" s="14"/>
      <c r="L2169" s="14"/>
      <c r="M2169" s="15"/>
      <c r="N2169" s="15"/>
      <c r="O2169" s="14"/>
      <c r="P2169" s="14"/>
    </row>
    <row r="2170">
      <c r="A2170" s="14"/>
      <c r="B2170" s="17"/>
      <c r="C2170" s="17"/>
      <c r="D2170" s="17"/>
      <c r="E2170" s="14"/>
      <c r="F2170" s="14"/>
      <c r="G2170" s="14"/>
      <c r="H2170" s="14"/>
      <c r="I2170" s="14"/>
      <c r="J2170" s="14"/>
      <c r="K2170" s="14"/>
      <c r="L2170" s="14"/>
      <c r="M2170" s="15"/>
      <c r="N2170" s="15"/>
      <c r="O2170" s="14"/>
      <c r="P2170" s="14"/>
    </row>
    <row r="2171">
      <c r="A2171" s="14"/>
      <c r="B2171" s="17"/>
      <c r="C2171" s="17"/>
      <c r="D2171" s="17"/>
      <c r="E2171" s="14"/>
      <c r="F2171" s="14"/>
      <c r="G2171" s="14"/>
      <c r="H2171" s="14"/>
      <c r="I2171" s="14"/>
      <c r="J2171" s="14"/>
      <c r="K2171" s="14"/>
      <c r="L2171" s="14"/>
      <c r="M2171" s="15"/>
      <c r="N2171" s="15"/>
      <c r="O2171" s="14"/>
      <c r="P2171" s="14"/>
    </row>
    <row r="2172">
      <c r="A2172" s="14"/>
      <c r="B2172" s="17"/>
      <c r="C2172" s="17"/>
      <c r="D2172" s="17"/>
      <c r="E2172" s="14"/>
      <c r="F2172" s="14"/>
      <c r="G2172" s="14"/>
      <c r="H2172" s="14"/>
      <c r="I2172" s="14"/>
      <c r="J2172" s="14"/>
      <c r="K2172" s="14"/>
      <c r="L2172" s="14"/>
      <c r="M2172" s="15"/>
      <c r="N2172" s="15"/>
      <c r="O2172" s="14"/>
      <c r="P2172" s="14"/>
    </row>
    <row r="2173">
      <c r="A2173" s="14"/>
      <c r="B2173" s="17"/>
      <c r="C2173" s="17"/>
      <c r="D2173" s="17"/>
      <c r="E2173" s="14"/>
      <c r="F2173" s="14"/>
      <c r="G2173" s="14"/>
      <c r="H2173" s="14"/>
      <c r="I2173" s="14"/>
      <c r="J2173" s="14"/>
      <c r="K2173" s="14"/>
      <c r="L2173" s="14"/>
      <c r="M2173" s="15"/>
      <c r="N2173" s="15"/>
      <c r="O2173" s="14"/>
      <c r="P2173" s="14"/>
    </row>
    <row r="2174">
      <c r="A2174" s="14"/>
      <c r="B2174" s="17"/>
      <c r="C2174" s="17"/>
      <c r="D2174" s="17"/>
      <c r="E2174" s="14"/>
      <c r="F2174" s="14"/>
      <c r="G2174" s="14"/>
      <c r="H2174" s="14"/>
      <c r="I2174" s="14"/>
      <c r="J2174" s="14"/>
      <c r="K2174" s="14"/>
      <c r="L2174" s="14"/>
      <c r="M2174" s="15"/>
      <c r="N2174" s="15"/>
      <c r="O2174" s="14"/>
      <c r="P2174" s="14"/>
    </row>
    <row r="2175">
      <c r="A2175" s="14"/>
      <c r="B2175" s="17"/>
      <c r="C2175" s="17"/>
      <c r="D2175" s="17"/>
      <c r="E2175" s="14"/>
      <c r="F2175" s="14"/>
      <c r="G2175" s="14"/>
      <c r="H2175" s="14"/>
      <c r="I2175" s="14"/>
      <c r="J2175" s="14"/>
      <c r="K2175" s="14"/>
      <c r="L2175" s="14"/>
      <c r="M2175" s="15"/>
      <c r="N2175" s="15"/>
      <c r="O2175" s="14"/>
      <c r="P2175" s="14"/>
    </row>
    <row r="2176">
      <c r="A2176" s="14"/>
      <c r="B2176" s="17"/>
      <c r="C2176" s="17"/>
      <c r="D2176" s="17"/>
      <c r="E2176" s="14"/>
      <c r="F2176" s="14"/>
      <c r="G2176" s="14"/>
      <c r="H2176" s="14"/>
      <c r="I2176" s="14"/>
      <c r="J2176" s="14"/>
      <c r="K2176" s="14"/>
      <c r="L2176" s="14"/>
      <c r="M2176" s="15"/>
      <c r="N2176" s="15"/>
      <c r="O2176" s="14"/>
      <c r="P2176" s="14"/>
    </row>
    <row r="2177">
      <c r="A2177" s="14"/>
      <c r="B2177" s="17"/>
      <c r="C2177" s="17"/>
      <c r="D2177" s="17"/>
      <c r="E2177" s="14"/>
      <c r="F2177" s="14"/>
      <c r="G2177" s="14"/>
      <c r="H2177" s="14"/>
      <c r="I2177" s="14"/>
      <c r="J2177" s="14"/>
      <c r="K2177" s="14"/>
      <c r="L2177" s="14"/>
      <c r="M2177" s="15"/>
      <c r="N2177" s="15"/>
      <c r="O2177" s="14"/>
      <c r="P2177" s="14"/>
    </row>
    <row r="2178">
      <c r="A2178" s="14"/>
      <c r="B2178" s="17"/>
      <c r="C2178" s="17"/>
      <c r="D2178" s="17"/>
      <c r="E2178" s="14"/>
      <c r="F2178" s="14"/>
      <c r="G2178" s="14"/>
      <c r="H2178" s="14"/>
      <c r="I2178" s="14"/>
      <c r="J2178" s="14"/>
      <c r="K2178" s="14"/>
      <c r="L2178" s="14"/>
      <c r="M2178" s="15"/>
      <c r="N2178" s="15"/>
      <c r="O2178" s="14"/>
      <c r="P2178" s="14"/>
    </row>
    <row r="2179">
      <c r="A2179" s="14"/>
      <c r="B2179" s="17"/>
      <c r="C2179" s="17"/>
      <c r="D2179" s="17"/>
      <c r="E2179" s="14"/>
      <c r="F2179" s="14"/>
      <c r="G2179" s="14"/>
      <c r="H2179" s="14"/>
      <c r="I2179" s="14"/>
      <c r="J2179" s="14"/>
      <c r="K2179" s="14"/>
      <c r="L2179" s="14"/>
      <c r="M2179" s="15"/>
      <c r="N2179" s="15"/>
      <c r="O2179" s="14"/>
      <c r="P2179" s="14"/>
    </row>
    <row r="2180">
      <c r="A2180" s="14"/>
      <c r="B2180" s="17"/>
      <c r="C2180" s="17"/>
      <c r="D2180" s="17"/>
      <c r="E2180" s="14"/>
      <c r="F2180" s="14"/>
      <c r="G2180" s="14"/>
      <c r="H2180" s="14"/>
      <c r="I2180" s="14"/>
      <c r="J2180" s="14"/>
      <c r="K2180" s="14"/>
      <c r="L2180" s="14"/>
      <c r="M2180" s="15"/>
      <c r="N2180" s="15"/>
      <c r="O2180" s="14"/>
      <c r="P2180" s="14"/>
    </row>
    <row r="2181">
      <c r="A2181" s="14"/>
      <c r="B2181" s="17"/>
      <c r="C2181" s="17"/>
      <c r="D2181" s="17"/>
      <c r="E2181" s="14"/>
      <c r="F2181" s="14"/>
      <c r="G2181" s="14"/>
      <c r="H2181" s="14"/>
      <c r="I2181" s="14"/>
      <c r="J2181" s="14"/>
      <c r="K2181" s="14"/>
      <c r="L2181" s="14"/>
      <c r="M2181" s="15"/>
      <c r="N2181" s="15"/>
      <c r="O2181" s="14"/>
      <c r="P2181" s="14"/>
    </row>
    <row r="2182">
      <c r="A2182" s="14"/>
      <c r="B2182" s="17"/>
      <c r="C2182" s="17"/>
      <c r="D2182" s="17"/>
      <c r="E2182" s="14"/>
      <c r="F2182" s="14"/>
      <c r="G2182" s="14"/>
      <c r="H2182" s="14"/>
      <c r="I2182" s="14"/>
      <c r="J2182" s="14"/>
      <c r="K2182" s="14"/>
      <c r="L2182" s="14"/>
      <c r="M2182" s="15"/>
      <c r="N2182" s="15"/>
      <c r="O2182" s="14"/>
      <c r="P2182" s="14"/>
    </row>
    <row r="2183">
      <c r="A2183" s="14"/>
      <c r="B2183" s="17"/>
      <c r="C2183" s="17"/>
      <c r="D2183" s="17"/>
      <c r="E2183" s="14"/>
      <c r="F2183" s="14"/>
      <c r="G2183" s="14"/>
      <c r="H2183" s="14"/>
      <c r="I2183" s="14"/>
      <c r="J2183" s="14"/>
      <c r="K2183" s="14"/>
      <c r="L2183" s="14"/>
      <c r="M2183" s="15"/>
      <c r="N2183" s="15"/>
      <c r="O2183" s="14"/>
      <c r="P2183" s="14"/>
    </row>
    <row r="2184">
      <c r="A2184" s="14"/>
      <c r="B2184" s="17"/>
      <c r="C2184" s="17"/>
      <c r="D2184" s="17"/>
      <c r="E2184" s="14"/>
      <c r="F2184" s="14"/>
      <c r="G2184" s="14"/>
      <c r="H2184" s="14"/>
      <c r="I2184" s="14"/>
      <c r="J2184" s="14"/>
      <c r="K2184" s="14"/>
      <c r="L2184" s="14"/>
      <c r="M2184" s="15"/>
      <c r="N2184" s="15"/>
      <c r="O2184" s="14"/>
      <c r="P2184" s="14"/>
    </row>
    <row r="2185">
      <c r="A2185" s="14"/>
      <c r="B2185" s="17"/>
      <c r="C2185" s="17"/>
      <c r="D2185" s="17"/>
      <c r="E2185" s="14"/>
      <c r="F2185" s="14"/>
      <c r="G2185" s="14"/>
      <c r="H2185" s="14"/>
      <c r="I2185" s="14"/>
      <c r="J2185" s="14"/>
      <c r="K2185" s="14"/>
      <c r="L2185" s="14"/>
      <c r="M2185" s="15"/>
      <c r="N2185" s="15"/>
      <c r="O2185" s="14"/>
      <c r="P2185" s="14"/>
    </row>
    <row r="2186">
      <c r="A2186" s="14"/>
      <c r="B2186" s="17"/>
      <c r="C2186" s="17"/>
      <c r="D2186" s="17"/>
      <c r="E2186" s="14"/>
      <c r="F2186" s="14"/>
      <c r="G2186" s="14"/>
      <c r="H2186" s="14"/>
      <c r="I2186" s="14"/>
      <c r="J2186" s="14"/>
      <c r="K2186" s="14"/>
      <c r="L2186" s="14"/>
      <c r="M2186" s="15"/>
      <c r="N2186" s="15"/>
      <c r="O2186" s="14"/>
      <c r="P2186" s="14"/>
    </row>
    <row r="2187">
      <c r="A2187" s="14"/>
      <c r="B2187" s="17"/>
      <c r="C2187" s="17"/>
      <c r="D2187" s="17"/>
      <c r="E2187" s="14"/>
      <c r="F2187" s="14"/>
      <c r="G2187" s="14"/>
      <c r="H2187" s="14"/>
      <c r="I2187" s="14"/>
      <c r="J2187" s="14"/>
      <c r="K2187" s="14"/>
      <c r="L2187" s="14"/>
      <c r="M2187" s="15"/>
      <c r="N2187" s="15"/>
      <c r="O2187" s="14"/>
      <c r="P2187" s="14"/>
    </row>
    <row r="2188">
      <c r="A2188" s="14"/>
      <c r="B2188" s="17"/>
      <c r="C2188" s="17"/>
      <c r="D2188" s="17"/>
      <c r="E2188" s="14"/>
      <c r="F2188" s="14"/>
      <c r="G2188" s="14"/>
      <c r="H2188" s="14"/>
      <c r="I2188" s="14"/>
      <c r="J2188" s="14"/>
      <c r="K2188" s="14"/>
      <c r="L2188" s="14"/>
      <c r="M2188" s="15"/>
      <c r="N2188" s="15"/>
      <c r="O2188" s="14"/>
      <c r="P2188" s="14"/>
    </row>
    <row r="2189">
      <c r="A2189" s="14"/>
      <c r="B2189" s="17"/>
      <c r="C2189" s="17"/>
      <c r="D2189" s="17"/>
      <c r="E2189" s="14"/>
      <c r="F2189" s="14"/>
      <c r="G2189" s="14"/>
      <c r="H2189" s="14"/>
      <c r="I2189" s="14"/>
      <c r="J2189" s="14"/>
      <c r="K2189" s="14"/>
      <c r="L2189" s="14"/>
      <c r="M2189" s="15"/>
      <c r="N2189" s="15"/>
      <c r="O2189" s="14"/>
      <c r="P2189" s="14"/>
    </row>
    <row r="2190">
      <c r="A2190" s="14"/>
      <c r="B2190" s="17"/>
      <c r="C2190" s="17"/>
      <c r="D2190" s="17"/>
      <c r="E2190" s="14"/>
      <c r="F2190" s="14"/>
      <c r="G2190" s="14"/>
      <c r="H2190" s="14"/>
      <c r="I2190" s="14"/>
      <c r="J2190" s="14"/>
      <c r="K2190" s="14"/>
      <c r="L2190" s="14"/>
      <c r="M2190" s="15"/>
      <c r="N2190" s="15"/>
      <c r="O2190" s="14"/>
      <c r="P2190" s="14"/>
    </row>
    <row r="2191">
      <c r="A2191" s="14"/>
      <c r="B2191" s="17"/>
      <c r="C2191" s="17"/>
      <c r="D2191" s="17"/>
      <c r="E2191" s="14"/>
      <c r="F2191" s="14"/>
      <c r="G2191" s="14"/>
      <c r="H2191" s="14"/>
      <c r="I2191" s="14"/>
      <c r="J2191" s="14"/>
      <c r="K2191" s="14"/>
      <c r="L2191" s="14"/>
      <c r="M2191" s="15"/>
      <c r="N2191" s="15"/>
      <c r="O2191" s="14"/>
      <c r="P2191" s="14"/>
    </row>
    <row r="2192">
      <c r="A2192" s="14"/>
      <c r="B2192" s="17"/>
      <c r="C2192" s="17"/>
      <c r="D2192" s="17"/>
      <c r="E2192" s="14"/>
      <c r="F2192" s="14"/>
      <c r="G2192" s="14"/>
      <c r="H2192" s="14"/>
      <c r="I2192" s="14"/>
      <c r="J2192" s="14"/>
      <c r="K2192" s="14"/>
      <c r="L2192" s="14"/>
      <c r="M2192" s="15"/>
      <c r="N2192" s="15"/>
      <c r="O2192" s="14"/>
      <c r="P2192" s="14"/>
    </row>
    <row r="2193">
      <c r="A2193" s="14"/>
      <c r="B2193" s="17"/>
      <c r="C2193" s="17"/>
      <c r="D2193" s="17"/>
      <c r="E2193" s="14"/>
      <c r="F2193" s="14"/>
      <c r="G2193" s="14"/>
      <c r="H2193" s="14"/>
      <c r="I2193" s="14"/>
      <c r="J2193" s="14"/>
      <c r="K2193" s="14"/>
      <c r="L2193" s="14"/>
      <c r="M2193" s="15"/>
      <c r="N2193" s="15"/>
      <c r="O2193" s="14"/>
      <c r="P2193" s="14"/>
    </row>
    <row r="2194">
      <c r="A2194" s="14"/>
      <c r="B2194" s="17"/>
      <c r="C2194" s="17"/>
      <c r="D2194" s="17"/>
      <c r="E2194" s="14"/>
      <c r="F2194" s="14"/>
      <c r="G2194" s="14"/>
      <c r="H2194" s="14"/>
      <c r="I2194" s="14"/>
      <c r="J2194" s="14"/>
      <c r="K2194" s="14"/>
      <c r="L2194" s="14"/>
      <c r="M2194" s="15"/>
      <c r="N2194" s="15"/>
      <c r="O2194" s="14"/>
      <c r="P2194" s="14"/>
    </row>
    <row r="2195">
      <c r="A2195" s="14"/>
      <c r="B2195" s="17"/>
      <c r="C2195" s="17"/>
      <c r="D2195" s="17"/>
      <c r="E2195" s="14"/>
      <c r="F2195" s="14"/>
      <c r="G2195" s="14"/>
      <c r="H2195" s="14"/>
      <c r="I2195" s="14"/>
      <c r="J2195" s="14"/>
      <c r="K2195" s="14"/>
      <c r="L2195" s="14"/>
      <c r="M2195" s="15"/>
      <c r="N2195" s="15"/>
      <c r="O2195" s="14"/>
      <c r="P2195" s="14"/>
    </row>
    <row r="2196">
      <c r="A2196" s="14"/>
      <c r="B2196" s="17"/>
      <c r="C2196" s="17"/>
      <c r="D2196" s="17"/>
      <c r="E2196" s="14"/>
      <c r="F2196" s="14"/>
      <c r="G2196" s="14"/>
      <c r="H2196" s="14"/>
      <c r="I2196" s="14"/>
      <c r="J2196" s="14"/>
      <c r="K2196" s="14"/>
      <c r="L2196" s="14"/>
      <c r="M2196" s="15"/>
      <c r="N2196" s="15"/>
      <c r="O2196" s="14"/>
      <c r="P2196" s="14"/>
    </row>
    <row r="2197">
      <c r="A2197" s="14"/>
      <c r="B2197" s="17"/>
      <c r="C2197" s="17"/>
      <c r="D2197" s="17"/>
      <c r="E2197" s="14"/>
      <c r="F2197" s="14"/>
      <c r="G2197" s="14"/>
      <c r="H2197" s="14"/>
      <c r="I2197" s="14"/>
      <c r="J2197" s="14"/>
      <c r="K2197" s="14"/>
      <c r="L2197" s="14"/>
      <c r="M2197" s="15"/>
      <c r="N2197" s="15"/>
      <c r="O2197" s="14"/>
      <c r="P2197" s="14"/>
    </row>
    <row r="2198">
      <c r="A2198" s="14"/>
      <c r="B2198" s="17"/>
      <c r="C2198" s="17"/>
      <c r="D2198" s="17"/>
      <c r="E2198" s="14"/>
      <c r="F2198" s="14"/>
      <c r="G2198" s="14"/>
      <c r="H2198" s="14"/>
      <c r="I2198" s="14"/>
      <c r="J2198" s="14"/>
      <c r="K2198" s="14"/>
      <c r="L2198" s="14"/>
      <c r="M2198" s="15"/>
      <c r="N2198" s="15"/>
      <c r="O2198" s="14"/>
      <c r="P2198" s="14"/>
    </row>
    <row r="2199">
      <c r="A2199" s="14"/>
      <c r="B2199" s="17"/>
      <c r="C2199" s="17"/>
      <c r="D2199" s="17"/>
      <c r="E2199" s="14"/>
      <c r="F2199" s="14"/>
      <c r="G2199" s="14"/>
      <c r="H2199" s="14"/>
      <c r="I2199" s="14"/>
      <c r="J2199" s="14"/>
      <c r="K2199" s="14"/>
      <c r="L2199" s="14"/>
      <c r="M2199" s="15"/>
      <c r="N2199" s="15"/>
      <c r="O2199" s="14"/>
      <c r="P2199" s="14"/>
    </row>
    <row r="2200">
      <c r="A2200" s="14"/>
      <c r="B2200" s="17"/>
      <c r="C2200" s="17"/>
      <c r="D2200" s="17"/>
      <c r="E2200" s="14"/>
      <c r="F2200" s="14"/>
      <c r="G2200" s="14"/>
      <c r="H2200" s="14"/>
      <c r="I2200" s="14"/>
      <c r="J2200" s="14"/>
      <c r="K2200" s="14"/>
      <c r="L2200" s="14"/>
      <c r="M2200" s="15"/>
      <c r="N2200" s="15"/>
      <c r="O2200" s="14"/>
      <c r="P2200" s="14"/>
    </row>
    <row r="2201">
      <c r="A2201" s="14"/>
      <c r="B2201" s="17"/>
      <c r="C2201" s="17"/>
      <c r="D2201" s="17"/>
      <c r="E2201" s="14"/>
      <c r="F2201" s="14"/>
      <c r="G2201" s="14"/>
      <c r="H2201" s="14"/>
      <c r="I2201" s="14"/>
      <c r="J2201" s="14"/>
      <c r="K2201" s="14"/>
      <c r="L2201" s="14"/>
      <c r="M2201" s="15"/>
      <c r="N2201" s="15"/>
      <c r="O2201" s="14"/>
      <c r="P2201" s="14"/>
    </row>
    <row r="2202">
      <c r="A2202" s="14"/>
      <c r="B2202" s="17"/>
      <c r="C2202" s="17"/>
      <c r="D2202" s="17"/>
      <c r="E2202" s="14"/>
      <c r="F2202" s="14"/>
      <c r="G2202" s="14"/>
      <c r="H2202" s="14"/>
      <c r="I2202" s="14"/>
      <c r="J2202" s="14"/>
      <c r="K2202" s="14"/>
      <c r="L2202" s="14"/>
      <c r="M2202" s="15"/>
      <c r="N2202" s="15"/>
      <c r="O2202" s="14"/>
      <c r="P2202" s="14"/>
    </row>
    <row r="2203">
      <c r="A2203" s="14"/>
      <c r="B2203" s="17"/>
      <c r="C2203" s="17"/>
      <c r="D2203" s="17"/>
      <c r="E2203" s="14"/>
      <c r="F2203" s="14"/>
      <c r="G2203" s="14"/>
      <c r="H2203" s="14"/>
      <c r="I2203" s="14"/>
      <c r="J2203" s="14"/>
      <c r="K2203" s="14"/>
      <c r="L2203" s="14"/>
      <c r="M2203" s="15"/>
      <c r="N2203" s="15"/>
      <c r="O2203" s="14"/>
      <c r="P2203" s="14"/>
    </row>
    <row r="2204">
      <c r="A2204" s="14"/>
      <c r="B2204" s="17"/>
      <c r="C2204" s="17"/>
      <c r="D2204" s="17"/>
      <c r="E2204" s="14"/>
      <c r="F2204" s="14"/>
      <c r="G2204" s="14"/>
      <c r="H2204" s="14"/>
      <c r="I2204" s="14"/>
      <c r="J2204" s="14"/>
      <c r="K2204" s="14"/>
      <c r="L2204" s="14"/>
      <c r="M2204" s="15"/>
      <c r="N2204" s="15"/>
      <c r="O2204" s="14"/>
      <c r="P2204" s="14"/>
    </row>
    <row r="2205">
      <c r="A2205" s="14"/>
      <c r="B2205" s="17"/>
      <c r="C2205" s="17"/>
      <c r="D2205" s="17"/>
      <c r="E2205" s="14"/>
      <c r="F2205" s="14"/>
      <c r="G2205" s="14"/>
      <c r="H2205" s="14"/>
      <c r="I2205" s="14"/>
      <c r="J2205" s="14"/>
      <c r="K2205" s="14"/>
      <c r="L2205" s="14"/>
      <c r="M2205" s="15"/>
      <c r="N2205" s="15"/>
      <c r="O2205" s="14"/>
      <c r="P2205" s="14"/>
    </row>
    <row r="2206">
      <c r="A2206" s="14"/>
      <c r="B2206" s="17"/>
      <c r="C2206" s="17"/>
      <c r="D2206" s="17"/>
      <c r="E2206" s="14"/>
      <c r="F2206" s="14"/>
      <c r="G2206" s="14"/>
      <c r="H2206" s="14"/>
      <c r="I2206" s="14"/>
      <c r="J2206" s="14"/>
      <c r="K2206" s="14"/>
      <c r="L2206" s="14"/>
      <c r="M2206" s="15"/>
      <c r="N2206" s="15"/>
      <c r="O2206" s="14"/>
      <c r="P2206" s="14"/>
    </row>
    <row r="2207">
      <c r="A2207" s="14"/>
      <c r="B2207" s="17"/>
      <c r="C2207" s="17"/>
      <c r="D2207" s="17"/>
      <c r="E2207" s="14"/>
      <c r="F2207" s="14"/>
      <c r="G2207" s="14"/>
      <c r="H2207" s="14"/>
      <c r="I2207" s="14"/>
      <c r="J2207" s="14"/>
      <c r="K2207" s="14"/>
      <c r="L2207" s="14"/>
      <c r="M2207" s="15"/>
      <c r="N2207" s="15"/>
      <c r="O2207" s="14"/>
      <c r="P2207" s="14"/>
    </row>
    <row r="2208">
      <c r="A2208" s="14"/>
      <c r="B2208" s="17"/>
      <c r="C2208" s="17"/>
      <c r="D2208" s="17"/>
      <c r="E2208" s="14"/>
      <c r="F2208" s="14"/>
      <c r="G2208" s="14"/>
      <c r="H2208" s="14"/>
      <c r="I2208" s="14"/>
      <c r="J2208" s="14"/>
      <c r="K2208" s="14"/>
      <c r="L2208" s="14"/>
      <c r="M2208" s="15"/>
      <c r="N2208" s="15"/>
      <c r="O2208" s="14"/>
      <c r="P2208" s="14"/>
    </row>
    <row r="2209">
      <c r="A2209" s="14"/>
      <c r="B2209" s="17"/>
      <c r="C2209" s="17"/>
      <c r="D2209" s="17"/>
      <c r="E2209" s="14"/>
      <c r="F2209" s="14"/>
      <c r="G2209" s="14"/>
      <c r="H2209" s="14"/>
      <c r="I2209" s="14"/>
      <c r="J2209" s="14"/>
      <c r="K2209" s="14"/>
      <c r="L2209" s="14"/>
      <c r="M2209" s="15"/>
      <c r="N2209" s="15"/>
      <c r="O2209" s="14"/>
      <c r="P2209" s="14"/>
    </row>
    <row r="2210">
      <c r="A2210" s="14"/>
      <c r="B2210" s="17"/>
      <c r="C2210" s="17"/>
      <c r="D2210" s="17"/>
      <c r="E2210" s="14"/>
      <c r="F2210" s="14"/>
      <c r="G2210" s="14"/>
      <c r="H2210" s="14"/>
      <c r="I2210" s="14"/>
      <c r="J2210" s="14"/>
      <c r="K2210" s="14"/>
      <c r="L2210" s="14"/>
      <c r="M2210" s="15"/>
      <c r="N2210" s="15"/>
      <c r="O2210" s="14"/>
      <c r="P2210" s="14"/>
    </row>
    <row r="2211">
      <c r="A2211" s="14"/>
      <c r="B2211" s="17"/>
      <c r="C2211" s="17"/>
      <c r="D2211" s="17"/>
      <c r="E2211" s="14"/>
      <c r="F2211" s="14"/>
      <c r="G2211" s="14"/>
      <c r="H2211" s="14"/>
      <c r="I2211" s="14"/>
      <c r="J2211" s="14"/>
      <c r="K2211" s="14"/>
      <c r="L2211" s="14"/>
      <c r="M2211" s="15"/>
      <c r="N2211" s="15"/>
      <c r="O2211" s="14"/>
      <c r="P2211" s="14"/>
    </row>
    <row r="2212">
      <c r="A2212" s="14"/>
      <c r="B2212" s="17"/>
      <c r="C2212" s="17"/>
      <c r="D2212" s="17"/>
      <c r="E2212" s="14"/>
      <c r="F2212" s="14"/>
      <c r="G2212" s="14"/>
      <c r="H2212" s="14"/>
      <c r="I2212" s="14"/>
      <c r="J2212" s="14"/>
      <c r="K2212" s="14"/>
      <c r="L2212" s="14"/>
      <c r="M2212" s="15"/>
      <c r="N2212" s="15"/>
      <c r="O2212" s="14"/>
      <c r="P2212" s="14"/>
    </row>
    <row r="2213">
      <c r="A2213" s="14"/>
      <c r="B2213" s="17"/>
      <c r="C2213" s="17"/>
      <c r="D2213" s="17"/>
      <c r="E2213" s="14"/>
      <c r="F2213" s="14"/>
      <c r="G2213" s="14"/>
      <c r="H2213" s="14"/>
      <c r="I2213" s="14"/>
      <c r="J2213" s="14"/>
      <c r="K2213" s="14"/>
      <c r="L2213" s="14"/>
      <c r="M2213" s="15"/>
      <c r="N2213" s="15"/>
      <c r="O2213" s="14"/>
      <c r="P2213" s="14"/>
    </row>
    <row r="2214">
      <c r="A2214" s="14"/>
      <c r="B2214" s="17"/>
      <c r="C2214" s="17"/>
      <c r="D2214" s="17"/>
      <c r="E2214" s="14"/>
      <c r="F2214" s="14"/>
      <c r="G2214" s="14"/>
      <c r="H2214" s="14"/>
      <c r="I2214" s="14"/>
      <c r="J2214" s="14"/>
      <c r="K2214" s="14"/>
      <c r="L2214" s="14"/>
      <c r="M2214" s="15"/>
      <c r="N2214" s="15"/>
      <c r="O2214" s="14"/>
      <c r="P2214" s="14"/>
    </row>
    <row r="2215">
      <c r="A2215" s="14"/>
      <c r="B2215" s="17"/>
      <c r="C2215" s="17"/>
      <c r="D2215" s="17"/>
      <c r="E2215" s="14"/>
      <c r="F2215" s="14"/>
      <c r="G2215" s="14"/>
      <c r="H2215" s="14"/>
      <c r="I2215" s="14"/>
      <c r="J2215" s="14"/>
      <c r="K2215" s="14"/>
      <c r="L2215" s="14"/>
      <c r="M2215" s="15"/>
      <c r="N2215" s="15"/>
      <c r="O2215" s="14"/>
      <c r="P2215" s="14"/>
    </row>
    <row r="2216">
      <c r="A2216" s="14"/>
      <c r="B2216" s="17"/>
      <c r="C2216" s="17"/>
      <c r="D2216" s="17"/>
      <c r="E2216" s="14"/>
      <c r="F2216" s="14"/>
      <c r="G2216" s="14"/>
      <c r="H2216" s="14"/>
      <c r="I2216" s="14"/>
      <c r="J2216" s="14"/>
      <c r="K2216" s="14"/>
      <c r="L2216" s="14"/>
      <c r="M2216" s="15"/>
      <c r="N2216" s="15"/>
      <c r="O2216" s="14"/>
      <c r="P2216" s="14"/>
    </row>
    <row r="2217">
      <c r="A2217" s="14"/>
      <c r="B2217" s="17"/>
      <c r="C2217" s="17"/>
      <c r="D2217" s="17"/>
      <c r="E2217" s="14"/>
      <c r="F2217" s="14"/>
      <c r="G2217" s="14"/>
      <c r="H2217" s="14"/>
      <c r="I2217" s="14"/>
      <c r="J2217" s="14"/>
      <c r="K2217" s="14"/>
      <c r="L2217" s="14"/>
      <c r="M2217" s="15"/>
      <c r="N2217" s="15"/>
      <c r="O2217" s="14"/>
      <c r="P2217" s="14"/>
    </row>
    <row r="2218">
      <c r="A2218" s="14"/>
      <c r="B2218" s="17"/>
      <c r="C2218" s="17"/>
      <c r="D2218" s="17"/>
      <c r="E2218" s="14"/>
      <c r="F2218" s="14"/>
      <c r="G2218" s="14"/>
      <c r="H2218" s="14"/>
      <c r="I2218" s="14"/>
      <c r="J2218" s="14"/>
      <c r="K2218" s="14"/>
      <c r="L2218" s="14"/>
      <c r="M2218" s="15"/>
      <c r="N2218" s="15"/>
      <c r="O2218" s="14"/>
      <c r="P2218" s="14"/>
    </row>
    <row r="2219">
      <c r="A2219" s="14"/>
      <c r="B2219" s="17"/>
      <c r="C2219" s="17"/>
      <c r="D2219" s="17"/>
      <c r="E2219" s="14"/>
      <c r="F2219" s="14"/>
      <c r="G2219" s="14"/>
      <c r="H2219" s="14"/>
      <c r="I2219" s="14"/>
      <c r="J2219" s="14"/>
      <c r="K2219" s="14"/>
      <c r="L2219" s="14"/>
      <c r="M2219" s="15"/>
      <c r="N2219" s="15"/>
      <c r="O2219" s="14"/>
      <c r="P2219" s="14"/>
    </row>
    <row r="2220">
      <c r="A2220" s="14"/>
      <c r="B2220" s="17"/>
      <c r="C2220" s="17"/>
      <c r="D2220" s="17"/>
      <c r="E2220" s="14"/>
      <c r="F2220" s="14"/>
      <c r="G2220" s="14"/>
      <c r="H2220" s="14"/>
      <c r="I2220" s="14"/>
      <c r="J2220" s="14"/>
      <c r="K2220" s="14"/>
      <c r="L2220" s="14"/>
      <c r="M2220" s="15"/>
      <c r="N2220" s="15"/>
      <c r="O2220" s="14"/>
      <c r="P2220" s="14"/>
    </row>
    <row r="2221">
      <c r="A2221" s="14"/>
      <c r="B2221" s="17"/>
      <c r="C2221" s="17"/>
      <c r="D2221" s="17"/>
      <c r="E2221" s="14"/>
      <c r="F2221" s="14"/>
      <c r="G2221" s="14"/>
      <c r="H2221" s="14"/>
      <c r="I2221" s="14"/>
      <c r="J2221" s="14"/>
      <c r="K2221" s="14"/>
      <c r="L2221" s="14"/>
      <c r="M2221" s="15"/>
      <c r="N2221" s="15"/>
      <c r="O2221" s="14"/>
      <c r="P2221" s="14"/>
    </row>
    <row r="2222">
      <c r="A2222" s="14"/>
      <c r="B2222" s="17"/>
      <c r="C2222" s="17"/>
      <c r="D2222" s="17"/>
      <c r="E2222" s="14"/>
      <c r="F2222" s="14"/>
      <c r="G2222" s="14"/>
      <c r="H2222" s="14"/>
      <c r="I2222" s="14"/>
      <c r="J2222" s="14"/>
      <c r="K2222" s="14"/>
      <c r="L2222" s="14"/>
      <c r="M2222" s="15"/>
      <c r="N2222" s="15"/>
      <c r="O2222" s="14"/>
      <c r="P2222" s="14"/>
    </row>
    <row r="2223">
      <c r="A2223" s="14"/>
      <c r="B2223" s="17"/>
      <c r="C2223" s="17"/>
      <c r="D2223" s="17"/>
      <c r="E2223" s="14"/>
      <c r="F2223" s="14"/>
      <c r="G2223" s="14"/>
      <c r="H2223" s="14"/>
      <c r="I2223" s="14"/>
      <c r="J2223" s="14"/>
      <c r="K2223" s="14"/>
      <c r="L2223" s="14"/>
      <c r="M2223" s="15"/>
      <c r="N2223" s="15"/>
      <c r="O2223" s="14"/>
      <c r="P2223" s="14"/>
    </row>
    <row r="2224">
      <c r="A2224" s="14"/>
      <c r="B2224" s="17"/>
      <c r="C2224" s="17"/>
      <c r="D2224" s="17"/>
      <c r="E2224" s="14"/>
      <c r="F2224" s="14"/>
      <c r="G2224" s="14"/>
      <c r="H2224" s="14"/>
      <c r="I2224" s="14"/>
      <c r="J2224" s="14"/>
      <c r="K2224" s="14"/>
      <c r="L2224" s="14"/>
      <c r="M2224" s="15"/>
      <c r="N2224" s="15"/>
      <c r="O2224" s="14"/>
      <c r="P2224" s="14"/>
    </row>
    <row r="2225">
      <c r="A2225" s="14"/>
      <c r="B2225" s="17"/>
      <c r="C2225" s="17"/>
      <c r="D2225" s="17"/>
      <c r="E2225" s="14"/>
      <c r="F2225" s="14"/>
      <c r="G2225" s="14"/>
      <c r="H2225" s="14"/>
      <c r="I2225" s="14"/>
      <c r="J2225" s="14"/>
      <c r="K2225" s="14"/>
      <c r="L2225" s="14"/>
      <c r="M2225" s="15"/>
      <c r="N2225" s="15"/>
      <c r="O2225" s="14"/>
      <c r="P2225" s="14"/>
    </row>
    <row r="2226">
      <c r="A2226" s="14"/>
      <c r="B2226" s="17"/>
      <c r="C2226" s="17"/>
      <c r="D2226" s="17"/>
      <c r="E2226" s="14"/>
      <c r="F2226" s="14"/>
      <c r="G2226" s="14"/>
      <c r="H2226" s="14"/>
      <c r="I2226" s="14"/>
      <c r="J2226" s="14"/>
      <c r="K2226" s="14"/>
      <c r="L2226" s="14"/>
      <c r="M2226" s="15"/>
      <c r="N2226" s="15"/>
      <c r="O2226" s="14"/>
      <c r="P2226" s="14"/>
    </row>
    <row r="2227">
      <c r="A2227" s="14"/>
      <c r="B2227" s="17"/>
      <c r="C2227" s="17"/>
      <c r="D2227" s="17"/>
      <c r="E2227" s="14"/>
      <c r="F2227" s="14"/>
      <c r="G2227" s="14"/>
      <c r="H2227" s="14"/>
      <c r="I2227" s="14"/>
      <c r="J2227" s="14"/>
      <c r="K2227" s="14"/>
      <c r="L2227" s="14"/>
      <c r="M2227" s="15"/>
      <c r="N2227" s="15"/>
      <c r="O2227" s="14"/>
      <c r="P2227" s="14"/>
    </row>
    <row r="2228">
      <c r="A2228" s="14"/>
      <c r="B2228" s="17"/>
      <c r="C2228" s="17"/>
      <c r="D2228" s="17"/>
      <c r="E2228" s="14"/>
      <c r="F2228" s="14"/>
      <c r="G2228" s="14"/>
      <c r="H2228" s="14"/>
      <c r="I2228" s="14"/>
      <c r="J2228" s="14"/>
      <c r="K2228" s="14"/>
      <c r="L2228" s="14"/>
      <c r="M2228" s="15"/>
      <c r="N2228" s="15"/>
      <c r="O2228" s="14"/>
      <c r="P2228" s="14"/>
    </row>
    <row r="2229">
      <c r="A2229" s="14"/>
      <c r="B2229" s="17"/>
      <c r="C2229" s="17"/>
      <c r="D2229" s="17"/>
      <c r="E2229" s="14"/>
      <c r="F2229" s="14"/>
      <c r="G2229" s="14"/>
      <c r="H2229" s="14"/>
      <c r="I2229" s="14"/>
      <c r="J2229" s="14"/>
      <c r="K2229" s="14"/>
      <c r="L2229" s="14"/>
      <c r="M2229" s="15"/>
      <c r="N2229" s="15"/>
      <c r="O2229" s="14"/>
      <c r="P2229" s="14"/>
    </row>
    <row r="2230">
      <c r="A2230" s="14"/>
      <c r="B2230" s="17"/>
      <c r="C2230" s="17"/>
      <c r="D2230" s="17"/>
      <c r="E2230" s="14"/>
      <c r="F2230" s="14"/>
      <c r="G2230" s="14"/>
      <c r="H2230" s="14"/>
      <c r="I2230" s="14"/>
      <c r="J2230" s="14"/>
      <c r="K2230" s="14"/>
      <c r="L2230" s="14"/>
      <c r="M2230" s="15"/>
      <c r="N2230" s="15"/>
      <c r="O2230" s="14"/>
      <c r="P2230" s="14"/>
    </row>
    <row r="2231">
      <c r="A2231" s="14"/>
      <c r="B2231" s="17"/>
      <c r="C2231" s="17"/>
      <c r="D2231" s="17"/>
      <c r="E2231" s="14"/>
      <c r="F2231" s="14"/>
      <c r="G2231" s="14"/>
      <c r="H2231" s="14"/>
      <c r="I2231" s="14"/>
      <c r="J2231" s="14"/>
      <c r="K2231" s="14"/>
      <c r="L2231" s="14"/>
      <c r="M2231" s="15"/>
      <c r="N2231" s="15"/>
      <c r="O2231" s="14"/>
      <c r="P2231" s="14"/>
    </row>
    <row r="2232">
      <c r="A2232" s="14"/>
      <c r="B2232" s="17"/>
      <c r="C2232" s="17"/>
      <c r="D2232" s="17"/>
      <c r="E2232" s="14"/>
      <c r="F2232" s="14"/>
      <c r="G2232" s="14"/>
      <c r="H2232" s="14"/>
      <c r="I2232" s="14"/>
      <c r="J2232" s="14"/>
      <c r="K2232" s="14"/>
      <c r="L2232" s="14"/>
      <c r="M2232" s="15"/>
      <c r="N2232" s="15"/>
      <c r="O2232" s="14"/>
      <c r="P2232" s="14"/>
    </row>
    <row r="2233">
      <c r="A2233" s="14"/>
      <c r="B2233" s="17"/>
      <c r="C2233" s="17"/>
      <c r="D2233" s="17"/>
      <c r="E2233" s="14"/>
      <c r="F2233" s="14"/>
      <c r="G2233" s="14"/>
      <c r="H2233" s="14"/>
      <c r="I2233" s="14"/>
      <c r="J2233" s="14"/>
      <c r="K2233" s="14"/>
      <c r="L2233" s="14"/>
      <c r="M2233" s="15"/>
      <c r="N2233" s="15"/>
      <c r="O2233" s="14"/>
      <c r="P2233" s="14"/>
    </row>
    <row r="2234">
      <c r="A2234" s="14"/>
      <c r="B2234" s="17"/>
      <c r="C2234" s="17"/>
      <c r="D2234" s="17"/>
      <c r="E2234" s="14"/>
      <c r="F2234" s="14"/>
      <c r="G2234" s="14"/>
      <c r="H2234" s="14"/>
      <c r="I2234" s="14"/>
      <c r="J2234" s="14"/>
      <c r="K2234" s="14"/>
      <c r="L2234" s="14"/>
      <c r="M2234" s="15"/>
      <c r="N2234" s="15"/>
      <c r="O2234" s="14"/>
      <c r="P2234" s="14"/>
    </row>
    <row r="2235">
      <c r="A2235" s="14"/>
      <c r="B2235" s="17"/>
      <c r="C2235" s="17"/>
      <c r="D2235" s="17"/>
      <c r="E2235" s="14"/>
      <c r="F2235" s="14"/>
      <c r="G2235" s="14"/>
      <c r="H2235" s="14"/>
      <c r="I2235" s="14"/>
      <c r="J2235" s="14"/>
      <c r="K2235" s="14"/>
      <c r="L2235" s="14"/>
      <c r="M2235" s="15"/>
      <c r="N2235" s="15"/>
      <c r="O2235" s="14"/>
      <c r="P2235" s="14"/>
    </row>
    <row r="2236">
      <c r="A2236" s="14"/>
      <c r="B2236" s="17"/>
      <c r="C2236" s="17"/>
      <c r="D2236" s="17"/>
      <c r="E2236" s="14"/>
      <c r="F2236" s="14"/>
      <c r="G2236" s="14"/>
      <c r="H2236" s="14"/>
      <c r="I2236" s="14"/>
      <c r="J2236" s="14"/>
      <c r="K2236" s="14"/>
      <c r="L2236" s="14"/>
      <c r="M2236" s="15"/>
      <c r="N2236" s="15"/>
      <c r="O2236" s="14"/>
      <c r="P2236" s="14"/>
    </row>
    <row r="2237">
      <c r="A2237" s="14"/>
      <c r="B2237" s="17"/>
      <c r="C2237" s="17"/>
      <c r="D2237" s="17"/>
      <c r="E2237" s="14"/>
      <c r="F2237" s="14"/>
      <c r="G2237" s="14"/>
      <c r="H2237" s="14"/>
      <c r="I2237" s="14"/>
      <c r="J2237" s="14"/>
      <c r="K2237" s="14"/>
      <c r="L2237" s="14"/>
      <c r="M2237" s="15"/>
      <c r="N2237" s="15"/>
      <c r="O2237" s="14"/>
      <c r="P2237" s="14"/>
    </row>
    <row r="2238">
      <c r="A2238" s="14"/>
      <c r="B2238" s="17"/>
      <c r="C2238" s="17"/>
      <c r="D2238" s="17"/>
      <c r="E2238" s="14"/>
      <c r="F2238" s="14"/>
      <c r="G2238" s="14"/>
      <c r="H2238" s="14"/>
      <c r="I2238" s="14"/>
      <c r="J2238" s="14"/>
      <c r="K2238" s="14"/>
      <c r="L2238" s="14"/>
      <c r="M2238" s="15"/>
      <c r="N2238" s="15"/>
      <c r="O2238" s="14"/>
      <c r="P2238" s="14"/>
    </row>
    <row r="2239">
      <c r="A2239" s="14"/>
      <c r="B2239" s="17"/>
      <c r="C2239" s="17"/>
      <c r="D2239" s="17"/>
      <c r="E2239" s="14"/>
      <c r="F2239" s="14"/>
      <c r="G2239" s="14"/>
      <c r="H2239" s="14"/>
      <c r="I2239" s="14"/>
      <c r="J2239" s="14"/>
      <c r="K2239" s="14"/>
      <c r="L2239" s="14"/>
      <c r="M2239" s="15"/>
      <c r="N2239" s="15"/>
      <c r="O2239" s="14"/>
      <c r="P2239" s="14"/>
    </row>
    <row r="2240">
      <c r="A2240" s="14"/>
      <c r="B2240" s="17"/>
      <c r="C2240" s="17"/>
      <c r="D2240" s="17"/>
      <c r="E2240" s="14"/>
      <c r="F2240" s="14"/>
      <c r="G2240" s="14"/>
      <c r="H2240" s="14"/>
      <c r="I2240" s="14"/>
      <c r="J2240" s="14"/>
      <c r="K2240" s="14"/>
      <c r="L2240" s="14"/>
      <c r="M2240" s="15"/>
      <c r="N2240" s="15"/>
      <c r="O2240" s="14"/>
      <c r="P2240" s="14"/>
    </row>
    <row r="2241">
      <c r="A2241" s="14"/>
      <c r="B2241" s="17"/>
      <c r="C2241" s="17"/>
      <c r="D2241" s="17"/>
      <c r="E2241" s="14"/>
      <c r="F2241" s="14"/>
      <c r="G2241" s="14"/>
      <c r="H2241" s="14"/>
      <c r="I2241" s="14"/>
      <c r="J2241" s="14"/>
      <c r="K2241" s="14"/>
      <c r="L2241" s="14"/>
      <c r="M2241" s="15"/>
      <c r="N2241" s="15"/>
      <c r="O2241" s="14"/>
      <c r="P2241" s="14"/>
    </row>
    <row r="2242">
      <c r="A2242" s="14"/>
      <c r="B2242" s="17"/>
      <c r="C2242" s="17"/>
      <c r="D2242" s="17"/>
      <c r="E2242" s="14"/>
      <c r="F2242" s="14"/>
      <c r="G2242" s="14"/>
      <c r="H2242" s="14"/>
      <c r="I2242" s="14"/>
      <c r="J2242" s="14"/>
      <c r="K2242" s="14"/>
      <c r="L2242" s="14"/>
      <c r="M2242" s="15"/>
      <c r="N2242" s="15"/>
      <c r="O2242" s="14"/>
      <c r="P2242" s="14"/>
    </row>
    <row r="2243">
      <c r="A2243" s="14"/>
      <c r="B2243" s="17"/>
      <c r="C2243" s="17"/>
      <c r="D2243" s="17"/>
      <c r="E2243" s="14"/>
      <c r="F2243" s="14"/>
      <c r="G2243" s="14"/>
      <c r="H2243" s="14"/>
      <c r="I2243" s="14"/>
      <c r="J2243" s="14"/>
      <c r="K2243" s="14"/>
      <c r="L2243" s="14"/>
      <c r="M2243" s="15"/>
      <c r="N2243" s="15"/>
      <c r="O2243" s="14"/>
      <c r="P2243" s="14"/>
    </row>
    <row r="2244">
      <c r="A2244" s="14"/>
      <c r="B2244" s="17"/>
      <c r="C2244" s="17"/>
      <c r="D2244" s="17"/>
      <c r="E2244" s="14"/>
      <c r="F2244" s="14"/>
      <c r="G2244" s="14"/>
      <c r="H2244" s="14"/>
      <c r="I2244" s="14"/>
      <c r="J2244" s="14"/>
      <c r="K2244" s="14"/>
      <c r="L2244" s="14"/>
      <c r="M2244" s="15"/>
      <c r="N2244" s="15"/>
      <c r="O2244" s="14"/>
      <c r="P2244" s="14"/>
    </row>
    <row r="2245">
      <c r="A2245" s="14"/>
      <c r="B2245" s="17"/>
      <c r="C2245" s="17"/>
      <c r="D2245" s="17"/>
      <c r="E2245" s="14"/>
      <c r="F2245" s="14"/>
      <c r="G2245" s="14"/>
      <c r="H2245" s="14"/>
      <c r="I2245" s="14"/>
      <c r="J2245" s="14"/>
      <c r="K2245" s="14"/>
      <c r="L2245" s="14"/>
      <c r="M2245" s="15"/>
      <c r="N2245" s="15"/>
      <c r="O2245" s="14"/>
      <c r="P2245" s="14"/>
    </row>
    <row r="2246">
      <c r="A2246" s="14"/>
      <c r="B2246" s="17"/>
      <c r="C2246" s="17"/>
      <c r="D2246" s="17"/>
      <c r="E2246" s="14"/>
      <c r="F2246" s="14"/>
      <c r="G2246" s="14"/>
      <c r="H2246" s="14"/>
      <c r="I2246" s="14"/>
      <c r="J2246" s="14"/>
      <c r="K2246" s="14"/>
      <c r="L2246" s="14"/>
      <c r="M2246" s="15"/>
      <c r="N2246" s="15"/>
      <c r="O2246" s="14"/>
      <c r="P2246" s="14"/>
    </row>
    <row r="2247">
      <c r="A2247" s="14"/>
      <c r="B2247" s="17"/>
      <c r="C2247" s="17"/>
      <c r="D2247" s="17"/>
      <c r="E2247" s="14"/>
      <c r="F2247" s="14"/>
      <c r="G2247" s="14"/>
      <c r="H2247" s="14"/>
      <c r="I2247" s="14"/>
      <c r="J2247" s="14"/>
      <c r="K2247" s="14"/>
      <c r="L2247" s="14"/>
      <c r="M2247" s="15"/>
      <c r="N2247" s="15"/>
      <c r="O2247" s="14"/>
      <c r="P2247" s="14"/>
    </row>
    <row r="2248">
      <c r="A2248" s="14"/>
      <c r="B2248" s="17"/>
      <c r="C2248" s="17"/>
      <c r="D2248" s="17"/>
      <c r="E2248" s="14"/>
      <c r="F2248" s="14"/>
      <c r="G2248" s="14"/>
      <c r="H2248" s="14"/>
      <c r="I2248" s="14"/>
      <c r="J2248" s="14"/>
      <c r="K2248" s="14"/>
      <c r="L2248" s="14"/>
      <c r="M2248" s="15"/>
      <c r="N2248" s="15"/>
      <c r="O2248" s="14"/>
      <c r="P2248" s="14"/>
    </row>
    <row r="2249">
      <c r="A2249" s="14"/>
      <c r="B2249" s="17"/>
      <c r="C2249" s="17"/>
      <c r="D2249" s="17"/>
      <c r="E2249" s="14"/>
      <c r="F2249" s="14"/>
      <c r="G2249" s="14"/>
      <c r="H2249" s="14"/>
      <c r="I2249" s="14"/>
      <c r="J2249" s="14"/>
      <c r="K2249" s="14"/>
      <c r="L2249" s="14"/>
      <c r="M2249" s="15"/>
      <c r="N2249" s="15"/>
      <c r="O2249" s="14"/>
      <c r="P2249" s="14"/>
    </row>
    <row r="2250">
      <c r="A2250" s="14"/>
      <c r="B2250" s="17"/>
      <c r="C2250" s="17"/>
      <c r="D2250" s="17"/>
      <c r="E2250" s="14"/>
      <c r="F2250" s="14"/>
      <c r="G2250" s="14"/>
      <c r="H2250" s="14"/>
      <c r="I2250" s="14"/>
      <c r="J2250" s="14"/>
      <c r="K2250" s="14"/>
      <c r="L2250" s="14"/>
      <c r="M2250" s="15"/>
      <c r="N2250" s="15"/>
      <c r="O2250" s="14"/>
      <c r="P2250" s="14"/>
    </row>
    <row r="2251">
      <c r="A2251" s="14"/>
      <c r="B2251" s="17"/>
      <c r="C2251" s="17"/>
      <c r="D2251" s="17"/>
      <c r="E2251" s="14"/>
      <c r="F2251" s="14"/>
      <c r="G2251" s="14"/>
      <c r="H2251" s="14"/>
      <c r="I2251" s="14"/>
      <c r="J2251" s="14"/>
      <c r="K2251" s="14"/>
      <c r="L2251" s="14"/>
      <c r="M2251" s="15"/>
      <c r="N2251" s="15"/>
      <c r="O2251" s="14"/>
      <c r="P2251" s="14"/>
    </row>
    <row r="2252">
      <c r="A2252" s="14"/>
      <c r="B2252" s="17"/>
      <c r="C2252" s="17"/>
      <c r="D2252" s="17"/>
      <c r="E2252" s="14"/>
      <c r="F2252" s="14"/>
      <c r="G2252" s="14"/>
      <c r="H2252" s="14"/>
      <c r="I2252" s="14"/>
      <c r="J2252" s="14"/>
      <c r="K2252" s="14"/>
      <c r="L2252" s="14"/>
      <c r="M2252" s="15"/>
      <c r="N2252" s="15"/>
      <c r="O2252" s="14"/>
      <c r="P2252" s="14"/>
    </row>
    <row r="2253">
      <c r="A2253" s="14"/>
      <c r="B2253" s="17"/>
      <c r="C2253" s="17"/>
      <c r="D2253" s="17"/>
      <c r="E2253" s="14"/>
      <c r="F2253" s="14"/>
      <c r="G2253" s="14"/>
      <c r="H2253" s="14"/>
      <c r="I2253" s="14"/>
      <c r="J2253" s="14"/>
      <c r="K2253" s="14"/>
      <c r="L2253" s="14"/>
      <c r="M2253" s="15"/>
      <c r="N2253" s="15"/>
      <c r="O2253" s="14"/>
      <c r="P2253" s="14"/>
    </row>
    <row r="2254">
      <c r="A2254" s="14"/>
      <c r="B2254" s="17"/>
      <c r="C2254" s="17"/>
      <c r="D2254" s="17"/>
      <c r="E2254" s="14"/>
      <c r="F2254" s="14"/>
      <c r="G2254" s="14"/>
      <c r="H2254" s="14"/>
      <c r="I2254" s="14"/>
      <c r="J2254" s="14"/>
      <c r="K2254" s="14"/>
      <c r="L2254" s="14"/>
      <c r="M2254" s="15"/>
      <c r="N2254" s="15"/>
      <c r="O2254" s="14"/>
      <c r="P2254" s="14"/>
    </row>
    <row r="2255">
      <c r="A2255" s="14"/>
      <c r="B2255" s="17"/>
      <c r="C2255" s="17"/>
      <c r="D2255" s="17"/>
      <c r="E2255" s="14"/>
      <c r="F2255" s="14"/>
      <c r="G2255" s="14"/>
      <c r="H2255" s="14"/>
      <c r="I2255" s="14"/>
      <c r="J2255" s="14"/>
      <c r="K2255" s="14"/>
      <c r="L2255" s="14"/>
      <c r="M2255" s="15"/>
      <c r="N2255" s="15"/>
      <c r="O2255" s="14"/>
      <c r="P2255" s="14"/>
    </row>
    <row r="2256">
      <c r="A2256" s="14"/>
      <c r="B2256" s="17"/>
      <c r="C2256" s="17"/>
      <c r="D2256" s="17"/>
      <c r="E2256" s="14"/>
      <c r="F2256" s="14"/>
      <c r="G2256" s="14"/>
      <c r="H2256" s="14"/>
      <c r="I2256" s="14"/>
      <c r="J2256" s="14"/>
      <c r="K2256" s="14"/>
      <c r="L2256" s="14"/>
      <c r="M2256" s="15"/>
      <c r="N2256" s="15"/>
      <c r="O2256" s="14"/>
      <c r="P2256" s="14"/>
    </row>
    <row r="2257">
      <c r="A2257" s="14"/>
      <c r="B2257" s="17"/>
      <c r="C2257" s="17"/>
      <c r="D2257" s="17"/>
      <c r="E2257" s="14"/>
      <c r="F2257" s="14"/>
      <c r="G2257" s="14"/>
      <c r="H2257" s="14"/>
      <c r="I2257" s="14"/>
      <c r="J2257" s="14"/>
      <c r="K2257" s="14"/>
      <c r="L2257" s="14"/>
      <c r="M2257" s="15"/>
      <c r="N2257" s="15"/>
      <c r="O2257" s="14"/>
      <c r="P2257" s="14"/>
    </row>
    <row r="2258">
      <c r="A2258" s="14"/>
      <c r="B2258" s="17"/>
      <c r="C2258" s="17"/>
      <c r="D2258" s="17"/>
      <c r="E2258" s="14"/>
      <c r="F2258" s="14"/>
      <c r="G2258" s="14"/>
      <c r="H2258" s="14"/>
      <c r="I2258" s="14"/>
      <c r="J2258" s="14"/>
      <c r="K2258" s="14"/>
      <c r="L2258" s="14"/>
      <c r="M2258" s="15"/>
      <c r="N2258" s="15"/>
      <c r="O2258" s="14"/>
      <c r="P2258" s="14"/>
    </row>
    <row r="2259">
      <c r="A2259" s="14"/>
      <c r="B2259" s="17"/>
      <c r="C2259" s="17"/>
      <c r="D2259" s="17"/>
      <c r="E2259" s="14"/>
      <c r="F2259" s="14"/>
      <c r="G2259" s="14"/>
      <c r="H2259" s="14"/>
      <c r="I2259" s="14"/>
      <c r="J2259" s="14"/>
      <c r="K2259" s="14"/>
      <c r="L2259" s="14"/>
      <c r="M2259" s="15"/>
      <c r="N2259" s="15"/>
      <c r="O2259" s="14"/>
      <c r="P2259" s="14"/>
    </row>
    <row r="2260">
      <c r="A2260" s="14"/>
      <c r="B2260" s="17"/>
      <c r="C2260" s="17"/>
      <c r="D2260" s="17"/>
      <c r="E2260" s="14"/>
      <c r="F2260" s="14"/>
      <c r="G2260" s="14"/>
      <c r="H2260" s="14"/>
      <c r="I2260" s="14"/>
      <c r="J2260" s="14"/>
      <c r="K2260" s="14"/>
      <c r="L2260" s="14"/>
      <c r="M2260" s="15"/>
      <c r="N2260" s="15"/>
      <c r="O2260" s="14"/>
      <c r="P2260" s="14"/>
    </row>
    <row r="2261">
      <c r="A2261" s="14"/>
      <c r="B2261" s="17"/>
      <c r="C2261" s="17"/>
      <c r="D2261" s="17"/>
      <c r="E2261" s="14"/>
      <c r="F2261" s="14"/>
      <c r="G2261" s="14"/>
      <c r="H2261" s="14"/>
      <c r="I2261" s="14"/>
      <c r="J2261" s="14"/>
      <c r="K2261" s="14"/>
      <c r="L2261" s="14"/>
      <c r="M2261" s="15"/>
      <c r="N2261" s="15"/>
      <c r="O2261" s="14"/>
      <c r="P2261" s="14"/>
    </row>
    <row r="2262">
      <c r="A2262" s="14"/>
      <c r="B2262" s="17"/>
      <c r="C2262" s="17"/>
      <c r="D2262" s="17"/>
      <c r="E2262" s="14"/>
      <c r="F2262" s="14"/>
      <c r="G2262" s="14"/>
      <c r="H2262" s="14"/>
      <c r="I2262" s="14"/>
      <c r="J2262" s="14"/>
      <c r="K2262" s="14"/>
      <c r="L2262" s="14"/>
      <c r="M2262" s="15"/>
      <c r="N2262" s="15"/>
      <c r="O2262" s="14"/>
      <c r="P2262" s="14"/>
    </row>
    <row r="2263">
      <c r="A2263" s="14"/>
      <c r="B2263" s="17"/>
      <c r="C2263" s="17"/>
      <c r="D2263" s="17"/>
      <c r="E2263" s="14"/>
      <c r="F2263" s="14"/>
      <c r="G2263" s="14"/>
      <c r="H2263" s="14"/>
      <c r="I2263" s="14"/>
      <c r="J2263" s="14"/>
      <c r="K2263" s="14"/>
      <c r="L2263" s="14"/>
      <c r="M2263" s="15"/>
      <c r="N2263" s="15"/>
      <c r="O2263" s="14"/>
      <c r="P2263" s="14"/>
    </row>
    <row r="2264">
      <c r="A2264" s="14"/>
      <c r="B2264" s="17"/>
      <c r="C2264" s="17"/>
      <c r="D2264" s="17"/>
      <c r="E2264" s="14"/>
      <c r="F2264" s="14"/>
      <c r="G2264" s="14"/>
      <c r="H2264" s="14"/>
      <c r="I2264" s="14"/>
      <c r="J2264" s="14"/>
      <c r="K2264" s="14"/>
      <c r="L2264" s="14"/>
      <c r="M2264" s="15"/>
      <c r="N2264" s="15"/>
      <c r="O2264" s="14"/>
      <c r="P2264" s="14"/>
    </row>
    <row r="2265">
      <c r="A2265" s="14"/>
      <c r="B2265" s="17"/>
      <c r="C2265" s="17"/>
      <c r="D2265" s="17"/>
      <c r="E2265" s="14"/>
      <c r="F2265" s="14"/>
      <c r="G2265" s="14"/>
      <c r="H2265" s="14"/>
      <c r="I2265" s="14"/>
      <c r="J2265" s="14"/>
      <c r="K2265" s="14"/>
      <c r="L2265" s="14"/>
      <c r="M2265" s="15"/>
      <c r="N2265" s="15"/>
      <c r="O2265" s="14"/>
      <c r="P2265" s="14"/>
    </row>
    <row r="2266">
      <c r="A2266" s="14"/>
      <c r="B2266" s="17"/>
      <c r="C2266" s="17"/>
      <c r="D2266" s="17"/>
      <c r="E2266" s="14"/>
      <c r="F2266" s="14"/>
      <c r="G2266" s="14"/>
      <c r="H2266" s="14"/>
      <c r="I2266" s="14"/>
      <c r="J2266" s="14"/>
      <c r="K2266" s="14"/>
      <c r="L2266" s="14"/>
      <c r="M2266" s="15"/>
      <c r="N2266" s="15"/>
      <c r="O2266" s="14"/>
      <c r="P2266" s="14"/>
    </row>
    <row r="2267">
      <c r="A2267" s="14"/>
      <c r="B2267" s="17"/>
      <c r="C2267" s="17"/>
      <c r="D2267" s="17"/>
      <c r="E2267" s="14"/>
      <c r="F2267" s="14"/>
      <c r="G2267" s="14"/>
      <c r="H2267" s="14"/>
      <c r="I2267" s="14"/>
      <c r="J2267" s="14"/>
      <c r="K2267" s="14"/>
      <c r="L2267" s="14"/>
      <c r="M2267" s="15"/>
      <c r="N2267" s="15"/>
      <c r="O2267" s="14"/>
      <c r="P2267" s="14"/>
    </row>
    <row r="2268">
      <c r="A2268" s="14"/>
      <c r="B2268" s="17"/>
      <c r="C2268" s="17"/>
      <c r="D2268" s="17"/>
      <c r="E2268" s="14"/>
      <c r="F2268" s="14"/>
      <c r="G2268" s="14"/>
      <c r="H2268" s="14"/>
      <c r="I2268" s="14"/>
      <c r="J2268" s="14"/>
      <c r="K2268" s="14"/>
      <c r="L2268" s="14"/>
      <c r="M2268" s="15"/>
      <c r="N2268" s="15"/>
      <c r="O2268" s="14"/>
      <c r="P2268" s="14"/>
    </row>
    <row r="2269">
      <c r="A2269" s="14"/>
      <c r="B2269" s="17"/>
      <c r="C2269" s="17"/>
      <c r="D2269" s="17"/>
      <c r="E2269" s="14"/>
      <c r="F2269" s="14"/>
      <c r="G2269" s="14"/>
      <c r="H2269" s="14"/>
      <c r="I2269" s="14"/>
      <c r="J2269" s="14"/>
      <c r="K2269" s="14"/>
      <c r="L2269" s="14"/>
      <c r="M2269" s="15"/>
      <c r="N2269" s="15"/>
      <c r="O2269" s="14"/>
      <c r="P2269" s="14"/>
    </row>
    <row r="2270">
      <c r="A2270" s="14"/>
      <c r="B2270" s="17"/>
      <c r="C2270" s="17"/>
      <c r="D2270" s="17"/>
      <c r="E2270" s="14"/>
      <c r="F2270" s="14"/>
      <c r="G2270" s="14"/>
      <c r="H2270" s="14"/>
      <c r="I2270" s="14"/>
      <c r="J2270" s="14"/>
      <c r="K2270" s="14"/>
      <c r="L2270" s="14"/>
      <c r="M2270" s="15"/>
      <c r="N2270" s="15"/>
      <c r="O2270" s="14"/>
      <c r="P2270" s="14"/>
    </row>
    <row r="2271">
      <c r="A2271" s="14"/>
      <c r="B2271" s="17"/>
      <c r="C2271" s="17"/>
      <c r="D2271" s="17"/>
      <c r="E2271" s="14"/>
      <c r="F2271" s="14"/>
      <c r="G2271" s="14"/>
      <c r="H2271" s="14"/>
      <c r="I2271" s="14"/>
      <c r="J2271" s="14"/>
      <c r="K2271" s="14"/>
      <c r="L2271" s="14"/>
      <c r="M2271" s="15"/>
      <c r="N2271" s="15"/>
      <c r="O2271" s="14"/>
      <c r="P2271" s="14"/>
    </row>
    <row r="2272">
      <c r="A2272" s="14"/>
      <c r="B2272" s="17"/>
      <c r="C2272" s="17"/>
      <c r="D2272" s="17"/>
      <c r="E2272" s="14"/>
      <c r="F2272" s="14"/>
      <c r="G2272" s="14"/>
      <c r="H2272" s="14"/>
      <c r="I2272" s="14"/>
      <c r="J2272" s="14"/>
      <c r="K2272" s="14"/>
      <c r="L2272" s="14"/>
      <c r="M2272" s="15"/>
      <c r="N2272" s="15"/>
      <c r="O2272" s="14"/>
      <c r="P2272" s="14"/>
    </row>
    <row r="2273">
      <c r="A2273" s="14"/>
      <c r="B2273" s="17"/>
      <c r="C2273" s="17"/>
      <c r="D2273" s="17"/>
      <c r="E2273" s="14"/>
      <c r="F2273" s="14"/>
      <c r="G2273" s="14"/>
      <c r="H2273" s="14"/>
      <c r="I2273" s="14"/>
      <c r="J2273" s="14"/>
      <c r="K2273" s="14"/>
      <c r="L2273" s="14"/>
      <c r="M2273" s="15"/>
      <c r="N2273" s="15"/>
      <c r="O2273" s="14"/>
      <c r="P2273" s="14"/>
    </row>
    <row r="2274">
      <c r="A2274" s="14"/>
      <c r="B2274" s="17"/>
      <c r="C2274" s="17"/>
      <c r="D2274" s="17"/>
      <c r="E2274" s="14"/>
      <c r="F2274" s="14"/>
      <c r="G2274" s="14"/>
      <c r="H2274" s="14"/>
      <c r="I2274" s="14"/>
      <c r="J2274" s="14"/>
      <c r="K2274" s="14"/>
      <c r="L2274" s="14"/>
      <c r="M2274" s="15"/>
      <c r="N2274" s="15"/>
      <c r="O2274" s="14"/>
      <c r="P2274" s="14"/>
    </row>
    <row r="2275">
      <c r="A2275" s="14"/>
      <c r="B2275" s="17"/>
      <c r="C2275" s="17"/>
      <c r="D2275" s="17"/>
      <c r="E2275" s="14"/>
      <c r="F2275" s="14"/>
      <c r="G2275" s="14"/>
      <c r="H2275" s="14"/>
      <c r="I2275" s="14"/>
      <c r="J2275" s="14"/>
      <c r="K2275" s="14"/>
      <c r="L2275" s="14"/>
      <c r="M2275" s="15"/>
      <c r="N2275" s="15"/>
      <c r="O2275" s="14"/>
      <c r="P2275" s="14"/>
    </row>
    <row r="2276">
      <c r="A2276" s="14"/>
      <c r="B2276" s="17"/>
      <c r="C2276" s="17"/>
      <c r="D2276" s="17"/>
      <c r="E2276" s="14"/>
      <c r="F2276" s="14"/>
      <c r="G2276" s="14"/>
      <c r="H2276" s="14"/>
      <c r="I2276" s="14"/>
      <c r="J2276" s="14"/>
      <c r="K2276" s="14"/>
      <c r="L2276" s="14"/>
      <c r="M2276" s="15"/>
      <c r="N2276" s="15"/>
      <c r="O2276" s="14"/>
      <c r="P2276" s="14"/>
    </row>
    <row r="2277">
      <c r="A2277" s="14"/>
      <c r="B2277" s="17"/>
      <c r="C2277" s="17"/>
      <c r="D2277" s="17"/>
      <c r="E2277" s="14"/>
      <c r="F2277" s="14"/>
      <c r="G2277" s="14"/>
      <c r="H2277" s="14"/>
      <c r="I2277" s="14"/>
      <c r="J2277" s="14"/>
      <c r="K2277" s="14"/>
      <c r="L2277" s="14"/>
      <c r="M2277" s="15"/>
      <c r="N2277" s="15"/>
      <c r="O2277" s="14"/>
      <c r="P2277" s="14"/>
    </row>
    <row r="2278">
      <c r="A2278" s="14"/>
      <c r="B2278" s="17"/>
      <c r="C2278" s="17"/>
      <c r="D2278" s="17"/>
      <c r="E2278" s="14"/>
      <c r="F2278" s="14"/>
      <c r="G2278" s="14"/>
      <c r="H2278" s="14"/>
      <c r="I2278" s="14"/>
      <c r="J2278" s="14"/>
      <c r="K2278" s="14"/>
      <c r="L2278" s="14"/>
      <c r="M2278" s="15"/>
      <c r="N2278" s="15"/>
      <c r="O2278" s="14"/>
      <c r="P2278" s="14"/>
    </row>
    <row r="2279">
      <c r="A2279" s="14"/>
      <c r="B2279" s="17"/>
      <c r="C2279" s="17"/>
      <c r="D2279" s="17"/>
      <c r="E2279" s="14"/>
      <c r="F2279" s="14"/>
      <c r="G2279" s="14"/>
      <c r="H2279" s="14"/>
      <c r="I2279" s="14"/>
      <c r="J2279" s="14"/>
      <c r="K2279" s="14"/>
      <c r="L2279" s="14"/>
      <c r="M2279" s="15"/>
      <c r="N2279" s="15"/>
      <c r="O2279" s="14"/>
      <c r="P2279" s="14"/>
    </row>
    <row r="2280">
      <c r="A2280" s="14"/>
      <c r="B2280" s="17"/>
      <c r="C2280" s="17"/>
      <c r="D2280" s="17"/>
      <c r="E2280" s="14"/>
      <c r="F2280" s="14"/>
      <c r="G2280" s="14"/>
      <c r="H2280" s="14"/>
      <c r="I2280" s="14"/>
      <c r="J2280" s="14"/>
      <c r="K2280" s="14"/>
      <c r="L2280" s="14"/>
      <c r="M2280" s="15"/>
      <c r="N2280" s="15"/>
      <c r="O2280" s="14"/>
      <c r="P2280" s="14"/>
    </row>
    <row r="2281">
      <c r="A2281" s="14"/>
      <c r="B2281" s="17"/>
      <c r="C2281" s="17"/>
      <c r="D2281" s="17"/>
      <c r="E2281" s="14"/>
      <c r="F2281" s="14"/>
      <c r="G2281" s="14"/>
      <c r="H2281" s="14"/>
      <c r="I2281" s="14"/>
      <c r="J2281" s="14"/>
      <c r="K2281" s="14"/>
      <c r="L2281" s="14"/>
      <c r="M2281" s="15"/>
      <c r="N2281" s="15"/>
      <c r="O2281" s="14"/>
      <c r="P2281" s="14"/>
    </row>
    <row r="2282">
      <c r="A2282" s="14"/>
      <c r="B2282" s="17"/>
      <c r="C2282" s="17"/>
      <c r="D2282" s="17"/>
      <c r="E2282" s="14"/>
      <c r="F2282" s="14"/>
      <c r="G2282" s="14"/>
      <c r="H2282" s="14"/>
      <c r="I2282" s="14"/>
      <c r="J2282" s="14"/>
      <c r="K2282" s="14"/>
      <c r="L2282" s="14"/>
      <c r="M2282" s="15"/>
      <c r="N2282" s="15"/>
      <c r="O2282" s="14"/>
      <c r="P2282" s="14"/>
    </row>
    <row r="2283">
      <c r="A2283" s="14"/>
      <c r="B2283" s="17"/>
      <c r="C2283" s="17"/>
      <c r="D2283" s="17"/>
      <c r="E2283" s="14"/>
      <c r="F2283" s="14"/>
      <c r="G2283" s="14"/>
      <c r="H2283" s="14"/>
      <c r="I2283" s="14"/>
      <c r="J2283" s="14"/>
      <c r="K2283" s="14"/>
      <c r="L2283" s="14"/>
      <c r="M2283" s="15"/>
      <c r="N2283" s="15"/>
      <c r="O2283" s="14"/>
      <c r="P2283" s="14"/>
    </row>
    <row r="2284">
      <c r="A2284" s="14"/>
      <c r="B2284" s="17"/>
      <c r="C2284" s="17"/>
      <c r="D2284" s="17"/>
      <c r="E2284" s="14"/>
      <c r="F2284" s="14"/>
      <c r="G2284" s="14"/>
      <c r="H2284" s="14"/>
      <c r="I2284" s="14"/>
      <c r="J2284" s="14"/>
      <c r="K2284" s="14"/>
      <c r="L2284" s="14"/>
      <c r="M2284" s="15"/>
      <c r="N2284" s="15"/>
      <c r="O2284" s="14"/>
      <c r="P2284" s="14"/>
    </row>
    <row r="2285">
      <c r="A2285" s="14"/>
      <c r="B2285" s="17"/>
      <c r="C2285" s="17"/>
      <c r="D2285" s="17"/>
      <c r="E2285" s="14"/>
      <c r="F2285" s="14"/>
      <c r="G2285" s="14"/>
      <c r="H2285" s="14"/>
      <c r="I2285" s="14"/>
      <c r="J2285" s="14"/>
      <c r="K2285" s="14"/>
      <c r="L2285" s="14"/>
      <c r="M2285" s="15"/>
      <c r="N2285" s="15"/>
      <c r="O2285" s="14"/>
      <c r="P2285" s="14"/>
    </row>
    <row r="2286">
      <c r="A2286" s="14"/>
      <c r="B2286" s="17"/>
      <c r="C2286" s="17"/>
      <c r="D2286" s="17"/>
      <c r="E2286" s="14"/>
      <c r="F2286" s="14"/>
      <c r="G2286" s="14"/>
      <c r="H2286" s="14"/>
      <c r="I2286" s="14"/>
      <c r="J2286" s="14"/>
      <c r="K2286" s="14"/>
      <c r="L2286" s="14"/>
      <c r="M2286" s="15"/>
      <c r="N2286" s="15"/>
      <c r="O2286" s="14"/>
      <c r="P2286" s="14"/>
    </row>
    <row r="2287">
      <c r="A2287" s="14"/>
      <c r="B2287" s="17"/>
      <c r="C2287" s="17"/>
      <c r="D2287" s="17"/>
      <c r="E2287" s="14"/>
      <c r="F2287" s="14"/>
      <c r="G2287" s="14"/>
      <c r="H2287" s="14"/>
      <c r="I2287" s="14"/>
      <c r="J2287" s="14"/>
      <c r="K2287" s="14"/>
      <c r="L2287" s="14"/>
      <c r="M2287" s="15"/>
      <c r="N2287" s="15"/>
      <c r="O2287" s="14"/>
      <c r="P2287" s="14"/>
    </row>
    <row r="2288">
      <c r="A2288" s="14"/>
      <c r="B2288" s="17"/>
      <c r="C2288" s="17"/>
      <c r="D2288" s="17"/>
      <c r="E2288" s="14"/>
      <c r="F2288" s="14"/>
      <c r="G2288" s="14"/>
      <c r="H2288" s="14"/>
      <c r="I2288" s="14"/>
      <c r="J2288" s="14"/>
      <c r="K2288" s="14"/>
      <c r="L2288" s="14"/>
      <c r="M2288" s="15"/>
      <c r="N2288" s="15"/>
      <c r="O2288" s="14"/>
      <c r="P2288" s="14"/>
    </row>
    <row r="2289">
      <c r="A2289" s="14"/>
      <c r="B2289" s="17"/>
      <c r="C2289" s="17"/>
      <c r="D2289" s="17"/>
      <c r="E2289" s="14"/>
      <c r="F2289" s="14"/>
      <c r="G2289" s="14"/>
      <c r="H2289" s="14"/>
      <c r="I2289" s="14"/>
      <c r="J2289" s="14"/>
      <c r="K2289" s="14"/>
      <c r="L2289" s="14"/>
      <c r="M2289" s="15"/>
      <c r="N2289" s="15"/>
      <c r="O2289" s="14"/>
      <c r="P2289" s="14"/>
    </row>
    <row r="2290">
      <c r="A2290" s="14"/>
      <c r="B2290" s="17"/>
      <c r="C2290" s="17"/>
      <c r="D2290" s="17"/>
      <c r="E2290" s="14"/>
      <c r="F2290" s="14"/>
      <c r="G2290" s="14"/>
      <c r="H2290" s="14"/>
      <c r="I2290" s="14"/>
      <c r="J2290" s="14"/>
      <c r="K2290" s="14"/>
      <c r="L2290" s="14"/>
      <c r="M2290" s="15"/>
      <c r="N2290" s="15"/>
      <c r="O2290" s="14"/>
      <c r="P2290" s="14"/>
    </row>
    <row r="2291">
      <c r="A2291" s="14"/>
      <c r="B2291" s="17"/>
      <c r="C2291" s="17"/>
      <c r="D2291" s="17"/>
      <c r="E2291" s="14"/>
      <c r="F2291" s="14"/>
      <c r="G2291" s="14"/>
      <c r="H2291" s="14"/>
      <c r="I2291" s="14"/>
      <c r="J2291" s="14"/>
      <c r="K2291" s="14"/>
      <c r="L2291" s="14"/>
      <c r="M2291" s="15"/>
      <c r="N2291" s="15"/>
      <c r="O2291" s="14"/>
      <c r="P2291" s="14"/>
    </row>
    <row r="2292">
      <c r="A2292" s="14"/>
      <c r="B2292" s="17"/>
      <c r="C2292" s="17"/>
      <c r="D2292" s="17"/>
      <c r="E2292" s="14"/>
      <c r="F2292" s="14"/>
      <c r="G2292" s="14"/>
      <c r="H2292" s="14"/>
      <c r="I2292" s="14"/>
      <c r="J2292" s="14"/>
      <c r="K2292" s="14"/>
      <c r="L2292" s="14"/>
      <c r="M2292" s="15"/>
      <c r="N2292" s="15"/>
      <c r="O2292" s="14"/>
      <c r="P2292" s="14"/>
    </row>
    <row r="2293">
      <c r="A2293" s="14"/>
      <c r="B2293" s="17"/>
      <c r="C2293" s="17"/>
      <c r="D2293" s="17"/>
      <c r="E2293" s="14"/>
      <c r="F2293" s="14"/>
      <c r="G2293" s="14"/>
      <c r="H2293" s="14"/>
      <c r="I2293" s="14"/>
      <c r="J2293" s="14"/>
      <c r="K2293" s="14"/>
      <c r="L2293" s="14"/>
      <c r="M2293" s="15"/>
      <c r="N2293" s="15"/>
      <c r="O2293" s="14"/>
      <c r="P2293" s="14"/>
    </row>
    <row r="2294">
      <c r="A2294" s="14"/>
      <c r="B2294" s="17"/>
      <c r="C2294" s="17"/>
      <c r="D2294" s="17"/>
      <c r="E2294" s="14"/>
      <c r="F2294" s="14"/>
      <c r="G2294" s="14"/>
      <c r="H2294" s="14"/>
      <c r="I2294" s="14"/>
      <c r="J2294" s="14"/>
      <c r="K2294" s="14"/>
      <c r="L2294" s="14"/>
      <c r="M2294" s="15"/>
      <c r="N2294" s="15"/>
      <c r="O2294" s="14"/>
      <c r="P2294" s="14"/>
    </row>
    <row r="2295">
      <c r="A2295" s="14"/>
      <c r="B2295" s="17"/>
      <c r="C2295" s="17"/>
      <c r="D2295" s="17"/>
      <c r="E2295" s="14"/>
      <c r="F2295" s="14"/>
      <c r="G2295" s="14"/>
      <c r="H2295" s="14"/>
      <c r="I2295" s="14"/>
      <c r="J2295" s="14"/>
      <c r="K2295" s="14"/>
      <c r="L2295" s="14"/>
      <c r="M2295" s="15"/>
      <c r="N2295" s="15"/>
      <c r="O2295" s="14"/>
      <c r="P2295" s="14"/>
    </row>
    <row r="2296">
      <c r="A2296" s="14"/>
      <c r="B2296" s="17"/>
      <c r="C2296" s="17"/>
      <c r="D2296" s="17"/>
      <c r="E2296" s="14"/>
      <c r="F2296" s="14"/>
      <c r="G2296" s="14"/>
      <c r="H2296" s="14"/>
      <c r="I2296" s="14"/>
      <c r="J2296" s="14"/>
      <c r="K2296" s="14"/>
      <c r="L2296" s="14"/>
      <c r="M2296" s="15"/>
      <c r="N2296" s="15"/>
      <c r="O2296" s="14"/>
      <c r="P2296" s="14"/>
    </row>
    <row r="2297">
      <c r="A2297" s="14"/>
      <c r="B2297" s="17"/>
      <c r="C2297" s="17"/>
      <c r="D2297" s="17"/>
      <c r="E2297" s="14"/>
      <c r="F2297" s="14"/>
      <c r="G2297" s="14"/>
      <c r="H2297" s="14"/>
      <c r="I2297" s="14"/>
      <c r="J2297" s="14"/>
      <c r="K2297" s="14"/>
      <c r="L2297" s="14"/>
      <c r="M2297" s="15"/>
      <c r="N2297" s="15"/>
      <c r="O2297" s="14"/>
      <c r="P2297" s="14"/>
    </row>
    <row r="2298">
      <c r="A2298" s="14"/>
      <c r="B2298" s="17"/>
      <c r="C2298" s="17"/>
      <c r="D2298" s="17"/>
      <c r="E2298" s="14"/>
      <c r="F2298" s="14"/>
      <c r="G2298" s="14"/>
      <c r="H2298" s="14"/>
      <c r="I2298" s="14"/>
      <c r="J2298" s="14"/>
      <c r="K2298" s="14"/>
      <c r="L2298" s="14"/>
      <c r="M2298" s="15"/>
      <c r="N2298" s="15"/>
      <c r="O2298" s="14"/>
      <c r="P2298" s="14"/>
    </row>
    <row r="2299">
      <c r="A2299" s="14"/>
      <c r="B2299" s="17"/>
      <c r="C2299" s="17"/>
      <c r="D2299" s="17"/>
      <c r="E2299" s="14"/>
      <c r="F2299" s="14"/>
      <c r="G2299" s="14"/>
      <c r="H2299" s="14"/>
      <c r="I2299" s="14"/>
      <c r="J2299" s="14"/>
      <c r="K2299" s="14"/>
      <c r="L2299" s="14"/>
      <c r="M2299" s="15"/>
      <c r="N2299" s="15"/>
      <c r="O2299" s="14"/>
      <c r="P2299" s="14"/>
    </row>
    <row r="2300">
      <c r="A2300" s="14"/>
      <c r="B2300" s="17"/>
      <c r="C2300" s="17"/>
      <c r="D2300" s="17"/>
      <c r="E2300" s="14"/>
      <c r="F2300" s="14"/>
      <c r="G2300" s="14"/>
      <c r="H2300" s="14"/>
      <c r="I2300" s="14"/>
      <c r="J2300" s="14"/>
      <c r="K2300" s="14"/>
      <c r="L2300" s="14"/>
      <c r="M2300" s="15"/>
      <c r="N2300" s="15"/>
      <c r="O2300" s="14"/>
      <c r="P2300" s="14"/>
    </row>
    <row r="2301">
      <c r="A2301" s="14"/>
      <c r="B2301" s="17"/>
      <c r="C2301" s="17"/>
      <c r="D2301" s="17"/>
      <c r="E2301" s="14"/>
      <c r="F2301" s="14"/>
      <c r="G2301" s="14"/>
      <c r="H2301" s="14"/>
      <c r="I2301" s="14"/>
      <c r="J2301" s="14"/>
      <c r="K2301" s="14"/>
      <c r="L2301" s="14"/>
      <c r="M2301" s="15"/>
      <c r="N2301" s="15"/>
      <c r="O2301" s="14"/>
      <c r="P2301" s="14"/>
    </row>
    <row r="2302">
      <c r="A2302" s="14"/>
      <c r="B2302" s="17"/>
      <c r="C2302" s="17"/>
      <c r="D2302" s="17"/>
      <c r="E2302" s="14"/>
      <c r="F2302" s="14"/>
      <c r="G2302" s="14"/>
      <c r="H2302" s="14"/>
      <c r="I2302" s="14"/>
      <c r="J2302" s="14"/>
      <c r="K2302" s="14"/>
      <c r="L2302" s="14"/>
      <c r="M2302" s="15"/>
      <c r="N2302" s="15"/>
      <c r="O2302" s="14"/>
      <c r="P2302" s="14"/>
    </row>
    <row r="2303">
      <c r="A2303" s="14"/>
      <c r="B2303" s="17"/>
      <c r="C2303" s="17"/>
      <c r="D2303" s="17"/>
      <c r="E2303" s="14"/>
      <c r="F2303" s="14"/>
      <c r="G2303" s="14"/>
      <c r="H2303" s="14"/>
      <c r="I2303" s="14"/>
      <c r="J2303" s="14"/>
      <c r="K2303" s="14"/>
      <c r="L2303" s="14"/>
      <c r="M2303" s="15"/>
      <c r="N2303" s="15"/>
      <c r="O2303" s="14"/>
      <c r="P2303" s="14"/>
    </row>
    <row r="2304">
      <c r="A2304" s="14"/>
      <c r="B2304" s="17"/>
      <c r="C2304" s="17"/>
      <c r="D2304" s="17"/>
      <c r="E2304" s="14"/>
      <c r="F2304" s="14"/>
      <c r="G2304" s="14"/>
      <c r="H2304" s="14"/>
      <c r="I2304" s="14"/>
      <c r="J2304" s="14"/>
      <c r="K2304" s="14"/>
      <c r="L2304" s="14"/>
      <c r="M2304" s="15"/>
      <c r="N2304" s="15"/>
      <c r="O2304" s="14"/>
      <c r="P2304" s="14"/>
    </row>
    <row r="2305">
      <c r="A2305" s="14"/>
      <c r="B2305" s="17"/>
      <c r="C2305" s="17"/>
      <c r="D2305" s="17"/>
      <c r="E2305" s="14"/>
      <c r="F2305" s="14"/>
      <c r="G2305" s="14"/>
      <c r="H2305" s="14"/>
      <c r="I2305" s="14"/>
      <c r="J2305" s="14"/>
      <c r="K2305" s="14"/>
      <c r="L2305" s="14"/>
      <c r="M2305" s="15"/>
      <c r="N2305" s="15"/>
      <c r="O2305" s="14"/>
      <c r="P2305" s="14"/>
    </row>
    <row r="2306">
      <c r="A2306" s="14"/>
      <c r="B2306" s="17"/>
      <c r="C2306" s="17"/>
      <c r="D2306" s="17"/>
      <c r="E2306" s="14"/>
      <c r="F2306" s="14"/>
      <c r="G2306" s="14"/>
      <c r="H2306" s="14"/>
      <c r="I2306" s="14"/>
      <c r="J2306" s="14"/>
      <c r="K2306" s="14"/>
      <c r="L2306" s="14"/>
      <c r="M2306" s="15"/>
      <c r="N2306" s="15"/>
      <c r="O2306" s="14"/>
      <c r="P2306" s="14"/>
    </row>
    <row r="2307">
      <c r="A2307" s="14"/>
      <c r="B2307" s="17"/>
      <c r="C2307" s="17"/>
      <c r="D2307" s="17"/>
      <c r="E2307" s="14"/>
      <c r="F2307" s="14"/>
      <c r="G2307" s="14"/>
      <c r="H2307" s="14"/>
      <c r="I2307" s="14"/>
      <c r="J2307" s="14"/>
      <c r="K2307" s="14"/>
      <c r="L2307" s="14"/>
      <c r="M2307" s="15"/>
      <c r="N2307" s="15"/>
      <c r="O2307" s="14"/>
      <c r="P2307" s="14"/>
    </row>
    <row r="2308">
      <c r="A2308" s="14"/>
      <c r="B2308" s="17"/>
      <c r="C2308" s="17"/>
      <c r="D2308" s="17"/>
      <c r="E2308" s="14"/>
      <c r="F2308" s="14"/>
      <c r="G2308" s="14"/>
      <c r="H2308" s="14"/>
      <c r="I2308" s="14"/>
      <c r="J2308" s="14"/>
      <c r="K2308" s="14"/>
      <c r="L2308" s="14"/>
      <c r="M2308" s="15"/>
      <c r="N2308" s="15"/>
      <c r="O2308" s="14"/>
      <c r="P2308" s="14"/>
    </row>
    <row r="2309">
      <c r="A2309" s="14"/>
      <c r="B2309" s="17"/>
      <c r="C2309" s="17"/>
      <c r="D2309" s="17"/>
      <c r="E2309" s="14"/>
      <c r="F2309" s="14"/>
      <c r="G2309" s="14"/>
      <c r="H2309" s="14"/>
      <c r="I2309" s="14"/>
      <c r="J2309" s="14"/>
      <c r="K2309" s="14"/>
      <c r="L2309" s="14"/>
      <c r="M2309" s="15"/>
      <c r="N2309" s="15"/>
      <c r="O2309" s="14"/>
      <c r="P2309" s="14"/>
    </row>
    <row r="2310">
      <c r="A2310" s="14"/>
      <c r="B2310" s="17"/>
      <c r="C2310" s="17"/>
      <c r="D2310" s="17"/>
      <c r="E2310" s="14"/>
      <c r="F2310" s="14"/>
      <c r="G2310" s="14"/>
      <c r="H2310" s="14"/>
      <c r="I2310" s="14"/>
      <c r="J2310" s="14"/>
      <c r="K2310" s="14"/>
      <c r="L2310" s="14"/>
      <c r="M2310" s="15"/>
      <c r="N2310" s="15"/>
      <c r="O2310" s="14"/>
      <c r="P2310" s="14"/>
    </row>
    <row r="2311">
      <c r="A2311" s="14"/>
      <c r="B2311" s="17"/>
      <c r="C2311" s="17"/>
      <c r="D2311" s="17"/>
      <c r="E2311" s="14"/>
      <c r="F2311" s="14"/>
      <c r="G2311" s="14"/>
      <c r="H2311" s="14"/>
      <c r="I2311" s="14"/>
      <c r="J2311" s="14"/>
      <c r="K2311" s="14"/>
      <c r="L2311" s="14"/>
      <c r="M2311" s="15"/>
      <c r="N2311" s="15"/>
      <c r="O2311" s="14"/>
      <c r="P2311" s="14"/>
    </row>
    <row r="2312">
      <c r="A2312" s="14"/>
      <c r="B2312" s="17"/>
      <c r="C2312" s="17"/>
      <c r="D2312" s="17"/>
      <c r="E2312" s="14"/>
      <c r="F2312" s="14"/>
      <c r="G2312" s="14"/>
      <c r="H2312" s="14"/>
      <c r="I2312" s="14"/>
      <c r="J2312" s="14"/>
      <c r="K2312" s="14"/>
      <c r="L2312" s="14"/>
      <c r="M2312" s="15"/>
      <c r="N2312" s="15"/>
      <c r="O2312" s="14"/>
      <c r="P2312" s="14"/>
    </row>
    <row r="2313">
      <c r="A2313" s="14"/>
      <c r="B2313" s="17"/>
      <c r="C2313" s="17"/>
      <c r="D2313" s="17"/>
      <c r="E2313" s="14"/>
      <c r="F2313" s="14"/>
      <c r="G2313" s="14"/>
      <c r="H2313" s="14"/>
      <c r="I2313" s="14"/>
      <c r="J2313" s="14"/>
      <c r="K2313" s="14"/>
      <c r="L2313" s="14"/>
      <c r="M2313" s="15"/>
      <c r="N2313" s="15"/>
      <c r="O2313" s="14"/>
      <c r="P2313" s="14"/>
    </row>
    <row r="2314">
      <c r="A2314" s="14"/>
      <c r="B2314" s="17"/>
      <c r="C2314" s="17"/>
      <c r="D2314" s="17"/>
      <c r="E2314" s="14"/>
      <c r="F2314" s="14"/>
      <c r="G2314" s="14"/>
      <c r="H2314" s="14"/>
      <c r="I2314" s="14"/>
      <c r="J2314" s="14"/>
      <c r="K2314" s="14"/>
      <c r="L2314" s="14"/>
      <c r="M2314" s="15"/>
      <c r="N2314" s="15"/>
      <c r="O2314" s="14"/>
      <c r="P2314" s="14"/>
    </row>
    <row r="2315">
      <c r="A2315" s="14"/>
      <c r="B2315" s="17"/>
      <c r="C2315" s="17"/>
      <c r="D2315" s="17"/>
      <c r="E2315" s="14"/>
      <c r="F2315" s="14"/>
      <c r="G2315" s="14"/>
      <c r="H2315" s="14"/>
      <c r="I2315" s="14"/>
      <c r="J2315" s="14"/>
      <c r="K2315" s="14"/>
      <c r="L2315" s="14"/>
      <c r="M2315" s="15"/>
      <c r="N2315" s="15"/>
      <c r="O2315" s="14"/>
      <c r="P2315" s="14"/>
    </row>
    <row r="2316">
      <c r="A2316" s="14"/>
      <c r="B2316" s="17"/>
      <c r="C2316" s="17"/>
      <c r="D2316" s="17"/>
      <c r="E2316" s="14"/>
      <c r="F2316" s="14"/>
      <c r="G2316" s="14"/>
      <c r="H2316" s="14"/>
      <c r="I2316" s="14"/>
      <c r="J2316" s="14"/>
      <c r="K2316" s="14"/>
      <c r="L2316" s="14"/>
      <c r="M2316" s="15"/>
      <c r="N2316" s="15"/>
      <c r="O2316" s="14"/>
      <c r="P2316" s="14"/>
    </row>
    <row r="2317">
      <c r="A2317" s="14"/>
      <c r="B2317" s="17"/>
      <c r="C2317" s="17"/>
      <c r="D2317" s="17"/>
      <c r="E2317" s="14"/>
      <c r="F2317" s="14"/>
      <c r="G2317" s="14"/>
      <c r="H2317" s="14"/>
      <c r="I2317" s="14"/>
      <c r="J2317" s="14"/>
      <c r="K2317" s="14"/>
      <c r="L2317" s="14"/>
      <c r="M2317" s="15"/>
      <c r="N2317" s="15"/>
      <c r="O2317" s="14"/>
      <c r="P2317" s="14"/>
    </row>
    <row r="2318">
      <c r="A2318" s="14"/>
      <c r="B2318" s="17"/>
      <c r="C2318" s="17"/>
      <c r="D2318" s="17"/>
      <c r="E2318" s="14"/>
      <c r="F2318" s="14"/>
      <c r="G2318" s="14"/>
      <c r="H2318" s="14"/>
      <c r="I2318" s="14"/>
      <c r="J2318" s="14"/>
      <c r="K2318" s="14"/>
      <c r="L2318" s="14"/>
      <c r="M2318" s="15"/>
      <c r="N2318" s="15"/>
      <c r="O2318" s="14"/>
      <c r="P2318" s="14"/>
    </row>
    <row r="2319">
      <c r="A2319" s="14"/>
      <c r="B2319" s="17"/>
      <c r="C2319" s="17"/>
      <c r="D2319" s="17"/>
      <c r="E2319" s="14"/>
      <c r="F2319" s="14"/>
      <c r="G2319" s="14"/>
      <c r="H2319" s="14"/>
      <c r="I2319" s="14"/>
      <c r="J2319" s="14"/>
      <c r="K2319" s="14"/>
      <c r="L2319" s="14"/>
      <c r="M2319" s="15"/>
      <c r="N2319" s="15"/>
      <c r="O2319" s="14"/>
      <c r="P2319" s="14"/>
    </row>
    <row r="2320">
      <c r="A2320" s="14"/>
      <c r="B2320" s="17"/>
      <c r="C2320" s="17"/>
      <c r="D2320" s="17"/>
      <c r="E2320" s="14"/>
      <c r="F2320" s="14"/>
      <c r="G2320" s="14"/>
      <c r="H2320" s="14"/>
      <c r="I2320" s="14"/>
      <c r="J2320" s="14"/>
      <c r="K2320" s="14"/>
      <c r="L2320" s="14"/>
      <c r="M2320" s="15"/>
      <c r="N2320" s="15"/>
      <c r="O2320" s="14"/>
      <c r="P2320" s="14"/>
    </row>
    <row r="2321">
      <c r="A2321" s="14"/>
      <c r="B2321" s="17"/>
      <c r="C2321" s="17"/>
      <c r="D2321" s="17"/>
      <c r="E2321" s="14"/>
      <c r="F2321" s="14"/>
      <c r="G2321" s="14"/>
      <c r="H2321" s="14"/>
      <c r="I2321" s="14"/>
      <c r="J2321" s="14"/>
      <c r="K2321" s="14"/>
      <c r="L2321" s="14"/>
      <c r="M2321" s="15"/>
      <c r="N2321" s="15"/>
      <c r="O2321" s="14"/>
      <c r="P2321" s="14"/>
    </row>
    <row r="2322">
      <c r="A2322" s="14"/>
      <c r="B2322" s="17"/>
      <c r="C2322" s="17"/>
      <c r="D2322" s="17"/>
      <c r="E2322" s="14"/>
      <c r="F2322" s="14"/>
      <c r="G2322" s="14"/>
      <c r="H2322" s="14"/>
      <c r="I2322" s="14"/>
      <c r="J2322" s="14"/>
      <c r="K2322" s="14"/>
      <c r="L2322" s="14"/>
      <c r="M2322" s="15"/>
      <c r="N2322" s="15"/>
      <c r="O2322" s="14"/>
      <c r="P2322" s="14"/>
    </row>
    <row r="2323">
      <c r="A2323" s="14"/>
      <c r="B2323" s="17"/>
      <c r="C2323" s="17"/>
      <c r="D2323" s="17"/>
      <c r="E2323" s="14"/>
      <c r="F2323" s="14"/>
      <c r="G2323" s="14"/>
      <c r="H2323" s="14"/>
      <c r="I2323" s="14"/>
      <c r="J2323" s="14"/>
      <c r="K2323" s="14"/>
      <c r="L2323" s="14"/>
      <c r="M2323" s="15"/>
      <c r="N2323" s="15"/>
      <c r="O2323" s="14"/>
      <c r="P2323" s="14"/>
    </row>
    <row r="2324">
      <c r="A2324" s="14"/>
      <c r="B2324" s="17"/>
      <c r="C2324" s="17"/>
      <c r="D2324" s="17"/>
      <c r="E2324" s="14"/>
      <c r="F2324" s="14"/>
      <c r="G2324" s="14"/>
      <c r="H2324" s="14"/>
      <c r="I2324" s="14"/>
      <c r="J2324" s="14"/>
      <c r="K2324" s="14"/>
      <c r="L2324" s="14"/>
      <c r="M2324" s="15"/>
      <c r="N2324" s="15"/>
      <c r="O2324" s="14"/>
      <c r="P2324" s="14"/>
    </row>
    <row r="2325">
      <c r="A2325" s="14"/>
      <c r="B2325" s="17"/>
      <c r="C2325" s="17"/>
      <c r="D2325" s="17"/>
      <c r="E2325" s="14"/>
      <c r="F2325" s="14"/>
      <c r="G2325" s="14"/>
      <c r="H2325" s="14"/>
      <c r="I2325" s="14"/>
      <c r="J2325" s="14"/>
      <c r="K2325" s="14"/>
      <c r="L2325" s="14"/>
      <c r="M2325" s="15"/>
      <c r="N2325" s="15"/>
      <c r="O2325" s="14"/>
      <c r="P2325" s="14"/>
    </row>
    <row r="2326">
      <c r="A2326" s="14"/>
      <c r="B2326" s="17"/>
      <c r="C2326" s="17"/>
      <c r="D2326" s="17"/>
      <c r="E2326" s="14"/>
      <c r="F2326" s="14"/>
      <c r="G2326" s="14"/>
      <c r="H2326" s="14"/>
      <c r="I2326" s="14"/>
      <c r="J2326" s="14"/>
      <c r="K2326" s="14"/>
      <c r="L2326" s="14"/>
      <c r="M2326" s="15"/>
      <c r="N2326" s="15"/>
      <c r="O2326" s="14"/>
      <c r="P2326" s="14"/>
    </row>
    <row r="2327">
      <c r="A2327" s="14"/>
      <c r="B2327" s="17"/>
      <c r="C2327" s="17"/>
      <c r="D2327" s="17"/>
      <c r="E2327" s="14"/>
      <c r="F2327" s="14"/>
      <c r="G2327" s="14"/>
      <c r="H2327" s="14"/>
      <c r="I2327" s="14"/>
      <c r="J2327" s="14"/>
      <c r="K2327" s="14"/>
      <c r="L2327" s="14"/>
      <c r="M2327" s="15"/>
      <c r="N2327" s="15"/>
      <c r="O2327" s="14"/>
      <c r="P2327" s="14"/>
    </row>
    <row r="2328">
      <c r="A2328" s="14"/>
      <c r="B2328" s="17"/>
      <c r="C2328" s="17"/>
      <c r="D2328" s="17"/>
      <c r="E2328" s="14"/>
      <c r="F2328" s="14"/>
      <c r="G2328" s="14"/>
      <c r="H2328" s="14"/>
      <c r="I2328" s="14"/>
      <c r="J2328" s="14"/>
      <c r="K2328" s="14"/>
      <c r="L2328" s="14"/>
      <c r="M2328" s="15"/>
      <c r="N2328" s="15"/>
      <c r="O2328" s="14"/>
      <c r="P2328" s="14"/>
    </row>
    <row r="2329">
      <c r="A2329" s="14"/>
      <c r="B2329" s="17"/>
      <c r="C2329" s="17"/>
      <c r="D2329" s="17"/>
      <c r="E2329" s="14"/>
      <c r="F2329" s="14"/>
      <c r="G2329" s="14"/>
      <c r="H2329" s="14"/>
      <c r="I2329" s="14"/>
      <c r="J2329" s="14"/>
      <c r="K2329" s="14"/>
      <c r="L2329" s="14"/>
      <c r="M2329" s="15"/>
      <c r="N2329" s="15"/>
      <c r="O2329" s="14"/>
      <c r="P2329" s="14"/>
    </row>
    <row r="2330">
      <c r="A2330" s="14"/>
      <c r="B2330" s="17"/>
      <c r="C2330" s="17"/>
      <c r="D2330" s="17"/>
      <c r="E2330" s="14"/>
      <c r="F2330" s="14"/>
      <c r="G2330" s="14"/>
      <c r="H2330" s="14"/>
      <c r="I2330" s="14"/>
      <c r="J2330" s="14"/>
      <c r="K2330" s="14"/>
      <c r="L2330" s="14"/>
      <c r="M2330" s="15"/>
      <c r="N2330" s="15"/>
      <c r="O2330" s="14"/>
      <c r="P2330" s="14"/>
    </row>
    <row r="2331">
      <c r="A2331" s="14"/>
      <c r="B2331" s="17"/>
      <c r="C2331" s="17"/>
      <c r="D2331" s="17"/>
      <c r="E2331" s="14"/>
      <c r="F2331" s="14"/>
      <c r="G2331" s="14"/>
      <c r="H2331" s="14"/>
      <c r="I2331" s="14"/>
      <c r="J2331" s="14"/>
      <c r="K2331" s="14"/>
      <c r="L2331" s="14"/>
      <c r="M2331" s="15"/>
      <c r="N2331" s="15"/>
      <c r="O2331" s="14"/>
      <c r="P2331" s="14"/>
    </row>
    <row r="2332">
      <c r="A2332" s="14"/>
      <c r="B2332" s="17"/>
      <c r="C2332" s="17"/>
      <c r="D2332" s="17"/>
      <c r="E2332" s="14"/>
      <c r="F2332" s="14"/>
      <c r="G2332" s="14"/>
      <c r="H2332" s="14"/>
      <c r="I2332" s="14"/>
      <c r="J2332" s="14"/>
      <c r="K2332" s="14"/>
      <c r="L2332" s="14"/>
      <c r="M2332" s="15"/>
      <c r="N2332" s="15"/>
      <c r="O2332" s="14"/>
      <c r="P2332" s="14"/>
    </row>
    <row r="2333">
      <c r="A2333" s="14"/>
      <c r="B2333" s="17"/>
      <c r="C2333" s="17"/>
      <c r="D2333" s="17"/>
      <c r="E2333" s="14"/>
      <c r="F2333" s="14"/>
      <c r="G2333" s="14"/>
      <c r="H2333" s="14"/>
      <c r="I2333" s="14"/>
      <c r="J2333" s="14"/>
      <c r="K2333" s="14"/>
      <c r="L2333" s="14"/>
      <c r="M2333" s="15"/>
      <c r="N2333" s="15"/>
      <c r="O2333" s="14"/>
      <c r="P2333" s="14"/>
    </row>
    <row r="2334">
      <c r="A2334" s="14"/>
      <c r="B2334" s="17"/>
      <c r="C2334" s="17"/>
      <c r="D2334" s="17"/>
      <c r="E2334" s="14"/>
      <c r="F2334" s="14"/>
      <c r="G2334" s="14"/>
      <c r="H2334" s="14"/>
      <c r="I2334" s="14"/>
      <c r="J2334" s="14"/>
      <c r="K2334" s="14"/>
      <c r="L2334" s="14"/>
      <c r="M2334" s="15"/>
      <c r="N2334" s="15"/>
      <c r="O2334" s="14"/>
      <c r="P2334" s="14"/>
    </row>
    <row r="2335">
      <c r="A2335" s="14"/>
      <c r="B2335" s="17"/>
      <c r="C2335" s="17"/>
      <c r="D2335" s="17"/>
      <c r="E2335" s="14"/>
      <c r="F2335" s="14"/>
      <c r="G2335" s="14"/>
      <c r="H2335" s="14"/>
      <c r="I2335" s="14"/>
      <c r="J2335" s="14"/>
      <c r="K2335" s="14"/>
      <c r="L2335" s="14"/>
      <c r="M2335" s="15"/>
      <c r="N2335" s="15"/>
      <c r="O2335" s="14"/>
      <c r="P2335" s="14"/>
    </row>
    <row r="2336">
      <c r="A2336" s="14"/>
      <c r="B2336" s="17"/>
      <c r="C2336" s="17"/>
      <c r="D2336" s="17"/>
      <c r="E2336" s="14"/>
      <c r="F2336" s="14"/>
      <c r="G2336" s="14"/>
      <c r="H2336" s="14"/>
      <c r="I2336" s="14"/>
      <c r="J2336" s="14"/>
      <c r="K2336" s="14"/>
      <c r="L2336" s="14"/>
      <c r="M2336" s="15"/>
      <c r="N2336" s="15"/>
      <c r="O2336" s="14"/>
      <c r="P2336" s="14"/>
    </row>
    <row r="2337">
      <c r="A2337" s="14"/>
      <c r="B2337" s="17"/>
      <c r="C2337" s="17"/>
      <c r="D2337" s="17"/>
      <c r="E2337" s="14"/>
      <c r="F2337" s="14"/>
      <c r="G2337" s="14"/>
      <c r="H2337" s="14"/>
      <c r="I2337" s="14"/>
      <c r="J2337" s="14"/>
      <c r="K2337" s="14"/>
      <c r="L2337" s="14"/>
      <c r="M2337" s="15"/>
      <c r="N2337" s="15"/>
      <c r="O2337" s="14"/>
      <c r="P2337" s="14"/>
    </row>
    <row r="2338">
      <c r="A2338" s="14"/>
      <c r="B2338" s="17"/>
      <c r="C2338" s="17"/>
      <c r="D2338" s="17"/>
      <c r="E2338" s="14"/>
      <c r="F2338" s="14"/>
      <c r="G2338" s="14"/>
      <c r="H2338" s="14"/>
      <c r="I2338" s="14"/>
      <c r="J2338" s="14"/>
      <c r="K2338" s="14"/>
      <c r="L2338" s="14"/>
      <c r="M2338" s="15"/>
      <c r="N2338" s="15"/>
      <c r="O2338" s="14"/>
      <c r="P2338" s="14"/>
    </row>
    <row r="2339">
      <c r="A2339" s="14"/>
      <c r="B2339" s="17"/>
      <c r="C2339" s="17"/>
      <c r="D2339" s="17"/>
      <c r="E2339" s="14"/>
      <c r="F2339" s="14"/>
      <c r="G2339" s="14"/>
      <c r="H2339" s="14"/>
      <c r="I2339" s="14"/>
      <c r="J2339" s="14"/>
      <c r="K2339" s="14"/>
      <c r="L2339" s="14"/>
      <c r="M2339" s="15"/>
      <c r="N2339" s="15"/>
      <c r="O2339" s="14"/>
      <c r="P2339" s="14"/>
    </row>
    <row r="2340">
      <c r="A2340" s="14"/>
      <c r="B2340" s="17"/>
      <c r="C2340" s="17"/>
      <c r="D2340" s="17"/>
      <c r="E2340" s="14"/>
      <c r="F2340" s="14"/>
      <c r="G2340" s="14"/>
      <c r="H2340" s="14"/>
      <c r="I2340" s="14"/>
      <c r="J2340" s="14"/>
      <c r="K2340" s="14"/>
      <c r="L2340" s="14"/>
      <c r="M2340" s="15"/>
      <c r="N2340" s="15"/>
      <c r="O2340" s="14"/>
      <c r="P2340" s="14"/>
    </row>
    <row r="2341">
      <c r="A2341" s="14"/>
      <c r="B2341" s="17"/>
      <c r="C2341" s="17"/>
      <c r="D2341" s="17"/>
      <c r="E2341" s="14"/>
      <c r="F2341" s="14"/>
      <c r="G2341" s="14"/>
      <c r="H2341" s="14"/>
      <c r="I2341" s="14"/>
      <c r="J2341" s="14"/>
      <c r="K2341" s="14"/>
      <c r="L2341" s="14"/>
      <c r="M2341" s="15"/>
      <c r="N2341" s="15"/>
      <c r="O2341" s="14"/>
      <c r="P2341" s="14"/>
    </row>
    <row r="2342">
      <c r="A2342" s="14"/>
      <c r="B2342" s="17"/>
      <c r="C2342" s="17"/>
      <c r="D2342" s="17"/>
      <c r="E2342" s="14"/>
      <c r="F2342" s="14"/>
      <c r="G2342" s="14"/>
      <c r="H2342" s="14"/>
      <c r="I2342" s="14"/>
      <c r="J2342" s="14"/>
      <c r="K2342" s="14"/>
      <c r="L2342" s="14"/>
      <c r="M2342" s="15"/>
      <c r="N2342" s="15"/>
      <c r="O2342" s="14"/>
      <c r="P2342" s="14"/>
    </row>
    <row r="2343">
      <c r="A2343" s="14"/>
      <c r="B2343" s="17"/>
      <c r="C2343" s="17"/>
      <c r="D2343" s="17"/>
      <c r="E2343" s="14"/>
      <c r="F2343" s="14"/>
      <c r="G2343" s="14"/>
      <c r="H2343" s="14"/>
      <c r="I2343" s="14"/>
      <c r="J2343" s="14"/>
      <c r="K2343" s="14"/>
      <c r="L2343" s="14"/>
      <c r="M2343" s="15"/>
      <c r="N2343" s="15"/>
      <c r="O2343" s="14"/>
      <c r="P2343" s="14"/>
    </row>
    <row r="2344">
      <c r="A2344" s="14"/>
      <c r="B2344" s="17"/>
      <c r="C2344" s="17"/>
      <c r="D2344" s="17"/>
      <c r="E2344" s="14"/>
      <c r="F2344" s="14"/>
      <c r="G2344" s="14"/>
      <c r="H2344" s="14"/>
      <c r="I2344" s="14"/>
      <c r="J2344" s="14"/>
      <c r="K2344" s="14"/>
      <c r="L2344" s="14"/>
      <c r="M2344" s="15"/>
      <c r="N2344" s="15"/>
      <c r="O2344" s="14"/>
      <c r="P2344" s="14"/>
    </row>
    <row r="2345">
      <c r="A2345" s="14"/>
      <c r="B2345" s="17"/>
      <c r="C2345" s="17"/>
      <c r="D2345" s="17"/>
      <c r="E2345" s="14"/>
      <c r="F2345" s="14"/>
      <c r="G2345" s="14"/>
      <c r="H2345" s="14"/>
      <c r="I2345" s="14"/>
      <c r="J2345" s="14"/>
      <c r="K2345" s="14"/>
      <c r="L2345" s="14"/>
      <c r="M2345" s="15"/>
      <c r="N2345" s="15"/>
      <c r="O2345" s="14"/>
      <c r="P2345" s="14"/>
    </row>
    <row r="2346">
      <c r="A2346" s="14"/>
      <c r="B2346" s="17"/>
      <c r="C2346" s="17"/>
      <c r="D2346" s="17"/>
      <c r="E2346" s="14"/>
      <c r="F2346" s="14"/>
      <c r="G2346" s="14"/>
      <c r="H2346" s="14"/>
      <c r="I2346" s="14"/>
      <c r="J2346" s="14"/>
      <c r="K2346" s="14"/>
      <c r="L2346" s="14"/>
      <c r="M2346" s="15"/>
      <c r="N2346" s="15"/>
      <c r="O2346" s="14"/>
      <c r="P2346" s="14"/>
    </row>
    <row r="2347">
      <c r="A2347" s="14"/>
      <c r="B2347" s="17"/>
      <c r="C2347" s="17"/>
      <c r="D2347" s="17"/>
      <c r="E2347" s="14"/>
      <c r="F2347" s="14"/>
      <c r="G2347" s="14"/>
      <c r="H2347" s="14"/>
      <c r="I2347" s="14"/>
      <c r="J2347" s="14"/>
      <c r="K2347" s="14"/>
      <c r="L2347" s="14"/>
      <c r="M2347" s="15"/>
      <c r="N2347" s="15"/>
      <c r="O2347" s="14"/>
      <c r="P2347" s="14"/>
    </row>
    <row r="2348">
      <c r="A2348" s="14"/>
      <c r="B2348" s="17"/>
      <c r="C2348" s="17"/>
      <c r="D2348" s="17"/>
      <c r="E2348" s="14"/>
      <c r="F2348" s="14"/>
      <c r="G2348" s="14"/>
      <c r="H2348" s="14"/>
      <c r="I2348" s="14"/>
      <c r="J2348" s="14"/>
      <c r="K2348" s="14"/>
      <c r="L2348" s="14"/>
      <c r="M2348" s="15"/>
      <c r="N2348" s="15"/>
      <c r="O2348" s="14"/>
      <c r="P2348" s="14"/>
    </row>
    <row r="2349">
      <c r="A2349" s="14"/>
      <c r="B2349" s="17"/>
      <c r="C2349" s="17"/>
      <c r="D2349" s="17"/>
      <c r="E2349" s="14"/>
      <c r="F2349" s="14"/>
      <c r="G2349" s="14"/>
      <c r="H2349" s="14"/>
      <c r="I2349" s="14"/>
      <c r="J2349" s="14"/>
      <c r="K2349" s="14"/>
      <c r="L2349" s="14"/>
      <c r="M2349" s="15"/>
      <c r="N2349" s="15"/>
      <c r="O2349" s="14"/>
      <c r="P2349" s="14"/>
    </row>
    <row r="2350">
      <c r="A2350" s="14"/>
      <c r="B2350" s="17"/>
      <c r="C2350" s="17"/>
      <c r="D2350" s="17"/>
      <c r="E2350" s="14"/>
      <c r="F2350" s="14"/>
      <c r="G2350" s="14"/>
      <c r="H2350" s="14"/>
      <c r="I2350" s="14"/>
      <c r="J2350" s="14"/>
      <c r="K2350" s="14"/>
      <c r="L2350" s="14"/>
      <c r="M2350" s="15"/>
      <c r="N2350" s="15"/>
      <c r="O2350" s="14"/>
      <c r="P2350" s="14"/>
    </row>
    <row r="2351">
      <c r="A2351" s="14"/>
      <c r="B2351" s="17"/>
      <c r="C2351" s="17"/>
      <c r="D2351" s="17"/>
      <c r="E2351" s="14"/>
      <c r="F2351" s="14"/>
      <c r="G2351" s="14"/>
      <c r="H2351" s="14"/>
      <c r="I2351" s="14"/>
      <c r="J2351" s="14"/>
      <c r="K2351" s="14"/>
      <c r="L2351" s="14"/>
      <c r="M2351" s="15"/>
      <c r="N2351" s="15"/>
      <c r="O2351" s="14"/>
      <c r="P2351" s="14"/>
    </row>
    <row r="2352">
      <c r="A2352" s="14"/>
      <c r="B2352" s="17"/>
      <c r="C2352" s="17"/>
      <c r="D2352" s="17"/>
      <c r="E2352" s="14"/>
      <c r="F2352" s="14"/>
      <c r="G2352" s="14"/>
      <c r="H2352" s="14"/>
      <c r="I2352" s="14"/>
      <c r="J2352" s="14"/>
      <c r="K2352" s="14"/>
      <c r="L2352" s="14"/>
      <c r="M2352" s="15"/>
      <c r="N2352" s="15"/>
      <c r="O2352" s="14"/>
      <c r="P2352" s="14"/>
    </row>
    <row r="2353">
      <c r="A2353" s="14"/>
      <c r="B2353" s="17"/>
      <c r="C2353" s="17"/>
      <c r="D2353" s="17"/>
      <c r="E2353" s="14"/>
      <c r="F2353" s="14"/>
      <c r="G2353" s="14"/>
      <c r="H2353" s="14"/>
      <c r="I2353" s="14"/>
      <c r="J2353" s="14"/>
      <c r="K2353" s="14"/>
      <c r="L2353" s="14"/>
      <c r="M2353" s="15"/>
      <c r="N2353" s="15"/>
      <c r="O2353" s="14"/>
      <c r="P2353" s="14"/>
    </row>
    <row r="2354">
      <c r="A2354" s="14"/>
      <c r="B2354" s="17"/>
      <c r="C2354" s="17"/>
      <c r="D2354" s="17"/>
      <c r="E2354" s="14"/>
      <c r="F2354" s="14"/>
      <c r="G2354" s="14"/>
      <c r="H2354" s="14"/>
      <c r="I2354" s="14"/>
      <c r="J2354" s="14"/>
      <c r="K2354" s="14"/>
      <c r="L2354" s="14"/>
      <c r="M2354" s="15"/>
      <c r="N2354" s="15"/>
      <c r="O2354" s="14"/>
      <c r="P2354" s="14"/>
    </row>
    <row r="2355">
      <c r="A2355" s="14"/>
      <c r="B2355" s="17"/>
      <c r="C2355" s="17"/>
      <c r="D2355" s="17"/>
      <c r="E2355" s="14"/>
      <c r="F2355" s="14"/>
      <c r="G2355" s="14"/>
      <c r="H2355" s="14"/>
      <c r="I2355" s="14"/>
      <c r="J2355" s="14"/>
      <c r="K2355" s="14"/>
      <c r="L2355" s="14"/>
      <c r="M2355" s="15"/>
      <c r="N2355" s="15"/>
      <c r="O2355" s="14"/>
      <c r="P2355" s="14"/>
    </row>
    <row r="2356">
      <c r="A2356" s="14"/>
      <c r="B2356" s="17"/>
      <c r="C2356" s="17"/>
      <c r="D2356" s="17"/>
      <c r="E2356" s="14"/>
      <c r="F2356" s="14"/>
      <c r="G2356" s="14"/>
      <c r="H2356" s="14"/>
      <c r="I2356" s="14"/>
      <c r="J2356" s="14"/>
      <c r="K2356" s="14"/>
      <c r="L2356" s="14"/>
      <c r="M2356" s="15"/>
      <c r="N2356" s="15"/>
      <c r="O2356" s="14"/>
      <c r="P2356" s="14"/>
    </row>
    <row r="2357">
      <c r="A2357" s="14"/>
      <c r="B2357" s="17"/>
      <c r="C2357" s="17"/>
      <c r="D2357" s="17"/>
      <c r="E2357" s="14"/>
      <c r="F2357" s="14"/>
      <c r="G2357" s="14"/>
      <c r="H2357" s="14"/>
      <c r="I2357" s="14"/>
      <c r="J2357" s="14"/>
      <c r="K2357" s="14"/>
      <c r="L2357" s="14"/>
      <c r="M2357" s="15"/>
      <c r="N2357" s="15"/>
      <c r="O2357" s="14"/>
      <c r="P2357" s="14"/>
    </row>
    <row r="2358">
      <c r="A2358" s="14"/>
      <c r="B2358" s="17"/>
      <c r="C2358" s="17"/>
      <c r="D2358" s="17"/>
      <c r="E2358" s="14"/>
      <c r="F2358" s="14"/>
      <c r="G2358" s="14"/>
      <c r="H2358" s="14"/>
      <c r="I2358" s="14"/>
      <c r="J2358" s="14"/>
      <c r="K2358" s="14"/>
      <c r="L2358" s="14"/>
      <c r="M2358" s="15"/>
      <c r="N2358" s="15"/>
      <c r="O2358" s="14"/>
      <c r="P2358" s="14"/>
    </row>
    <row r="2359">
      <c r="A2359" s="14"/>
      <c r="B2359" s="17"/>
      <c r="C2359" s="17"/>
      <c r="D2359" s="17"/>
      <c r="E2359" s="14"/>
      <c r="F2359" s="14"/>
      <c r="G2359" s="14"/>
      <c r="H2359" s="14"/>
      <c r="I2359" s="14"/>
      <c r="J2359" s="14"/>
      <c r="K2359" s="14"/>
      <c r="L2359" s="14"/>
      <c r="M2359" s="15"/>
      <c r="N2359" s="15"/>
      <c r="O2359" s="14"/>
      <c r="P2359" s="14"/>
    </row>
    <row r="2360">
      <c r="A2360" s="14"/>
      <c r="B2360" s="17"/>
      <c r="C2360" s="17"/>
      <c r="D2360" s="17"/>
      <c r="E2360" s="14"/>
      <c r="F2360" s="14"/>
      <c r="G2360" s="14"/>
      <c r="H2360" s="14"/>
      <c r="I2360" s="14"/>
      <c r="J2360" s="14"/>
      <c r="K2360" s="14"/>
      <c r="L2360" s="14"/>
      <c r="M2360" s="15"/>
      <c r="N2360" s="15"/>
      <c r="O2360" s="14"/>
      <c r="P2360" s="14"/>
    </row>
    <row r="2361">
      <c r="A2361" s="14"/>
      <c r="B2361" s="17"/>
      <c r="C2361" s="17"/>
      <c r="D2361" s="17"/>
      <c r="E2361" s="14"/>
      <c r="F2361" s="14"/>
      <c r="G2361" s="14"/>
      <c r="H2361" s="14"/>
      <c r="I2361" s="14"/>
      <c r="J2361" s="14"/>
      <c r="K2361" s="14"/>
      <c r="L2361" s="14"/>
      <c r="M2361" s="15"/>
      <c r="N2361" s="15"/>
      <c r="O2361" s="14"/>
      <c r="P2361" s="14"/>
    </row>
    <row r="2362">
      <c r="A2362" s="14"/>
      <c r="B2362" s="17"/>
      <c r="C2362" s="17"/>
      <c r="D2362" s="17"/>
      <c r="E2362" s="14"/>
      <c r="F2362" s="14"/>
      <c r="G2362" s="14"/>
      <c r="H2362" s="14"/>
      <c r="I2362" s="14"/>
      <c r="J2362" s="14"/>
      <c r="K2362" s="14"/>
      <c r="L2362" s="14"/>
      <c r="M2362" s="15"/>
      <c r="N2362" s="15"/>
      <c r="O2362" s="14"/>
      <c r="P2362" s="14"/>
    </row>
    <row r="2363">
      <c r="A2363" s="14"/>
      <c r="B2363" s="17"/>
      <c r="C2363" s="17"/>
      <c r="D2363" s="17"/>
      <c r="E2363" s="14"/>
      <c r="F2363" s="14"/>
      <c r="G2363" s="14"/>
      <c r="H2363" s="14"/>
      <c r="I2363" s="14"/>
      <c r="J2363" s="14"/>
      <c r="K2363" s="14"/>
      <c r="L2363" s="14"/>
      <c r="M2363" s="15"/>
      <c r="N2363" s="15"/>
      <c r="O2363" s="14"/>
      <c r="P2363" s="14"/>
    </row>
    <row r="2364">
      <c r="A2364" s="14"/>
      <c r="B2364" s="17"/>
      <c r="C2364" s="17"/>
      <c r="D2364" s="17"/>
      <c r="E2364" s="14"/>
      <c r="F2364" s="14"/>
      <c r="G2364" s="14"/>
      <c r="H2364" s="14"/>
      <c r="I2364" s="14"/>
      <c r="J2364" s="14"/>
      <c r="K2364" s="14"/>
      <c r="L2364" s="14"/>
      <c r="M2364" s="15"/>
      <c r="N2364" s="15"/>
      <c r="O2364" s="14"/>
      <c r="P2364" s="14"/>
    </row>
    <row r="2365">
      <c r="A2365" s="14"/>
      <c r="B2365" s="17"/>
      <c r="C2365" s="17"/>
      <c r="D2365" s="17"/>
      <c r="E2365" s="14"/>
      <c r="F2365" s="14"/>
      <c r="G2365" s="14"/>
      <c r="H2365" s="14"/>
      <c r="I2365" s="14"/>
      <c r="J2365" s="14"/>
      <c r="K2365" s="14"/>
      <c r="L2365" s="14"/>
      <c r="M2365" s="15"/>
      <c r="N2365" s="15"/>
      <c r="O2365" s="14"/>
      <c r="P2365" s="14"/>
    </row>
    <row r="2366">
      <c r="A2366" s="14"/>
      <c r="B2366" s="17"/>
      <c r="C2366" s="17"/>
      <c r="D2366" s="17"/>
      <c r="E2366" s="14"/>
      <c r="F2366" s="14"/>
      <c r="G2366" s="14"/>
      <c r="H2366" s="14"/>
      <c r="I2366" s="14"/>
      <c r="J2366" s="14"/>
      <c r="K2366" s="14"/>
      <c r="L2366" s="14"/>
      <c r="M2366" s="15"/>
      <c r="N2366" s="15"/>
      <c r="O2366" s="14"/>
      <c r="P2366" s="14"/>
    </row>
    <row r="2367">
      <c r="A2367" s="14"/>
      <c r="B2367" s="17"/>
      <c r="C2367" s="17"/>
      <c r="D2367" s="17"/>
      <c r="E2367" s="14"/>
      <c r="F2367" s="14"/>
      <c r="G2367" s="14"/>
      <c r="H2367" s="14"/>
      <c r="I2367" s="14"/>
      <c r="J2367" s="14"/>
      <c r="K2367" s="14"/>
      <c r="L2367" s="14"/>
      <c r="M2367" s="15"/>
      <c r="N2367" s="15"/>
      <c r="O2367" s="14"/>
      <c r="P2367" s="14"/>
    </row>
    <row r="2368">
      <c r="A2368" s="14"/>
      <c r="B2368" s="17"/>
      <c r="C2368" s="17"/>
      <c r="D2368" s="17"/>
      <c r="E2368" s="14"/>
      <c r="F2368" s="14"/>
      <c r="G2368" s="14"/>
      <c r="H2368" s="14"/>
      <c r="I2368" s="14"/>
      <c r="J2368" s="14"/>
      <c r="K2368" s="14"/>
      <c r="L2368" s="14"/>
      <c r="M2368" s="15"/>
      <c r="N2368" s="15"/>
      <c r="O2368" s="14"/>
      <c r="P2368" s="14"/>
    </row>
    <row r="2369">
      <c r="A2369" s="14"/>
      <c r="B2369" s="17"/>
      <c r="C2369" s="17"/>
      <c r="D2369" s="17"/>
      <c r="E2369" s="14"/>
      <c r="F2369" s="14"/>
      <c r="G2369" s="14"/>
      <c r="H2369" s="14"/>
      <c r="I2369" s="14"/>
      <c r="J2369" s="14"/>
      <c r="K2369" s="14"/>
      <c r="L2369" s="14"/>
      <c r="M2369" s="15"/>
      <c r="N2369" s="15"/>
      <c r="O2369" s="14"/>
      <c r="P2369" s="14"/>
    </row>
    <row r="2370">
      <c r="A2370" s="14"/>
      <c r="B2370" s="17"/>
      <c r="C2370" s="17"/>
      <c r="D2370" s="17"/>
      <c r="E2370" s="14"/>
      <c r="F2370" s="14"/>
      <c r="G2370" s="14"/>
      <c r="H2370" s="14"/>
      <c r="I2370" s="14"/>
      <c r="J2370" s="14"/>
      <c r="K2370" s="14"/>
      <c r="L2370" s="14"/>
      <c r="M2370" s="15"/>
      <c r="N2370" s="15"/>
      <c r="O2370" s="14"/>
      <c r="P2370" s="14"/>
    </row>
    <row r="2371">
      <c r="A2371" s="14"/>
      <c r="B2371" s="17"/>
      <c r="C2371" s="17"/>
      <c r="D2371" s="17"/>
      <c r="E2371" s="14"/>
      <c r="F2371" s="14"/>
      <c r="G2371" s="14"/>
      <c r="H2371" s="14"/>
      <c r="I2371" s="14"/>
      <c r="J2371" s="14"/>
      <c r="K2371" s="14"/>
      <c r="L2371" s="14"/>
      <c r="M2371" s="15"/>
      <c r="N2371" s="15"/>
      <c r="O2371" s="14"/>
      <c r="P2371" s="14"/>
    </row>
    <row r="2372">
      <c r="A2372" s="14"/>
      <c r="B2372" s="17"/>
      <c r="C2372" s="17"/>
      <c r="D2372" s="17"/>
      <c r="E2372" s="14"/>
      <c r="F2372" s="14"/>
      <c r="G2372" s="14"/>
      <c r="H2372" s="14"/>
      <c r="I2372" s="14"/>
      <c r="J2372" s="14"/>
      <c r="K2372" s="14"/>
      <c r="L2372" s="14"/>
      <c r="M2372" s="15"/>
      <c r="N2372" s="15"/>
      <c r="O2372" s="14"/>
      <c r="P2372" s="14"/>
    </row>
    <row r="2373">
      <c r="A2373" s="14"/>
      <c r="B2373" s="17"/>
      <c r="C2373" s="17"/>
      <c r="D2373" s="17"/>
      <c r="E2373" s="14"/>
      <c r="F2373" s="14"/>
      <c r="G2373" s="14"/>
      <c r="H2373" s="14"/>
      <c r="I2373" s="14"/>
      <c r="J2373" s="14"/>
      <c r="K2373" s="14"/>
      <c r="L2373" s="14"/>
      <c r="M2373" s="15"/>
      <c r="N2373" s="15"/>
      <c r="O2373" s="14"/>
      <c r="P2373" s="14"/>
    </row>
    <row r="2374">
      <c r="A2374" s="14"/>
      <c r="B2374" s="17"/>
      <c r="C2374" s="17"/>
      <c r="D2374" s="17"/>
      <c r="E2374" s="14"/>
      <c r="F2374" s="14"/>
      <c r="G2374" s="14"/>
      <c r="H2374" s="14"/>
      <c r="I2374" s="14"/>
      <c r="J2374" s="14"/>
      <c r="K2374" s="14"/>
      <c r="L2374" s="14"/>
      <c r="M2374" s="15"/>
      <c r="N2374" s="15"/>
      <c r="O2374" s="14"/>
      <c r="P2374" s="14"/>
    </row>
    <row r="2375">
      <c r="A2375" s="14"/>
      <c r="B2375" s="17"/>
      <c r="C2375" s="17"/>
      <c r="D2375" s="17"/>
      <c r="E2375" s="14"/>
      <c r="F2375" s="14"/>
      <c r="G2375" s="14"/>
      <c r="H2375" s="14"/>
      <c r="I2375" s="14"/>
      <c r="J2375" s="14"/>
      <c r="K2375" s="14"/>
      <c r="L2375" s="14"/>
      <c r="M2375" s="15"/>
      <c r="N2375" s="15"/>
      <c r="O2375" s="14"/>
      <c r="P2375" s="14"/>
    </row>
    <row r="2376">
      <c r="A2376" s="14"/>
      <c r="B2376" s="17"/>
      <c r="C2376" s="17"/>
      <c r="D2376" s="17"/>
      <c r="E2376" s="14"/>
      <c r="F2376" s="14"/>
      <c r="G2376" s="14"/>
      <c r="H2376" s="14"/>
      <c r="I2376" s="14"/>
      <c r="J2376" s="14"/>
      <c r="K2376" s="14"/>
      <c r="L2376" s="14"/>
      <c r="M2376" s="15"/>
      <c r="N2376" s="15"/>
      <c r="O2376" s="14"/>
      <c r="P2376" s="14"/>
    </row>
    <row r="2377">
      <c r="A2377" s="14"/>
      <c r="B2377" s="17"/>
      <c r="C2377" s="17"/>
      <c r="D2377" s="17"/>
      <c r="E2377" s="14"/>
      <c r="F2377" s="14"/>
      <c r="G2377" s="14"/>
      <c r="H2377" s="14"/>
      <c r="I2377" s="14"/>
      <c r="J2377" s="14"/>
      <c r="K2377" s="14"/>
      <c r="L2377" s="14"/>
      <c r="M2377" s="15"/>
      <c r="N2377" s="15"/>
      <c r="O2377" s="14"/>
      <c r="P2377" s="14"/>
    </row>
    <row r="2378">
      <c r="A2378" s="14"/>
      <c r="B2378" s="17"/>
      <c r="C2378" s="17"/>
      <c r="D2378" s="17"/>
      <c r="E2378" s="14"/>
      <c r="F2378" s="14"/>
      <c r="G2378" s="14"/>
      <c r="H2378" s="14"/>
      <c r="I2378" s="14"/>
      <c r="J2378" s="14"/>
      <c r="K2378" s="14"/>
      <c r="L2378" s="14"/>
      <c r="M2378" s="15"/>
      <c r="N2378" s="15"/>
      <c r="O2378" s="14"/>
      <c r="P2378" s="14"/>
    </row>
    <row r="2379">
      <c r="A2379" s="14"/>
      <c r="B2379" s="17"/>
      <c r="C2379" s="17"/>
      <c r="D2379" s="17"/>
      <c r="E2379" s="14"/>
      <c r="F2379" s="14"/>
      <c r="G2379" s="14"/>
      <c r="H2379" s="14"/>
      <c r="I2379" s="14"/>
      <c r="J2379" s="14"/>
      <c r="K2379" s="14"/>
      <c r="L2379" s="14"/>
      <c r="M2379" s="15"/>
      <c r="N2379" s="15"/>
      <c r="O2379" s="14"/>
      <c r="P2379" s="14"/>
    </row>
    <row r="2380">
      <c r="A2380" s="14"/>
      <c r="B2380" s="17"/>
      <c r="C2380" s="17"/>
      <c r="D2380" s="17"/>
      <c r="E2380" s="14"/>
      <c r="F2380" s="14"/>
      <c r="G2380" s="14"/>
      <c r="H2380" s="14"/>
      <c r="I2380" s="14"/>
      <c r="J2380" s="14"/>
      <c r="K2380" s="14"/>
      <c r="L2380" s="14"/>
      <c r="M2380" s="15"/>
      <c r="N2380" s="15"/>
      <c r="O2380" s="14"/>
      <c r="P2380" s="14"/>
    </row>
    <row r="2381">
      <c r="A2381" s="14"/>
      <c r="B2381" s="17"/>
      <c r="C2381" s="17"/>
      <c r="D2381" s="17"/>
      <c r="E2381" s="14"/>
      <c r="F2381" s="14"/>
      <c r="G2381" s="14"/>
      <c r="H2381" s="14"/>
      <c r="I2381" s="14"/>
      <c r="J2381" s="14"/>
      <c r="K2381" s="14"/>
      <c r="L2381" s="14"/>
      <c r="M2381" s="15"/>
      <c r="N2381" s="15"/>
      <c r="O2381" s="14"/>
      <c r="P2381" s="14"/>
    </row>
    <row r="2382">
      <c r="A2382" s="14"/>
      <c r="B2382" s="17"/>
      <c r="C2382" s="17"/>
      <c r="D2382" s="17"/>
      <c r="E2382" s="14"/>
      <c r="F2382" s="14"/>
      <c r="G2382" s="14"/>
      <c r="H2382" s="14"/>
      <c r="I2382" s="14"/>
      <c r="J2382" s="14"/>
      <c r="K2382" s="14"/>
      <c r="L2382" s="14"/>
      <c r="M2382" s="15"/>
      <c r="N2382" s="15"/>
      <c r="O2382" s="14"/>
      <c r="P2382" s="14"/>
    </row>
    <row r="2383">
      <c r="A2383" s="14"/>
      <c r="B2383" s="17"/>
      <c r="C2383" s="17"/>
      <c r="D2383" s="17"/>
      <c r="E2383" s="14"/>
      <c r="F2383" s="14"/>
      <c r="G2383" s="14"/>
      <c r="H2383" s="14"/>
      <c r="I2383" s="14"/>
      <c r="J2383" s="14"/>
      <c r="K2383" s="14"/>
      <c r="L2383" s="14"/>
      <c r="M2383" s="15"/>
      <c r="N2383" s="15"/>
      <c r="O2383" s="14"/>
      <c r="P2383" s="14"/>
    </row>
    <row r="2384">
      <c r="A2384" s="14"/>
      <c r="B2384" s="17"/>
      <c r="C2384" s="17"/>
      <c r="D2384" s="17"/>
      <c r="E2384" s="14"/>
      <c r="F2384" s="14"/>
      <c r="G2384" s="14"/>
      <c r="H2384" s="14"/>
      <c r="I2384" s="14"/>
      <c r="J2384" s="14"/>
      <c r="K2384" s="14"/>
      <c r="L2384" s="14"/>
      <c r="M2384" s="15"/>
      <c r="N2384" s="15"/>
      <c r="O2384" s="14"/>
      <c r="P2384" s="14"/>
    </row>
    <row r="2385">
      <c r="A2385" s="14"/>
      <c r="B2385" s="17"/>
      <c r="C2385" s="17"/>
      <c r="D2385" s="17"/>
      <c r="E2385" s="14"/>
      <c r="F2385" s="14"/>
      <c r="G2385" s="14"/>
      <c r="H2385" s="14"/>
      <c r="I2385" s="14"/>
      <c r="J2385" s="14"/>
      <c r="K2385" s="14"/>
      <c r="L2385" s="14"/>
      <c r="M2385" s="15"/>
      <c r="N2385" s="15"/>
      <c r="O2385" s="14"/>
      <c r="P2385" s="14"/>
    </row>
    <row r="2386">
      <c r="A2386" s="14"/>
      <c r="B2386" s="17"/>
      <c r="C2386" s="17"/>
      <c r="D2386" s="17"/>
      <c r="E2386" s="14"/>
      <c r="F2386" s="14"/>
      <c r="G2386" s="14"/>
      <c r="H2386" s="14"/>
      <c r="I2386" s="14"/>
      <c r="J2386" s="14"/>
      <c r="K2386" s="14"/>
      <c r="L2386" s="14"/>
      <c r="M2386" s="15"/>
      <c r="N2386" s="15"/>
      <c r="O2386" s="14"/>
      <c r="P2386" s="14"/>
    </row>
    <row r="2387">
      <c r="A2387" s="14"/>
      <c r="B2387" s="17"/>
      <c r="C2387" s="17"/>
      <c r="D2387" s="17"/>
      <c r="E2387" s="14"/>
      <c r="F2387" s="14"/>
      <c r="G2387" s="14"/>
      <c r="H2387" s="14"/>
      <c r="I2387" s="14"/>
      <c r="J2387" s="14"/>
      <c r="K2387" s="14"/>
      <c r="L2387" s="14"/>
      <c r="M2387" s="15"/>
      <c r="N2387" s="15"/>
      <c r="O2387" s="14"/>
      <c r="P2387" s="14"/>
    </row>
    <row r="2388">
      <c r="A2388" s="14"/>
      <c r="B2388" s="17"/>
      <c r="C2388" s="17"/>
      <c r="D2388" s="17"/>
      <c r="E2388" s="14"/>
      <c r="F2388" s="14"/>
      <c r="G2388" s="14"/>
      <c r="H2388" s="14"/>
      <c r="I2388" s="14"/>
      <c r="J2388" s="14"/>
      <c r="K2388" s="14"/>
      <c r="L2388" s="14"/>
      <c r="M2388" s="15"/>
      <c r="N2388" s="15"/>
      <c r="O2388" s="14"/>
      <c r="P2388" s="14"/>
    </row>
    <row r="2389">
      <c r="A2389" s="14"/>
      <c r="B2389" s="17"/>
      <c r="C2389" s="17"/>
      <c r="D2389" s="17"/>
      <c r="E2389" s="14"/>
      <c r="F2389" s="14"/>
      <c r="G2389" s="14"/>
      <c r="H2389" s="14"/>
      <c r="I2389" s="14"/>
      <c r="J2389" s="14"/>
      <c r="K2389" s="14"/>
      <c r="L2389" s="14"/>
      <c r="M2389" s="15"/>
      <c r="N2389" s="15"/>
      <c r="O2389" s="14"/>
      <c r="P2389" s="14"/>
    </row>
    <row r="2390">
      <c r="A2390" s="14"/>
      <c r="B2390" s="17"/>
      <c r="C2390" s="17"/>
      <c r="D2390" s="17"/>
      <c r="E2390" s="14"/>
      <c r="F2390" s="14"/>
      <c r="G2390" s="14"/>
      <c r="H2390" s="14"/>
      <c r="I2390" s="14"/>
      <c r="J2390" s="14"/>
      <c r="K2390" s="14"/>
      <c r="L2390" s="14"/>
      <c r="M2390" s="15"/>
      <c r="N2390" s="15"/>
      <c r="O2390" s="14"/>
      <c r="P2390" s="14"/>
    </row>
    <row r="2391">
      <c r="A2391" s="14"/>
      <c r="B2391" s="17"/>
      <c r="C2391" s="17"/>
      <c r="D2391" s="17"/>
      <c r="E2391" s="14"/>
      <c r="F2391" s="14"/>
      <c r="G2391" s="14"/>
      <c r="H2391" s="14"/>
      <c r="I2391" s="14"/>
      <c r="J2391" s="14"/>
      <c r="K2391" s="14"/>
      <c r="L2391" s="14"/>
      <c r="M2391" s="15"/>
      <c r="N2391" s="15"/>
      <c r="O2391" s="14"/>
      <c r="P2391" s="14"/>
    </row>
    <row r="2392">
      <c r="A2392" s="14"/>
      <c r="B2392" s="17"/>
      <c r="C2392" s="17"/>
      <c r="D2392" s="17"/>
      <c r="E2392" s="14"/>
      <c r="F2392" s="14"/>
      <c r="G2392" s="14"/>
      <c r="H2392" s="14"/>
      <c r="I2392" s="14"/>
      <c r="J2392" s="14"/>
      <c r="K2392" s="14"/>
      <c r="L2392" s="14"/>
      <c r="M2392" s="15"/>
      <c r="N2392" s="15"/>
      <c r="O2392" s="14"/>
      <c r="P2392" s="14"/>
    </row>
    <row r="2393">
      <c r="A2393" s="14"/>
      <c r="B2393" s="17"/>
      <c r="C2393" s="17"/>
      <c r="D2393" s="17"/>
      <c r="E2393" s="14"/>
      <c r="F2393" s="14"/>
      <c r="G2393" s="14"/>
      <c r="H2393" s="14"/>
      <c r="I2393" s="14"/>
      <c r="J2393" s="14"/>
      <c r="K2393" s="14"/>
      <c r="L2393" s="14"/>
      <c r="M2393" s="15"/>
      <c r="N2393" s="15"/>
      <c r="O2393" s="14"/>
      <c r="P2393" s="14"/>
    </row>
    <row r="2394">
      <c r="A2394" s="14"/>
      <c r="B2394" s="17"/>
      <c r="C2394" s="17"/>
      <c r="D2394" s="17"/>
      <c r="E2394" s="14"/>
      <c r="F2394" s="14"/>
      <c r="G2394" s="14"/>
      <c r="H2394" s="14"/>
      <c r="I2394" s="14"/>
      <c r="J2394" s="14"/>
      <c r="K2394" s="14"/>
      <c r="L2394" s="14"/>
      <c r="M2394" s="15"/>
      <c r="N2394" s="15"/>
      <c r="O2394" s="14"/>
      <c r="P2394" s="14"/>
    </row>
    <row r="2395">
      <c r="A2395" s="14"/>
      <c r="B2395" s="17"/>
      <c r="C2395" s="17"/>
      <c r="D2395" s="17"/>
      <c r="E2395" s="14"/>
      <c r="F2395" s="14"/>
      <c r="G2395" s="14"/>
      <c r="H2395" s="14"/>
      <c r="I2395" s="14"/>
      <c r="J2395" s="14"/>
      <c r="K2395" s="14"/>
      <c r="L2395" s="14"/>
      <c r="M2395" s="15"/>
      <c r="N2395" s="15"/>
      <c r="O2395" s="14"/>
      <c r="P2395" s="14"/>
    </row>
    <row r="2396">
      <c r="A2396" s="14"/>
      <c r="B2396" s="17"/>
      <c r="C2396" s="17"/>
      <c r="D2396" s="17"/>
      <c r="E2396" s="14"/>
      <c r="F2396" s="14"/>
      <c r="G2396" s="14"/>
      <c r="H2396" s="14"/>
      <c r="I2396" s="14"/>
      <c r="J2396" s="14"/>
      <c r="K2396" s="14"/>
      <c r="L2396" s="14"/>
      <c r="M2396" s="15"/>
      <c r="N2396" s="15"/>
      <c r="O2396" s="14"/>
      <c r="P2396" s="14"/>
    </row>
    <row r="2397">
      <c r="A2397" s="14"/>
      <c r="B2397" s="17"/>
      <c r="C2397" s="17"/>
      <c r="D2397" s="17"/>
      <c r="E2397" s="14"/>
      <c r="F2397" s="14"/>
      <c r="G2397" s="14"/>
      <c r="H2397" s="14"/>
      <c r="I2397" s="14"/>
      <c r="J2397" s="14"/>
      <c r="K2397" s="14"/>
      <c r="L2397" s="14"/>
      <c r="M2397" s="15"/>
      <c r="N2397" s="15"/>
      <c r="O2397" s="14"/>
      <c r="P2397" s="14"/>
    </row>
    <row r="2398">
      <c r="A2398" s="14"/>
      <c r="B2398" s="17"/>
      <c r="C2398" s="17"/>
      <c r="D2398" s="17"/>
      <c r="E2398" s="14"/>
      <c r="F2398" s="14"/>
      <c r="G2398" s="14"/>
      <c r="H2398" s="14"/>
      <c r="I2398" s="14"/>
      <c r="J2398" s="14"/>
      <c r="K2398" s="14"/>
      <c r="L2398" s="14"/>
      <c r="M2398" s="15"/>
      <c r="N2398" s="15"/>
      <c r="O2398" s="14"/>
      <c r="P2398" s="14"/>
    </row>
    <row r="2399">
      <c r="A2399" s="14"/>
      <c r="B2399" s="17"/>
      <c r="C2399" s="17"/>
      <c r="D2399" s="17"/>
      <c r="E2399" s="14"/>
      <c r="F2399" s="14"/>
      <c r="G2399" s="14"/>
      <c r="H2399" s="14"/>
      <c r="I2399" s="14"/>
      <c r="J2399" s="14"/>
      <c r="K2399" s="14"/>
      <c r="L2399" s="14"/>
      <c r="M2399" s="15"/>
      <c r="N2399" s="15"/>
      <c r="O2399" s="14"/>
      <c r="P2399" s="14"/>
    </row>
    <row r="2400">
      <c r="A2400" s="14"/>
      <c r="B2400" s="17"/>
      <c r="C2400" s="17"/>
      <c r="D2400" s="17"/>
      <c r="E2400" s="14"/>
      <c r="F2400" s="14"/>
      <c r="G2400" s="14"/>
      <c r="H2400" s="14"/>
      <c r="I2400" s="14"/>
      <c r="J2400" s="14"/>
      <c r="K2400" s="14"/>
      <c r="L2400" s="14"/>
      <c r="M2400" s="15"/>
      <c r="N2400" s="15"/>
      <c r="O2400" s="14"/>
      <c r="P2400" s="14"/>
    </row>
    <row r="2401">
      <c r="A2401" s="14"/>
      <c r="B2401" s="17"/>
      <c r="C2401" s="17"/>
      <c r="D2401" s="17"/>
      <c r="E2401" s="14"/>
      <c r="F2401" s="14"/>
      <c r="G2401" s="14"/>
      <c r="H2401" s="14"/>
      <c r="I2401" s="14"/>
      <c r="J2401" s="14"/>
      <c r="K2401" s="14"/>
      <c r="L2401" s="14"/>
      <c r="M2401" s="15"/>
      <c r="N2401" s="15"/>
      <c r="O2401" s="14"/>
      <c r="P2401" s="14"/>
    </row>
    <row r="2402">
      <c r="A2402" s="14"/>
      <c r="B2402" s="17"/>
      <c r="C2402" s="17"/>
      <c r="D2402" s="17"/>
      <c r="E2402" s="14"/>
      <c r="F2402" s="14"/>
      <c r="G2402" s="14"/>
      <c r="H2402" s="14"/>
      <c r="I2402" s="14"/>
      <c r="J2402" s="14"/>
      <c r="K2402" s="14"/>
      <c r="L2402" s="14"/>
      <c r="M2402" s="15"/>
      <c r="N2402" s="15"/>
      <c r="O2402" s="14"/>
      <c r="P2402" s="14"/>
    </row>
    <row r="2403">
      <c r="A2403" s="14"/>
      <c r="B2403" s="17"/>
      <c r="C2403" s="17"/>
      <c r="D2403" s="17"/>
      <c r="E2403" s="14"/>
      <c r="F2403" s="14"/>
      <c r="G2403" s="14"/>
      <c r="H2403" s="14"/>
      <c r="I2403" s="14"/>
      <c r="J2403" s="14"/>
      <c r="K2403" s="14"/>
      <c r="L2403" s="14"/>
      <c r="M2403" s="15"/>
      <c r="N2403" s="15"/>
      <c r="O2403" s="14"/>
      <c r="P2403" s="14"/>
    </row>
    <row r="2404">
      <c r="A2404" s="14"/>
      <c r="B2404" s="17"/>
      <c r="C2404" s="17"/>
      <c r="D2404" s="17"/>
      <c r="E2404" s="14"/>
      <c r="F2404" s="14"/>
      <c r="G2404" s="14"/>
      <c r="H2404" s="14"/>
      <c r="I2404" s="14"/>
      <c r="J2404" s="14"/>
      <c r="K2404" s="14"/>
      <c r="L2404" s="14"/>
      <c r="M2404" s="15"/>
      <c r="N2404" s="15"/>
      <c r="O2404" s="14"/>
      <c r="P2404" s="14"/>
    </row>
    <row r="2405">
      <c r="A2405" s="14"/>
      <c r="B2405" s="17"/>
      <c r="C2405" s="17"/>
      <c r="D2405" s="17"/>
      <c r="E2405" s="14"/>
      <c r="F2405" s="14"/>
      <c r="G2405" s="14"/>
      <c r="H2405" s="14"/>
      <c r="I2405" s="14"/>
      <c r="J2405" s="14"/>
      <c r="K2405" s="14"/>
      <c r="L2405" s="14"/>
      <c r="M2405" s="15"/>
      <c r="N2405" s="15"/>
      <c r="O2405" s="14"/>
      <c r="P2405" s="14"/>
    </row>
    <row r="2406">
      <c r="A2406" s="14"/>
      <c r="B2406" s="17"/>
      <c r="C2406" s="17"/>
      <c r="D2406" s="17"/>
      <c r="E2406" s="14"/>
      <c r="F2406" s="14"/>
      <c r="G2406" s="14"/>
      <c r="H2406" s="14"/>
      <c r="I2406" s="14"/>
      <c r="J2406" s="14"/>
      <c r="K2406" s="14"/>
      <c r="L2406" s="14"/>
      <c r="M2406" s="15"/>
      <c r="N2406" s="15"/>
      <c r="O2406" s="14"/>
      <c r="P2406" s="14"/>
    </row>
    <row r="2407">
      <c r="A2407" s="14"/>
      <c r="B2407" s="17"/>
      <c r="C2407" s="17"/>
      <c r="D2407" s="17"/>
      <c r="E2407" s="14"/>
      <c r="F2407" s="14"/>
      <c r="G2407" s="14"/>
      <c r="H2407" s="14"/>
      <c r="I2407" s="14"/>
      <c r="J2407" s="14"/>
      <c r="K2407" s="14"/>
      <c r="L2407" s="14"/>
      <c r="M2407" s="15"/>
      <c r="N2407" s="15"/>
      <c r="O2407" s="14"/>
      <c r="P2407" s="14"/>
    </row>
    <row r="2408">
      <c r="A2408" s="14"/>
      <c r="B2408" s="17"/>
      <c r="C2408" s="17"/>
      <c r="D2408" s="17"/>
      <c r="E2408" s="14"/>
      <c r="F2408" s="14"/>
      <c r="G2408" s="14"/>
      <c r="H2408" s="14"/>
      <c r="I2408" s="14"/>
      <c r="J2408" s="14"/>
      <c r="K2408" s="14"/>
      <c r="L2408" s="14"/>
      <c r="M2408" s="15"/>
      <c r="N2408" s="15"/>
      <c r="O2408" s="14"/>
      <c r="P2408" s="14"/>
    </row>
    <row r="2409">
      <c r="A2409" s="14"/>
      <c r="B2409" s="17"/>
      <c r="C2409" s="17"/>
      <c r="D2409" s="17"/>
      <c r="E2409" s="14"/>
      <c r="F2409" s="14"/>
      <c r="G2409" s="14"/>
      <c r="H2409" s="14"/>
      <c r="I2409" s="14"/>
      <c r="J2409" s="14"/>
      <c r="K2409" s="14"/>
      <c r="L2409" s="14"/>
      <c r="M2409" s="15"/>
      <c r="N2409" s="15"/>
      <c r="O2409" s="14"/>
      <c r="P2409" s="14"/>
    </row>
    <row r="2410">
      <c r="A2410" s="14"/>
      <c r="B2410" s="17"/>
      <c r="C2410" s="17"/>
      <c r="D2410" s="17"/>
      <c r="E2410" s="14"/>
      <c r="F2410" s="14"/>
      <c r="G2410" s="14"/>
      <c r="H2410" s="14"/>
      <c r="I2410" s="14"/>
      <c r="J2410" s="14"/>
      <c r="K2410" s="14"/>
      <c r="L2410" s="14"/>
      <c r="M2410" s="15"/>
      <c r="N2410" s="15"/>
      <c r="O2410" s="14"/>
      <c r="P2410" s="14"/>
    </row>
    <row r="2411">
      <c r="A2411" s="14"/>
      <c r="B2411" s="17"/>
      <c r="C2411" s="17"/>
      <c r="D2411" s="17"/>
      <c r="E2411" s="14"/>
      <c r="F2411" s="14"/>
      <c r="G2411" s="14"/>
      <c r="H2411" s="14"/>
      <c r="I2411" s="14"/>
      <c r="J2411" s="14"/>
      <c r="K2411" s="14"/>
      <c r="L2411" s="14"/>
      <c r="M2411" s="15"/>
      <c r="N2411" s="15"/>
      <c r="O2411" s="14"/>
      <c r="P2411" s="14"/>
    </row>
    <row r="2412">
      <c r="A2412" s="14"/>
      <c r="B2412" s="17"/>
      <c r="C2412" s="17"/>
      <c r="D2412" s="17"/>
      <c r="E2412" s="14"/>
      <c r="F2412" s="14"/>
      <c r="G2412" s="14"/>
      <c r="H2412" s="14"/>
      <c r="I2412" s="14"/>
      <c r="J2412" s="14"/>
      <c r="K2412" s="14"/>
      <c r="L2412" s="14"/>
      <c r="M2412" s="15"/>
      <c r="N2412" s="15"/>
      <c r="O2412" s="14"/>
      <c r="P2412" s="14"/>
    </row>
    <row r="2413">
      <c r="A2413" s="14"/>
      <c r="B2413" s="17"/>
      <c r="C2413" s="17"/>
      <c r="D2413" s="17"/>
      <c r="E2413" s="14"/>
      <c r="F2413" s="14"/>
      <c r="G2413" s="14"/>
      <c r="H2413" s="14"/>
      <c r="I2413" s="14"/>
      <c r="J2413" s="14"/>
      <c r="K2413" s="14"/>
      <c r="L2413" s="14"/>
      <c r="M2413" s="15"/>
      <c r="N2413" s="15"/>
      <c r="O2413" s="14"/>
      <c r="P2413" s="14"/>
    </row>
    <row r="2414">
      <c r="A2414" s="14"/>
      <c r="B2414" s="17"/>
      <c r="C2414" s="17"/>
      <c r="D2414" s="17"/>
      <c r="E2414" s="14"/>
      <c r="F2414" s="14"/>
      <c r="G2414" s="14"/>
      <c r="H2414" s="14"/>
      <c r="I2414" s="14"/>
      <c r="J2414" s="14"/>
      <c r="K2414" s="14"/>
      <c r="L2414" s="14"/>
      <c r="M2414" s="15"/>
      <c r="N2414" s="15"/>
      <c r="O2414" s="14"/>
      <c r="P2414" s="14"/>
    </row>
    <row r="2415">
      <c r="A2415" s="14"/>
      <c r="B2415" s="17"/>
      <c r="C2415" s="17"/>
      <c r="D2415" s="17"/>
      <c r="E2415" s="14"/>
      <c r="F2415" s="14"/>
      <c r="G2415" s="14"/>
      <c r="H2415" s="14"/>
      <c r="I2415" s="14"/>
      <c r="J2415" s="14"/>
      <c r="K2415" s="14"/>
      <c r="L2415" s="14"/>
      <c r="M2415" s="15"/>
      <c r="N2415" s="15"/>
      <c r="O2415" s="14"/>
      <c r="P2415" s="14"/>
    </row>
    <row r="2416">
      <c r="A2416" s="14"/>
      <c r="B2416" s="17"/>
      <c r="C2416" s="17"/>
      <c r="D2416" s="17"/>
      <c r="E2416" s="14"/>
      <c r="F2416" s="14"/>
      <c r="G2416" s="14"/>
      <c r="H2416" s="14"/>
      <c r="I2416" s="14"/>
      <c r="J2416" s="14"/>
      <c r="K2416" s="14"/>
      <c r="L2416" s="14"/>
      <c r="M2416" s="15"/>
      <c r="N2416" s="15"/>
      <c r="O2416" s="14"/>
      <c r="P2416" s="14"/>
    </row>
    <row r="2417">
      <c r="A2417" s="14"/>
      <c r="B2417" s="17"/>
      <c r="C2417" s="17"/>
      <c r="D2417" s="17"/>
      <c r="E2417" s="14"/>
      <c r="F2417" s="14"/>
      <c r="G2417" s="14"/>
      <c r="H2417" s="14"/>
      <c r="I2417" s="14"/>
      <c r="J2417" s="14"/>
      <c r="K2417" s="14"/>
      <c r="L2417" s="14"/>
      <c r="M2417" s="15"/>
      <c r="N2417" s="15"/>
      <c r="O2417" s="14"/>
      <c r="P2417" s="14"/>
    </row>
    <row r="2418">
      <c r="A2418" s="14"/>
      <c r="B2418" s="17"/>
      <c r="C2418" s="17"/>
      <c r="D2418" s="17"/>
      <c r="E2418" s="14"/>
      <c r="F2418" s="14"/>
      <c r="G2418" s="14"/>
      <c r="H2418" s="14"/>
      <c r="I2418" s="14"/>
      <c r="J2418" s="14"/>
      <c r="K2418" s="14"/>
      <c r="L2418" s="14"/>
      <c r="M2418" s="15"/>
      <c r="N2418" s="15"/>
      <c r="O2418" s="14"/>
      <c r="P2418" s="14"/>
    </row>
    <row r="2419">
      <c r="A2419" s="14"/>
      <c r="B2419" s="17"/>
      <c r="C2419" s="17"/>
      <c r="D2419" s="17"/>
      <c r="E2419" s="14"/>
      <c r="F2419" s="14"/>
      <c r="G2419" s="14"/>
      <c r="H2419" s="14"/>
      <c r="I2419" s="14"/>
      <c r="J2419" s="14"/>
      <c r="K2419" s="14"/>
      <c r="L2419" s="14"/>
      <c r="M2419" s="15"/>
      <c r="N2419" s="15"/>
      <c r="O2419" s="14"/>
      <c r="P2419" s="14"/>
    </row>
    <row r="2420">
      <c r="A2420" s="14"/>
      <c r="B2420" s="17"/>
      <c r="C2420" s="17"/>
      <c r="D2420" s="17"/>
      <c r="E2420" s="14"/>
      <c r="F2420" s="14"/>
      <c r="G2420" s="14"/>
      <c r="H2420" s="14"/>
      <c r="I2420" s="14"/>
      <c r="J2420" s="14"/>
      <c r="K2420" s="14"/>
      <c r="L2420" s="14"/>
      <c r="M2420" s="15"/>
      <c r="N2420" s="15"/>
      <c r="O2420" s="14"/>
      <c r="P2420" s="14"/>
    </row>
    <row r="2421">
      <c r="A2421" s="14"/>
      <c r="B2421" s="17"/>
      <c r="C2421" s="17"/>
      <c r="D2421" s="17"/>
      <c r="E2421" s="14"/>
      <c r="F2421" s="14"/>
      <c r="G2421" s="14"/>
      <c r="H2421" s="14"/>
      <c r="I2421" s="14"/>
      <c r="J2421" s="14"/>
      <c r="K2421" s="14"/>
      <c r="L2421" s="14"/>
      <c r="M2421" s="15"/>
      <c r="N2421" s="15"/>
      <c r="O2421" s="14"/>
      <c r="P2421" s="14"/>
    </row>
    <row r="2422">
      <c r="A2422" s="14"/>
      <c r="B2422" s="17"/>
      <c r="C2422" s="17"/>
      <c r="D2422" s="17"/>
      <c r="E2422" s="14"/>
      <c r="F2422" s="14"/>
      <c r="G2422" s="14"/>
      <c r="H2422" s="14"/>
      <c r="I2422" s="14"/>
      <c r="J2422" s="14"/>
      <c r="K2422" s="14"/>
      <c r="L2422" s="14"/>
      <c r="M2422" s="15"/>
      <c r="N2422" s="15"/>
      <c r="O2422" s="14"/>
      <c r="P2422" s="14"/>
    </row>
    <row r="2423">
      <c r="A2423" s="14"/>
      <c r="B2423" s="17"/>
      <c r="C2423" s="17"/>
      <c r="D2423" s="17"/>
      <c r="E2423" s="14"/>
      <c r="F2423" s="14"/>
      <c r="G2423" s="14"/>
      <c r="H2423" s="14"/>
      <c r="I2423" s="14"/>
      <c r="J2423" s="14"/>
      <c r="K2423" s="14"/>
      <c r="L2423" s="14"/>
      <c r="M2423" s="15"/>
      <c r="N2423" s="15"/>
      <c r="O2423" s="14"/>
      <c r="P2423" s="14"/>
    </row>
    <row r="2424">
      <c r="A2424" s="14"/>
      <c r="B2424" s="17"/>
      <c r="C2424" s="17"/>
      <c r="D2424" s="17"/>
      <c r="E2424" s="14"/>
      <c r="F2424" s="14"/>
      <c r="G2424" s="14"/>
      <c r="H2424" s="14"/>
      <c r="I2424" s="14"/>
      <c r="J2424" s="14"/>
      <c r="K2424" s="14"/>
      <c r="L2424" s="14"/>
      <c r="M2424" s="15"/>
      <c r="N2424" s="15"/>
      <c r="O2424" s="14"/>
      <c r="P2424" s="14"/>
    </row>
    <row r="2425">
      <c r="A2425" s="14"/>
      <c r="B2425" s="17"/>
      <c r="C2425" s="17"/>
      <c r="D2425" s="17"/>
      <c r="E2425" s="14"/>
      <c r="F2425" s="14"/>
      <c r="G2425" s="14"/>
      <c r="H2425" s="14"/>
      <c r="I2425" s="14"/>
      <c r="J2425" s="14"/>
      <c r="K2425" s="14"/>
      <c r="L2425" s="14"/>
      <c r="M2425" s="15"/>
      <c r="N2425" s="15"/>
      <c r="O2425" s="14"/>
      <c r="P2425" s="14"/>
    </row>
    <row r="2426">
      <c r="A2426" s="14"/>
      <c r="B2426" s="17"/>
      <c r="C2426" s="17"/>
      <c r="D2426" s="17"/>
      <c r="E2426" s="14"/>
      <c r="F2426" s="14"/>
      <c r="G2426" s="14"/>
      <c r="H2426" s="14"/>
      <c r="I2426" s="14"/>
      <c r="J2426" s="14"/>
      <c r="K2426" s="14"/>
      <c r="L2426" s="14"/>
      <c r="M2426" s="15"/>
      <c r="N2426" s="15"/>
      <c r="O2426" s="14"/>
      <c r="P2426" s="14"/>
    </row>
    <row r="2427">
      <c r="A2427" s="14"/>
      <c r="B2427" s="17"/>
      <c r="C2427" s="17"/>
      <c r="D2427" s="17"/>
      <c r="E2427" s="14"/>
      <c r="F2427" s="14"/>
      <c r="G2427" s="14"/>
      <c r="H2427" s="14"/>
      <c r="I2427" s="14"/>
      <c r="J2427" s="14"/>
      <c r="K2427" s="14"/>
      <c r="L2427" s="14"/>
      <c r="M2427" s="15"/>
      <c r="N2427" s="15"/>
      <c r="O2427" s="14"/>
      <c r="P2427" s="14"/>
    </row>
    <row r="2428">
      <c r="A2428" s="14"/>
      <c r="B2428" s="17"/>
      <c r="C2428" s="17"/>
      <c r="D2428" s="17"/>
      <c r="E2428" s="14"/>
      <c r="F2428" s="14"/>
      <c r="G2428" s="14"/>
      <c r="H2428" s="14"/>
      <c r="I2428" s="14"/>
      <c r="J2428" s="14"/>
      <c r="K2428" s="14"/>
      <c r="L2428" s="14"/>
      <c r="M2428" s="15"/>
      <c r="N2428" s="15"/>
      <c r="O2428" s="14"/>
      <c r="P2428" s="14"/>
    </row>
    <row r="2429">
      <c r="A2429" s="14"/>
      <c r="B2429" s="17"/>
      <c r="C2429" s="17"/>
      <c r="D2429" s="17"/>
      <c r="E2429" s="14"/>
      <c r="F2429" s="14"/>
      <c r="G2429" s="14"/>
      <c r="H2429" s="14"/>
      <c r="I2429" s="14"/>
      <c r="J2429" s="14"/>
      <c r="K2429" s="14"/>
      <c r="L2429" s="14"/>
      <c r="M2429" s="15"/>
      <c r="N2429" s="15"/>
      <c r="O2429" s="14"/>
      <c r="P2429" s="14"/>
    </row>
    <row r="2430">
      <c r="A2430" s="14"/>
      <c r="B2430" s="17"/>
      <c r="C2430" s="17"/>
      <c r="D2430" s="17"/>
      <c r="E2430" s="14"/>
      <c r="F2430" s="14"/>
      <c r="G2430" s="14"/>
      <c r="H2430" s="14"/>
      <c r="I2430" s="14"/>
      <c r="J2430" s="14"/>
      <c r="K2430" s="14"/>
      <c r="L2430" s="14"/>
      <c r="M2430" s="15"/>
      <c r="N2430" s="15"/>
      <c r="O2430" s="14"/>
      <c r="P2430" s="14"/>
    </row>
    <row r="2431">
      <c r="A2431" s="14"/>
      <c r="B2431" s="17"/>
      <c r="C2431" s="17"/>
      <c r="D2431" s="17"/>
      <c r="E2431" s="14"/>
      <c r="F2431" s="14"/>
      <c r="G2431" s="14"/>
      <c r="H2431" s="14"/>
      <c r="I2431" s="14"/>
      <c r="J2431" s="14"/>
      <c r="K2431" s="14"/>
      <c r="L2431" s="14"/>
      <c r="M2431" s="15"/>
      <c r="N2431" s="15"/>
      <c r="O2431" s="14"/>
      <c r="P2431" s="14"/>
    </row>
    <row r="2432">
      <c r="A2432" s="14"/>
      <c r="B2432" s="17"/>
      <c r="C2432" s="17"/>
      <c r="D2432" s="17"/>
      <c r="E2432" s="14"/>
      <c r="F2432" s="14"/>
      <c r="G2432" s="14"/>
      <c r="H2432" s="14"/>
      <c r="I2432" s="14"/>
      <c r="J2432" s="14"/>
      <c r="K2432" s="14"/>
      <c r="L2432" s="14"/>
      <c r="M2432" s="15"/>
      <c r="N2432" s="15"/>
      <c r="O2432" s="14"/>
      <c r="P2432" s="14"/>
    </row>
    <row r="2433">
      <c r="A2433" s="14"/>
      <c r="B2433" s="17"/>
      <c r="C2433" s="17"/>
      <c r="D2433" s="17"/>
      <c r="E2433" s="14"/>
      <c r="F2433" s="14"/>
      <c r="G2433" s="14"/>
      <c r="H2433" s="14"/>
      <c r="I2433" s="14"/>
      <c r="J2433" s="14"/>
      <c r="K2433" s="14"/>
      <c r="L2433" s="14"/>
      <c r="M2433" s="15"/>
      <c r="N2433" s="15"/>
      <c r="O2433" s="14"/>
      <c r="P2433" s="14"/>
    </row>
    <row r="2434">
      <c r="A2434" s="14"/>
      <c r="B2434" s="17"/>
      <c r="C2434" s="17"/>
      <c r="D2434" s="17"/>
      <c r="E2434" s="14"/>
      <c r="F2434" s="14"/>
      <c r="G2434" s="14"/>
      <c r="H2434" s="14"/>
      <c r="I2434" s="14"/>
      <c r="J2434" s="14"/>
      <c r="K2434" s="14"/>
      <c r="L2434" s="14"/>
      <c r="M2434" s="15"/>
      <c r="N2434" s="15"/>
      <c r="O2434" s="14"/>
      <c r="P2434" s="14"/>
    </row>
    <row r="2435">
      <c r="A2435" s="14"/>
      <c r="B2435" s="17"/>
      <c r="C2435" s="17"/>
      <c r="D2435" s="17"/>
      <c r="E2435" s="14"/>
      <c r="F2435" s="14"/>
      <c r="G2435" s="14"/>
      <c r="H2435" s="14"/>
      <c r="I2435" s="14"/>
      <c r="J2435" s="14"/>
      <c r="K2435" s="14"/>
      <c r="L2435" s="14"/>
      <c r="M2435" s="15"/>
      <c r="N2435" s="15"/>
      <c r="O2435" s="14"/>
      <c r="P2435" s="14"/>
    </row>
    <row r="2436">
      <c r="A2436" s="14"/>
      <c r="B2436" s="17"/>
      <c r="C2436" s="17"/>
      <c r="D2436" s="17"/>
      <c r="E2436" s="14"/>
      <c r="F2436" s="14"/>
      <c r="G2436" s="14"/>
      <c r="H2436" s="14"/>
      <c r="I2436" s="14"/>
      <c r="J2436" s="14"/>
      <c r="K2436" s="14"/>
      <c r="L2436" s="14"/>
      <c r="M2436" s="15"/>
      <c r="N2436" s="15"/>
      <c r="O2436" s="14"/>
      <c r="P2436" s="14"/>
    </row>
    <row r="2437">
      <c r="A2437" s="14"/>
      <c r="B2437" s="17"/>
      <c r="C2437" s="17"/>
      <c r="D2437" s="17"/>
      <c r="E2437" s="14"/>
      <c r="F2437" s="14"/>
      <c r="G2437" s="14"/>
      <c r="H2437" s="14"/>
      <c r="I2437" s="14"/>
      <c r="J2437" s="14"/>
      <c r="K2437" s="14"/>
      <c r="L2437" s="14"/>
      <c r="M2437" s="15"/>
      <c r="N2437" s="15"/>
      <c r="O2437" s="14"/>
      <c r="P2437" s="14"/>
    </row>
    <row r="2438">
      <c r="A2438" s="14"/>
      <c r="B2438" s="17"/>
      <c r="C2438" s="17"/>
      <c r="D2438" s="17"/>
      <c r="E2438" s="14"/>
      <c r="F2438" s="14"/>
      <c r="G2438" s="14"/>
      <c r="H2438" s="14"/>
      <c r="I2438" s="14"/>
      <c r="J2438" s="14"/>
      <c r="K2438" s="14"/>
      <c r="L2438" s="14"/>
      <c r="M2438" s="15"/>
      <c r="N2438" s="15"/>
      <c r="O2438" s="14"/>
      <c r="P2438" s="14"/>
    </row>
    <row r="2439">
      <c r="A2439" s="14"/>
      <c r="B2439" s="17"/>
      <c r="C2439" s="17"/>
      <c r="D2439" s="17"/>
      <c r="E2439" s="14"/>
      <c r="F2439" s="14"/>
      <c r="G2439" s="14"/>
      <c r="H2439" s="14"/>
      <c r="I2439" s="14"/>
      <c r="J2439" s="14"/>
      <c r="K2439" s="14"/>
      <c r="L2439" s="14"/>
      <c r="M2439" s="15"/>
      <c r="N2439" s="15"/>
      <c r="O2439" s="14"/>
      <c r="P2439" s="14"/>
    </row>
    <row r="2440">
      <c r="A2440" s="14"/>
      <c r="B2440" s="17"/>
      <c r="C2440" s="17"/>
      <c r="D2440" s="17"/>
      <c r="E2440" s="14"/>
      <c r="F2440" s="14"/>
      <c r="G2440" s="14"/>
      <c r="H2440" s="14"/>
      <c r="I2440" s="14"/>
      <c r="J2440" s="14"/>
      <c r="K2440" s="14"/>
      <c r="L2440" s="14"/>
      <c r="M2440" s="15"/>
      <c r="N2440" s="15"/>
      <c r="O2440" s="14"/>
      <c r="P2440" s="14"/>
    </row>
    <row r="2441">
      <c r="A2441" s="14"/>
      <c r="B2441" s="17"/>
      <c r="C2441" s="17"/>
      <c r="D2441" s="17"/>
      <c r="E2441" s="14"/>
      <c r="F2441" s="14"/>
      <c r="G2441" s="14"/>
      <c r="H2441" s="14"/>
      <c r="I2441" s="14"/>
      <c r="J2441" s="14"/>
      <c r="K2441" s="14"/>
      <c r="L2441" s="14"/>
      <c r="M2441" s="15"/>
      <c r="N2441" s="15"/>
      <c r="O2441" s="14"/>
      <c r="P2441" s="14"/>
    </row>
    <row r="2442">
      <c r="A2442" s="14"/>
      <c r="B2442" s="17"/>
      <c r="C2442" s="17"/>
      <c r="D2442" s="17"/>
      <c r="E2442" s="14"/>
      <c r="F2442" s="14"/>
      <c r="G2442" s="14"/>
      <c r="H2442" s="14"/>
      <c r="I2442" s="14"/>
      <c r="J2442" s="14"/>
      <c r="K2442" s="14"/>
      <c r="L2442" s="14"/>
      <c r="M2442" s="15"/>
      <c r="N2442" s="15"/>
      <c r="O2442" s="14"/>
      <c r="P2442" s="14"/>
    </row>
    <row r="2443">
      <c r="A2443" s="14"/>
      <c r="B2443" s="17"/>
      <c r="C2443" s="17"/>
      <c r="D2443" s="17"/>
      <c r="E2443" s="14"/>
      <c r="F2443" s="14"/>
      <c r="G2443" s="14"/>
      <c r="H2443" s="14"/>
      <c r="I2443" s="14"/>
      <c r="J2443" s="14"/>
      <c r="K2443" s="14"/>
      <c r="L2443" s="14"/>
      <c r="M2443" s="15"/>
      <c r="N2443" s="15"/>
      <c r="O2443" s="14"/>
      <c r="P2443" s="14"/>
    </row>
    <row r="2444">
      <c r="A2444" s="14"/>
      <c r="B2444" s="17"/>
      <c r="C2444" s="17"/>
      <c r="D2444" s="17"/>
      <c r="E2444" s="14"/>
      <c r="F2444" s="14"/>
      <c r="G2444" s="14"/>
      <c r="H2444" s="14"/>
      <c r="I2444" s="14"/>
      <c r="J2444" s="14"/>
      <c r="K2444" s="14"/>
      <c r="L2444" s="14"/>
      <c r="M2444" s="15"/>
      <c r="N2444" s="15"/>
      <c r="O2444" s="14"/>
      <c r="P2444" s="14"/>
    </row>
    <row r="2445">
      <c r="A2445" s="14"/>
      <c r="B2445" s="17"/>
      <c r="C2445" s="17"/>
      <c r="D2445" s="17"/>
      <c r="E2445" s="14"/>
      <c r="F2445" s="14"/>
      <c r="G2445" s="14"/>
      <c r="H2445" s="14"/>
      <c r="I2445" s="14"/>
      <c r="J2445" s="14"/>
      <c r="K2445" s="14"/>
      <c r="L2445" s="14"/>
      <c r="M2445" s="15"/>
      <c r="N2445" s="15"/>
      <c r="O2445" s="14"/>
      <c r="P2445" s="14"/>
    </row>
    <row r="2446">
      <c r="A2446" s="14"/>
      <c r="B2446" s="17"/>
      <c r="C2446" s="17"/>
      <c r="D2446" s="17"/>
      <c r="E2446" s="14"/>
      <c r="F2446" s="14"/>
      <c r="G2446" s="14"/>
      <c r="H2446" s="14"/>
      <c r="I2446" s="14"/>
      <c r="J2446" s="14"/>
      <c r="K2446" s="14"/>
      <c r="L2446" s="14"/>
      <c r="M2446" s="15"/>
      <c r="N2446" s="15"/>
      <c r="O2446" s="14"/>
      <c r="P2446" s="14"/>
    </row>
    <row r="2447">
      <c r="A2447" s="14"/>
      <c r="B2447" s="17"/>
      <c r="C2447" s="17"/>
      <c r="D2447" s="17"/>
      <c r="E2447" s="14"/>
      <c r="F2447" s="14"/>
      <c r="G2447" s="14"/>
      <c r="H2447" s="14"/>
      <c r="I2447" s="14"/>
      <c r="J2447" s="14"/>
      <c r="K2447" s="14"/>
      <c r="L2447" s="14"/>
      <c r="M2447" s="15"/>
      <c r="N2447" s="15"/>
      <c r="O2447" s="14"/>
      <c r="P2447" s="14"/>
    </row>
    <row r="2448">
      <c r="A2448" s="14"/>
      <c r="B2448" s="17"/>
      <c r="C2448" s="17"/>
      <c r="D2448" s="17"/>
      <c r="E2448" s="14"/>
      <c r="F2448" s="14"/>
      <c r="G2448" s="14"/>
      <c r="H2448" s="14"/>
      <c r="I2448" s="14"/>
      <c r="J2448" s="14"/>
      <c r="K2448" s="14"/>
      <c r="L2448" s="14"/>
      <c r="M2448" s="15"/>
      <c r="N2448" s="15"/>
      <c r="O2448" s="14"/>
      <c r="P2448" s="14"/>
    </row>
    <row r="2449">
      <c r="A2449" s="14"/>
      <c r="B2449" s="17"/>
      <c r="C2449" s="17"/>
      <c r="D2449" s="17"/>
      <c r="E2449" s="14"/>
      <c r="F2449" s="14"/>
      <c r="G2449" s="14"/>
      <c r="H2449" s="14"/>
      <c r="I2449" s="14"/>
      <c r="J2449" s="14"/>
      <c r="K2449" s="14"/>
      <c r="L2449" s="14"/>
      <c r="M2449" s="15"/>
      <c r="N2449" s="15"/>
      <c r="O2449" s="14"/>
      <c r="P2449" s="14"/>
    </row>
    <row r="2450">
      <c r="A2450" s="14"/>
      <c r="B2450" s="17"/>
      <c r="C2450" s="17"/>
      <c r="D2450" s="17"/>
      <c r="E2450" s="14"/>
      <c r="F2450" s="14"/>
      <c r="G2450" s="14"/>
      <c r="H2450" s="14"/>
      <c r="I2450" s="14"/>
      <c r="J2450" s="14"/>
      <c r="K2450" s="14"/>
      <c r="L2450" s="14"/>
      <c r="M2450" s="15"/>
      <c r="N2450" s="15"/>
      <c r="O2450" s="14"/>
      <c r="P2450" s="14"/>
    </row>
    <row r="2451">
      <c r="A2451" s="14"/>
      <c r="B2451" s="17"/>
      <c r="C2451" s="17"/>
      <c r="D2451" s="17"/>
      <c r="E2451" s="14"/>
      <c r="F2451" s="14"/>
      <c r="G2451" s="14"/>
      <c r="H2451" s="14"/>
      <c r="I2451" s="14"/>
      <c r="J2451" s="14"/>
      <c r="K2451" s="14"/>
      <c r="L2451" s="14"/>
      <c r="M2451" s="15"/>
      <c r="N2451" s="15"/>
      <c r="O2451" s="14"/>
      <c r="P2451" s="14"/>
    </row>
    <row r="2452">
      <c r="A2452" s="14"/>
      <c r="B2452" s="17"/>
      <c r="C2452" s="17"/>
      <c r="D2452" s="17"/>
      <c r="E2452" s="14"/>
      <c r="F2452" s="14"/>
      <c r="G2452" s="14"/>
      <c r="H2452" s="14"/>
      <c r="I2452" s="14"/>
      <c r="J2452" s="14"/>
      <c r="K2452" s="14"/>
      <c r="L2452" s="14"/>
      <c r="M2452" s="15"/>
      <c r="N2452" s="15"/>
      <c r="O2452" s="14"/>
      <c r="P2452" s="14"/>
    </row>
    <row r="2453">
      <c r="A2453" s="14"/>
      <c r="B2453" s="17"/>
      <c r="C2453" s="17"/>
      <c r="D2453" s="17"/>
      <c r="E2453" s="14"/>
      <c r="F2453" s="14"/>
      <c r="G2453" s="14"/>
      <c r="H2453" s="14"/>
      <c r="I2453" s="14"/>
      <c r="J2453" s="14"/>
      <c r="K2453" s="14"/>
      <c r="L2453" s="14"/>
      <c r="M2453" s="15"/>
      <c r="N2453" s="15"/>
      <c r="O2453" s="14"/>
      <c r="P2453" s="14"/>
    </row>
    <row r="2454">
      <c r="A2454" s="14"/>
      <c r="B2454" s="17"/>
      <c r="C2454" s="17"/>
      <c r="D2454" s="17"/>
      <c r="E2454" s="14"/>
      <c r="F2454" s="14"/>
      <c r="G2454" s="14"/>
      <c r="H2454" s="14"/>
      <c r="I2454" s="14"/>
      <c r="J2454" s="14"/>
      <c r="K2454" s="14"/>
      <c r="L2454" s="14"/>
      <c r="M2454" s="15"/>
      <c r="N2454" s="15"/>
      <c r="O2454" s="14"/>
      <c r="P2454" s="14"/>
    </row>
    <row r="2455">
      <c r="A2455" s="14"/>
      <c r="B2455" s="17"/>
      <c r="C2455" s="17"/>
      <c r="D2455" s="17"/>
      <c r="E2455" s="14"/>
      <c r="F2455" s="14"/>
      <c r="G2455" s="14"/>
      <c r="H2455" s="14"/>
      <c r="I2455" s="14"/>
      <c r="J2455" s="14"/>
      <c r="K2455" s="14"/>
      <c r="L2455" s="14"/>
      <c r="M2455" s="15"/>
      <c r="N2455" s="15"/>
      <c r="O2455" s="14"/>
      <c r="P2455" s="14"/>
    </row>
    <row r="2456">
      <c r="A2456" s="14"/>
      <c r="B2456" s="17"/>
      <c r="C2456" s="17"/>
      <c r="D2456" s="17"/>
      <c r="E2456" s="14"/>
      <c r="F2456" s="14"/>
      <c r="G2456" s="14"/>
      <c r="H2456" s="14"/>
      <c r="I2456" s="14"/>
      <c r="J2456" s="14"/>
      <c r="K2456" s="14"/>
      <c r="L2456" s="14"/>
      <c r="M2456" s="15"/>
      <c r="N2456" s="15"/>
      <c r="O2456" s="14"/>
      <c r="P2456" s="14"/>
    </row>
    <row r="2457">
      <c r="A2457" s="14"/>
      <c r="B2457" s="17"/>
      <c r="C2457" s="17"/>
      <c r="D2457" s="17"/>
      <c r="E2457" s="14"/>
      <c r="F2457" s="14"/>
      <c r="G2457" s="14"/>
      <c r="H2457" s="14"/>
      <c r="I2457" s="14"/>
      <c r="J2457" s="14"/>
      <c r="K2457" s="14"/>
      <c r="L2457" s="14"/>
      <c r="M2457" s="15"/>
      <c r="N2457" s="15"/>
      <c r="O2457" s="14"/>
      <c r="P2457" s="14"/>
    </row>
    <row r="2458">
      <c r="A2458" s="14"/>
      <c r="B2458" s="17"/>
      <c r="C2458" s="17"/>
      <c r="D2458" s="17"/>
      <c r="E2458" s="14"/>
      <c r="F2458" s="14"/>
      <c r="G2458" s="14"/>
      <c r="H2458" s="14"/>
      <c r="I2458" s="14"/>
      <c r="J2458" s="14"/>
      <c r="K2458" s="14"/>
      <c r="L2458" s="14"/>
      <c r="M2458" s="15"/>
      <c r="N2458" s="15"/>
      <c r="O2458" s="14"/>
      <c r="P2458" s="14"/>
    </row>
    <row r="2459">
      <c r="A2459" s="14"/>
      <c r="B2459" s="17"/>
      <c r="C2459" s="17"/>
      <c r="D2459" s="17"/>
      <c r="E2459" s="14"/>
      <c r="F2459" s="14"/>
      <c r="G2459" s="14"/>
      <c r="H2459" s="14"/>
      <c r="I2459" s="14"/>
      <c r="J2459" s="14"/>
      <c r="K2459" s="14"/>
      <c r="L2459" s="14"/>
      <c r="M2459" s="15"/>
      <c r="N2459" s="15"/>
      <c r="O2459" s="14"/>
      <c r="P2459" s="14"/>
    </row>
    <row r="2460">
      <c r="A2460" s="14"/>
      <c r="B2460" s="17"/>
      <c r="C2460" s="17"/>
      <c r="D2460" s="17"/>
      <c r="E2460" s="14"/>
      <c r="F2460" s="14"/>
      <c r="G2460" s="14"/>
      <c r="H2460" s="14"/>
      <c r="I2460" s="14"/>
      <c r="J2460" s="14"/>
      <c r="K2460" s="14"/>
      <c r="L2460" s="14"/>
      <c r="M2460" s="15"/>
      <c r="N2460" s="15"/>
      <c r="O2460" s="14"/>
      <c r="P2460" s="14"/>
    </row>
    <row r="2461">
      <c r="A2461" s="14"/>
      <c r="B2461" s="17"/>
      <c r="C2461" s="17"/>
      <c r="D2461" s="17"/>
      <c r="E2461" s="14"/>
      <c r="F2461" s="14"/>
      <c r="G2461" s="14"/>
      <c r="H2461" s="14"/>
      <c r="I2461" s="14"/>
      <c r="J2461" s="14"/>
      <c r="K2461" s="14"/>
      <c r="L2461" s="14"/>
      <c r="M2461" s="15"/>
      <c r="N2461" s="15"/>
      <c r="O2461" s="14"/>
      <c r="P2461" s="14"/>
    </row>
    <row r="2462">
      <c r="A2462" s="14"/>
      <c r="B2462" s="17"/>
      <c r="C2462" s="17"/>
      <c r="D2462" s="17"/>
      <c r="E2462" s="14"/>
      <c r="F2462" s="14"/>
      <c r="G2462" s="14"/>
      <c r="H2462" s="14"/>
      <c r="I2462" s="14"/>
      <c r="J2462" s="14"/>
      <c r="K2462" s="14"/>
      <c r="L2462" s="14"/>
      <c r="M2462" s="15"/>
      <c r="N2462" s="15"/>
      <c r="O2462" s="14"/>
      <c r="P2462" s="14"/>
    </row>
    <row r="2463">
      <c r="A2463" s="14"/>
      <c r="B2463" s="17"/>
      <c r="C2463" s="17"/>
      <c r="D2463" s="17"/>
      <c r="E2463" s="14"/>
      <c r="F2463" s="14"/>
      <c r="G2463" s="14"/>
      <c r="H2463" s="14"/>
      <c r="I2463" s="14"/>
      <c r="J2463" s="14"/>
      <c r="K2463" s="14"/>
      <c r="L2463" s="14"/>
      <c r="M2463" s="15"/>
      <c r="N2463" s="15"/>
      <c r="O2463" s="14"/>
      <c r="P2463" s="14"/>
    </row>
    <row r="2464">
      <c r="A2464" s="14"/>
      <c r="B2464" s="17"/>
      <c r="C2464" s="17"/>
      <c r="D2464" s="17"/>
      <c r="E2464" s="14"/>
      <c r="F2464" s="14"/>
      <c r="G2464" s="14"/>
      <c r="H2464" s="14"/>
      <c r="I2464" s="14"/>
      <c r="J2464" s="14"/>
      <c r="K2464" s="14"/>
      <c r="L2464" s="14"/>
      <c r="M2464" s="15"/>
      <c r="N2464" s="15"/>
      <c r="O2464" s="14"/>
      <c r="P2464" s="14"/>
    </row>
    <row r="2465">
      <c r="A2465" s="14"/>
      <c r="B2465" s="17"/>
      <c r="C2465" s="17"/>
      <c r="D2465" s="17"/>
      <c r="E2465" s="14"/>
      <c r="F2465" s="14"/>
      <c r="G2465" s="14"/>
      <c r="H2465" s="14"/>
      <c r="I2465" s="14"/>
      <c r="J2465" s="14"/>
      <c r="K2465" s="14"/>
      <c r="L2465" s="14"/>
      <c r="M2465" s="15"/>
      <c r="N2465" s="15"/>
      <c r="O2465" s="14"/>
      <c r="P2465" s="14"/>
    </row>
    <row r="2466">
      <c r="A2466" s="14"/>
      <c r="B2466" s="17"/>
      <c r="C2466" s="17"/>
      <c r="D2466" s="17"/>
      <c r="E2466" s="14"/>
      <c r="F2466" s="14"/>
      <c r="G2466" s="14"/>
      <c r="H2466" s="14"/>
      <c r="I2466" s="14"/>
      <c r="J2466" s="14"/>
      <c r="K2466" s="14"/>
      <c r="L2466" s="14"/>
      <c r="M2466" s="15"/>
      <c r="N2466" s="15"/>
      <c r="O2466" s="14"/>
      <c r="P2466" s="14"/>
    </row>
    <row r="2467">
      <c r="A2467" s="14"/>
      <c r="B2467" s="17"/>
      <c r="C2467" s="17"/>
      <c r="D2467" s="17"/>
      <c r="E2467" s="14"/>
      <c r="F2467" s="14"/>
      <c r="G2467" s="14"/>
      <c r="H2467" s="14"/>
      <c r="I2467" s="14"/>
      <c r="J2467" s="14"/>
      <c r="K2467" s="14"/>
      <c r="L2467" s="14"/>
      <c r="M2467" s="15"/>
      <c r="N2467" s="15"/>
      <c r="O2467" s="14"/>
      <c r="P2467" s="14"/>
    </row>
    <row r="2468">
      <c r="A2468" s="14"/>
      <c r="B2468" s="17"/>
      <c r="C2468" s="17"/>
      <c r="D2468" s="17"/>
      <c r="E2468" s="14"/>
      <c r="F2468" s="14"/>
      <c r="G2468" s="14"/>
      <c r="H2468" s="14"/>
      <c r="I2468" s="14"/>
      <c r="J2468" s="14"/>
      <c r="K2468" s="14"/>
      <c r="L2468" s="14"/>
      <c r="M2468" s="15"/>
      <c r="N2468" s="15"/>
      <c r="O2468" s="14"/>
      <c r="P2468" s="14"/>
    </row>
    <row r="2469">
      <c r="A2469" s="14"/>
      <c r="B2469" s="17"/>
      <c r="C2469" s="17"/>
      <c r="D2469" s="17"/>
      <c r="E2469" s="14"/>
      <c r="F2469" s="14"/>
      <c r="G2469" s="14"/>
      <c r="H2469" s="14"/>
      <c r="I2469" s="14"/>
      <c r="J2469" s="14"/>
      <c r="K2469" s="14"/>
      <c r="L2469" s="14"/>
      <c r="M2469" s="15"/>
      <c r="N2469" s="15"/>
      <c r="O2469" s="14"/>
      <c r="P2469" s="14"/>
    </row>
    <row r="2470">
      <c r="A2470" s="14"/>
      <c r="B2470" s="17"/>
      <c r="C2470" s="17"/>
      <c r="D2470" s="17"/>
      <c r="E2470" s="14"/>
      <c r="F2470" s="14"/>
      <c r="G2470" s="14"/>
      <c r="H2470" s="14"/>
      <c r="I2470" s="14"/>
      <c r="J2470" s="14"/>
      <c r="K2470" s="14"/>
      <c r="L2470" s="14"/>
      <c r="M2470" s="15"/>
      <c r="N2470" s="15"/>
      <c r="O2470" s="14"/>
      <c r="P2470" s="14"/>
    </row>
    <row r="2471">
      <c r="A2471" s="14"/>
      <c r="B2471" s="17"/>
      <c r="C2471" s="17"/>
      <c r="D2471" s="17"/>
      <c r="E2471" s="14"/>
      <c r="F2471" s="14"/>
      <c r="G2471" s="14"/>
      <c r="H2471" s="14"/>
      <c r="I2471" s="14"/>
      <c r="J2471" s="14"/>
      <c r="K2471" s="14"/>
      <c r="L2471" s="14"/>
      <c r="M2471" s="15"/>
      <c r="N2471" s="15"/>
      <c r="O2471" s="14"/>
      <c r="P2471" s="14"/>
    </row>
    <row r="2472">
      <c r="A2472" s="14"/>
      <c r="B2472" s="17"/>
      <c r="C2472" s="17"/>
      <c r="D2472" s="17"/>
      <c r="E2472" s="14"/>
      <c r="F2472" s="14"/>
      <c r="G2472" s="14"/>
      <c r="H2472" s="14"/>
      <c r="I2472" s="14"/>
      <c r="J2472" s="14"/>
      <c r="K2472" s="14"/>
      <c r="L2472" s="14"/>
      <c r="M2472" s="15"/>
      <c r="N2472" s="15"/>
      <c r="O2472" s="14"/>
      <c r="P2472" s="14"/>
    </row>
    <row r="2473">
      <c r="A2473" s="14"/>
      <c r="B2473" s="17"/>
      <c r="C2473" s="17"/>
      <c r="D2473" s="17"/>
      <c r="E2473" s="14"/>
      <c r="F2473" s="14"/>
      <c r="G2473" s="14"/>
      <c r="H2473" s="14"/>
      <c r="I2473" s="14"/>
      <c r="J2473" s="14"/>
      <c r="K2473" s="14"/>
      <c r="L2473" s="14"/>
      <c r="M2473" s="15"/>
      <c r="N2473" s="15"/>
      <c r="O2473" s="14"/>
      <c r="P2473" s="14"/>
    </row>
    <row r="2474">
      <c r="A2474" s="14"/>
      <c r="B2474" s="17"/>
      <c r="C2474" s="17"/>
      <c r="D2474" s="17"/>
      <c r="E2474" s="14"/>
      <c r="F2474" s="14"/>
      <c r="G2474" s="14"/>
      <c r="H2474" s="14"/>
      <c r="I2474" s="14"/>
      <c r="J2474" s="14"/>
      <c r="K2474" s="14"/>
      <c r="L2474" s="14"/>
      <c r="M2474" s="15"/>
      <c r="N2474" s="15"/>
      <c r="O2474" s="14"/>
      <c r="P2474" s="14"/>
    </row>
    <row r="2475">
      <c r="A2475" s="14"/>
      <c r="B2475" s="17"/>
      <c r="C2475" s="17"/>
      <c r="D2475" s="17"/>
      <c r="E2475" s="14"/>
      <c r="F2475" s="14"/>
      <c r="G2475" s="14"/>
      <c r="H2475" s="14"/>
      <c r="I2475" s="14"/>
      <c r="J2475" s="14"/>
      <c r="K2475" s="14"/>
      <c r="L2475" s="14"/>
      <c r="M2475" s="15"/>
      <c r="N2475" s="15"/>
      <c r="O2475" s="14"/>
      <c r="P2475" s="14"/>
    </row>
    <row r="2476">
      <c r="A2476" s="14"/>
      <c r="B2476" s="17"/>
      <c r="C2476" s="17"/>
      <c r="D2476" s="17"/>
      <c r="E2476" s="14"/>
      <c r="F2476" s="14"/>
      <c r="G2476" s="14"/>
      <c r="H2476" s="14"/>
      <c r="I2476" s="14"/>
      <c r="J2476" s="14"/>
      <c r="K2476" s="14"/>
      <c r="L2476" s="14"/>
      <c r="M2476" s="15"/>
      <c r="N2476" s="15"/>
      <c r="O2476" s="14"/>
      <c r="P2476" s="14"/>
    </row>
    <row r="2477">
      <c r="A2477" s="14"/>
      <c r="B2477" s="17"/>
      <c r="C2477" s="17"/>
      <c r="D2477" s="17"/>
      <c r="E2477" s="14"/>
      <c r="F2477" s="14"/>
      <c r="G2477" s="14"/>
      <c r="H2477" s="14"/>
      <c r="I2477" s="14"/>
      <c r="J2477" s="14"/>
      <c r="K2477" s="14"/>
      <c r="L2477" s="14"/>
      <c r="M2477" s="15"/>
      <c r="N2477" s="15"/>
      <c r="O2477" s="14"/>
      <c r="P2477" s="14"/>
    </row>
    <row r="2478">
      <c r="A2478" s="14"/>
      <c r="B2478" s="17"/>
      <c r="C2478" s="17"/>
      <c r="D2478" s="17"/>
      <c r="E2478" s="14"/>
      <c r="F2478" s="14"/>
      <c r="G2478" s="14"/>
      <c r="H2478" s="14"/>
      <c r="I2478" s="14"/>
      <c r="J2478" s="14"/>
      <c r="K2478" s="14"/>
      <c r="L2478" s="14"/>
      <c r="M2478" s="15"/>
      <c r="N2478" s="15"/>
      <c r="O2478" s="14"/>
      <c r="P2478" s="14"/>
    </row>
    <row r="2479">
      <c r="A2479" s="14"/>
      <c r="B2479" s="17"/>
      <c r="C2479" s="17"/>
      <c r="D2479" s="17"/>
      <c r="E2479" s="14"/>
      <c r="F2479" s="14"/>
      <c r="G2479" s="14"/>
      <c r="H2479" s="14"/>
      <c r="I2479" s="14"/>
      <c r="J2479" s="14"/>
      <c r="K2479" s="14"/>
      <c r="L2479" s="14"/>
      <c r="M2479" s="15"/>
      <c r="N2479" s="15"/>
      <c r="O2479" s="14"/>
      <c r="P2479" s="14"/>
    </row>
    <row r="2480">
      <c r="A2480" s="14"/>
      <c r="B2480" s="17"/>
      <c r="C2480" s="17"/>
      <c r="D2480" s="17"/>
      <c r="E2480" s="14"/>
      <c r="F2480" s="14"/>
      <c r="G2480" s="14"/>
      <c r="H2480" s="14"/>
      <c r="I2480" s="14"/>
      <c r="J2480" s="14"/>
      <c r="K2480" s="14"/>
      <c r="L2480" s="14"/>
      <c r="M2480" s="15"/>
      <c r="N2480" s="15"/>
      <c r="O2480" s="14"/>
      <c r="P2480" s="14"/>
    </row>
    <row r="2481">
      <c r="A2481" s="14"/>
      <c r="B2481" s="17"/>
      <c r="C2481" s="17"/>
      <c r="D2481" s="17"/>
      <c r="E2481" s="14"/>
      <c r="F2481" s="14"/>
      <c r="G2481" s="14"/>
      <c r="H2481" s="14"/>
      <c r="I2481" s="14"/>
      <c r="J2481" s="14"/>
      <c r="K2481" s="14"/>
      <c r="L2481" s="14"/>
      <c r="M2481" s="15"/>
      <c r="N2481" s="15"/>
      <c r="O2481" s="14"/>
      <c r="P2481" s="14"/>
    </row>
    <row r="2482">
      <c r="A2482" s="14"/>
      <c r="B2482" s="17"/>
      <c r="C2482" s="17"/>
      <c r="D2482" s="17"/>
      <c r="E2482" s="14"/>
      <c r="F2482" s="14"/>
      <c r="G2482" s="14"/>
      <c r="H2482" s="14"/>
      <c r="I2482" s="14"/>
      <c r="J2482" s="14"/>
      <c r="K2482" s="14"/>
      <c r="L2482" s="14"/>
      <c r="M2482" s="15"/>
      <c r="N2482" s="15"/>
      <c r="O2482" s="14"/>
      <c r="P2482" s="14"/>
    </row>
    <row r="2483">
      <c r="A2483" s="14"/>
      <c r="B2483" s="17"/>
      <c r="C2483" s="17"/>
      <c r="D2483" s="17"/>
      <c r="E2483" s="14"/>
      <c r="F2483" s="14"/>
      <c r="G2483" s="14"/>
      <c r="H2483" s="14"/>
      <c r="I2483" s="14"/>
      <c r="J2483" s="14"/>
      <c r="K2483" s="14"/>
      <c r="L2483" s="14"/>
      <c r="M2483" s="15"/>
      <c r="N2483" s="15"/>
      <c r="O2483" s="14"/>
      <c r="P2483" s="14"/>
    </row>
    <row r="2484">
      <c r="A2484" s="14"/>
      <c r="B2484" s="17"/>
      <c r="C2484" s="17"/>
      <c r="D2484" s="17"/>
      <c r="E2484" s="14"/>
      <c r="F2484" s="14"/>
      <c r="G2484" s="14"/>
      <c r="H2484" s="14"/>
      <c r="I2484" s="14"/>
      <c r="J2484" s="14"/>
      <c r="K2484" s="14"/>
      <c r="L2484" s="14"/>
      <c r="M2484" s="15"/>
      <c r="N2484" s="15"/>
      <c r="O2484" s="14"/>
      <c r="P2484" s="14"/>
    </row>
    <row r="2485">
      <c r="A2485" s="14"/>
      <c r="B2485" s="17"/>
      <c r="C2485" s="17"/>
      <c r="D2485" s="17"/>
      <c r="E2485" s="14"/>
      <c r="F2485" s="14"/>
      <c r="G2485" s="14"/>
      <c r="H2485" s="14"/>
      <c r="I2485" s="14"/>
      <c r="J2485" s="14"/>
      <c r="K2485" s="14"/>
      <c r="L2485" s="14"/>
      <c r="M2485" s="15"/>
      <c r="N2485" s="15"/>
      <c r="O2485" s="14"/>
      <c r="P2485" s="14"/>
    </row>
    <row r="2486">
      <c r="A2486" s="14"/>
      <c r="B2486" s="17"/>
      <c r="C2486" s="17"/>
      <c r="D2486" s="17"/>
      <c r="E2486" s="14"/>
      <c r="F2486" s="14"/>
      <c r="G2486" s="14"/>
      <c r="H2486" s="14"/>
      <c r="I2486" s="14"/>
      <c r="J2486" s="14"/>
      <c r="K2486" s="14"/>
      <c r="L2486" s="14"/>
      <c r="M2486" s="15"/>
      <c r="N2486" s="15"/>
      <c r="O2486" s="14"/>
      <c r="P2486" s="14"/>
    </row>
    <row r="2487">
      <c r="A2487" s="14"/>
      <c r="B2487" s="17"/>
      <c r="C2487" s="17"/>
      <c r="D2487" s="17"/>
      <c r="E2487" s="14"/>
      <c r="F2487" s="14"/>
      <c r="G2487" s="14"/>
      <c r="H2487" s="14"/>
      <c r="I2487" s="14"/>
      <c r="J2487" s="14"/>
      <c r="K2487" s="14"/>
      <c r="L2487" s="14"/>
      <c r="M2487" s="15"/>
      <c r="N2487" s="15"/>
      <c r="O2487" s="14"/>
      <c r="P2487" s="14"/>
    </row>
    <row r="2488">
      <c r="A2488" s="14"/>
      <c r="B2488" s="17"/>
      <c r="C2488" s="17"/>
      <c r="D2488" s="17"/>
      <c r="E2488" s="14"/>
      <c r="F2488" s="14"/>
      <c r="G2488" s="14"/>
      <c r="H2488" s="14"/>
      <c r="I2488" s="14"/>
      <c r="J2488" s="14"/>
      <c r="K2488" s="14"/>
      <c r="L2488" s="14"/>
      <c r="M2488" s="15"/>
      <c r="N2488" s="15"/>
      <c r="O2488" s="14"/>
      <c r="P2488" s="14"/>
    </row>
    <row r="2489">
      <c r="A2489" s="14"/>
      <c r="B2489" s="17"/>
      <c r="C2489" s="17"/>
      <c r="D2489" s="17"/>
      <c r="E2489" s="14"/>
      <c r="F2489" s="14"/>
      <c r="G2489" s="14"/>
      <c r="H2489" s="14"/>
      <c r="I2489" s="14"/>
      <c r="J2489" s="14"/>
      <c r="K2489" s="14"/>
      <c r="L2489" s="14"/>
      <c r="M2489" s="15"/>
      <c r="N2489" s="15"/>
      <c r="O2489" s="14"/>
      <c r="P2489" s="14"/>
    </row>
    <row r="2490">
      <c r="A2490" s="14"/>
      <c r="B2490" s="17"/>
      <c r="C2490" s="17"/>
      <c r="D2490" s="17"/>
      <c r="E2490" s="14"/>
      <c r="F2490" s="14"/>
      <c r="G2490" s="14"/>
      <c r="H2490" s="14"/>
      <c r="I2490" s="14"/>
      <c r="J2490" s="14"/>
      <c r="K2490" s="14"/>
      <c r="L2490" s="14"/>
      <c r="M2490" s="15"/>
      <c r="N2490" s="15"/>
      <c r="O2490" s="14"/>
      <c r="P2490" s="14"/>
    </row>
    <row r="2491">
      <c r="A2491" s="14"/>
      <c r="B2491" s="17"/>
      <c r="C2491" s="17"/>
      <c r="D2491" s="17"/>
      <c r="E2491" s="14"/>
      <c r="F2491" s="14"/>
      <c r="G2491" s="14"/>
      <c r="H2491" s="14"/>
      <c r="I2491" s="14"/>
      <c r="J2491" s="14"/>
      <c r="K2491" s="14"/>
      <c r="L2491" s="14"/>
      <c r="M2491" s="15"/>
      <c r="N2491" s="15"/>
      <c r="O2491" s="14"/>
      <c r="P2491" s="14"/>
    </row>
    <row r="2492">
      <c r="A2492" s="14"/>
      <c r="B2492" s="17"/>
      <c r="C2492" s="17"/>
      <c r="D2492" s="17"/>
      <c r="E2492" s="14"/>
      <c r="F2492" s="14"/>
      <c r="G2492" s="14"/>
      <c r="H2492" s="14"/>
      <c r="I2492" s="14"/>
      <c r="J2492" s="14"/>
      <c r="K2492" s="14"/>
      <c r="L2492" s="14"/>
      <c r="M2492" s="15"/>
      <c r="N2492" s="15"/>
      <c r="O2492" s="14"/>
      <c r="P2492" s="14"/>
    </row>
    <row r="2493">
      <c r="A2493" s="14"/>
      <c r="B2493" s="17"/>
      <c r="C2493" s="17"/>
      <c r="D2493" s="17"/>
      <c r="E2493" s="14"/>
      <c r="F2493" s="14"/>
      <c r="G2493" s="14"/>
      <c r="H2493" s="14"/>
      <c r="I2493" s="14"/>
      <c r="J2493" s="14"/>
      <c r="K2493" s="14"/>
      <c r="L2493" s="14"/>
      <c r="M2493" s="15"/>
      <c r="N2493" s="15"/>
      <c r="O2493" s="14"/>
      <c r="P2493" s="14"/>
    </row>
    <row r="2494">
      <c r="A2494" s="14"/>
      <c r="B2494" s="17"/>
      <c r="C2494" s="17"/>
      <c r="D2494" s="17"/>
      <c r="E2494" s="14"/>
      <c r="F2494" s="14"/>
      <c r="G2494" s="14"/>
      <c r="H2494" s="14"/>
      <c r="I2494" s="14"/>
      <c r="J2494" s="14"/>
      <c r="K2494" s="14"/>
      <c r="L2494" s="14"/>
      <c r="M2494" s="15"/>
      <c r="N2494" s="15"/>
      <c r="O2494" s="14"/>
      <c r="P2494" s="14"/>
    </row>
    <row r="2495">
      <c r="A2495" s="14"/>
      <c r="B2495" s="17"/>
      <c r="C2495" s="17"/>
      <c r="D2495" s="17"/>
      <c r="E2495" s="14"/>
      <c r="F2495" s="14"/>
      <c r="G2495" s="14"/>
      <c r="H2495" s="14"/>
      <c r="I2495" s="14"/>
      <c r="J2495" s="14"/>
      <c r="K2495" s="14"/>
      <c r="L2495" s="14"/>
      <c r="M2495" s="15"/>
      <c r="N2495" s="15"/>
      <c r="O2495" s="14"/>
      <c r="P2495" s="14"/>
    </row>
    <row r="2496">
      <c r="A2496" s="14"/>
      <c r="B2496" s="17"/>
      <c r="C2496" s="17"/>
      <c r="D2496" s="17"/>
      <c r="E2496" s="14"/>
      <c r="F2496" s="14"/>
      <c r="G2496" s="14"/>
      <c r="H2496" s="14"/>
      <c r="I2496" s="14"/>
      <c r="J2496" s="14"/>
      <c r="K2496" s="14"/>
      <c r="L2496" s="14"/>
      <c r="M2496" s="15"/>
      <c r="N2496" s="15"/>
      <c r="O2496" s="14"/>
      <c r="P2496" s="14"/>
    </row>
    <row r="2497">
      <c r="A2497" s="14"/>
      <c r="B2497" s="17"/>
      <c r="C2497" s="17"/>
      <c r="D2497" s="17"/>
      <c r="E2497" s="14"/>
      <c r="F2497" s="14"/>
      <c r="G2497" s="14"/>
      <c r="H2497" s="14"/>
      <c r="I2497" s="14"/>
      <c r="J2497" s="14"/>
      <c r="K2497" s="14"/>
      <c r="L2497" s="14"/>
      <c r="M2497" s="15"/>
      <c r="N2497" s="15"/>
      <c r="O2497" s="14"/>
      <c r="P2497" s="14"/>
    </row>
    <row r="2498">
      <c r="A2498" s="14"/>
      <c r="B2498" s="17"/>
      <c r="C2498" s="17"/>
      <c r="D2498" s="17"/>
      <c r="E2498" s="14"/>
      <c r="F2498" s="14"/>
      <c r="G2498" s="14"/>
      <c r="H2498" s="14"/>
      <c r="I2498" s="14"/>
      <c r="J2498" s="14"/>
      <c r="K2498" s="14"/>
      <c r="L2498" s="14"/>
      <c r="M2498" s="15"/>
      <c r="N2498" s="15"/>
      <c r="O2498" s="14"/>
      <c r="P2498" s="14"/>
    </row>
    <row r="2499">
      <c r="A2499" s="14"/>
      <c r="B2499" s="17"/>
      <c r="C2499" s="17"/>
      <c r="D2499" s="17"/>
      <c r="E2499" s="14"/>
      <c r="F2499" s="14"/>
      <c r="G2499" s="14"/>
      <c r="H2499" s="14"/>
      <c r="I2499" s="14"/>
      <c r="J2499" s="14"/>
      <c r="K2499" s="14"/>
      <c r="L2499" s="14"/>
      <c r="M2499" s="15"/>
      <c r="N2499" s="15"/>
      <c r="O2499" s="14"/>
      <c r="P2499" s="14"/>
    </row>
    <row r="2500">
      <c r="A2500" s="14"/>
      <c r="B2500" s="17"/>
      <c r="C2500" s="17"/>
      <c r="D2500" s="17"/>
      <c r="E2500" s="14"/>
      <c r="F2500" s="14"/>
      <c r="G2500" s="14"/>
      <c r="H2500" s="14"/>
      <c r="I2500" s="14"/>
      <c r="J2500" s="14"/>
      <c r="K2500" s="14"/>
      <c r="L2500" s="14"/>
      <c r="M2500" s="15"/>
      <c r="N2500" s="15"/>
      <c r="O2500" s="14"/>
      <c r="P2500" s="14"/>
    </row>
    <row r="2501">
      <c r="A2501" s="14"/>
      <c r="B2501" s="17"/>
      <c r="C2501" s="17"/>
      <c r="D2501" s="17"/>
      <c r="E2501" s="14"/>
      <c r="F2501" s="14"/>
      <c r="G2501" s="14"/>
      <c r="H2501" s="14"/>
      <c r="I2501" s="14"/>
      <c r="J2501" s="14"/>
      <c r="K2501" s="14"/>
      <c r="L2501" s="14"/>
      <c r="M2501" s="15"/>
      <c r="N2501" s="15"/>
      <c r="O2501" s="14"/>
      <c r="P2501" s="14"/>
    </row>
    <row r="2502">
      <c r="A2502" s="14"/>
      <c r="B2502" s="17"/>
      <c r="C2502" s="17"/>
      <c r="D2502" s="17"/>
      <c r="E2502" s="14"/>
      <c r="F2502" s="14"/>
      <c r="G2502" s="14"/>
      <c r="H2502" s="14"/>
      <c r="I2502" s="14"/>
      <c r="J2502" s="14"/>
      <c r="K2502" s="14"/>
      <c r="L2502" s="14"/>
      <c r="M2502" s="15"/>
      <c r="N2502" s="15"/>
      <c r="O2502" s="14"/>
      <c r="P2502" s="14"/>
    </row>
    <row r="2503">
      <c r="A2503" s="14"/>
      <c r="B2503" s="17"/>
      <c r="C2503" s="17"/>
      <c r="D2503" s="17"/>
      <c r="E2503" s="14"/>
      <c r="F2503" s="14"/>
      <c r="G2503" s="14"/>
      <c r="H2503" s="14"/>
      <c r="I2503" s="14"/>
      <c r="J2503" s="14"/>
      <c r="K2503" s="14"/>
      <c r="L2503" s="14"/>
      <c r="M2503" s="15"/>
      <c r="N2503" s="15"/>
      <c r="O2503" s="14"/>
      <c r="P2503" s="14"/>
    </row>
    <row r="2504">
      <c r="A2504" s="14"/>
      <c r="B2504" s="17"/>
      <c r="C2504" s="17"/>
      <c r="D2504" s="17"/>
      <c r="E2504" s="14"/>
      <c r="F2504" s="14"/>
      <c r="G2504" s="14"/>
      <c r="H2504" s="14"/>
      <c r="I2504" s="14"/>
      <c r="J2504" s="14"/>
      <c r="K2504" s="14"/>
      <c r="L2504" s="14"/>
      <c r="M2504" s="15"/>
      <c r="N2504" s="15"/>
      <c r="O2504" s="14"/>
      <c r="P2504" s="14"/>
    </row>
    <row r="2505">
      <c r="A2505" s="14"/>
      <c r="B2505" s="17"/>
      <c r="C2505" s="17"/>
      <c r="D2505" s="17"/>
      <c r="E2505" s="14"/>
      <c r="F2505" s="14"/>
      <c r="G2505" s="14"/>
      <c r="H2505" s="14"/>
      <c r="I2505" s="14"/>
      <c r="J2505" s="14"/>
      <c r="K2505" s="14"/>
      <c r="L2505" s="14"/>
      <c r="M2505" s="15"/>
      <c r="N2505" s="15"/>
      <c r="O2505" s="14"/>
      <c r="P2505" s="14"/>
    </row>
    <row r="2506">
      <c r="A2506" s="14"/>
      <c r="B2506" s="17"/>
      <c r="C2506" s="17"/>
      <c r="D2506" s="17"/>
      <c r="E2506" s="14"/>
      <c r="F2506" s="14"/>
      <c r="G2506" s="14"/>
      <c r="H2506" s="14"/>
      <c r="I2506" s="14"/>
      <c r="J2506" s="14"/>
      <c r="K2506" s="14"/>
      <c r="L2506" s="14"/>
      <c r="M2506" s="15"/>
      <c r="N2506" s="15"/>
      <c r="O2506" s="14"/>
      <c r="P2506" s="14"/>
    </row>
    <row r="2507">
      <c r="A2507" s="14"/>
      <c r="B2507" s="17"/>
      <c r="C2507" s="17"/>
      <c r="D2507" s="17"/>
      <c r="E2507" s="14"/>
      <c r="F2507" s="14"/>
      <c r="G2507" s="14"/>
      <c r="H2507" s="14"/>
      <c r="I2507" s="14"/>
      <c r="J2507" s="14"/>
      <c r="K2507" s="14"/>
      <c r="L2507" s="14"/>
      <c r="M2507" s="15"/>
      <c r="N2507" s="15"/>
      <c r="O2507" s="14"/>
      <c r="P2507" s="14"/>
    </row>
    <row r="2508">
      <c r="A2508" s="14"/>
      <c r="B2508" s="17"/>
      <c r="C2508" s="17"/>
      <c r="D2508" s="17"/>
      <c r="E2508" s="14"/>
      <c r="F2508" s="14"/>
      <c r="G2508" s="14"/>
      <c r="H2508" s="14"/>
      <c r="I2508" s="14"/>
      <c r="J2508" s="14"/>
      <c r="K2508" s="14"/>
      <c r="L2508" s="14"/>
      <c r="M2508" s="15"/>
      <c r="N2508" s="15"/>
      <c r="O2508" s="14"/>
      <c r="P2508" s="14"/>
    </row>
    <row r="2509">
      <c r="A2509" s="14"/>
      <c r="B2509" s="17"/>
      <c r="C2509" s="17"/>
      <c r="D2509" s="17"/>
      <c r="E2509" s="14"/>
      <c r="F2509" s="14"/>
      <c r="G2509" s="14"/>
      <c r="H2509" s="14"/>
      <c r="I2509" s="14"/>
      <c r="J2509" s="14"/>
      <c r="K2509" s="14"/>
      <c r="L2509" s="14"/>
      <c r="M2509" s="15"/>
      <c r="N2509" s="15"/>
      <c r="O2509" s="14"/>
      <c r="P2509" s="14"/>
    </row>
    <row r="2510">
      <c r="A2510" s="14"/>
      <c r="B2510" s="17"/>
      <c r="C2510" s="17"/>
      <c r="D2510" s="17"/>
      <c r="E2510" s="14"/>
      <c r="F2510" s="14"/>
      <c r="G2510" s="14"/>
      <c r="H2510" s="14"/>
      <c r="I2510" s="14"/>
      <c r="J2510" s="14"/>
      <c r="K2510" s="14"/>
      <c r="L2510" s="14"/>
      <c r="M2510" s="15"/>
      <c r="N2510" s="15"/>
      <c r="O2510" s="14"/>
      <c r="P2510" s="14"/>
    </row>
    <row r="2511">
      <c r="A2511" s="14"/>
      <c r="B2511" s="17"/>
      <c r="C2511" s="17"/>
      <c r="D2511" s="17"/>
      <c r="E2511" s="14"/>
      <c r="F2511" s="14"/>
      <c r="G2511" s="14"/>
      <c r="H2511" s="14"/>
      <c r="I2511" s="14"/>
      <c r="J2511" s="14"/>
      <c r="K2511" s="14"/>
      <c r="L2511" s="14"/>
      <c r="M2511" s="15"/>
      <c r="N2511" s="15"/>
      <c r="O2511" s="14"/>
      <c r="P2511" s="14"/>
    </row>
    <row r="2512">
      <c r="A2512" s="14"/>
      <c r="B2512" s="17"/>
      <c r="C2512" s="17"/>
      <c r="D2512" s="17"/>
      <c r="E2512" s="14"/>
      <c r="F2512" s="14"/>
      <c r="G2512" s="14"/>
      <c r="H2512" s="14"/>
      <c r="I2512" s="14"/>
      <c r="J2512" s="14"/>
      <c r="K2512" s="14"/>
      <c r="L2512" s="14"/>
      <c r="M2512" s="15"/>
      <c r="N2512" s="15"/>
      <c r="O2512" s="14"/>
      <c r="P2512" s="14"/>
    </row>
    <row r="2513">
      <c r="A2513" s="14"/>
      <c r="B2513" s="17"/>
      <c r="C2513" s="17"/>
      <c r="D2513" s="17"/>
      <c r="E2513" s="14"/>
      <c r="F2513" s="14"/>
      <c r="G2513" s="14"/>
      <c r="H2513" s="14"/>
      <c r="I2513" s="14"/>
      <c r="J2513" s="14"/>
      <c r="K2513" s="14"/>
      <c r="L2513" s="14"/>
      <c r="M2513" s="15"/>
      <c r="N2513" s="15"/>
      <c r="O2513" s="14"/>
      <c r="P2513" s="14"/>
    </row>
    <row r="2514">
      <c r="A2514" s="14"/>
      <c r="B2514" s="17"/>
      <c r="C2514" s="17"/>
      <c r="D2514" s="17"/>
      <c r="E2514" s="14"/>
      <c r="F2514" s="14"/>
      <c r="G2514" s="14"/>
      <c r="H2514" s="14"/>
      <c r="I2514" s="14"/>
      <c r="J2514" s="14"/>
      <c r="K2514" s="14"/>
      <c r="L2514" s="14"/>
      <c r="M2514" s="15"/>
      <c r="N2514" s="15"/>
      <c r="O2514" s="14"/>
      <c r="P2514" s="14"/>
    </row>
    <row r="2515">
      <c r="A2515" s="14"/>
      <c r="B2515" s="17"/>
      <c r="C2515" s="17"/>
      <c r="D2515" s="17"/>
      <c r="E2515" s="14"/>
      <c r="F2515" s="14"/>
      <c r="G2515" s="14"/>
      <c r="H2515" s="14"/>
      <c r="I2515" s="14"/>
      <c r="J2515" s="14"/>
      <c r="K2515" s="14"/>
      <c r="L2515" s="14"/>
      <c r="M2515" s="15"/>
      <c r="N2515" s="15"/>
      <c r="O2515" s="14"/>
      <c r="P2515" s="14"/>
    </row>
    <row r="2516">
      <c r="A2516" s="14"/>
      <c r="B2516" s="17"/>
      <c r="C2516" s="17"/>
      <c r="D2516" s="17"/>
      <c r="E2516" s="14"/>
      <c r="F2516" s="14"/>
      <c r="G2516" s="14"/>
      <c r="H2516" s="14"/>
      <c r="I2516" s="14"/>
      <c r="J2516" s="14"/>
      <c r="K2516" s="14"/>
      <c r="L2516" s="14"/>
      <c r="M2516" s="15"/>
      <c r="N2516" s="15"/>
      <c r="O2516" s="14"/>
      <c r="P2516" s="14"/>
    </row>
    <row r="2517">
      <c r="A2517" s="14"/>
      <c r="B2517" s="17"/>
      <c r="C2517" s="17"/>
      <c r="D2517" s="17"/>
      <c r="E2517" s="14"/>
      <c r="F2517" s="14"/>
      <c r="G2517" s="14"/>
      <c r="H2517" s="14"/>
      <c r="I2517" s="14"/>
      <c r="J2517" s="14"/>
      <c r="K2517" s="14"/>
      <c r="L2517" s="14"/>
      <c r="M2517" s="15"/>
      <c r="N2517" s="15"/>
      <c r="O2517" s="14"/>
      <c r="P2517" s="14"/>
    </row>
    <row r="2518">
      <c r="A2518" s="14"/>
      <c r="B2518" s="17"/>
      <c r="C2518" s="17"/>
      <c r="D2518" s="17"/>
      <c r="E2518" s="14"/>
      <c r="F2518" s="14"/>
      <c r="G2518" s="14"/>
      <c r="H2518" s="14"/>
      <c r="I2518" s="14"/>
      <c r="J2518" s="14"/>
      <c r="K2518" s="14"/>
      <c r="L2518" s="14"/>
      <c r="M2518" s="15"/>
      <c r="N2518" s="15"/>
      <c r="O2518" s="14"/>
      <c r="P2518" s="14"/>
    </row>
    <row r="2519">
      <c r="A2519" s="14"/>
      <c r="B2519" s="17"/>
      <c r="C2519" s="17"/>
      <c r="D2519" s="17"/>
      <c r="E2519" s="14"/>
      <c r="F2519" s="14"/>
      <c r="G2519" s="14"/>
      <c r="H2519" s="14"/>
      <c r="I2519" s="14"/>
      <c r="J2519" s="14"/>
      <c r="K2519" s="14"/>
      <c r="L2519" s="14"/>
      <c r="M2519" s="15"/>
      <c r="N2519" s="15"/>
      <c r="O2519" s="14"/>
      <c r="P2519" s="14"/>
    </row>
    <row r="2520">
      <c r="A2520" s="14"/>
      <c r="B2520" s="17"/>
      <c r="C2520" s="17"/>
      <c r="D2520" s="17"/>
      <c r="E2520" s="14"/>
      <c r="F2520" s="14"/>
      <c r="G2520" s="14"/>
      <c r="H2520" s="14"/>
      <c r="I2520" s="14"/>
      <c r="J2520" s="14"/>
      <c r="K2520" s="14"/>
      <c r="L2520" s="14"/>
      <c r="M2520" s="15"/>
      <c r="N2520" s="15"/>
      <c r="O2520" s="14"/>
      <c r="P2520" s="14"/>
    </row>
    <row r="2521">
      <c r="A2521" s="14"/>
      <c r="B2521" s="17"/>
      <c r="C2521" s="17"/>
      <c r="D2521" s="17"/>
      <c r="E2521" s="14"/>
      <c r="F2521" s="14"/>
      <c r="G2521" s="14"/>
      <c r="H2521" s="14"/>
      <c r="I2521" s="14"/>
      <c r="J2521" s="14"/>
      <c r="K2521" s="14"/>
      <c r="L2521" s="14"/>
      <c r="M2521" s="15"/>
      <c r="N2521" s="15"/>
      <c r="O2521" s="14"/>
      <c r="P2521" s="14"/>
    </row>
    <row r="2522">
      <c r="A2522" s="14"/>
      <c r="B2522" s="17"/>
      <c r="C2522" s="17"/>
      <c r="D2522" s="17"/>
      <c r="E2522" s="14"/>
      <c r="F2522" s="14"/>
      <c r="G2522" s="14"/>
      <c r="H2522" s="14"/>
      <c r="I2522" s="14"/>
      <c r="J2522" s="14"/>
      <c r="K2522" s="14"/>
      <c r="L2522" s="14"/>
      <c r="M2522" s="15"/>
      <c r="N2522" s="15"/>
      <c r="O2522" s="14"/>
      <c r="P2522" s="14"/>
    </row>
    <row r="2523">
      <c r="A2523" s="14"/>
      <c r="B2523" s="17"/>
      <c r="C2523" s="17"/>
      <c r="D2523" s="17"/>
      <c r="E2523" s="14"/>
      <c r="F2523" s="14"/>
      <c r="G2523" s="14"/>
      <c r="H2523" s="14"/>
      <c r="I2523" s="14"/>
      <c r="J2523" s="14"/>
      <c r="K2523" s="14"/>
      <c r="L2523" s="14"/>
      <c r="M2523" s="15"/>
      <c r="N2523" s="15"/>
      <c r="O2523" s="14"/>
      <c r="P2523" s="14"/>
    </row>
    <row r="2524">
      <c r="A2524" s="14"/>
      <c r="B2524" s="17"/>
      <c r="C2524" s="17"/>
      <c r="D2524" s="17"/>
      <c r="E2524" s="14"/>
      <c r="F2524" s="14"/>
      <c r="G2524" s="14"/>
      <c r="H2524" s="14"/>
      <c r="I2524" s="14"/>
      <c r="J2524" s="14"/>
      <c r="K2524" s="14"/>
      <c r="L2524" s="14"/>
      <c r="M2524" s="15"/>
      <c r="N2524" s="15"/>
      <c r="O2524" s="14"/>
      <c r="P2524" s="14"/>
    </row>
    <row r="2525">
      <c r="A2525" s="14"/>
      <c r="B2525" s="17"/>
      <c r="C2525" s="17"/>
      <c r="D2525" s="17"/>
      <c r="E2525" s="14"/>
      <c r="F2525" s="14"/>
      <c r="G2525" s="14"/>
      <c r="H2525" s="14"/>
      <c r="I2525" s="14"/>
      <c r="J2525" s="14"/>
      <c r="K2525" s="14"/>
      <c r="L2525" s="14"/>
      <c r="M2525" s="15"/>
      <c r="N2525" s="15"/>
      <c r="O2525" s="14"/>
      <c r="P2525" s="14"/>
    </row>
    <row r="2526">
      <c r="A2526" s="14"/>
      <c r="B2526" s="17"/>
      <c r="C2526" s="17"/>
      <c r="D2526" s="17"/>
      <c r="E2526" s="14"/>
      <c r="F2526" s="14"/>
      <c r="G2526" s="14"/>
      <c r="H2526" s="14"/>
      <c r="I2526" s="14"/>
      <c r="J2526" s="14"/>
      <c r="K2526" s="14"/>
      <c r="L2526" s="14"/>
      <c r="M2526" s="15"/>
      <c r="N2526" s="15"/>
      <c r="O2526" s="14"/>
      <c r="P2526" s="14"/>
    </row>
    <row r="2527">
      <c r="A2527" s="14"/>
      <c r="B2527" s="17"/>
      <c r="C2527" s="17"/>
      <c r="D2527" s="17"/>
      <c r="E2527" s="14"/>
      <c r="F2527" s="14"/>
      <c r="G2527" s="14"/>
      <c r="H2527" s="14"/>
      <c r="I2527" s="14"/>
      <c r="J2527" s="14"/>
      <c r="K2527" s="14"/>
      <c r="L2527" s="14"/>
      <c r="M2527" s="15"/>
      <c r="N2527" s="15"/>
      <c r="O2527" s="14"/>
      <c r="P2527" s="14"/>
    </row>
    <row r="2528">
      <c r="A2528" s="14"/>
      <c r="B2528" s="17"/>
      <c r="C2528" s="17"/>
      <c r="D2528" s="17"/>
      <c r="E2528" s="14"/>
      <c r="F2528" s="14"/>
      <c r="G2528" s="14"/>
      <c r="H2528" s="14"/>
      <c r="I2528" s="14"/>
      <c r="J2528" s="14"/>
      <c r="K2528" s="14"/>
      <c r="L2528" s="14"/>
      <c r="M2528" s="15"/>
      <c r="N2528" s="15"/>
      <c r="O2528" s="14"/>
      <c r="P2528" s="14"/>
    </row>
    <row r="2529">
      <c r="A2529" s="14"/>
      <c r="B2529" s="17"/>
      <c r="C2529" s="17"/>
      <c r="D2529" s="17"/>
      <c r="E2529" s="14"/>
      <c r="F2529" s="14"/>
      <c r="G2529" s="14"/>
      <c r="H2529" s="14"/>
      <c r="I2529" s="14"/>
      <c r="J2529" s="14"/>
      <c r="K2529" s="14"/>
      <c r="L2529" s="14"/>
      <c r="M2529" s="15"/>
      <c r="N2529" s="15"/>
      <c r="O2529" s="14"/>
      <c r="P2529" s="14"/>
    </row>
    <row r="2530">
      <c r="A2530" s="14"/>
      <c r="B2530" s="17"/>
      <c r="C2530" s="17"/>
      <c r="D2530" s="17"/>
      <c r="E2530" s="14"/>
      <c r="F2530" s="14"/>
      <c r="G2530" s="14"/>
      <c r="H2530" s="14"/>
      <c r="I2530" s="14"/>
      <c r="J2530" s="14"/>
      <c r="K2530" s="14"/>
      <c r="L2530" s="14"/>
      <c r="M2530" s="15"/>
      <c r="N2530" s="15"/>
      <c r="O2530" s="14"/>
      <c r="P2530" s="14"/>
    </row>
    <row r="2531">
      <c r="A2531" s="14"/>
      <c r="B2531" s="17"/>
      <c r="C2531" s="17"/>
      <c r="D2531" s="17"/>
      <c r="E2531" s="14"/>
      <c r="F2531" s="14"/>
      <c r="G2531" s="14"/>
      <c r="H2531" s="14"/>
      <c r="I2531" s="14"/>
      <c r="J2531" s="14"/>
      <c r="K2531" s="14"/>
      <c r="L2531" s="14"/>
      <c r="M2531" s="15"/>
      <c r="N2531" s="15"/>
      <c r="O2531" s="14"/>
      <c r="P2531" s="14"/>
    </row>
    <row r="2532">
      <c r="A2532" s="14"/>
      <c r="B2532" s="17"/>
      <c r="C2532" s="17"/>
      <c r="D2532" s="17"/>
      <c r="E2532" s="14"/>
      <c r="F2532" s="14"/>
      <c r="G2532" s="14"/>
      <c r="H2532" s="14"/>
      <c r="I2532" s="14"/>
      <c r="J2532" s="14"/>
      <c r="K2532" s="14"/>
      <c r="L2532" s="14"/>
      <c r="M2532" s="15"/>
      <c r="N2532" s="15"/>
      <c r="O2532" s="14"/>
      <c r="P2532" s="14"/>
    </row>
    <row r="2533">
      <c r="A2533" s="14"/>
      <c r="B2533" s="17"/>
      <c r="C2533" s="17"/>
      <c r="D2533" s="17"/>
      <c r="E2533" s="14"/>
      <c r="F2533" s="14"/>
      <c r="G2533" s="14"/>
      <c r="H2533" s="14"/>
      <c r="I2533" s="14"/>
      <c r="J2533" s="14"/>
      <c r="K2533" s="14"/>
      <c r="L2533" s="14"/>
      <c r="M2533" s="15"/>
      <c r="N2533" s="15"/>
      <c r="O2533" s="14"/>
      <c r="P2533" s="14"/>
    </row>
    <row r="2534">
      <c r="A2534" s="14"/>
      <c r="B2534" s="17"/>
      <c r="C2534" s="17"/>
      <c r="D2534" s="17"/>
      <c r="E2534" s="14"/>
      <c r="F2534" s="14"/>
      <c r="G2534" s="14"/>
      <c r="H2534" s="14"/>
      <c r="I2534" s="14"/>
      <c r="J2534" s="14"/>
      <c r="K2534" s="14"/>
      <c r="L2534" s="14"/>
      <c r="M2534" s="15"/>
      <c r="N2534" s="15"/>
      <c r="O2534" s="14"/>
      <c r="P2534" s="14"/>
    </row>
    <row r="2535">
      <c r="A2535" s="14"/>
      <c r="B2535" s="17"/>
      <c r="C2535" s="17"/>
      <c r="D2535" s="17"/>
      <c r="E2535" s="14"/>
      <c r="F2535" s="14"/>
      <c r="G2535" s="14"/>
      <c r="H2535" s="14"/>
      <c r="I2535" s="14"/>
      <c r="J2535" s="14"/>
      <c r="K2535" s="14"/>
      <c r="L2535" s="14"/>
      <c r="M2535" s="15"/>
      <c r="N2535" s="15"/>
      <c r="O2535" s="14"/>
      <c r="P2535" s="14"/>
    </row>
    <row r="2536">
      <c r="A2536" s="14"/>
      <c r="B2536" s="17"/>
      <c r="C2536" s="17"/>
      <c r="D2536" s="17"/>
      <c r="E2536" s="14"/>
      <c r="F2536" s="14"/>
      <c r="G2536" s="14"/>
      <c r="H2536" s="14"/>
      <c r="I2536" s="14"/>
      <c r="J2536" s="14"/>
      <c r="K2536" s="14"/>
      <c r="L2536" s="14"/>
      <c r="M2536" s="15"/>
      <c r="N2536" s="15"/>
      <c r="O2536" s="14"/>
      <c r="P2536" s="14"/>
    </row>
    <row r="2537">
      <c r="A2537" s="14"/>
      <c r="B2537" s="17"/>
      <c r="C2537" s="17"/>
      <c r="D2537" s="17"/>
      <c r="E2537" s="14"/>
      <c r="F2537" s="14"/>
      <c r="G2537" s="14"/>
      <c r="H2537" s="14"/>
      <c r="I2537" s="14"/>
      <c r="J2537" s="14"/>
      <c r="K2537" s="14"/>
      <c r="L2537" s="14"/>
      <c r="M2537" s="15"/>
      <c r="N2537" s="15"/>
      <c r="O2537" s="14"/>
      <c r="P2537" s="14"/>
    </row>
    <row r="2538">
      <c r="A2538" s="14"/>
      <c r="B2538" s="17"/>
      <c r="C2538" s="17"/>
      <c r="D2538" s="17"/>
      <c r="E2538" s="14"/>
      <c r="F2538" s="14"/>
      <c r="G2538" s="14"/>
      <c r="H2538" s="14"/>
      <c r="I2538" s="14"/>
      <c r="J2538" s="14"/>
      <c r="K2538" s="14"/>
      <c r="L2538" s="14"/>
      <c r="M2538" s="15"/>
      <c r="N2538" s="15"/>
      <c r="O2538" s="14"/>
      <c r="P2538" s="14"/>
    </row>
    <row r="2539">
      <c r="A2539" s="14"/>
      <c r="B2539" s="17"/>
      <c r="C2539" s="17"/>
      <c r="D2539" s="17"/>
      <c r="E2539" s="14"/>
      <c r="F2539" s="14"/>
      <c r="G2539" s="14"/>
      <c r="H2539" s="14"/>
      <c r="I2539" s="14"/>
      <c r="J2539" s="14"/>
      <c r="K2539" s="14"/>
      <c r="L2539" s="14"/>
      <c r="M2539" s="15"/>
      <c r="N2539" s="15"/>
      <c r="O2539" s="14"/>
      <c r="P2539" s="14"/>
    </row>
    <row r="2540">
      <c r="A2540" s="14"/>
      <c r="B2540" s="17"/>
      <c r="C2540" s="17"/>
      <c r="D2540" s="17"/>
      <c r="E2540" s="14"/>
      <c r="F2540" s="14"/>
      <c r="G2540" s="14"/>
      <c r="H2540" s="14"/>
      <c r="I2540" s="14"/>
      <c r="J2540" s="14"/>
      <c r="K2540" s="14"/>
      <c r="L2540" s="14"/>
      <c r="M2540" s="15"/>
      <c r="N2540" s="15"/>
      <c r="O2540" s="14"/>
      <c r="P2540" s="14"/>
    </row>
    <row r="2541">
      <c r="A2541" s="14"/>
      <c r="B2541" s="17"/>
      <c r="C2541" s="17"/>
      <c r="D2541" s="17"/>
      <c r="E2541" s="14"/>
      <c r="F2541" s="14"/>
      <c r="G2541" s="14"/>
      <c r="H2541" s="14"/>
      <c r="I2541" s="14"/>
      <c r="J2541" s="14"/>
      <c r="K2541" s="14"/>
      <c r="L2541" s="14"/>
      <c r="M2541" s="15"/>
      <c r="N2541" s="15"/>
      <c r="O2541" s="14"/>
      <c r="P2541" s="14"/>
    </row>
    <row r="2542">
      <c r="A2542" s="14"/>
      <c r="B2542" s="17"/>
      <c r="C2542" s="17"/>
      <c r="D2542" s="17"/>
      <c r="E2542" s="14"/>
      <c r="F2542" s="14"/>
      <c r="G2542" s="14"/>
      <c r="H2542" s="14"/>
      <c r="I2542" s="14"/>
      <c r="J2542" s="14"/>
      <c r="K2542" s="14"/>
      <c r="L2542" s="14"/>
      <c r="M2542" s="15"/>
      <c r="N2542" s="15"/>
      <c r="O2542" s="14"/>
      <c r="P2542" s="14"/>
    </row>
    <row r="2543">
      <c r="A2543" s="14"/>
      <c r="B2543" s="17"/>
      <c r="C2543" s="17"/>
      <c r="D2543" s="17"/>
      <c r="E2543" s="14"/>
      <c r="F2543" s="14"/>
      <c r="G2543" s="14"/>
      <c r="H2543" s="14"/>
      <c r="I2543" s="14"/>
      <c r="J2543" s="14"/>
      <c r="K2543" s="14"/>
      <c r="L2543" s="14"/>
      <c r="M2543" s="15"/>
      <c r="N2543" s="15"/>
      <c r="O2543" s="14"/>
      <c r="P2543" s="14"/>
    </row>
    <row r="2544">
      <c r="A2544" s="14"/>
      <c r="B2544" s="17"/>
      <c r="C2544" s="17"/>
      <c r="D2544" s="17"/>
      <c r="E2544" s="14"/>
      <c r="F2544" s="14"/>
      <c r="G2544" s="14"/>
      <c r="H2544" s="14"/>
      <c r="I2544" s="14"/>
      <c r="J2544" s="14"/>
      <c r="K2544" s="14"/>
      <c r="L2544" s="14"/>
      <c r="M2544" s="15"/>
      <c r="N2544" s="15"/>
      <c r="O2544" s="14"/>
      <c r="P2544" s="14"/>
    </row>
    <row r="2545">
      <c r="A2545" s="14"/>
      <c r="B2545" s="17"/>
      <c r="C2545" s="17"/>
      <c r="D2545" s="17"/>
      <c r="E2545" s="14"/>
      <c r="F2545" s="14"/>
      <c r="G2545" s="14"/>
      <c r="H2545" s="14"/>
      <c r="I2545" s="14"/>
      <c r="J2545" s="14"/>
      <c r="K2545" s="14"/>
      <c r="L2545" s="14"/>
      <c r="M2545" s="15"/>
      <c r="N2545" s="15"/>
      <c r="O2545" s="14"/>
      <c r="P2545" s="14"/>
    </row>
    <row r="2546">
      <c r="A2546" s="14"/>
      <c r="B2546" s="17"/>
      <c r="C2546" s="17"/>
      <c r="D2546" s="17"/>
      <c r="E2546" s="14"/>
      <c r="F2546" s="14"/>
      <c r="G2546" s="14"/>
      <c r="H2546" s="14"/>
      <c r="I2546" s="14"/>
      <c r="J2546" s="14"/>
      <c r="K2546" s="14"/>
      <c r="L2546" s="14"/>
      <c r="M2546" s="15"/>
      <c r="N2546" s="15"/>
      <c r="O2546" s="14"/>
      <c r="P2546" s="14"/>
    </row>
    <row r="2547">
      <c r="A2547" s="14"/>
      <c r="B2547" s="17"/>
      <c r="C2547" s="17"/>
      <c r="D2547" s="17"/>
      <c r="E2547" s="14"/>
      <c r="F2547" s="14"/>
      <c r="G2547" s="14"/>
      <c r="H2547" s="14"/>
      <c r="I2547" s="14"/>
      <c r="J2547" s="14"/>
      <c r="K2547" s="14"/>
      <c r="L2547" s="14"/>
      <c r="M2547" s="15"/>
      <c r="N2547" s="15"/>
      <c r="O2547" s="14"/>
      <c r="P2547" s="14"/>
    </row>
    <row r="2548">
      <c r="A2548" s="14"/>
      <c r="B2548" s="17"/>
      <c r="C2548" s="17"/>
      <c r="D2548" s="17"/>
      <c r="E2548" s="14"/>
      <c r="F2548" s="14"/>
      <c r="G2548" s="14"/>
      <c r="H2548" s="14"/>
      <c r="I2548" s="14"/>
      <c r="J2548" s="14"/>
      <c r="K2548" s="14"/>
      <c r="L2548" s="14"/>
      <c r="M2548" s="15"/>
      <c r="N2548" s="15"/>
      <c r="O2548" s="14"/>
      <c r="P2548" s="14"/>
    </row>
    <row r="2549">
      <c r="A2549" s="14"/>
      <c r="B2549" s="17"/>
      <c r="C2549" s="17"/>
      <c r="D2549" s="17"/>
      <c r="E2549" s="14"/>
      <c r="F2549" s="14"/>
      <c r="G2549" s="14"/>
      <c r="H2549" s="14"/>
      <c r="I2549" s="14"/>
      <c r="J2549" s="14"/>
      <c r="K2549" s="14"/>
      <c r="L2549" s="14"/>
      <c r="M2549" s="15"/>
      <c r="N2549" s="15"/>
      <c r="O2549" s="14"/>
      <c r="P2549" s="14"/>
    </row>
    <row r="2550">
      <c r="A2550" s="14"/>
      <c r="B2550" s="17"/>
      <c r="C2550" s="17"/>
      <c r="D2550" s="17"/>
      <c r="E2550" s="14"/>
      <c r="F2550" s="14"/>
      <c r="G2550" s="14"/>
      <c r="H2550" s="14"/>
      <c r="I2550" s="14"/>
      <c r="J2550" s="14"/>
      <c r="K2550" s="14"/>
      <c r="L2550" s="14"/>
      <c r="M2550" s="15"/>
      <c r="N2550" s="15"/>
      <c r="O2550" s="14"/>
      <c r="P2550" s="14"/>
    </row>
    <row r="2551">
      <c r="A2551" s="14"/>
      <c r="B2551" s="17"/>
      <c r="C2551" s="17"/>
      <c r="D2551" s="17"/>
      <c r="E2551" s="14"/>
      <c r="F2551" s="14"/>
      <c r="G2551" s="14"/>
      <c r="H2551" s="14"/>
      <c r="I2551" s="14"/>
      <c r="J2551" s="14"/>
      <c r="K2551" s="14"/>
      <c r="L2551" s="14"/>
      <c r="M2551" s="15"/>
      <c r="N2551" s="15"/>
      <c r="O2551" s="14"/>
      <c r="P2551" s="14"/>
    </row>
    <row r="2552">
      <c r="A2552" s="14"/>
      <c r="B2552" s="17"/>
      <c r="C2552" s="17"/>
      <c r="D2552" s="17"/>
      <c r="E2552" s="14"/>
      <c r="F2552" s="14"/>
      <c r="G2552" s="14"/>
      <c r="H2552" s="14"/>
      <c r="I2552" s="14"/>
      <c r="J2552" s="14"/>
      <c r="K2552" s="14"/>
      <c r="L2552" s="14"/>
      <c r="M2552" s="15"/>
      <c r="N2552" s="15"/>
      <c r="O2552" s="14"/>
      <c r="P2552" s="14"/>
    </row>
    <row r="2553">
      <c r="A2553" s="14"/>
      <c r="B2553" s="17"/>
      <c r="C2553" s="17"/>
      <c r="D2553" s="17"/>
      <c r="E2553" s="14"/>
      <c r="F2553" s="14"/>
      <c r="G2553" s="14"/>
      <c r="H2553" s="14"/>
      <c r="I2553" s="14"/>
      <c r="J2553" s="14"/>
      <c r="K2553" s="14"/>
      <c r="L2553" s="14"/>
      <c r="M2553" s="15"/>
      <c r="N2553" s="15"/>
      <c r="O2553" s="14"/>
      <c r="P2553" s="14"/>
    </row>
    <row r="2554">
      <c r="A2554" s="14"/>
      <c r="B2554" s="17"/>
      <c r="C2554" s="17"/>
      <c r="D2554" s="17"/>
      <c r="E2554" s="14"/>
      <c r="F2554" s="14"/>
      <c r="G2554" s="14"/>
      <c r="H2554" s="14"/>
      <c r="I2554" s="14"/>
      <c r="J2554" s="14"/>
      <c r="K2554" s="14"/>
      <c r="L2554" s="14"/>
      <c r="M2554" s="15"/>
      <c r="N2554" s="15"/>
      <c r="O2554" s="14"/>
      <c r="P2554" s="14"/>
    </row>
    <row r="2555">
      <c r="A2555" s="14"/>
      <c r="B2555" s="17"/>
      <c r="C2555" s="17"/>
      <c r="D2555" s="17"/>
      <c r="E2555" s="14"/>
      <c r="F2555" s="14"/>
      <c r="G2555" s="14"/>
      <c r="H2555" s="14"/>
      <c r="I2555" s="14"/>
      <c r="J2555" s="14"/>
      <c r="K2555" s="14"/>
      <c r="L2555" s="14"/>
      <c r="M2555" s="15"/>
      <c r="N2555" s="15"/>
      <c r="O2555" s="14"/>
      <c r="P2555" s="14"/>
    </row>
    <row r="2556">
      <c r="A2556" s="14"/>
      <c r="B2556" s="17"/>
      <c r="C2556" s="17"/>
      <c r="D2556" s="17"/>
      <c r="E2556" s="14"/>
      <c r="F2556" s="14"/>
      <c r="G2556" s="14"/>
      <c r="H2556" s="14"/>
      <c r="I2556" s="14"/>
      <c r="J2556" s="14"/>
      <c r="K2556" s="14"/>
      <c r="L2556" s="14"/>
      <c r="M2556" s="15"/>
      <c r="N2556" s="15"/>
      <c r="O2556" s="14"/>
      <c r="P2556" s="14"/>
    </row>
    <row r="2557">
      <c r="A2557" s="14"/>
      <c r="B2557" s="17"/>
      <c r="C2557" s="17"/>
      <c r="D2557" s="17"/>
      <c r="E2557" s="14"/>
      <c r="F2557" s="14"/>
      <c r="G2557" s="14"/>
      <c r="H2557" s="14"/>
      <c r="I2557" s="14"/>
      <c r="J2557" s="14"/>
      <c r="K2557" s="14"/>
      <c r="L2557" s="14"/>
      <c r="M2557" s="15"/>
      <c r="N2557" s="15"/>
      <c r="O2557" s="14"/>
      <c r="P2557" s="14"/>
    </row>
    <row r="2558">
      <c r="A2558" s="14"/>
      <c r="B2558" s="17"/>
      <c r="C2558" s="17"/>
      <c r="D2558" s="17"/>
      <c r="E2558" s="14"/>
      <c r="F2558" s="14"/>
      <c r="G2558" s="14"/>
      <c r="H2558" s="14"/>
      <c r="I2558" s="14"/>
      <c r="J2558" s="14"/>
      <c r="K2558" s="14"/>
      <c r="L2558" s="14"/>
      <c r="M2558" s="15"/>
      <c r="N2558" s="15"/>
      <c r="O2558" s="14"/>
      <c r="P2558" s="14"/>
    </row>
    <row r="2559">
      <c r="A2559" s="14"/>
      <c r="B2559" s="17"/>
      <c r="C2559" s="17"/>
      <c r="D2559" s="17"/>
      <c r="E2559" s="14"/>
      <c r="F2559" s="14"/>
      <c r="G2559" s="14"/>
      <c r="H2559" s="14"/>
      <c r="I2559" s="14"/>
      <c r="J2559" s="14"/>
      <c r="K2559" s="14"/>
      <c r="L2559" s="14"/>
      <c r="M2559" s="15"/>
      <c r="N2559" s="15"/>
      <c r="O2559" s="14"/>
      <c r="P2559" s="14"/>
    </row>
    <row r="2560">
      <c r="A2560" s="14"/>
      <c r="B2560" s="17"/>
      <c r="C2560" s="17"/>
      <c r="D2560" s="17"/>
      <c r="E2560" s="14"/>
      <c r="F2560" s="14"/>
      <c r="G2560" s="14"/>
      <c r="H2560" s="14"/>
      <c r="I2560" s="14"/>
      <c r="J2560" s="14"/>
      <c r="K2560" s="14"/>
      <c r="L2560" s="14"/>
      <c r="M2560" s="15"/>
      <c r="N2560" s="15"/>
      <c r="O2560" s="14"/>
      <c r="P2560" s="14"/>
    </row>
    <row r="2561">
      <c r="A2561" s="14"/>
      <c r="B2561" s="17"/>
      <c r="C2561" s="17"/>
      <c r="D2561" s="17"/>
      <c r="E2561" s="14"/>
      <c r="F2561" s="14"/>
      <c r="G2561" s="14"/>
      <c r="H2561" s="14"/>
      <c r="I2561" s="14"/>
      <c r="J2561" s="14"/>
      <c r="K2561" s="14"/>
      <c r="L2561" s="14"/>
      <c r="M2561" s="15"/>
      <c r="N2561" s="15"/>
      <c r="O2561" s="14"/>
      <c r="P2561" s="14"/>
    </row>
    <row r="2562">
      <c r="A2562" s="14"/>
      <c r="B2562" s="17"/>
      <c r="C2562" s="17"/>
      <c r="D2562" s="17"/>
      <c r="E2562" s="14"/>
      <c r="F2562" s="14"/>
      <c r="G2562" s="14"/>
      <c r="H2562" s="14"/>
      <c r="I2562" s="14"/>
      <c r="J2562" s="14"/>
      <c r="K2562" s="14"/>
      <c r="L2562" s="14"/>
      <c r="M2562" s="15"/>
      <c r="N2562" s="15"/>
      <c r="O2562" s="14"/>
      <c r="P2562" s="14"/>
    </row>
    <row r="2563">
      <c r="A2563" s="14"/>
      <c r="B2563" s="17"/>
      <c r="C2563" s="17"/>
      <c r="D2563" s="17"/>
      <c r="E2563" s="14"/>
      <c r="F2563" s="14"/>
      <c r="G2563" s="14"/>
      <c r="H2563" s="14"/>
      <c r="I2563" s="14"/>
      <c r="J2563" s="14"/>
      <c r="K2563" s="14"/>
      <c r="L2563" s="14"/>
      <c r="M2563" s="15"/>
      <c r="N2563" s="15"/>
      <c r="O2563" s="14"/>
      <c r="P2563" s="14"/>
    </row>
    <row r="2564">
      <c r="A2564" s="14"/>
      <c r="B2564" s="17"/>
      <c r="C2564" s="17"/>
      <c r="D2564" s="17"/>
      <c r="E2564" s="14"/>
      <c r="F2564" s="14"/>
      <c r="G2564" s="14"/>
      <c r="H2564" s="14"/>
      <c r="I2564" s="14"/>
      <c r="J2564" s="14"/>
      <c r="K2564" s="14"/>
      <c r="L2564" s="14"/>
      <c r="M2564" s="15"/>
      <c r="N2564" s="15"/>
      <c r="O2564" s="14"/>
      <c r="P2564" s="14"/>
    </row>
    <row r="2565">
      <c r="A2565" s="14"/>
      <c r="B2565" s="17"/>
      <c r="C2565" s="17"/>
      <c r="D2565" s="17"/>
      <c r="E2565" s="14"/>
      <c r="F2565" s="14"/>
      <c r="G2565" s="14"/>
      <c r="H2565" s="14"/>
      <c r="I2565" s="14"/>
      <c r="J2565" s="14"/>
      <c r="K2565" s="14"/>
      <c r="L2565" s="14"/>
      <c r="M2565" s="15"/>
      <c r="N2565" s="15"/>
      <c r="O2565" s="14"/>
      <c r="P2565" s="14"/>
    </row>
    <row r="2566">
      <c r="A2566" s="14"/>
      <c r="B2566" s="17"/>
      <c r="C2566" s="17"/>
      <c r="D2566" s="17"/>
      <c r="E2566" s="14"/>
      <c r="F2566" s="14"/>
      <c r="G2566" s="14"/>
      <c r="H2566" s="14"/>
      <c r="I2566" s="14"/>
      <c r="J2566" s="14"/>
      <c r="K2566" s="14"/>
      <c r="L2566" s="14"/>
      <c r="M2566" s="15"/>
      <c r="N2566" s="15"/>
      <c r="O2566" s="14"/>
      <c r="P2566" s="14"/>
    </row>
    <row r="2567">
      <c r="A2567" s="14"/>
      <c r="B2567" s="17"/>
      <c r="C2567" s="17"/>
      <c r="D2567" s="17"/>
      <c r="E2567" s="14"/>
      <c r="F2567" s="14"/>
      <c r="G2567" s="14"/>
      <c r="H2567" s="14"/>
      <c r="I2567" s="14"/>
      <c r="J2567" s="14"/>
      <c r="K2567" s="14"/>
      <c r="L2567" s="14"/>
      <c r="M2567" s="15"/>
      <c r="N2567" s="15"/>
      <c r="O2567" s="14"/>
      <c r="P2567" s="14"/>
    </row>
    <row r="2568">
      <c r="A2568" s="14"/>
      <c r="B2568" s="17"/>
      <c r="C2568" s="17"/>
      <c r="D2568" s="17"/>
      <c r="E2568" s="14"/>
      <c r="F2568" s="14"/>
      <c r="G2568" s="14"/>
      <c r="H2568" s="14"/>
      <c r="I2568" s="14"/>
      <c r="J2568" s="14"/>
      <c r="K2568" s="14"/>
      <c r="L2568" s="14"/>
      <c r="M2568" s="15"/>
      <c r="N2568" s="15"/>
      <c r="O2568" s="14"/>
      <c r="P2568" s="14"/>
    </row>
    <row r="2569">
      <c r="A2569" s="14"/>
      <c r="B2569" s="17"/>
      <c r="C2569" s="17"/>
      <c r="D2569" s="17"/>
      <c r="E2569" s="14"/>
      <c r="F2569" s="14"/>
      <c r="G2569" s="14"/>
      <c r="H2569" s="14"/>
      <c r="I2569" s="14"/>
      <c r="J2569" s="14"/>
      <c r="K2569" s="14"/>
      <c r="L2569" s="14"/>
      <c r="M2569" s="15"/>
      <c r="N2569" s="15"/>
      <c r="O2569" s="14"/>
      <c r="P2569" s="14"/>
    </row>
    <row r="2570">
      <c r="A2570" s="14"/>
      <c r="B2570" s="17"/>
      <c r="C2570" s="17"/>
      <c r="D2570" s="17"/>
      <c r="E2570" s="14"/>
      <c r="F2570" s="14"/>
      <c r="G2570" s="14"/>
      <c r="H2570" s="14"/>
      <c r="I2570" s="14"/>
      <c r="J2570" s="14"/>
      <c r="K2570" s="14"/>
      <c r="L2570" s="14"/>
      <c r="M2570" s="15"/>
      <c r="N2570" s="15"/>
      <c r="O2570" s="14"/>
      <c r="P2570" s="14"/>
    </row>
    <row r="2571">
      <c r="A2571" s="14"/>
      <c r="B2571" s="17"/>
      <c r="C2571" s="17"/>
      <c r="D2571" s="17"/>
      <c r="E2571" s="14"/>
      <c r="F2571" s="14"/>
      <c r="G2571" s="14"/>
      <c r="H2571" s="14"/>
      <c r="I2571" s="14"/>
      <c r="J2571" s="14"/>
      <c r="K2571" s="14"/>
      <c r="L2571" s="14"/>
      <c r="M2571" s="15"/>
      <c r="N2571" s="15"/>
      <c r="O2571" s="14"/>
      <c r="P2571" s="14"/>
    </row>
    <row r="2572">
      <c r="A2572" s="14"/>
      <c r="B2572" s="17"/>
      <c r="C2572" s="17"/>
      <c r="D2572" s="17"/>
      <c r="E2572" s="14"/>
      <c r="F2572" s="14"/>
      <c r="G2572" s="14"/>
      <c r="H2572" s="14"/>
      <c r="I2572" s="14"/>
      <c r="J2572" s="14"/>
      <c r="K2572" s="14"/>
      <c r="L2572" s="14"/>
      <c r="M2572" s="15"/>
      <c r="N2572" s="15"/>
      <c r="O2572" s="14"/>
      <c r="P2572" s="14"/>
    </row>
    <row r="2573">
      <c r="A2573" s="14"/>
      <c r="B2573" s="17"/>
      <c r="C2573" s="17"/>
      <c r="D2573" s="17"/>
      <c r="E2573" s="14"/>
      <c r="F2573" s="14"/>
      <c r="G2573" s="14"/>
      <c r="H2573" s="14"/>
      <c r="I2573" s="14"/>
      <c r="J2573" s="14"/>
      <c r="K2573" s="14"/>
      <c r="L2573" s="14"/>
      <c r="M2573" s="15"/>
      <c r="N2573" s="15"/>
      <c r="O2573" s="14"/>
      <c r="P2573" s="14"/>
    </row>
    <row r="2574">
      <c r="A2574" s="14"/>
      <c r="B2574" s="17"/>
      <c r="C2574" s="17"/>
      <c r="D2574" s="17"/>
      <c r="E2574" s="14"/>
      <c r="F2574" s="14"/>
      <c r="G2574" s="14"/>
      <c r="H2574" s="14"/>
      <c r="I2574" s="14"/>
      <c r="J2574" s="14"/>
      <c r="K2574" s="14"/>
      <c r="L2574" s="14"/>
      <c r="M2574" s="15"/>
      <c r="N2574" s="15"/>
      <c r="O2574" s="14"/>
      <c r="P2574" s="14"/>
    </row>
    <row r="2575">
      <c r="A2575" s="14"/>
      <c r="B2575" s="17"/>
      <c r="C2575" s="17"/>
      <c r="D2575" s="17"/>
      <c r="E2575" s="14"/>
      <c r="F2575" s="14"/>
      <c r="G2575" s="14"/>
      <c r="H2575" s="14"/>
      <c r="I2575" s="14"/>
      <c r="J2575" s="14"/>
      <c r="K2575" s="14"/>
      <c r="L2575" s="14"/>
      <c r="M2575" s="15"/>
      <c r="N2575" s="15"/>
      <c r="O2575" s="14"/>
      <c r="P2575" s="14"/>
    </row>
    <row r="2576">
      <c r="A2576" s="14"/>
      <c r="B2576" s="17"/>
      <c r="C2576" s="17"/>
      <c r="D2576" s="17"/>
      <c r="E2576" s="14"/>
      <c r="F2576" s="14"/>
      <c r="G2576" s="14"/>
      <c r="H2576" s="14"/>
      <c r="I2576" s="14"/>
      <c r="J2576" s="14"/>
      <c r="K2576" s="14"/>
      <c r="L2576" s="14"/>
      <c r="M2576" s="15"/>
      <c r="N2576" s="15"/>
      <c r="O2576" s="14"/>
      <c r="P2576" s="14"/>
    </row>
    <row r="2577">
      <c r="A2577" s="14"/>
      <c r="B2577" s="17"/>
      <c r="C2577" s="17"/>
      <c r="D2577" s="17"/>
      <c r="E2577" s="14"/>
      <c r="F2577" s="14"/>
      <c r="G2577" s="14"/>
      <c r="H2577" s="14"/>
      <c r="I2577" s="14"/>
      <c r="J2577" s="14"/>
      <c r="K2577" s="14"/>
      <c r="L2577" s="14"/>
      <c r="M2577" s="15"/>
      <c r="N2577" s="15"/>
      <c r="O2577" s="14"/>
      <c r="P2577" s="14"/>
    </row>
    <row r="2578">
      <c r="A2578" s="14"/>
      <c r="B2578" s="17"/>
      <c r="C2578" s="17"/>
      <c r="D2578" s="17"/>
      <c r="E2578" s="14"/>
      <c r="F2578" s="14"/>
      <c r="G2578" s="14"/>
      <c r="H2578" s="14"/>
      <c r="I2578" s="14"/>
      <c r="J2578" s="14"/>
      <c r="K2578" s="14"/>
      <c r="L2578" s="14"/>
      <c r="M2578" s="15"/>
      <c r="N2578" s="15"/>
      <c r="O2578" s="14"/>
      <c r="P2578" s="14"/>
    </row>
    <row r="2579">
      <c r="A2579" s="14"/>
      <c r="B2579" s="17"/>
      <c r="C2579" s="17"/>
      <c r="D2579" s="17"/>
      <c r="E2579" s="14"/>
      <c r="F2579" s="14"/>
      <c r="G2579" s="14"/>
      <c r="H2579" s="14"/>
      <c r="I2579" s="14"/>
      <c r="J2579" s="14"/>
      <c r="K2579" s="14"/>
      <c r="L2579" s="14"/>
      <c r="M2579" s="15"/>
      <c r="N2579" s="15"/>
      <c r="O2579" s="14"/>
      <c r="P2579" s="14"/>
    </row>
    <row r="2580">
      <c r="A2580" s="14"/>
      <c r="B2580" s="17"/>
      <c r="C2580" s="17"/>
      <c r="D2580" s="17"/>
      <c r="E2580" s="14"/>
      <c r="F2580" s="14"/>
      <c r="G2580" s="14"/>
      <c r="H2580" s="14"/>
      <c r="I2580" s="14"/>
      <c r="J2580" s="14"/>
      <c r="K2580" s="14"/>
      <c r="L2580" s="14"/>
      <c r="M2580" s="15"/>
      <c r="N2580" s="15"/>
      <c r="O2580" s="14"/>
      <c r="P2580" s="14"/>
    </row>
    <row r="2581">
      <c r="A2581" s="14"/>
      <c r="B2581" s="17"/>
      <c r="C2581" s="17"/>
      <c r="D2581" s="17"/>
      <c r="E2581" s="14"/>
      <c r="F2581" s="14"/>
      <c r="G2581" s="14"/>
      <c r="H2581" s="14"/>
      <c r="I2581" s="14"/>
      <c r="J2581" s="14"/>
      <c r="K2581" s="14"/>
      <c r="L2581" s="14"/>
      <c r="M2581" s="15"/>
      <c r="N2581" s="15"/>
      <c r="O2581" s="14"/>
      <c r="P2581" s="14"/>
    </row>
    <row r="2582">
      <c r="A2582" s="14"/>
      <c r="B2582" s="17"/>
      <c r="C2582" s="17"/>
      <c r="D2582" s="17"/>
      <c r="E2582" s="14"/>
      <c r="F2582" s="14"/>
      <c r="G2582" s="14"/>
      <c r="H2582" s="14"/>
      <c r="I2582" s="14"/>
      <c r="J2582" s="14"/>
      <c r="K2582" s="14"/>
      <c r="L2582" s="14"/>
      <c r="M2582" s="15"/>
      <c r="N2582" s="15"/>
      <c r="O2582" s="14"/>
      <c r="P2582" s="14"/>
    </row>
    <row r="2583">
      <c r="A2583" s="14"/>
      <c r="B2583" s="17"/>
      <c r="C2583" s="17"/>
      <c r="D2583" s="17"/>
      <c r="E2583" s="14"/>
      <c r="F2583" s="14"/>
      <c r="G2583" s="14"/>
      <c r="H2583" s="14"/>
      <c r="I2583" s="14"/>
      <c r="J2583" s="14"/>
      <c r="K2583" s="14"/>
      <c r="L2583" s="14"/>
      <c r="M2583" s="15"/>
      <c r="N2583" s="15"/>
      <c r="O2583" s="14"/>
      <c r="P2583" s="14"/>
    </row>
    <row r="2584">
      <c r="A2584" s="14"/>
      <c r="B2584" s="17"/>
      <c r="C2584" s="17"/>
      <c r="D2584" s="17"/>
      <c r="E2584" s="14"/>
      <c r="F2584" s="14"/>
      <c r="G2584" s="14"/>
      <c r="H2584" s="14"/>
      <c r="I2584" s="14"/>
      <c r="J2584" s="14"/>
      <c r="K2584" s="14"/>
      <c r="L2584" s="14"/>
      <c r="M2584" s="15"/>
      <c r="N2584" s="15"/>
      <c r="O2584" s="14"/>
      <c r="P2584" s="14"/>
    </row>
    <row r="2585">
      <c r="A2585" s="14"/>
      <c r="B2585" s="17"/>
      <c r="C2585" s="17"/>
      <c r="D2585" s="17"/>
      <c r="E2585" s="14"/>
      <c r="F2585" s="14"/>
      <c r="G2585" s="14"/>
      <c r="H2585" s="14"/>
      <c r="I2585" s="14"/>
      <c r="J2585" s="14"/>
      <c r="K2585" s="14"/>
      <c r="L2585" s="14"/>
      <c r="M2585" s="15"/>
      <c r="N2585" s="15"/>
      <c r="O2585" s="14"/>
      <c r="P2585" s="14"/>
    </row>
    <row r="2586">
      <c r="A2586" s="14"/>
      <c r="B2586" s="17"/>
      <c r="C2586" s="17"/>
      <c r="D2586" s="17"/>
      <c r="E2586" s="14"/>
      <c r="F2586" s="14"/>
      <c r="G2586" s="14"/>
      <c r="H2586" s="14"/>
      <c r="I2586" s="14"/>
      <c r="J2586" s="14"/>
      <c r="K2586" s="14"/>
      <c r="L2586" s="14"/>
      <c r="M2586" s="15"/>
      <c r="N2586" s="15"/>
      <c r="O2586" s="14"/>
      <c r="P2586" s="14"/>
    </row>
    <row r="2587">
      <c r="A2587" s="14"/>
      <c r="B2587" s="17"/>
      <c r="C2587" s="17"/>
      <c r="D2587" s="17"/>
      <c r="E2587" s="14"/>
      <c r="F2587" s="14"/>
      <c r="G2587" s="14"/>
      <c r="H2587" s="14"/>
      <c r="I2587" s="14"/>
      <c r="J2587" s="14"/>
      <c r="K2587" s="14"/>
      <c r="L2587" s="14"/>
      <c r="M2587" s="15"/>
      <c r="N2587" s="15"/>
      <c r="O2587" s="14"/>
      <c r="P2587" s="14"/>
    </row>
    <row r="2588">
      <c r="A2588" s="14"/>
      <c r="B2588" s="17"/>
      <c r="C2588" s="17"/>
      <c r="D2588" s="17"/>
      <c r="E2588" s="14"/>
      <c r="F2588" s="14"/>
      <c r="G2588" s="14"/>
      <c r="H2588" s="14"/>
      <c r="I2588" s="14"/>
      <c r="J2588" s="14"/>
      <c r="K2588" s="14"/>
      <c r="L2588" s="14"/>
      <c r="M2588" s="15"/>
      <c r="N2588" s="15"/>
      <c r="O2588" s="14"/>
      <c r="P2588" s="14"/>
    </row>
    <row r="2589">
      <c r="A2589" s="14"/>
      <c r="B2589" s="17"/>
      <c r="C2589" s="17"/>
      <c r="D2589" s="17"/>
      <c r="E2589" s="14"/>
      <c r="F2589" s="14"/>
      <c r="G2589" s="14"/>
      <c r="H2589" s="14"/>
      <c r="I2589" s="14"/>
      <c r="J2589" s="14"/>
      <c r="K2589" s="14"/>
      <c r="L2589" s="14"/>
      <c r="M2589" s="15"/>
      <c r="N2589" s="15"/>
      <c r="O2589" s="14"/>
      <c r="P2589" s="14"/>
    </row>
    <row r="2590">
      <c r="A2590" s="14"/>
      <c r="B2590" s="17"/>
      <c r="C2590" s="17"/>
      <c r="D2590" s="17"/>
      <c r="E2590" s="14"/>
      <c r="F2590" s="14"/>
      <c r="G2590" s="14"/>
      <c r="H2590" s="14"/>
      <c r="I2590" s="14"/>
      <c r="J2590" s="14"/>
      <c r="K2590" s="14"/>
      <c r="L2590" s="14"/>
      <c r="M2590" s="15"/>
      <c r="N2590" s="15"/>
      <c r="O2590" s="14"/>
      <c r="P2590" s="14"/>
    </row>
    <row r="2591">
      <c r="A2591" s="14"/>
      <c r="B2591" s="17"/>
      <c r="C2591" s="17"/>
      <c r="D2591" s="17"/>
      <c r="E2591" s="14"/>
      <c r="F2591" s="14"/>
      <c r="G2591" s="14"/>
      <c r="H2591" s="14"/>
      <c r="I2591" s="14"/>
      <c r="J2591" s="14"/>
      <c r="K2591" s="14"/>
      <c r="L2591" s="14"/>
      <c r="M2591" s="15"/>
      <c r="N2591" s="15"/>
      <c r="O2591" s="14"/>
      <c r="P2591" s="14"/>
    </row>
    <row r="2592">
      <c r="A2592" s="14"/>
      <c r="B2592" s="17"/>
      <c r="C2592" s="17"/>
      <c r="D2592" s="17"/>
      <c r="E2592" s="14"/>
      <c r="F2592" s="14"/>
      <c r="G2592" s="14"/>
      <c r="H2592" s="14"/>
      <c r="I2592" s="14"/>
      <c r="J2592" s="14"/>
      <c r="K2592" s="14"/>
      <c r="L2592" s="14"/>
      <c r="M2592" s="15"/>
      <c r="N2592" s="15"/>
      <c r="O2592" s="14"/>
      <c r="P2592" s="14"/>
    </row>
    <row r="2593">
      <c r="A2593" s="14"/>
      <c r="B2593" s="17"/>
      <c r="C2593" s="17"/>
      <c r="D2593" s="17"/>
      <c r="E2593" s="14"/>
      <c r="F2593" s="14"/>
      <c r="G2593" s="14"/>
      <c r="H2593" s="14"/>
      <c r="I2593" s="14"/>
      <c r="J2593" s="14"/>
      <c r="K2593" s="14"/>
      <c r="L2593" s="14"/>
      <c r="M2593" s="15"/>
      <c r="N2593" s="15"/>
      <c r="O2593" s="14"/>
      <c r="P2593" s="14"/>
    </row>
    <row r="2594">
      <c r="A2594" s="14"/>
      <c r="B2594" s="17"/>
      <c r="C2594" s="17"/>
      <c r="D2594" s="17"/>
      <c r="E2594" s="14"/>
      <c r="F2594" s="14"/>
      <c r="G2594" s="14"/>
      <c r="H2594" s="14"/>
      <c r="I2594" s="14"/>
      <c r="J2594" s="14"/>
      <c r="K2594" s="14"/>
      <c r="L2594" s="14"/>
      <c r="M2594" s="15"/>
      <c r="N2594" s="15"/>
      <c r="O2594" s="14"/>
      <c r="P2594" s="14"/>
    </row>
    <row r="2595">
      <c r="A2595" s="14"/>
      <c r="B2595" s="17"/>
      <c r="C2595" s="17"/>
      <c r="D2595" s="17"/>
      <c r="E2595" s="14"/>
      <c r="F2595" s="14"/>
      <c r="G2595" s="14"/>
      <c r="H2595" s="14"/>
      <c r="I2595" s="14"/>
      <c r="J2595" s="14"/>
      <c r="K2595" s="14"/>
      <c r="L2595" s="14"/>
      <c r="M2595" s="15"/>
      <c r="N2595" s="15"/>
      <c r="O2595" s="14"/>
      <c r="P2595" s="14"/>
    </row>
    <row r="2596">
      <c r="A2596" s="14"/>
      <c r="B2596" s="17"/>
      <c r="C2596" s="17"/>
      <c r="D2596" s="17"/>
      <c r="E2596" s="14"/>
      <c r="F2596" s="14"/>
      <c r="G2596" s="14"/>
      <c r="H2596" s="14"/>
      <c r="I2596" s="14"/>
      <c r="J2596" s="14"/>
      <c r="K2596" s="14"/>
      <c r="L2596" s="14"/>
      <c r="M2596" s="15"/>
      <c r="N2596" s="15"/>
      <c r="O2596" s="14"/>
      <c r="P2596" s="14"/>
    </row>
    <row r="2597">
      <c r="A2597" s="14"/>
      <c r="B2597" s="17"/>
      <c r="C2597" s="17"/>
      <c r="D2597" s="17"/>
      <c r="E2597" s="14"/>
      <c r="F2597" s="14"/>
      <c r="G2597" s="14"/>
      <c r="H2597" s="14"/>
      <c r="I2597" s="14"/>
      <c r="J2597" s="14"/>
      <c r="K2597" s="14"/>
      <c r="L2597" s="14"/>
      <c r="M2597" s="15"/>
      <c r="N2597" s="15"/>
      <c r="O2597" s="14"/>
      <c r="P2597" s="14"/>
    </row>
    <row r="2598">
      <c r="A2598" s="14"/>
      <c r="B2598" s="17"/>
      <c r="C2598" s="17"/>
      <c r="D2598" s="17"/>
      <c r="E2598" s="14"/>
      <c r="F2598" s="14"/>
      <c r="G2598" s="14"/>
      <c r="H2598" s="14"/>
      <c r="I2598" s="14"/>
      <c r="J2598" s="14"/>
      <c r="K2598" s="14"/>
      <c r="L2598" s="14"/>
      <c r="M2598" s="15"/>
      <c r="N2598" s="15"/>
      <c r="O2598" s="14"/>
      <c r="P2598" s="14"/>
    </row>
    <row r="2599">
      <c r="A2599" s="14"/>
      <c r="B2599" s="17"/>
      <c r="C2599" s="17"/>
      <c r="D2599" s="17"/>
      <c r="E2599" s="14"/>
      <c r="F2599" s="14"/>
      <c r="G2599" s="14"/>
      <c r="H2599" s="14"/>
      <c r="I2599" s="14"/>
      <c r="J2599" s="14"/>
      <c r="K2599" s="14"/>
      <c r="L2599" s="14"/>
      <c r="M2599" s="15"/>
      <c r="N2599" s="15"/>
      <c r="O2599" s="14"/>
      <c r="P2599" s="14"/>
    </row>
    <row r="2600">
      <c r="A2600" s="14"/>
      <c r="B2600" s="17"/>
      <c r="C2600" s="17"/>
      <c r="D2600" s="17"/>
      <c r="E2600" s="14"/>
      <c r="F2600" s="14"/>
      <c r="G2600" s="14"/>
      <c r="H2600" s="14"/>
      <c r="I2600" s="14"/>
      <c r="J2600" s="14"/>
      <c r="K2600" s="14"/>
      <c r="L2600" s="14"/>
      <c r="M2600" s="15"/>
      <c r="N2600" s="15"/>
      <c r="O2600" s="14"/>
      <c r="P2600" s="14"/>
    </row>
    <row r="2601">
      <c r="A2601" s="14"/>
      <c r="B2601" s="17"/>
      <c r="C2601" s="17"/>
      <c r="D2601" s="17"/>
      <c r="E2601" s="14"/>
      <c r="F2601" s="14"/>
      <c r="G2601" s="14"/>
      <c r="H2601" s="14"/>
      <c r="I2601" s="14"/>
      <c r="J2601" s="14"/>
      <c r="K2601" s="14"/>
      <c r="L2601" s="14"/>
      <c r="M2601" s="15"/>
      <c r="N2601" s="15"/>
      <c r="O2601" s="14"/>
      <c r="P2601" s="14"/>
    </row>
    <row r="2602">
      <c r="A2602" s="14"/>
      <c r="B2602" s="17"/>
      <c r="C2602" s="17"/>
      <c r="D2602" s="17"/>
      <c r="E2602" s="14"/>
      <c r="F2602" s="14"/>
      <c r="G2602" s="14"/>
      <c r="H2602" s="14"/>
      <c r="I2602" s="14"/>
      <c r="J2602" s="14"/>
      <c r="K2602" s="14"/>
      <c r="L2602" s="14"/>
      <c r="M2602" s="15"/>
      <c r="N2602" s="15"/>
      <c r="O2602" s="14"/>
      <c r="P2602" s="14"/>
    </row>
    <row r="2603">
      <c r="A2603" s="14"/>
      <c r="B2603" s="17"/>
      <c r="C2603" s="17"/>
      <c r="D2603" s="17"/>
      <c r="E2603" s="14"/>
      <c r="F2603" s="14"/>
      <c r="G2603" s="14"/>
      <c r="H2603" s="14"/>
      <c r="I2603" s="14"/>
      <c r="J2603" s="14"/>
      <c r="K2603" s="14"/>
      <c r="L2603" s="14"/>
      <c r="M2603" s="15"/>
      <c r="N2603" s="15"/>
      <c r="O2603" s="14"/>
      <c r="P2603" s="14"/>
    </row>
    <row r="2604">
      <c r="A2604" s="14"/>
      <c r="B2604" s="17"/>
      <c r="C2604" s="17"/>
      <c r="D2604" s="17"/>
      <c r="E2604" s="14"/>
      <c r="F2604" s="14"/>
      <c r="G2604" s="14"/>
      <c r="H2604" s="14"/>
      <c r="I2604" s="14"/>
      <c r="J2604" s="14"/>
      <c r="K2604" s="14"/>
      <c r="L2604" s="14"/>
      <c r="M2604" s="15"/>
      <c r="N2604" s="15"/>
      <c r="O2604" s="14"/>
      <c r="P2604" s="14"/>
    </row>
    <row r="2605">
      <c r="A2605" s="14"/>
      <c r="B2605" s="17"/>
      <c r="C2605" s="17"/>
      <c r="D2605" s="17"/>
      <c r="E2605" s="14"/>
      <c r="F2605" s="14"/>
      <c r="G2605" s="14"/>
      <c r="H2605" s="14"/>
      <c r="I2605" s="14"/>
      <c r="J2605" s="14"/>
      <c r="K2605" s="14"/>
      <c r="L2605" s="14"/>
      <c r="M2605" s="15"/>
      <c r="N2605" s="15"/>
      <c r="O2605" s="14"/>
      <c r="P2605" s="14"/>
    </row>
    <row r="2606">
      <c r="A2606" s="14"/>
      <c r="B2606" s="17"/>
      <c r="C2606" s="17"/>
      <c r="D2606" s="17"/>
      <c r="E2606" s="14"/>
      <c r="F2606" s="14"/>
      <c r="G2606" s="14"/>
      <c r="H2606" s="14"/>
      <c r="I2606" s="14"/>
      <c r="J2606" s="14"/>
      <c r="K2606" s="14"/>
      <c r="L2606" s="14"/>
      <c r="M2606" s="15"/>
      <c r="N2606" s="15"/>
      <c r="O2606" s="14"/>
      <c r="P2606" s="14"/>
    </row>
    <row r="2607">
      <c r="A2607" s="14"/>
      <c r="B2607" s="17"/>
      <c r="C2607" s="17"/>
      <c r="D2607" s="17"/>
      <c r="E2607" s="14"/>
      <c r="F2607" s="14"/>
      <c r="G2607" s="14"/>
      <c r="H2607" s="14"/>
      <c r="I2607" s="14"/>
      <c r="J2607" s="14"/>
      <c r="K2607" s="14"/>
      <c r="L2607" s="14"/>
      <c r="M2607" s="15"/>
      <c r="N2607" s="15"/>
      <c r="O2607" s="14"/>
      <c r="P2607" s="14"/>
    </row>
    <row r="2608">
      <c r="A2608" s="14"/>
      <c r="B2608" s="17"/>
      <c r="C2608" s="17"/>
      <c r="D2608" s="17"/>
      <c r="E2608" s="14"/>
      <c r="F2608" s="14"/>
      <c r="G2608" s="14"/>
      <c r="H2608" s="14"/>
      <c r="I2608" s="14"/>
      <c r="J2608" s="14"/>
      <c r="K2608" s="14"/>
      <c r="L2608" s="14"/>
      <c r="M2608" s="15"/>
      <c r="N2608" s="15"/>
      <c r="O2608" s="14"/>
      <c r="P2608" s="14"/>
    </row>
    <row r="2609">
      <c r="A2609" s="14"/>
      <c r="B2609" s="17"/>
      <c r="C2609" s="17"/>
      <c r="D2609" s="17"/>
      <c r="E2609" s="14"/>
      <c r="F2609" s="14"/>
      <c r="G2609" s="14"/>
      <c r="H2609" s="14"/>
      <c r="I2609" s="14"/>
      <c r="J2609" s="14"/>
      <c r="K2609" s="14"/>
      <c r="L2609" s="14"/>
      <c r="M2609" s="15"/>
      <c r="N2609" s="15"/>
      <c r="O2609" s="14"/>
      <c r="P2609" s="14"/>
    </row>
    <row r="2610">
      <c r="A2610" s="14"/>
      <c r="B2610" s="17"/>
      <c r="C2610" s="17"/>
      <c r="D2610" s="17"/>
      <c r="E2610" s="14"/>
      <c r="F2610" s="14"/>
      <c r="G2610" s="14"/>
      <c r="H2610" s="14"/>
      <c r="I2610" s="14"/>
      <c r="J2610" s="14"/>
      <c r="K2610" s="14"/>
      <c r="L2610" s="14"/>
      <c r="M2610" s="15"/>
      <c r="N2610" s="15"/>
      <c r="O2610" s="14"/>
      <c r="P2610" s="14"/>
    </row>
    <row r="2611">
      <c r="A2611" s="14"/>
      <c r="B2611" s="17"/>
      <c r="C2611" s="17"/>
      <c r="D2611" s="17"/>
      <c r="E2611" s="14"/>
      <c r="F2611" s="14"/>
      <c r="G2611" s="14"/>
      <c r="H2611" s="14"/>
      <c r="I2611" s="14"/>
      <c r="J2611" s="14"/>
      <c r="K2611" s="14"/>
      <c r="L2611" s="14"/>
      <c r="M2611" s="15"/>
      <c r="N2611" s="15"/>
      <c r="O2611" s="14"/>
      <c r="P2611" s="14"/>
    </row>
    <row r="2612">
      <c r="A2612" s="14"/>
      <c r="B2612" s="17"/>
      <c r="C2612" s="17"/>
      <c r="D2612" s="17"/>
      <c r="E2612" s="14"/>
      <c r="F2612" s="14"/>
      <c r="G2612" s="14"/>
      <c r="H2612" s="14"/>
      <c r="I2612" s="14"/>
      <c r="J2612" s="14"/>
      <c r="K2612" s="14"/>
      <c r="L2612" s="14"/>
      <c r="M2612" s="15"/>
      <c r="N2612" s="15"/>
      <c r="O2612" s="14"/>
      <c r="P2612" s="14"/>
    </row>
    <row r="2613">
      <c r="A2613" s="14"/>
      <c r="B2613" s="17"/>
      <c r="C2613" s="17"/>
      <c r="D2613" s="17"/>
      <c r="E2613" s="14"/>
      <c r="F2613" s="14"/>
      <c r="G2613" s="14"/>
      <c r="H2613" s="14"/>
      <c r="I2613" s="14"/>
      <c r="J2613" s="14"/>
      <c r="K2613" s="14"/>
      <c r="L2613" s="14"/>
      <c r="M2613" s="15"/>
      <c r="N2613" s="15"/>
      <c r="O2613" s="14"/>
      <c r="P2613" s="14"/>
    </row>
    <row r="2614">
      <c r="A2614" s="14"/>
      <c r="B2614" s="17"/>
      <c r="C2614" s="17"/>
      <c r="D2614" s="17"/>
      <c r="E2614" s="14"/>
      <c r="F2614" s="14"/>
      <c r="G2614" s="14"/>
      <c r="H2614" s="14"/>
      <c r="I2614" s="14"/>
      <c r="J2614" s="14"/>
      <c r="K2614" s="14"/>
      <c r="L2614" s="14"/>
      <c r="M2614" s="15"/>
      <c r="N2614" s="15"/>
      <c r="O2614" s="14"/>
      <c r="P2614" s="14"/>
    </row>
    <row r="2615">
      <c r="A2615" s="14"/>
      <c r="B2615" s="17"/>
      <c r="C2615" s="17"/>
      <c r="D2615" s="17"/>
      <c r="E2615" s="14"/>
      <c r="F2615" s="14"/>
      <c r="G2615" s="14"/>
      <c r="H2615" s="14"/>
      <c r="I2615" s="14"/>
      <c r="J2615" s="14"/>
      <c r="K2615" s="14"/>
      <c r="L2615" s="14"/>
      <c r="M2615" s="15"/>
      <c r="N2615" s="15"/>
      <c r="O2615" s="14"/>
      <c r="P2615" s="14"/>
    </row>
    <row r="2616">
      <c r="A2616" s="14"/>
      <c r="B2616" s="17"/>
      <c r="C2616" s="17"/>
      <c r="D2616" s="17"/>
      <c r="E2616" s="14"/>
      <c r="F2616" s="14"/>
      <c r="G2616" s="14"/>
      <c r="H2616" s="14"/>
      <c r="I2616" s="14"/>
      <c r="J2616" s="14"/>
      <c r="K2616" s="14"/>
      <c r="L2616" s="14"/>
      <c r="M2616" s="15"/>
      <c r="N2616" s="15"/>
      <c r="O2616" s="14"/>
      <c r="P2616" s="14"/>
    </row>
    <row r="2617">
      <c r="A2617" s="14"/>
      <c r="B2617" s="17"/>
      <c r="C2617" s="17"/>
      <c r="D2617" s="17"/>
      <c r="E2617" s="14"/>
      <c r="F2617" s="14"/>
      <c r="G2617" s="14"/>
      <c r="H2617" s="14"/>
      <c r="I2617" s="14"/>
      <c r="J2617" s="14"/>
      <c r="K2617" s="14"/>
      <c r="L2617" s="14"/>
      <c r="M2617" s="15"/>
      <c r="N2617" s="15"/>
      <c r="O2617" s="14"/>
      <c r="P2617" s="14"/>
    </row>
    <row r="2618">
      <c r="A2618" s="14"/>
      <c r="B2618" s="17"/>
      <c r="C2618" s="17"/>
      <c r="D2618" s="17"/>
      <c r="E2618" s="14"/>
      <c r="F2618" s="14"/>
      <c r="G2618" s="14"/>
      <c r="H2618" s="14"/>
      <c r="I2618" s="14"/>
      <c r="J2618" s="14"/>
      <c r="K2618" s="14"/>
      <c r="L2618" s="14"/>
      <c r="M2618" s="15"/>
      <c r="N2618" s="15"/>
      <c r="O2618" s="14"/>
      <c r="P2618" s="14"/>
    </row>
    <row r="2619">
      <c r="A2619" s="14"/>
      <c r="B2619" s="17"/>
      <c r="C2619" s="17"/>
      <c r="D2619" s="17"/>
      <c r="E2619" s="14"/>
      <c r="F2619" s="14"/>
      <c r="G2619" s="14"/>
      <c r="H2619" s="14"/>
      <c r="I2619" s="14"/>
      <c r="J2619" s="14"/>
      <c r="K2619" s="14"/>
      <c r="L2619" s="14"/>
      <c r="M2619" s="15"/>
      <c r="N2619" s="15"/>
      <c r="O2619" s="14"/>
      <c r="P2619" s="14"/>
    </row>
    <row r="2620">
      <c r="A2620" s="14"/>
      <c r="B2620" s="17"/>
      <c r="C2620" s="17"/>
      <c r="D2620" s="17"/>
      <c r="E2620" s="14"/>
      <c r="F2620" s="14"/>
      <c r="G2620" s="14"/>
      <c r="H2620" s="14"/>
      <c r="I2620" s="14"/>
      <c r="J2620" s="14"/>
      <c r="K2620" s="14"/>
      <c r="L2620" s="14"/>
      <c r="M2620" s="15"/>
      <c r="N2620" s="15"/>
      <c r="O2620" s="14"/>
      <c r="P2620" s="14"/>
    </row>
    <row r="2621">
      <c r="A2621" s="14"/>
      <c r="B2621" s="17"/>
      <c r="C2621" s="17"/>
      <c r="D2621" s="17"/>
      <c r="E2621" s="14"/>
      <c r="F2621" s="14"/>
      <c r="G2621" s="14"/>
      <c r="H2621" s="14"/>
      <c r="I2621" s="14"/>
      <c r="J2621" s="14"/>
      <c r="K2621" s="14"/>
      <c r="L2621" s="14"/>
      <c r="M2621" s="15"/>
      <c r="N2621" s="15"/>
      <c r="O2621" s="14"/>
      <c r="P2621" s="14"/>
    </row>
    <row r="2622">
      <c r="A2622" s="14"/>
      <c r="B2622" s="17"/>
      <c r="C2622" s="17"/>
      <c r="D2622" s="17"/>
      <c r="E2622" s="14"/>
      <c r="F2622" s="14"/>
      <c r="G2622" s="14"/>
      <c r="H2622" s="14"/>
      <c r="I2622" s="14"/>
      <c r="J2622" s="14"/>
      <c r="K2622" s="14"/>
      <c r="L2622" s="14"/>
      <c r="M2622" s="15"/>
      <c r="N2622" s="15"/>
      <c r="O2622" s="14"/>
      <c r="P2622" s="14"/>
    </row>
    <row r="2623">
      <c r="A2623" s="14"/>
      <c r="B2623" s="17"/>
      <c r="C2623" s="17"/>
      <c r="D2623" s="17"/>
      <c r="E2623" s="14"/>
      <c r="F2623" s="14"/>
      <c r="G2623" s="14"/>
      <c r="H2623" s="14"/>
      <c r="I2623" s="14"/>
      <c r="J2623" s="14"/>
      <c r="K2623" s="14"/>
      <c r="L2623" s="14"/>
      <c r="M2623" s="15"/>
      <c r="N2623" s="15"/>
      <c r="O2623" s="14"/>
      <c r="P2623" s="14"/>
    </row>
    <row r="2624">
      <c r="A2624" s="14"/>
      <c r="B2624" s="17"/>
      <c r="C2624" s="17"/>
      <c r="D2624" s="17"/>
      <c r="E2624" s="14"/>
      <c r="F2624" s="14"/>
      <c r="G2624" s="14"/>
      <c r="H2624" s="14"/>
      <c r="I2624" s="14"/>
      <c r="J2624" s="14"/>
      <c r="K2624" s="14"/>
      <c r="L2624" s="14"/>
      <c r="M2624" s="15"/>
      <c r="N2624" s="15"/>
      <c r="O2624" s="14"/>
      <c r="P2624" s="14"/>
    </row>
    <row r="2625">
      <c r="A2625" s="14"/>
      <c r="B2625" s="17"/>
      <c r="C2625" s="17"/>
      <c r="D2625" s="17"/>
      <c r="E2625" s="14"/>
      <c r="F2625" s="14"/>
      <c r="G2625" s="14"/>
      <c r="H2625" s="14"/>
      <c r="I2625" s="14"/>
      <c r="J2625" s="14"/>
      <c r="K2625" s="14"/>
      <c r="L2625" s="14"/>
      <c r="M2625" s="15"/>
      <c r="N2625" s="15"/>
      <c r="O2625" s="14"/>
      <c r="P2625" s="14"/>
    </row>
    <row r="2626">
      <c r="A2626" s="14"/>
      <c r="B2626" s="17"/>
      <c r="C2626" s="17"/>
      <c r="D2626" s="17"/>
      <c r="E2626" s="14"/>
      <c r="F2626" s="14"/>
      <c r="G2626" s="14"/>
      <c r="H2626" s="14"/>
      <c r="I2626" s="14"/>
      <c r="J2626" s="14"/>
      <c r="K2626" s="14"/>
      <c r="L2626" s="14"/>
      <c r="M2626" s="15"/>
      <c r="N2626" s="15"/>
      <c r="O2626" s="14"/>
      <c r="P2626" s="14"/>
    </row>
    <row r="2627">
      <c r="A2627" s="14"/>
      <c r="B2627" s="17"/>
      <c r="C2627" s="17"/>
      <c r="D2627" s="17"/>
      <c r="E2627" s="14"/>
      <c r="F2627" s="14"/>
      <c r="G2627" s="14"/>
      <c r="H2627" s="14"/>
      <c r="I2627" s="14"/>
      <c r="J2627" s="14"/>
      <c r="K2627" s="14"/>
      <c r="L2627" s="14"/>
      <c r="M2627" s="15"/>
      <c r="N2627" s="15"/>
      <c r="O2627" s="14"/>
      <c r="P2627" s="14"/>
    </row>
    <row r="2628">
      <c r="A2628" s="14"/>
      <c r="B2628" s="17"/>
      <c r="C2628" s="17"/>
      <c r="D2628" s="17"/>
      <c r="E2628" s="14"/>
      <c r="F2628" s="14"/>
      <c r="G2628" s="14"/>
      <c r="H2628" s="14"/>
      <c r="I2628" s="14"/>
      <c r="J2628" s="14"/>
      <c r="K2628" s="14"/>
      <c r="L2628" s="14"/>
      <c r="M2628" s="15"/>
      <c r="N2628" s="15"/>
      <c r="O2628" s="14"/>
      <c r="P2628" s="14"/>
    </row>
    <row r="2629">
      <c r="A2629" s="14"/>
      <c r="B2629" s="17"/>
      <c r="C2629" s="17"/>
      <c r="D2629" s="17"/>
      <c r="E2629" s="14"/>
      <c r="F2629" s="14"/>
      <c r="G2629" s="14"/>
      <c r="H2629" s="14"/>
      <c r="I2629" s="14"/>
      <c r="J2629" s="14"/>
      <c r="K2629" s="14"/>
      <c r="L2629" s="14"/>
      <c r="M2629" s="15"/>
      <c r="N2629" s="15"/>
      <c r="O2629" s="14"/>
      <c r="P2629" s="14"/>
    </row>
    <row r="2630">
      <c r="A2630" s="14"/>
      <c r="B2630" s="17"/>
      <c r="C2630" s="17"/>
      <c r="D2630" s="17"/>
      <c r="E2630" s="14"/>
      <c r="F2630" s="14"/>
      <c r="G2630" s="14"/>
      <c r="H2630" s="14"/>
      <c r="I2630" s="14"/>
      <c r="J2630" s="14"/>
      <c r="K2630" s="14"/>
      <c r="L2630" s="14"/>
      <c r="M2630" s="15"/>
      <c r="N2630" s="15"/>
      <c r="O2630" s="14"/>
      <c r="P2630" s="14"/>
    </row>
    <row r="2631">
      <c r="A2631" s="14"/>
      <c r="B2631" s="17"/>
      <c r="C2631" s="17"/>
      <c r="D2631" s="17"/>
      <c r="E2631" s="14"/>
      <c r="F2631" s="14"/>
      <c r="G2631" s="14"/>
      <c r="H2631" s="14"/>
      <c r="I2631" s="14"/>
      <c r="J2631" s="14"/>
      <c r="K2631" s="14"/>
      <c r="L2631" s="14"/>
      <c r="M2631" s="15"/>
      <c r="N2631" s="15"/>
      <c r="O2631" s="14"/>
      <c r="P2631" s="14"/>
    </row>
    <row r="2632">
      <c r="A2632" s="14"/>
      <c r="B2632" s="17"/>
      <c r="C2632" s="17"/>
      <c r="D2632" s="17"/>
      <c r="E2632" s="14"/>
      <c r="F2632" s="14"/>
      <c r="G2632" s="14"/>
      <c r="H2632" s="14"/>
      <c r="I2632" s="14"/>
      <c r="J2632" s="14"/>
      <c r="K2632" s="14"/>
      <c r="L2632" s="14"/>
      <c r="M2632" s="15"/>
      <c r="N2632" s="15"/>
      <c r="O2632" s="14"/>
      <c r="P2632" s="14"/>
    </row>
    <row r="2633">
      <c r="A2633" s="14"/>
      <c r="B2633" s="17"/>
      <c r="C2633" s="17"/>
      <c r="D2633" s="17"/>
      <c r="E2633" s="14"/>
      <c r="F2633" s="14"/>
      <c r="G2633" s="14"/>
      <c r="H2633" s="14"/>
      <c r="I2633" s="14"/>
      <c r="J2633" s="14"/>
      <c r="K2633" s="14"/>
      <c r="L2633" s="14"/>
      <c r="M2633" s="15"/>
      <c r="N2633" s="15"/>
      <c r="O2633" s="14"/>
      <c r="P2633" s="14"/>
    </row>
    <row r="2634">
      <c r="A2634" s="14"/>
      <c r="B2634" s="17"/>
      <c r="C2634" s="17"/>
      <c r="D2634" s="17"/>
      <c r="E2634" s="14"/>
      <c r="F2634" s="14"/>
      <c r="G2634" s="14"/>
      <c r="H2634" s="14"/>
      <c r="I2634" s="14"/>
      <c r="J2634" s="14"/>
      <c r="K2634" s="14"/>
      <c r="L2634" s="14"/>
      <c r="M2634" s="15"/>
      <c r="N2634" s="15"/>
      <c r="O2634" s="14"/>
      <c r="P2634" s="14"/>
    </row>
    <row r="2635">
      <c r="A2635" s="14"/>
      <c r="B2635" s="17"/>
      <c r="C2635" s="17"/>
      <c r="D2635" s="17"/>
      <c r="E2635" s="14"/>
      <c r="F2635" s="14"/>
      <c r="G2635" s="14"/>
      <c r="H2635" s="14"/>
      <c r="I2635" s="14"/>
      <c r="J2635" s="14"/>
      <c r="K2635" s="14"/>
      <c r="L2635" s="14"/>
      <c r="M2635" s="15"/>
      <c r="N2635" s="15"/>
      <c r="O2635" s="14"/>
      <c r="P2635" s="14"/>
    </row>
    <row r="2636">
      <c r="A2636" s="14"/>
      <c r="B2636" s="17"/>
      <c r="C2636" s="17"/>
      <c r="D2636" s="17"/>
      <c r="E2636" s="14"/>
      <c r="F2636" s="14"/>
      <c r="G2636" s="14"/>
      <c r="H2636" s="14"/>
      <c r="I2636" s="14"/>
      <c r="J2636" s="14"/>
      <c r="K2636" s="14"/>
      <c r="L2636" s="14"/>
      <c r="M2636" s="15"/>
      <c r="N2636" s="15"/>
      <c r="O2636" s="14"/>
      <c r="P2636" s="14"/>
    </row>
    <row r="2637">
      <c r="A2637" s="14"/>
      <c r="B2637" s="17"/>
      <c r="C2637" s="17"/>
      <c r="D2637" s="17"/>
      <c r="E2637" s="14"/>
      <c r="F2637" s="14"/>
      <c r="G2637" s="14"/>
      <c r="H2637" s="14"/>
      <c r="I2637" s="14"/>
      <c r="J2637" s="14"/>
      <c r="K2637" s="14"/>
      <c r="L2637" s="14"/>
      <c r="M2637" s="15"/>
      <c r="N2637" s="15"/>
      <c r="O2637" s="14"/>
      <c r="P2637" s="14"/>
    </row>
    <row r="2638">
      <c r="A2638" s="14"/>
      <c r="B2638" s="17"/>
      <c r="C2638" s="17"/>
      <c r="D2638" s="17"/>
      <c r="E2638" s="14"/>
      <c r="F2638" s="14"/>
      <c r="G2638" s="14"/>
      <c r="H2638" s="14"/>
      <c r="I2638" s="14"/>
      <c r="J2638" s="14"/>
      <c r="K2638" s="14"/>
      <c r="L2638" s="14"/>
      <c r="M2638" s="15"/>
      <c r="N2638" s="15"/>
      <c r="O2638" s="14"/>
      <c r="P2638" s="14"/>
    </row>
    <row r="2639">
      <c r="A2639" s="14"/>
      <c r="B2639" s="17"/>
      <c r="C2639" s="17"/>
      <c r="D2639" s="17"/>
      <c r="E2639" s="14"/>
      <c r="F2639" s="14"/>
      <c r="G2639" s="14"/>
      <c r="H2639" s="14"/>
      <c r="I2639" s="14"/>
      <c r="J2639" s="14"/>
      <c r="K2639" s="14"/>
      <c r="L2639" s="14"/>
      <c r="M2639" s="15"/>
      <c r="N2639" s="15"/>
      <c r="O2639" s="14"/>
      <c r="P2639" s="14"/>
    </row>
    <row r="2640">
      <c r="A2640" s="14"/>
      <c r="B2640" s="17"/>
      <c r="C2640" s="17"/>
      <c r="D2640" s="17"/>
      <c r="E2640" s="14"/>
      <c r="F2640" s="14"/>
      <c r="G2640" s="14"/>
      <c r="H2640" s="14"/>
      <c r="I2640" s="14"/>
      <c r="J2640" s="14"/>
      <c r="K2640" s="14"/>
      <c r="L2640" s="14"/>
      <c r="M2640" s="15"/>
      <c r="N2640" s="15"/>
      <c r="O2640" s="14"/>
      <c r="P2640" s="14"/>
    </row>
    <row r="2641">
      <c r="A2641" s="14"/>
      <c r="B2641" s="17"/>
      <c r="C2641" s="17"/>
      <c r="D2641" s="17"/>
      <c r="E2641" s="14"/>
      <c r="F2641" s="14"/>
      <c r="G2641" s="14"/>
      <c r="H2641" s="14"/>
      <c r="I2641" s="14"/>
      <c r="J2641" s="14"/>
      <c r="K2641" s="14"/>
      <c r="L2641" s="14"/>
      <c r="M2641" s="15"/>
      <c r="N2641" s="15"/>
      <c r="O2641" s="14"/>
      <c r="P2641" s="14"/>
    </row>
    <row r="2642">
      <c r="A2642" s="14"/>
      <c r="B2642" s="17"/>
      <c r="C2642" s="17"/>
      <c r="D2642" s="17"/>
      <c r="E2642" s="14"/>
      <c r="F2642" s="14"/>
      <c r="G2642" s="14"/>
      <c r="H2642" s="14"/>
      <c r="I2642" s="14"/>
      <c r="J2642" s="14"/>
      <c r="K2642" s="14"/>
      <c r="L2642" s="14"/>
      <c r="M2642" s="15"/>
      <c r="N2642" s="15"/>
      <c r="O2642" s="14"/>
      <c r="P2642" s="14"/>
    </row>
    <row r="2643">
      <c r="A2643" s="14"/>
      <c r="B2643" s="17"/>
      <c r="C2643" s="17"/>
      <c r="D2643" s="17"/>
      <c r="E2643" s="14"/>
      <c r="F2643" s="14"/>
      <c r="G2643" s="14"/>
      <c r="H2643" s="14"/>
      <c r="I2643" s="14"/>
      <c r="J2643" s="14"/>
      <c r="K2643" s="14"/>
      <c r="L2643" s="14"/>
      <c r="M2643" s="15"/>
      <c r="N2643" s="15"/>
      <c r="O2643" s="14"/>
      <c r="P2643" s="14"/>
    </row>
    <row r="2644">
      <c r="A2644" s="14"/>
      <c r="B2644" s="17"/>
      <c r="C2644" s="17"/>
      <c r="D2644" s="17"/>
      <c r="E2644" s="14"/>
      <c r="F2644" s="14"/>
      <c r="G2644" s="14"/>
      <c r="H2644" s="14"/>
      <c r="I2644" s="14"/>
      <c r="J2644" s="14"/>
      <c r="K2644" s="14"/>
      <c r="L2644" s="14"/>
      <c r="M2644" s="15"/>
      <c r="N2644" s="15"/>
      <c r="O2644" s="14"/>
      <c r="P2644" s="14"/>
    </row>
    <row r="2645">
      <c r="A2645" s="14"/>
      <c r="B2645" s="17"/>
      <c r="C2645" s="17"/>
      <c r="D2645" s="17"/>
      <c r="E2645" s="14"/>
      <c r="F2645" s="14"/>
      <c r="G2645" s="14"/>
      <c r="H2645" s="14"/>
      <c r="I2645" s="14"/>
      <c r="J2645" s="14"/>
      <c r="K2645" s="14"/>
      <c r="L2645" s="14"/>
      <c r="M2645" s="15"/>
      <c r="N2645" s="15"/>
      <c r="O2645" s="14"/>
      <c r="P2645" s="14"/>
    </row>
    <row r="2646">
      <c r="A2646" s="14"/>
      <c r="B2646" s="17"/>
      <c r="C2646" s="17"/>
      <c r="D2646" s="17"/>
      <c r="E2646" s="14"/>
      <c r="F2646" s="14"/>
      <c r="G2646" s="14"/>
      <c r="H2646" s="14"/>
      <c r="I2646" s="14"/>
      <c r="J2646" s="14"/>
      <c r="K2646" s="14"/>
      <c r="L2646" s="14"/>
      <c r="M2646" s="15"/>
      <c r="N2646" s="15"/>
      <c r="O2646" s="14"/>
      <c r="P2646" s="14"/>
    </row>
    <row r="2647">
      <c r="A2647" s="14"/>
      <c r="B2647" s="17"/>
      <c r="C2647" s="17"/>
      <c r="D2647" s="17"/>
      <c r="E2647" s="14"/>
      <c r="F2647" s="14"/>
      <c r="G2647" s="14"/>
      <c r="H2647" s="14"/>
      <c r="I2647" s="14"/>
      <c r="J2647" s="14"/>
      <c r="K2647" s="14"/>
      <c r="L2647" s="14"/>
      <c r="M2647" s="15"/>
      <c r="N2647" s="15"/>
      <c r="O2647" s="14"/>
      <c r="P2647" s="14"/>
    </row>
    <row r="2648">
      <c r="A2648" s="14"/>
      <c r="B2648" s="17"/>
      <c r="C2648" s="17"/>
      <c r="D2648" s="17"/>
      <c r="E2648" s="14"/>
      <c r="F2648" s="14"/>
      <c r="G2648" s="14"/>
      <c r="H2648" s="14"/>
      <c r="I2648" s="14"/>
      <c r="J2648" s="14"/>
      <c r="K2648" s="14"/>
      <c r="L2648" s="14"/>
      <c r="M2648" s="15"/>
      <c r="N2648" s="15"/>
      <c r="O2648" s="14"/>
      <c r="P2648" s="14"/>
    </row>
    <row r="2649">
      <c r="A2649" s="14"/>
      <c r="B2649" s="17"/>
      <c r="C2649" s="17"/>
      <c r="D2649" s="17"/>
      <c r="E2649" s="14"/>
      <c r="F2649" s="14"/>
      <c r="G2649" s="14"/>
      <c r="H2649" s="14"/>
      <c r="I2649" s="14"/>
      <c r="J2649" s="14"/>
      <c r="K2649" s="14"/>
      <c r="L2649" s="14"/>
      <c r="M2649" s="15"/>
      <c r="N2649" s="15"/>
      <c r="O2649" s="14"/>
      <c r="P2649" s="14"/>
    </row>
    <row r="2650">
      <c r="A2650" s="14"/>
      <c r="B2650" s="17"/>
      <c r="C2650" s="17"/>
      <c r="D2650" s="17"/>
      <c r="E2650" s="14"/>
      <c r="F2650" s="14"/>
      <c r="G2650" s="14"/>
      <c r="H2650" s="14"/>
      <c r="I2650" s="14"/>
      <c r="J2650" s="14"/>
      <c r="K2650" s="14"/>
      <c r="L2650" s="14"/>
      <c r="M2650" s="15"/>
      <c r="N2650" s="15"/>
      <c r="O2650" s="14"/>
      <c r="P2650" s="14"/>
    </row>
    <row r="2651">
      <c r="A2651" s="14"/>
      <c r="B2651" s="17"/>
      <c r="C2651" s="17"/>
      <c r="D2651" s="17"/>
      <c r="E2651" s="14"/>
      <c r="F2651" s="14"/>
      <c r="G2651" s="14"/>
      <c r="H2651" s="14"/>
      <c r="I2651" s="14"/>
      <c r="J2651" s="14"/>
      <c r="K2651" s="14"/>
      <c r="L2651" s="14"/>
      <c r="M2651" s="15"/>
      <c r="N2651" s="15"/>
      <c r="O2651" s="14"/>
      <c r="P2651" s="14"/>
    </row>
    <row r="2652">
      <c r="A2652" s="14"/>
      <c r="B2652" s="17"/>
      <c r="C2652" s="17"/>
      <c r="D2652" s="17"/>
      <c r="E2652" s="14"/>
      <c r="F2652" s="14"/>
      <c r="G2652" s="14"/>
      <c r="H2652" s="14"/>
      <c r="I2652" s="14"/>
      <c r="J2652" s="14"/>
      <c r="K2652" s="14"/>
      <c r="L2652" s="14"/>
      <c r="M2652" s="15"/>
      <c r="N2652" s="15"/>
      <c r="O2652" s="14"/>
      <c r="P2652" s="14"/>
    </row>
    <row r="2653">
      <c r="A2653" s="14"/>
      <c r="B2653" s="17"/>
      <c r="C2653" s="17"/>
      <c r="D2653" s="17"/>
      <c r="E2653" s="14"/>
      <c r="F2653" s="14"/>
      <c r="G2653" s="14"/>
      <c r="H2653" s="14"/>
      <c r="I2653" s="14"/>
      <c r="J2653" s="14"/>
      <c r="K2653" s="14"/>
      <c r="L2653" s="14"/>
      <c r="M2653" s="15"/>
      <c r="N2653" s="15"/>
      <c r="O2653" s="14"/>
      <c r="P2653" s="14"/>
    </row>
    <row r="2654">
      <c r="A2654" s="14"/>
      <c r="B2654" s="17"/>
      <c r="C2654" s="17"/>
      <c r="D2654" s="17"/>
      <c r="E2654" s="14"/>
      <c r="F2654" s="14"/>
      <c r="G2654" s="14"/>
      <c r="H2654" s="14"/>
      <c r="I2654" s="14"/>
      <c r="J2654" s="14"/>
      <c r="K2654" s="14"/>
      <c r="L2654" s="14"/>
      <c r="M2654" s="15"/>
      <c r="N2654" s="15"/>
      <c r="O2654" s="14"/>
      <c r="P2654" s="14"/>
    </row>
    <row r="2655">
      <c r="A2655" s="14"/>
      <c r="B2655" s="17"/>
      <c r="C2655" s="17"/>
      <c r="D2655" s="17"/>
      <c r="E2655" s="14"/>
      <c r="F2655" s="14"/>
      <c r="G2655" s="14"/>
      <c r="H2655" s="14"/>
      <c r="I2655" s="14"/>
      <c r="J2655" s="14"/>
      <c r="K2655" s="14"/>
      <c r="L2655" s="14"/>
      <c r="M2655" s="15"/>
      <c r="N2655" s="15"/>
      <c r="O2655" s="14"/>
      <c r="P2655" s="14"/>
    </row>
    <row r="2656">
      <c r="A2656" s="14"/>
      <c r="B2656" s="17"/>
      <c r="C2656" s="17"/>
      <c r="D2656" s="17"/>
      <c r="E2656" s="14"/>
      <c r="F2656" s="14"/>
      <c r="G2656" s="14"/>
      <c r="H2656" s="14"/>
      <c r="I2656" s="14"/>
      <c r="J2656" s="14"/>
      <c r="K2656" s="14"/>
      <c r="L2656" s="14"/>
      <c r="M2656" s="15"/>
      <c r="N2656" s="15"/>
      <c r="O2656" s="14"/>
      <c r="P2656" s="14"/>
    </row>
    <row r="2657">
      <c r="A2657" s="14"/>
      <c r="B2657" s="17"/>
      <c r="C2657" s="17"/>
      <c r="D2657" s="17"/>
      <c r="E2657" s="14"/>
      <c r="F2657" s="14"/>
      <c r="G2657" s="14"/>
      <c r="H2657" s="14"/>
      <c r="I2657" s="14"/>
      <c r="J2657" s="14"/>
      <c r="K2657" s="14"/>
      <c r="L2657" s="14"/>
      <c r="M2657" s="15"/>
      <c r="N2657" s="15"/>
      <c r="O2657" s="14"/>
      <c r="P2657" s="14"/>
    </row>
    <row r="2658">
      <c r="A2658" s="14"/>
      <c r="B2658" s="17"/>
      <c r="C2658" s="17"/>
      <c r="D2658" s="17"/>
      <c r="E2658" s="14"/>
      <c r="F2658" s="14"/>
      <c r="G2658" s="14"/>
      <c r="H2658" s="14"/>
      <c r="I2658" s="14"/>
      <c r="J2658" s="14"/>
      <c r="K2658" s="14"/>
      <c r="L2658" s="14"/>
      <c r="M2658" s="15"/>
      <c r="N2658" s="15"/>
      <c r="O2658" s="14"/>
      <c r="P2658" s="14"/>
    </row>
    <row r="2659">
      <c r="A2659" s="14"/>
      <c r="B2659" s="17"/>
      <c r="C2659" s="17"/>
      <c r="D2659" s="17"/>
      <c r="E2659" s="14"/>
      <c r="F2659" s="14"/>
      <c r="G2659" s="14"/>
      <c r="H2659" s="14"/>
      <c r="I2659" s="14"/>
      <c r="J2659" s="14"/>
      <c r="K2659" s="14"/>
      <c r="L2659" s="14"/>
      <c r="M2659" s="15"/>
      <c r="N2659" s="15"/>
      <c r="O2659" s="14"/>
      <c r="P2659" s="14"/>
    </row>
    <row r="2660">
      <c r="A2660" s="14"/>
      <c r="B2660" s="17"/>
      <c r="C2660" s="17"/>
      <c r="D2660" s="17"/>
      <c r="E2660" s="14"/>
      <c r="F2660" s="14"/>
      <c r="G2660" s="14"/>
      <c r="H2660" s="14"/>
      <c r="I2660" s="14"/>
      <c r="J2660" s="14"/>
      <c r="K2660" s="14"/>
      <c r="L2660" s="14"/>
      <c r="M2660" s="15"/>
      <c r="N2660" s="15"/>
      <c r="O2660" s="14"/>
      <c r="P2660" s="14"/>
    </row>
    <row r="2661">
      <c r="A2661" s="14"/>
      <c r="B2661" s="17"/>
      <c r="C2661" s="17"/>
      <c r="D2661" s="17"/>
      <c r="E2661" s="14"/>
      <c r="F2661" s="14"/>
      <c r="G2661" s="14"/>
      <c r="H2661" s="14"/>
      <c r="I2661" s="14"/>
      <c r="J2661" s="14"/>
      <c r="K2661" s="14"/>
      <c r="L2661" s="14"/>
      <c r="M2661" s="15"/>
      <c r="N2661" s="15"/>
      <c r="O2661" s="14"/>
      <c r="P2661" s="14"/>
    </row>
    <row r="2662">
      <c r="A2662" s="14"/>
      <c r="B2662" s="17"/>
      <c r="C2662" s="17"/>
      <c r="D2662" s="17"/>
      <c r="E2662" s="14"/>
      <c r="F2662" s="14"/>
      <c r="G2662" s="14"/>
      <c r="H2662" s="14"/>
      <c r="I2662" s="14"/>
      <c r="J2662" s="14"/>
      <c r="K2662" s="14"/>
      <c r="L2662" s="14"/>
      <c r="M2662" s="15"/>
      <c r="N2662" s="15"/>
      <c r="O2662" s="14"/>
      <c r="P2662" s="14"/>
    </row>
    <row r="2663">
      <c r="A2663" s="14"/>
      <c r="B2663" s="17"/>
      <c r="C2663" s="17"/>
      <c r="D2663" s="17"/>
      <c r="E2663" s="14"/>
      <c r="F2663" s="14"/>
      <c r="G2663" s="14"/>
      <c r="H2663" s="14"/>
      <c r="I2663" s="14"/>
      <c r="J2663" s="14"/>
      <c r="K2663" s="14"/>
      <c r="L2663" s="14"/>
      <c r="M2663" s="15"/>
      <c r="N2663" s="15"/>
      <c r="O2663" s="14"/>
      <c r="P2663" s="14"/>
    </row>
    <row r="2664">
      <c r="A2664" s="14"/>
      <c r="B2664" s="17"/>
      <c r="C2664" s="17"/>
      <c r="D2664" s="17"/>
      <c r="E2664" s="14"/>
      <c r="F2664" s="14"/>
      <c r="G2664" s="14"/>
      <c r="H2664" s="14"/>
      <c r="I2664" s="14"/>
      <c r="J2664" s="14"/>
      <c r="K2664" s="14"/>
      <c r="L2664" s="14"/>
      <c r="M2664" s="15"/>
      <c r="N2664" s="15"/>
      <c r="O2664" s="14"/>
      <c r="P2664" s="14"/>
    </row>
    <row r="2665">
      <c r="A2665" s="14"/>
      <c r="B2665" s="17"/>
      <c r="C2665" s="17"/>
      <c r="D2665" s="17"/>
      <c r="E2665" s="14"/>
      <c r="F2665" s="14"/>
      <c r="G2665" s="14"/>
      <c r="H2665" s="14"/>
      <c r="I2665" s="14"/>
      <c r="J2665" s="14"/>
      <c r="K2665" s="14"/>
      <c r="L2665" s="14"/>
      <c r="M2665" s="15"/>
      <c r="N2665" s="15"/>
      <c r="O2665" s="14"/>
      <c r="P2665" s="14"/>
    </row>
    <row r="2666">
      <c r="A2666" s="14"/>
      <c r="B2666" s="17"/>
      <c r="C2666" s="17"/>
      <c r="D2666" s="17"/>
      <c r="E2666" s="14"/>
      <c r="F2666" s="14"/>
      <c r="G2666" s="14"/>
      <c r="H2666" s="14"/>
      <c r="I2666" s="14"/>
      <c r="J2666" s="14"/>
      <c r="K2666" s="14"/>
      <c r="L2666" s="14"/>
      <c r="M2666" s="15"/>
      <c r="N2666" s="15"/>
      <c r="O2666" s="14"/>
      <c r="P2666" s="14"/>
    </row>
    <row r="2667">
      <c r="A2667" s="14"/>
      <c r="B2667" s="17"/>
      <c r="C2667" s="17"/>
      <c r="D2667" s="17"/>
      <c r="E2667" s="14"/>
      <c r="F2667" s="14"/>
      <c r="G2667" s="14"/>
      <c r="H2667" s="14"/>
      <c r="I2667" s="14"/>
      <c r="J2667" s="14"/>
      <c r="K2667" s="14"/>
      <c r="L2667" s="14"/>
      <c r="M2667" s="15"/>
      <c r="N2667" s="15"/>
      <c r="O2667" s="14"/>
      <c r="P2667" s="14"/>
    </row>
    <row r="2668">
      <c r="A2668" s="14"/>
      <c r="B2668" s="17"/>
      <c r="C2668" s="17"/>
      <c r="D2668" s="17"/>
      <c r="E2668" s="14"/>
      <c r="F2668" s="14"/>
      <c r="G2668" s="14"/>
      <c r="H2668" s="14"/>
      <c r="I2668" s="14"/>
      <c r="J2668" s="14"/>
      <c r="K2668" s="14"/>
      <c r="L2668" s="14"/>
      <c r="M2668" s="15"/>
      <c r="N2668" s="15"/>
      <c r="O2668" s="14"/>
      <c r="P2668" s="14"/>
    </row>
    <row r="2669">
      <c r="A2669" s="14"/>
      <c r="B2669" s="17"/>
      <c r="C2669" s="17"/>
      <c r="D2669" s="17"/>
      <c r="E2669" s="14"/>
      <c r="F2669" s="14"/>
      <c r="G2669" s="14"/>
      <c r="H2669" s="14"/>
      <c r="I2669" s="14"/>
      <c r="J2669" s="14"/>
      <c r="K2669" s="14"/>
      <c r="L2669" s="14"/>
      <c r="M2669" s="15"/>
      <c r="N2669" s="15"/>
      <c r="O2669" s="14"/>
      <c r="P2669" s="14"/>
    </row>
    <row r="2670">
      <c r="A2670" s="14"/>
      <c r="B2670" s="17"/>
      <c r="C2670" s="17"/>
      <c r="D2670" s="17"/>
      <c r="E2670" s="14"/>
      <c r="F2670" s="14"/>
      <c r="G2670" s="14"/>
      <c r="H2670" s="14"/>
      <c r="I2670" s="14"/>
      <c r="J2670" s="14"/>
      <c r="K2670" s="14"/>
      <c r="L2670" s="14"/>
      <c r="M2670" s="15"/>
      <c r="N2670" s="15"/>
      <c r="O2670" s="14"/>
      <c r="P2670" s="14"/>
    </row>
    <row r="2671">
      <c r="A2671" s="14"/>
      <c r="B2671" s="17"/>
      <c r="C2671" s="17"/>
      <c r="D2671" s="17"/>
      <c r="E2671" s="14"/>
      <c r="F2671" s="14"/>
      <c r="G2671" s="14"/>
      <c r="H2671" s="14"/>
      <c r="I2671" s="14"/>
      <c r="J2671" s="14"/>
      <c r="K2671" s="14"/>
      <c r="L2671" s="14"/>
      <c r="M2671" s="15"/>
      <c r="N2671" s="15"/>
      <c r="O2671" s="14"/>
      <c r="P2671" s="14"/>
    </row>
    <row r="2672">
      <c r="A2672" s="14"/>
      <c r="B2672" s="17"/>
      <c r="C2672" s="17"/>
      <c r="D2672" s="17"/>
      <c r="E2672" s="14"/>
      <c r="F2672" s="14"/>
      <c r="G2672" s="14"/>
      <c r="H2672" s="14"/>
      <c r="I2672" s="14"/>
      <c r="J2672" s="14"/>
      <c r="K2672" s="14"/>
      <c r="L2672" s="14"/>
      <c r="M2672" s="15"/>
      <c r="N2672" s="15"/>
      <c r="O2672" s="14"/>
      <c r="P2672" s="14"/>
    </row>
    <row r="2673">
      <c r="A2673" s="14"/>
      <c r="B2673" s="17"/>
      <c r="C2673" s="17"/>
      <c r="D2673" s="17"/>
      <c r="E2673" s="14"/>
      <c r="F2673" s="14"/>
      <c r="G2673" s="14"/>
      <c r="H2673" s="14"/>
      <c r="I2673" s="14"/>
      <c r="J2673" s="14"/>
      <c r="K2673" s="14"/>
      <c r="L2673" s="14"/>
      <c r="M2673" s="15"/>
      <c r="N2673" s="15"/>
      <c r="O2673" s="14"/>
      <c r="P2673" s="14"/>
    </row>
    <row r="2674">
      <c r="A2674" s="14"/>
      <c r="B2674" s="17"/>
      <c r="C2674" s="17"/>
      <c r="D2674" s="17"/>
      <c r="E2674" s="14"/>
      <c r="F2674" s="14"/>
      <c r="G2674" s="14"/>
      <c r="H2674" s="14"/>
      <c r="I2674" s="14"/>
      <c r="J2674" s="14"/>
      <c r="K2674" s="14"/>
      <c r="L2674" s="14"/>
      <c r="M2674" s="15"/>
      <c r="N2674" s="15"/>
      <c r="O2674" s="14"/>
      <c r="P2674" s="14"/>
    </row>
    <row r="2675">
      <c r="A2675" s="14"/>
      <c r="B2675" s="17"/>
      <c r="C2675" s="17"/>
      <c r="D2675" s="17"/>
      <c r="E2675" s="14"/>
      <c r="F2675" s="14"/>
      <c r="G2675" s="14"/>
      <c r="H2675" s="14"/>
      <c r="I2675" s="14"/>
      <c r="J2675" s="14"/>
      <c r="K2675" s="14"/>
      <c r="L2675" s="14"/>
      <c r="M2675" s="15"/>
      <c r="N2675" s="15"/>
      <c r="O2675" s="14"/>
      <c r="P2675" s="14"/>
    </row>
    <row r="2676">
      <c r="A2676" s="14"/>
      <c r="B2676" s="17"/>
      <c r="C2676" s="17"/>
      <c r="D2676" s="17"/>
      <c r="E2676" s="14"/>
      <c r="F2676" s="14"/>
      <c r="G2676" s="14"/>
      <c r="H2676" s="14"/>
      <c r="I2676" s="14"/>
      <c r="J2676" s="14"/>
      <c r="K2676" s="14"/>
      <c r="L2676" s="14"/>
      <c r="M2676" s="15"/>
      <c r="N2676" s="15"/>
      <c r="O2676" s="14"/>
      <c r="P2676" s="14"/>
    </row>
    <row r="2677">
      <c r="A2677" s="14"/>
      <c r="B2677" s="17"/>
      <c r="C2677" s="17"/>
      <c r="D2677" s="17"/>
      <c r="E2677" s="14"/>
      <c r="F2677" s="14"/>
      <c r="G2677" s="14"/>
      <c r="H2677" s="14"/>
      <c r="I2677" s="14"/>
      <c r="J2677" s="14"/>
      <c r="K2677" s="14"/>
      <c r="L2677" s="14"/>
      <c r="M2677" s="15"/>
      <c r="N2677" s="15"/>
      <c r="O2677" s="14"/>
      <c r="P2677" s="14"/>
    </row>
    <row r="2678">
      <c r="A2678" s="14"/>
      <c r="B2678" s="17"/>
      <c r="C2678" s="17"/>
      <c r="D2678" s="17"/>
      <c r="E2678" s="14"/>
      <c r="F2678" s="14"/>
      <c r="G2678" s="14"/>
      <c r="H2678" s="14"/>
      <c r="I2678" s="14"/>
      <c r="J2678" s="14"/>
      <c r="K2678" s="14"/>
      <c r="L2678" s="14"/>
      <c r="M2678" s="15"/>
      <c r="N2678" s="15"/>
      <c r="O2678" s="14"/>
      <c r="P2678" s="14"/>
    </row>
    <row r="2679">
      <c r="A2679" s="14"/>
      <c r="B2679" s="17"/>
      <c r="C2679" s="17"/>
      <c r="D2679" s="17"/>
      <c r="E2679" s="14"/>
      <c r="F2679" s="14"/>
      <c r="G2679" s="14"/>
      <c r="H2679" s="14"/>
      <c r="I2679" s="14"/>
      <c r="J2679" s="14"/>
      <c r="K2679" s="14"/>
      <c r="L2679" s="14"/>
      <c r="M2679" s="15"/>
      <c r="N2679" s="15"/>
      <c r="O2679" s="14"/>
      <c r="P2679" s="14"/>
    </row>
    <row r="2680">
      <c r="A2680" s="14"/>
      <c r="B2680" s="17"/>
      <c r="C2680" s="17"/>
      <c r="D2680" s="17"/>
      <c r="E2680" s="14"/>
      <c r="F2680" s="14"/>
      <c r="G2680" s="14"/>
      <c r="H2680" s="14"/>
      <c r="I2680" s="14"/>
      <c r="J2680" s="14"/>
      <c r="K2680" s="14"/>
      <c r="L2680" s="14"/>
      <c r="M2680" s="15"/>
      <c r="N2680" s="15"/>
      <c r="O2680" s="14"/>
      <c r="P2680" s="14"/>
    </row>
    <row r="2681">
      <c r="A2681" s="14"/>
      <c r="B2681" s="17"/>
      <c r="C2681" s="17"/>
      <c r="D2681" s="17"/>
      <c r="E2681" s="14"/>
      <c r="F2681" s="14"/>
      <c r="G2681" s="14"/>
      <c r="H2681" s="14"/>
      <c r="I2681" s="14"/>
      <c r="J2681" s="14"/>
      <c r="K2681" s="14"/>
      <c r="L2681" s="14"/>
      <c r="M2681" s="15"/>
      <c r="N2681" s="15"/>
      <c r="O2681" s="14"/>
      <c r="P2681" s="14"/>
    </row>
    <row r="2682">
      <c r="A2682" s="14"/>
      <c r="B2682" s="17"/>
      <c r="C2682" s="17"/>
      <c r="D2682" s="17"/>
      <c r="E2682" s="14"/>
      <c r="F2682" s="14"/>
      <c r="G2682" s="14"/>
      <c r="H2682" s="14"/>
      <c r="I2682" s="14"/>
      <c r="J2682" s="14"/>
      <c r="K2682" s="14"/>
      <c r="L2682" s="14"/>
      <c r="M2682" s="15"/>
      <c r="N2682" s="15"/>
      <c r="O2682" s="14"/>
      <c r="P2682" s="14"/>
    </row>
    <row r="2683">
      <c r="A2683" s="14"/>
      <c r="B2683" s="17"/>
      <c r="C2683" s="17"/>
      <c r="D2683" s="17"/>
      <c r="E2683" s="14"/>
      <c r="F2683" s="14"/>
      <c r="G2683" s="14"/>
      <c r="H2683" s="14"/>
      <c r="I2683" s="14"/>
      <c r="J2683" s="14"/>
      <c r="K2683" s="14"/>
      <c r="L2683" s="14"/>
      <c r="M2683" s="15"/>
      <c r="N2683" s="15"/>
      <c r="O2683" s="14"/>
      <c r="P2683" s="14"/>
    </row>
    <row r="2684">
      <c r="A2684" s="14"/>
      <c r="B2684" s="17"/>
      <c r="C2684" s="17"/>
      <c r="D2684" s="17"/>
      <c r="E2684" s="14"/>
      <c r="F2684" s="14"/>
      <c r="G2684" s="14"/>
      <c r="H2684" s="14"/>
      <c r="I2684" s="14"/>
      <c r="J2684" s="14"/>
      <c r="K2684" s="14"/>
      <c r="L2684" s="14"/>
      <c r="M2684" s="15"/>
      <c r="N2684" s="15"/>
      <c r="O2684" s="14"/>
      <c r="P2684" s="14"/>
    </row>
    <row r="2685">
      <c r="A2685" s="14"/>
      <c r="B2685" s="17"/>
      <c r="C2685" s="17"/>
      <c r="D2685" s="17"/>
      <c r="E2685" s="14"/>
      <c r="F2685" s="14"/>
      <c r="G2685" s="14"/>
      <c r="H2685" s="14"/>
      <c r="I2685" s="14"/>
      <c r="J2685" s="14"/>
      <c r="K2685" s="14"/>
      <c r="L2685" s="14"/>
      <c r="M2685" s="15"/>
      <c r="N2685" s="15"/>
      <c r="O2685" s="14"/>
      <c r="P2685" s="14"/>
    </row>
    <row r="2686">
      <c r="A2686" s="14"/>
      <c r="B2686" s="17"/>
      <c r="C2686" s="17"/>
      <c r="D2686" s="17"/>
      <c r="E2686" s="14"/>
      <c r="F2686" s="14"/>
      <c r="G2686" s="14"/>
      <c r="H2686" s="14"/>
      <c r="I2686" s="14"/>
      <c r="J2686" s="14"/>
      <c r="K2686" s="14"/>
      <c r="L2686" s="14"/>
      <c r="M2686" s="15"/>
      <c r="N2686" s="15"/>
      <c r="O2686" s="14"/>
      <c r="P2686" s="14"/>
    </row>
    <row r="2687">
      <c r="A2687" s="14"/>
      <c r="B2687" s="17"/>
      <c r="C2687" s="17"/>
      <c r="D2687" s="17"/>
      <c r="E2687" s="14"/>
      <c r="F2687" s="14"/>
      <c r="G2687" s="14"/>
      <c r="H2687" s="14"/>
      <c r="I2687" s="14"/>
      <c r="J2687" s="14"/>
      <c r="K2687" s="14"/>
      <c r="L2687" s="14"/>
      <c r="M2687" s="15"/>
      <c r="N2687" s="15"/>
      <c r="O2687" s="14"/>
      <c r="P2687" s="14"/>
    </row>
    <row r="2688">
      <c r="A2688" s="14"/>
      <c r="B2688" s="17"/>
      <c r="C2688" s="17"/>
      <c r="D2688" s="17"/>
      <c r="E2688" s="14"/>
      <c r="F2688" s="14"/>
      <c r="G2688" s="14"/>
      <c r="H2688" s="14"/>
      <c r="I2688" s="14"/>
      <c r="J2688" s="14"/>
      <c r="K2688" s="14"/>
      <c r="L2688" s="14"/>
      <c r="M2688" s="15"/>
      <c r="N2688" s="15"/>
      <c r="O2688" s="14"/>
      <c r="P2688" s="14"/>
    </row>
    <row r="2689">
      <c r="A2689" s="14"/>
      <c r="B2689" s="17"/>
      <c r="C2689" s="17"/>
      <c r="D2689" s="17"/>
      <c r="E2689" s="14"/>
      <c r="F2689" s="14"/>
      <c r="G2689" s="14"/>
      <c r="H2689" s="14"/>
      <c r="I2689" s="14"/>
      <c r="J2689" s="14"/>
      <c r="K2689" s="14"/>
      <c r="L2689" s="14"/>
      <c r="M2689" s="15"/>
      <c r="N2689" s="15"/>
      <c r="O2689" s="14"/>
      <c r="P2689" s="14"/>
    </row>
    <row r="2690">
      <c r="A2690" s="14"/>
      <c r="B2690" s="17"/>
      <c r="C2690" s="17"/>
      <c r="D2690" s="17"/>
      <c r="E2690" s="14"/>
      <c r="F2690" s="14"/>
      <c r="G2690" s="14"/>
      <c r="H2690" s="14"/>
      <c r="I2690" s="14"/>
      <c r="J2690" s="14"/>
      <c r="K2690" s="14"/>
      <c r="L2690" s="14"/>
      <c r="M2690" s="15"/>
      <c r="N2690" s="15"/>
      <c r="O2690" s="14"/>
      <c r="P2690" s="14"/>
    </row>
    <row r="2691">
      <c r="A2691" s="14"/>
      <c r="B2691" s="17"/>
      <c r="C2691" s="17"/>
      <c r="D2691" s="17"/>
      <c r="E2691" s="14"/>
      <c r="F2691" s="14"/>
      <c r="G2691" s="14"/>
      <c r="H2691" s="14"/>
      <c r="I2691" s="14"/>
      <c r="J2691" s="14"/>
      <c r="K2691" s="14"/>
      <c r="L2691" s="14"/>
      <c r="M2691" s="15"/>
      <c r="N2691" s="15"/>
      <c r="O2691" s="14"/>
      <c r="P2691" s="14"/>
    </row>
    <row r="2692">
      <c r="A2692" s="14"/>
      <c r="B2692" s="17"/>
      <c r="C2692" s="17"/>
      <c r="D2692" s="17"/>
      <c r="E2692" s="14"/>
      <c r="F2692" s="14"/>
      <c r="G2692" s="14"/>
      <c r="H2692" s="14"/>
      <c r="I2692" s="14"/>
      <c r="J2692" s="14"/>
      <c r="K2692" s="14"/>
      <c r="L2692" s="14"/>
      <c r="M2692" s="15"/>
      <c r="N2692" s="15"/>
      <c r="O2692" s="14"/>
      <c r="P2692" s="14"/>
    </row>
    <row r="2693">
      <c r="A2693" s="14"/>
      <c r="B2693" s="17"/>
      <c r="C2693" s="17"/>
      <c r="D2693" s="17"/>
      <c r="E2693" s="14"/>
      <c r="F2693" s="14"/>
      <c r="G2693" s="14"/>
      <c r="H2693" s="14"/>
      <c r="I2693" s="14"/>
      <c r="J2693" s="14"/>
      <c r="K2693" s="14"/>
      <c r="L2693" s="14"/>
      <c r="M2693" s="15"/>
      <c r="N2693" s="15"/>
      <c r="O2693" s="14"/>
      <c r="P2693" s="14"/>
    </row>
    <row r="2694">
      <c r="A2694" s="14"/>
      <c r="B2694" s="17"/>
      <c r="C2694" s="17"/>
      <c r="D2694" s="17"/>
      <c r="E2694" s="14"/>
      <c r="F2694" s="14"/>
      <c r="G2694" s="14"/>
      <c r="H2694" s="14"/>
      <c r="I2694" s="14"/>
      <c r="J2694" s="14"/>
      <c r="K2694" s="14"/>
      <c r="L2694" s="14"/>
      <c r="M2694" s="15"/>
      <c r="N2694" s="15"/>
      <c r="O2694" s="14"/>
      <c r="P2694" s="14"/>
    </row>
    <row r="2695">
      <c r="A2695" s="14"/>
      <c r="B2695" s="17"/>
      <c r="C2695" s="17"/>
      <c r="D2695" s="17"/>
      <c r="E2695" s="14"/>
      <c r="F2695" s="14"/>
      <c r="G2695" s="14"/>
      <c r="H2695" s="14"/>
      <c r="I2695" s="14"/>
      <c r="J2695" s="14"/>
      <c r="K2695" s="14"/>
      <c r="L2695" s="14"/>
      <c r="M2695" s="15"/>
      <c r="N2695" s="15"/>
      <c r="O2695" s="14"/>
      <c r="P2695" s="14"/>
    </row>
    <row r="2696">
      <c r="A2696" s="14"/>
      <c r="B2696" s="17"/>
      <c r="C2696" s="17"/>
      <c r="D2696" s="17"/>
      <c r="E2696" s="14"/>
      <c r="F2696" s="14"/>
      <c r="G2696" s="14"/>
      <c r="H2696" s="14"/>
      <c r="I2696" s="14"/>
      <c r="J2696" s="14"/>
      <c r="K2696" s="14"/>
      <c r="L2696" s="14"/>
      <c r="M2696" s="15"/>
      <c r="N2696" s="15"/>
      <c r="O2696" s="14"/>
      <c r="P2696" s="14"/>
    </row>
    <row r="2697">
      <c r="A2697" s="14"/>
      <c r="B2697" s="17"/>
      <c r="C2697" s="17"/>
      <c r="D2697" s="17"/>
      <c r="E2697" s="14"/>
      <c r="F2697" s="14"/>
      <c r="G2697" s="14"/>
      <c r="H2697" s="14"/>
      <c r="I2697" s="14"/>
      <c r="J2697" s="14"/>
      <c r="K2697" s="14"/>
      <c r="L2697" s="14"/>
      <c r="M2697" s="15"/>
      <c r="N2697" s="15"/>
      <c r="O2697" s="14"/>
      <c r="P2697" s="14"/>
    </row>
    <row r="2698">
      <c r="A2698" s="14"/>
      <c r="B2698" s="17"/>
      <c r="C2698" s="17"/>
      <c r="D2698" s="17"/>
      <c r="E2698" s="14"/>
      <c r="F2698" s="14"/>
      <c r="G2698" s="14"/>
      <c r="H2698" s="14"/>
      <c r="I2698" s="14"/>
      <c r="J2698" s="14"/>
      <c r="K2698" s="14"/>
      <c r="L2698" s="14"/>
      <c r="M2698" s="15"/>
      <c r="N2698" s="15"/>
      <c r="O2698" s="14"/>
      <c r="P2698" s="14"/>
    </row>
    <row r="2699">
      <c r="A2699" s="14"/>
      <c r="B2699" s="17"/>
      <c r="C2699" s="17"/>
      <c r="D2699" s="17"/>
      <c r="E2699" s="14"/>
      <c r="F2699" s="14"/>
      <c r="G2699" s="14"/>
      <c r="H2699" s="14"/>
      <c r="I2699" s="14"/>
      <c r="J2699" s="14"/>
      <c r="K2699" s="14"/>
      <c r="L2699" s="14"/>
      <c r="M2699" s="15"/>
      <c r="N2699" s="15"/>
      <c r="O2699" s="14"/>
      <c r="P2699" s="14"/>
    </row>
    <row r="2700">
      <c r="A2700" s="14"/>
      <c r="B2700" s="17"/>
      <c r="C2700" s="17"/>
      <c r="D2700" s="17"/>
      <c r="E2700" s="14"/>
      <c r="F2700" s="14"/>
      <c r="G2700" s="14"/>
      <c r="H2700" s="14"/>
      <c r="I2700" s="14"/>
      <c r="J2700" s="14"/>
      <c r="K2700" s="14"/>
      <c r="L2700" s="14"/>
      <c r="M2700" s="15"/>
      <c r="N2700" s="15"/>
      <c r="O2700" s="14"/>
      <c r="P2700" s="14"/>
    </row>
    <row r="2701">
      <c r="A2701" s="14"/>
      <c r="B2701" s="17"/>
      <c r="C2701" s="17"/>
      <c r="D2701" s="17"/>
      <c r="E2701" s="14"/>
      <c r="F2701" s="14"/>
      <c r="G2701" s="14"/>
      <c r="H2701" s="14"/>
      <c r="I2701" s="14"/>
      <c r="J2701" s="14"/>
      <c r="K2701" s="14"/>
      <c r="L2701" s="14"/>
      <c r="M2701" s="15"/>
      <c r="N2701" s="15"/>
      <c r="O2701" s="14"/>
      <c r="P2701" s="14"/>
    </row>
    <row r="2702">
      <c r="A2702" s="14"/>
      <c r="B2702" s="17"/>
      <c r="C2702" s="17"/>
      <c r="D2702" s="17"/>
      <c r="E2702" s="14"/>
      <c r="F2702" s="14"/>
      <c r="G2702" s="14"/>
      <c r="H2702" s="14"/>
      <c r="I2702" s="14"/>
      <c r="J2702" s="14"/>
      <c r="K2702" s="14"/>
      <c r="L2702" s="14"/>
      <c r="M2702" s="15"/>
      <c r="N2702" s="15"/>
      <c r="O2702" s="14"/>
      <c r="P2702" s="14"/>
    </row>
    <row r="2703">
      <c r="A2703" s="14"/>
      <c r="B2703" s="17"/>
      <c r="C2703" s="17"/>
      <c r="D2703" s="17"/>
      <c r="E2703" s="14"/>
      <c r="F2703" s="14"/>
      <c r="G2703" s="14"/>
      <c r="H2703" s="14"/>
      <c r="I2703" s="14"/>
      <c r="J2703" s="14"/>
      <c r="K2703" s="14"/>
      <c r="L2703" s="14"/>
      <c r="M2703" s="15"/>
      <c r="N2703" s="15"/>
      <c r="O2703" s="14"/>
      <c r="P2703" s="14"/>
    </row>
    <row r="2704">
      <c r="A2704" s="14"/>
      <c r="B2704" s="17"/>
      <c r="C2704" s="17"/>
      <c r="D2704" s="17"/>
      <c r="E2704" s="14"/>
      <c r="F2704" s="14"/>
      <c r="G2704" s="14"/>
      <c r="H2704" s="14"/>
      <c r="I2704" s="14"/>
      <c r="J2704" s="14"/>
      <c r="K2704" s="14"/>
      <c r="L2704" s="14"/>
      <c r="M2704" s="15"/>
      <c r="N2704" s="15"/>
      <c r="O2704" s="14"/>
      <c r="P2704" s="14"/>
    </row>
    <row r="2705">
      <c r="A2705" s="14"/>
      <c r="B2705" s="17"/>
      <c r="C2705" s="17"/>
      <c r="D2705" s="17"/>
      <c r="E2705" s="14"/>
      <c r="F2705" s="14"/>
      <c r="G2705" s="14"/>
      <c r="H2705" s="14"/>
      <c r="I2705" s="14"/>
      <c r="J2705" s="14"/>
      <c r="K2705" s="14"/>
      <c r="L2705" s="14"/>
      <c r="M2705" s="15"/>
      <c r="N2705" s="15"/>
      <c r="O2705" s="14"/>
      <c r="P2705" s="14"/>
    </row>
    <row r="2706">
      <c r="A2706" s="14"/>
      <c r="B2706" s="17"/>
      <c r="C2706" s="17"/>
      <c r="D2706" s="17"/>
      <c r="E2706" s="14"/>
      <c r="F2706" s="14"/>
      <c r="G2706" s="14"/>
      <c r="H2706" s="14"/>
      <c r="I2706" s="14"/>
      <c r="J2706" s="14"/>
      <c r="K2706" s="14"/>
      <c r="L2706" s="14"/>
      <c r="M2706" s="15"/>
      <c r="N2706" s="15"/>
      <c r="O2706" s="14"/>
      <c r="P2706" s="14"/>
    </row>
    <row r="2707">
      <c r="A2707" s="14"/>
      <c r="B2707" s="17"/>
      <c r="C2707" s="17"/>
      <c r="D2707" s="17"/>
      <c r="E2707" s="14"/>
      <c r="F2707" s="14"/>
      <c r="G2707" s="14"/>
      <c r="H2707" s="14"/>
      <c r="I2707" s="14"/>
      <c r="J2707" s="14"/>
      <c r="K2707" s="14"/>
      <c r="L2707" s="14"/>
      <c r="M2707" s="15"/>
      <c r="N2707" s="15"/>
      <c r="O2707" s="14"/>
      <c r="P2707" s="14"/>
    </row>
    <row r="2708">
      <c r="A2708" s="14"/>
      <c r="B2708" s="17"/>
      <c r="C2708" s="17"/>
      <c r="D2708" s="17"/>
      <c r="E2708" s="14"/>
      <c r="F2708" s="14"/>
      <c r="G2708" s="14"/>
      <c r="H2708" s="14"/>
      <c r="I2708" s="14"/>
      <c r="J2708" s="14"/>
      <c r="K2708" s="14"/>
      <c r="L2708" s="14"/>
      <c r="M2708" s="15"/>
      <c r="N2708" s="15"/>
      <c r="O2708" s="14"/>
      <c r="P2708" s="14"/>
    </row>
    <row r="2709">
      <c r="A2709" s="14"/>
      <c r="B2709" s="17"/>
      <c r="C2709" s="17"/>
      <c r="D2709" s="17"/>
      <c r="E2709" s="14"/>
      <c r="F2709" s="14"/>
      <c r="G2709" s="14"/>
      <c r="H2709" s="14"/>
      <c r="I2709" s="14"/>
      <c r="J2709" s="14"/>
      <c r="K2709" s="14"/>
      <c r="L2709" s="14"/>
      <c r="M2709" s="15"/>
      <c r="N2709" s="15"/>
      <c r="O2709" s="14"/>
      <c r="P2709" s="14"/>
    </row>
    <row r="2710">
      <c r="A2710" s="14"/>
      <c r="B2710" s="17"/>
      <c r="C2710" s="17"/>
      <c r="D2710" s="17"/>
      <c r="E2710" s="14"/>
      <c r="F2710" s="14"/>
      <c r="G2710" s="14"/>
      <c r="H2710" s="14"/>
      <c r="I2710" s="14"/>
      <c r="J2710" s="14"/>
      <c r="K2710" s="14"/>
      <c r="L2710" s="14"/>
      <c r="M2710" s="15"/>
      <c r="N2710" s="15"/>
      <c r="O2710" s="14"/>
      <c r="P2710" s="14"/>
    </row>
    <row r="2711">
      <c r="A2711" s="14"/>
      <c r="B2711" s="17"/>
      <c r="C2711" s="17"/>
      <c r="D2711" s="17"/>
      <c r="E2711" s="14"/>
      <c r="F2711" s="14"/>
      <c r="G2711" s="14"/>
      <c r="H2711" s="14"/>
      <c r="I2711" s="14"/>
      <c r="J2711" s="14"/>
      <c r="K2711" s="14"/>
      <c r="L2711" s="14"/>
      <c r="M2711" s="15"/>
      <c r="N2711" s="15"/>
      <c r="O2711" s="14"/>
      <c r="P2711" s="14"/>
    </row>
    <row r="2712">
      <c r="A2712" s="14"/>
      <c r="B2712" s="17"/>
      <c r="C2712" s="17"/>
      <c r="D2712" s="17"/>
      <c r="E2712" s="14"/>
      <c r="F2712" s="14"/>
      <c r="G2712" s="14"/>
      <c r="H2712" s="14"/>
      <c r="I2712" s="14"/>
      <c r="J2712" s="14"/>
      <c r="K2712" s="14"/>
      <c r="L2712" s="14"/>
      <c r="M2712" s="15"/>
      <c r="N2712" s="15"/>
      <c r="O2712" s="14"/>
      <c r="P2712" s="14"/>
    </row>
    <row r="2713">
      <c r="A2713" s="14"/>
      <c r="B2713" s="17"/>
      <c r="C2713" s="17"/>
      <c r="D2713" s="17"/>
      <c r="E2713" s="14"/>
      <c r="F2713" s="14"/>
      <c r="G2713" s="14"/>
      <c r="H2713" s="14"/>
      <c r="I2713" s="14"/>
      <c r="J2713" s="14"/>
      <c r="K2713" s="14"/>
      <c r="L2713" s="14"/>
      <c r="M2713" s="15"/>
      <c r="N2713" s="15"/>
      <c r="O2713" s="14"/>
      <c r="P2713" s="14"/>
    </row>
    <row r="2714">
      <c r="A2714" s="14"/>
      <c r="B2714" s="17"/>
      <c r="C2714" s="17"/>
      <c r="D2714" s="17"/>
      <c r="E2714" s="14"/>
      <c r="F2714" s="14"/>
      <c r="G2714" s="14"/>
      <c r="H2714" s="14"/>
      <c r="I2714" s="14"/>
      <c r="J2714" s="14"/>
      <c r="K2714" s="14"/>
      <c r="L2714" s="14"/>
      <c r="M2714" s="15"/>
      <c r="N2714" s="15"/>
      <c r="O2714" s="14"/>
      <c r="P2714" s="14"/>
    </row>
    <row r="2715">
      <c r="A2715" s="14"/>
      <c r="B2715" s="17"/>
      <c r="C2715" s="17"/>
      <c r="D2715" s="17"/>
      <c r="E2715" s="14"/>
      <c r="F2715" s="14"/>
      <c r="G2715" s="14"/>
      <c r="H2715" s="14"/>
      <c r="I2715" s="14"/>
      <c r="J2715" s="14"/>
      <c r="K2715" s="14"/>
      <c r="L2715" s="14"/>
      <c r="M2715" s="15"/>
      <c r="N2715" s="15"/>
      <c r="O2715" s="14"/>
      <c r="P2715" s="14"/>
    </row>
    <row r="2716">
      <c r="A2716" s="14"/>
      <c r="B2716" s="17"/>
      <c r="C2716" s="17"/>
      <c r="D2716" s="17"/>
      <c r="E2716" s="14"/>
      <c r="F2716" s="14"/>
      <c r="G2716" s="14"/>
      <c r="H2716" s="14"/>
      <c r="I2716" s="14"/>
      <c r="J2716" s="14"/>
      <c r="K2716" s="14"/>
      <c r="L2716" s="14"/>
      <c r="M2716" s="15"/>
      <c r="N2716" s="15"/>
      <c r="O2716" s="14"/>
      <c r="P2716" s="14"/>
    </row>
    <row r="2717">
      <c r="A2717" s="14"/>
      <c r="B2717" s="17"/>
      <c r="C2717" s="17"/>
      <c r="D2717" s="17"/>
      <c r="E2717" s="14"/>
      <c r="F2717" s="14"/>
      <c r="G2717" s="14"/>
      <c r="H2717" s="14"/>
      <c r="I2717" s="14"/>
      <c r="J2717" s="14"/>
      <c r="K2717" s="14"/>
      <c r="L2717" s="14"/>
      <c r="M2717" s="15"/>
      <c r="N2717" s="15"/>
      <c r="O2717" s="14"/>
      <c r="P2717" s="14"/>
    </row>
    <row r="2718">
      <c r="A2718" s="14"/>
      <c r="B2718" s="17"/>
      <c r="C2718" s="17"/>
      <c r="D2718" s="17"/>
      <c r="E2718" s="14"/>
      <c r="F2718" s="14"/>
      <c r="G2718" s="14"/>
      <c r="H2718" s="14"/>
      <c r="I2718" s="14"/>
      <c r="J2718" s="14"/>
      <c r="K2718" s="14"/>
      <c r="L2718" s="14"/>
      <c r="M2718" s="15"/>
      <c r="N2718" s="15"/>
      <c r="O2718" s="14"/>
      <c r="P2718" s="14"/>
    </row>
    <row r="2719">
      <c r="A2719" s="14"/>
      <c r="B2719" s="17"/>
      <c r="C2719" s="17"/>
      <c r="D2719" s="17"/>
      <c r="E2719" s="14"/>
      <c r="F2719" s="14"/>
      <c r="G2719" s="14"/>
      <c r="H2719" s="14"/>
      <c r="I2719" s="14"/>
      <c r="J2719" s="14"/>
      <c r="K2719" s="14"/>
      <c r="L2719" s="14"/>
      <c r="M2719" s="15"/>
      <c r="N2719" s="15"/>
      <c r="O2719" s="14"/>
      <c r="P2719" s="14"/>
    </row>
    <row r="2720">
      <c r="A2720" s="14"/>
      <c r="B2720" s="17"/>
      <c r="C2720" s="17"/>
      <c r="D2720" s="17"/>
      <c r="E2720" s="14"/>
      <c r="F2720" s="14"/>
      <c r="G2720" s="14"/>
      <c r="H2720" s="14"/>
      <c r="I2720" s="14"/>
      <c r="J2720" s="14"/>
      <c r="K2720" s="14"/>
      <c r="L2720" s="14"/>
      <c r="M2720" s="15"/>
      <c r="N2720" s="15"/>
      <c r="O2720" s="14"/>
      <c r="P2720" s="14"/>
    </row>
    <row r="2721">
      <c r="A2721" s="14"/>
      <c r="B2721" s="17"/>
      <c r="C2721" s="17"/>
      <c r="D2721" s="17"/>
      <c r="E2721" s="14"/>
      <c r="F2721" s="14"/>
      <c r="G2721" s="14"/>
      <c r="H2721" s="14"/>
      <c r="I2721" s="14"/>
      <c r="J2721" s="14"/>
      <c r="K2721" s="14"/>
      <c r="L2721" s="14"/>
      <c r="M2721" s="15"/>
      <c r="N2721" s="15"/>
      <c r="O2721" s="14"/>
      <c r="P2721" s="14"/>
    </row>
    <row r="2722">
      <c r="A2722" s="14"/>
      <c r="B2722" s="17"/>
      <c r="C2722" s="17"/>
      <c r="D2722" s="17"/>
      <c r="E2722" s="14"/>
      <c r="F2722" s="14"/>
      <c r="G2722" s="14"/>
      <c r="H2722" s="14"/>
      <c r="I2722" s="14"/>
      <c r="J2722" s="14"/>
      <c r="K2722" s="14"/>
      <c r="L2722" s="14"/>
      <c r="M2722" s="15"/>
      <c r="N2722" s="15"/>
      <c r="O2722" s="14"/>
      <c r="P2722" s="14"/>
    </row>
    <row r="2723">
      <c r="A2723" s="14"/>
      <c r="B2723" s="17"/>
      <c r="C2723" s="17"/>
      <c r="D2723" s="17"/>
      <c r="E2723" s="14"/>
      <c r="F2723" s="14"/>
      <c r="G2723" s="14"/>
      <c r="H2723" s="14"/>
      <c r="I2723" s="14"/>
      <c r="J2723" s="14"/>
      <c r="K2723" s="14"/>
      <c r="L2723" s="14"/>
      <c r="M2723" s="15"/>
      <c r="N2723" s="15"/>
      <c r="O2723" s="14"/>
      <c r="P2723" s="14"/>
    </row>
    <row r="2724">
      <c r="A2724" s="14"/>
      <c r="B2724" s="17"/>
      <c r="C2724" s="17"/>
      <c r="D2724" s="17"/>
      <c r="E2724" s="14"/>
      <c r="F2724" s="14"/>
      <c r="G2724" s="14"/>
      <c r="H2724" s="14"/>
      <c r="I2724" s="14"/>
      <c r="J2724" s="14"/>
      <c r="K2724" s="14"/>
      <c r="L2724" s="14"/>
      <c r="M2724" s="15"/>
      <c r="N2724" s="15"/>
      <c r="O2724" s="14"/>
      <c r="P2724" s="14"/>
    </row>
    <row r="2725">
      <c r="A2725" s="14"/>
      <c r="B2725" s="17"/>
      <c r="C2725" s="17"/>
      <c r="D2725" s="17"/>
      <c r="E2725" s="14"/>
      <c r="F2725" s="14"/>
      <c r="G2725" s="14"/>
      <c r="H2725" s="14"/>
      <c r="I2725" s="14"/>
      <c r="J2725" s="14"/>
      <c r="K2725" s="14"/>
      <c r="L2725" s="14"/>
      <c r="M2725" s="15"/>
      <c r="N2725" s="15"/>
      <c r="O2725" s="14"/>
      <c r="P2725" s="14"/>
    </row>
    <row r="2726">
      <c r="A2726" s="14"/>
      <c r="B2726" s="17"/>
      <c r="C2726" s="17"/>
      <c r="D2726" s="17"/>
      <c r="E2726" s="14"/>
      <c r="F2726" s="14"/>
      <c r="G2726" s="14"/>
      <c r="H2726" s="14"/>
      <c r="I2726" s="14"/>
      <c r="J2726" s="14"/>
      <c r="K2726" s="14"/>
      <c r="L2726" s="14"/>
      <c r="M2726" s="15"/>
      <c r="N2726" s="15"/>
      <c r="O2726" s="14"/>
      <c r="P2726" s="14"/>
    </row>
    <row r="2727">
      <c r="A2727" s="14"/>
      <c r="B2727" s="17"/>
      <c r="C2727" s="17"/>
      <c r="D2727" s="17"/>
      <c r="E2727" s="14"/>
      <c r="F2727" s="14"/>
      <c r="G2727" s="14"/>
      <c r="H2727" s="14"/>
      <c r="I2727" s="14"/>
      <c r="J2727" s="14"/>
      <c r="K2727" s="14"/>
      <c r="L2727" s="14"/>
      <c r="M2727" s="15"/>
      <c r="N2727" s="15"/>
      <c r="O2727" s="14"/>
      <c r="P2727" s="14"/>
    </row>
    <row r="2728">
      <c r="A2728" s="14"/>
      <c r="B2728" s="17"/>
      <c r="C2728" s="17"/>
      <c r="D2728" s="17"/>
      <c r="E2728" s="14"/>
      <c r="F2728" s="14"/>
      <c r="G2728" s="14"/>
      <c r="H2728" s="14"/>
      <c r="I2728" s="14"/>
      <c r="J2728" s="14"/>
      <c r="K2728" s="14"/>
      <c r="L2728" s="14"/>
      <c r="M2728" s="15"/>
      <c r="N2728" s="15"/>
      <c r="O2728" s="14"/>
      <c r="P2728" s="14"/>
    </row>
    <row r="2729">
      <c r="A2729" s="14"/>
      <c r="B2729" s="17"/>
      <c r="C2729" s="17"/>
      <c r="D2729" s="17"/>
      <c r="E2729" s="14"/>
      <c r="F2729" s="14"/>
      <c r="G2729" s="14"/>
      <c r="H2729" s="14"/>
      <c r="I2729" s="14"/>
      <c r="J2729" s="14"/>
      <c r="K2729" s="14"/>
      <c r="L2729" s="14"/>
      <c r="M2729" s="15"/>
      <c r="N2729" s="15"/>
      <c r="O2729" s="14"/>
      <c r="P2729" s="14"/>
    </row>
    <row r="2730">
      <c r="A2730" s="14"/>
      <c r="B2730" s="17"/>
      <c r="C2730" s="17"/>
      <c r="D2730" s="17"/>
      <c r="E2730" s="14"/>
      <c r="F2730" s="14"/>
      <c r="G2730" s="14"/>
      <c r="H2730" s="14"/>
      <c r="I2730" s="14"/>
      <c r="J2730" s="14"/>
      <c r="K2730" s="14"/>
      <c r="L2730" s="14"/>
      <c r="M2730" s="15"/>
      <c r="N2730" s="15"/>
      <c r="O2730" s="14"/>
      <c r="P2730" s="14"/>
    </row>
    <row r="2731">
      <c r="A2731" s="14"/>
      <c r="B2731" s="17"/>
      <c r="C2731" s="17"/>
      <c r="D2731" s="17"/>
      <c r="E2731" s="14"/>
      <c r="F2731" s="14"/>
      <c r="G2731" s="14"/>
      <c r="H2731" s="14"/>
      <c r="I2731" s="14"/>
      <c r="J2731" s="14"/>
      <c r="K2731" s="14"/>
      <c r="L2731" s="14"/>
      <c r="M2731" s="15"/>
      <c r="N2731" s="15"/>
      <c r="O2731" s="14"/>
      <c r="P2731" s="14"/>
    </row>
    <row r="2732">
      <c r="A2732" s="14"/>
      <c r="B2732" s="17"/>
      <c r="C2732" s="17"/>
      <c r="D2732" s="17"/>
      <c r="E2732" s="14"/>
      <c r="F2732" s="14"/>
      <c r="G2732" s="14"/>
      <c r="H2732" s="14"/>
      <c r="I2732" s="14"/>
      <c r="J2732" s="14"/>
      <c r="K2732" s="14"/>
      <c r="L2732" s="14"/>
      <c r="M2732" s="15"/>
      <c r="N2732" s="15"/>
      <c r="O2732" s="14"/>
      <c r="P2732" s="14"/>
    </row>
    <row r="2733">
      <c r="A2733" s="14"/>
      <c r="B2733" s="17"/>
      <c r="C2733" s="17"/>
      <c r="D2733" s="17"/>
      <c r="E2733" s="14"/>
      <c r="F2733" s="14"/>
      <c r="G2733" s="14"/>
      <c r="H2733" s="14"/>
      <c r="I2733" s="14"/>
      <c r="J2733" s="14"/>
      <c r="K2733" s="14"/>
      <c r="L2733" s="14"/>
      <c r="M2733" s="15"/>
      <c r="N2733" s="15"/>
      <c r="O2733" s="14"/>
      <c r="P2733" s="14"/>
    </row>
    <row r="2734">
      <c r="A2734" s="14"/>
      <c r="B2734" s="17"/>
      <c r="C2734" s="17"/>
      <c r="D2734" s="17"/>
      <c r="E2734" s="14"/>
      <c r="F2734" s="14"/>
      <c r="G2734" s="14"/>
      <c r="H2734" s="14"/>
      <c r="I2734" s="14"/>
      <c r="J2734" s="14"/>
      <c r="K2734" s="14"/>
      <c r="L2734" s="14"/>
      <c r="M2734" s="15"/>
      <c r="N2734" s="15"/>
      <c r="O2734" s="14"/>
      <c r="P2734" s="14"/>
    </row>
    <row r="2735">
      <c r="A2735" s="14"/>
      <c r="B2735" s="17"/>
      <c r="C2735" s="17"/>
      <c r="D2735" s="17"/>
      <c r="E2735" s="14"/>
      <c r="F2735" s="14"/>
      <c r="G2735" s="14"/>
      <c r="H2735" s="14"/>
      <c r="I2735" s="14"/>
      <c r="J2735" s="14"/>
      <c r="K2735" s="14"/>
      <c r="L2735" s="14"/>
      <c r="M2735" s="15"/>
      <c r="N2735" s="15"/>
      <c r="O2735" s="14"/>
      <c r="P2735" s="14"/>
    </row>
    <row r="2736">
      <c r="A2736" s="14"/>
      <c r="B2736" s="17"/>
      <c r="C2736" s="17"/>
      <c r="D2736" s="17"/>
      <c r="E2736" s="14"/>
      <c r="F2736" s="14"/>
      <c r="G2736" s="14"/>
      <c r="H2736" s="14"/>
      <c r="I2736" s="14"/>
      <c r="J2736" s="14"/>
      <c r="K2736" s="14"/>
      <c r="L2736" s="14"/>
      <c r="M2736" s="15"/>
      <c r="N2736" s="15"/>
      <c r="O2736" s="14"/>
      <c r="P2736" s="14"/>
    </row>
    <row r="2737">
      <c r="A2737" s="14"/>
      <c r="B2737" s="17"/>
      <c r="C2737" s="17"/>
      <c r="D2737" s="17"/>
      <c r="E2737" s="14"/>
      <c r="F2737" s="14"/>
      <c r="G2737" s="14"/>
      <c r="H2737" s="14"/>
      <c r="I2737" s="14"/>
      <c r="J2737" s="14"/>
      <c r="K2737" s="14"/>
      <c r="L2737" s="14"/>
      <c r="M2737" s="15"/>
      <c r="N2737" s="15"/>
      <c r="O2737" s="14"/>
      <c r="P2737" s="14"/>
    </row>
    <row r="2738">
      <c r="A2738" s="14"/>
      <c r="B2738" s="17"/>
      <c r="C2738" s="17"/>
      <c r="D2738" s="17"/>
      <c r="E2738" s="14"/>
      <c r="F2738" s="14"/>
      <c r="G2738" s="14"/>
      <c r="H2738" s="14"/>
      <c r="I2738" s="14"/>
      <c r="J2738" s="14"/>
      <c r="K2738" s="14"/>
      <c r="L2738" s="14"/>
      <c r="M2738" s="15"/>
      <c r="N2738" s="15"/>
      <c r="O2738" s="14"/>
      <c r="P2738" s="14"/>
    </row>
    <row r="2739">
      <c r="A2739" s="14"/>
      <c r="B2739" s="17"/>
      <c r="C2739" s="17"/>
      <c r="D2739" s="17"/>
      <c r="E2739" s="14"/>
      <c r="F2739" s="14"/>
      <c r="G2739" s="14"/>
      <c r="H2739" s="14"/>
      <c r="I2739" s="14"/>
      <c r="J2739" s="14"/>
      <c r="K2739" s="14"/>
      <c r="L2739" s="14"/>
      <c r="M2739" s="15"/>
      <c r="N2739" s="15"/>
      <c r="O2739" s="14"/>
      <c r="P2739" s="14"/>
    </row>
    <row r="2740">
      <c r="A2740" s="14"/>
      <c r="B2740" s="17"/>
      <c r="C2740" s="17"/>
      <c r="D2740" s="17"/>
      <c r="E2740" s="14"/>
      <c r="F2740" s="14"/>
      <c r="G2740" s="14"/>
      <c r="H2740" s="14"/>
      <c r="I2740" s="14"/>
      <c r="J2740" s="14"/>
      <c r="K2740" s="14"/>
      <c r="L2740" s="14"/>
      <c r="M2740" s="15"/>
      <c r="N2740" s="15"/>
      <c r="O2740" s="14"/>
      <c r="P2740" s="14"/>
    </row>
    <row r="2741">
      <c r="A2741" s="14"/>
      <c r="B2741" s="17"/>
      <c r="C2741" s="17"/>
      <c r="D2741" s="17"/>
      <c r="E2741" s="14"/>
      <c r="F2741" s="14"/>
      <c r="G2741" s="14"/>
      <c r="H2741" s="14"/>
      <c r="I2741" s="14"/>
      <c r="J2741" s="14"/>
      <c r="K2741" s="14"/>
      <c r="L2741" s="14"/>
      <c r="M2741" s="15"/>
      <c r="N2741" s="15"/>
      <c r="O2741" s="14"/>
      <c r="P2741" s="14"/>
    </row>
    <row r="2742">
      <c r="A2742" s="14"/>
      <c r="B2742" s="17"/>
      <c r="C2742" s="17"/>
      <c r="D2742" s="17"/>
      <c r="E2742" s="14"/>
      <c r="F2742" s="14"/>
      <c r="G2742" s="14"/>
      <c r="H2742" s="14"/>
      <c r="I2742" s="14"/>
      <c r="J2742" s="14"/>
      <c r="K2742" s="14"/>
      <c r="L2742" s="14"/>
      <c r="M2742" s="15"/>
      <c r="N2742" s="15"/>
      <c r="O2742" s="14"/>
      <c r="P2742" s="14"/>
    </row>
    <row r="2743">
      <c r="A2743" s="14"/>
      <c r="B2743" s="17"/>
      <c r="C2743" s="17"/>
      <c r="D2743" s="17"/>
      <c r="E2743" s="14"/>
      <c r="F2743" s="14"/>
      <c r="G2743" s="14"/>
      <c r="H2743" s="14"/>
      <c r="I2743" s="14"/>
      <c r="J2743" s="14"/>
      <c r="K2743" s="14"/>
      <c r="L2743" s="14"/>
      <c r="M2743" s="15"/>
      <c r="N2743" s="15"/>
      <c r="O2743" s="14"/>
      <c r="P2743" s="14"/>
    </row>
    <row r="2744">
      <c r="A2744" s="14"/>
      <c r="B2744" s="17"/>
      <c r="C2744" s="17"/>
      <c r="D2744" s="17"/>
      <c r="E2744" s="14"/>
      <c r="F2744" s="14"/>
      <c r="G2744" s="14"/>
      <c r="H2744" s="14"/>
      <c r="I2744" s="14"/>
      <c r="J2744" s="14"/>
      <c r="K2744" s="14"/>
      <c r="L2744" s="14"/>
      <c r="M2744" s="15"/>
      <c r="N2744" s="15"/>
      <c r="O2744" s="14"/>
      <c r="P2744" s="14"/>
    </row>
    <row r="2745">
      <c r="A2745" s="14"/>
      <c r="B2745" s="17"/>
      <c r="C2745" s="17"/>
      <c r="D2745" s="17"/>
      <c r="E2745" s="14"/>
      <c r="F2745" s="14"/>
      <c r="G2745" s="14"/>
      <c r="H2745" s="14"/>
      <c r="I2745" s="14"/>
      <c r="J2745" s="14"/>
      <c r="K2745" s="14"/>
      <c r="L2745" s="14"/>
      <c r="M2745" s="15"/>
      <c r="N2745" s="15"/>
      <c r="O2745" s="14"/>
      <c r="P2745" s="14"/>
    </row>
    <row r="2746">
      <c r="A2746" s="14"/>
      <c r="B2746" s="17"/>
      <c r="C2746" s="17"/>
      <c r="D2746" s="17"/>
      <c r="E2746" s="14"/>
      <c r="F2746" s="14"/>
      <c r="G2746" s="14"/>
      <c r="H2746" s="14"/>
      <c r="I2746" s="14"/>
      <c r="J2746" s="14"/>
      <c r="K2746" s="14"/>
      <c r="L2746" s="14"/>
      <c r="M2746" s="15"/>
      <c r="N2746" s="15"/>
      <c r="O2746" s="14"/>
      <c r="P2746" s="14"/>
    </row>
    <row r="2747">
      <c r="A2747" s="14"/>
      <c r="B2747" s="17"/>
      <c r="C2747" s="17"/>
      <c r="D2747" s="17"/>
      <c r="E2747" s="14"/>
      <c r="F2747" s="14"/>
      <c r="G2747" s="14"/>
      <c r="H2747" s="14"/>
      <c r="I2747" s="14"/>
      <c r="J2747" s="14"/>
      <c r="K2747" s="14"/>
      <c r="L2747" s="14"/>
      <c r="M2747" s="15"/>
      <c r="N2747" s="15"/>
      <c r="O2747" s="14"/>
      <c r="P2747" s="14"/>
    </row>
    <row r="2748">
      <c r="A2748" s="14"/>
      <c r="B2748" s="17"/>
      <c r="C2748" s="17"/>
      <c r="D2748" s="17"/>
      <c r="E2748" s="14"/>
      <c r="F2748" s="14"/>
      <c r="G2748" s="14"/>
      <c r="H2748" s="14"/>
      <c r="I2748" s="14"/>
      <c r="J2748" s="14"/>
      <c r="K2748" s="14"/>
      <c r="L2748" s="14"/>
      <c r="M2748" s="15"/>
      <c r="N2748" s="15"/>
      <c r="O2748" s="14"/>
      <c r="P2748" s="14"/>
    </row>
    <row r="2749">
      <c r="A2749" s="14"/>
      <c r="B2749" s="17"/>
      <c r="C2749" s="17"/>
      <c r="D2749" s="17"/>
      <c r="E2749" s="14"/>
      <c r="F2749" s="14"/>
      <c r="G2749" s="14"/>
      <c r="H2749" s="14"/>
      <c r="I2749" s="14"/>
      <c r="J2749" s="14"/>
      <c r="K2749" s="14"/>
      <c r="L2749" s="14"/>
      <c r="M2749" s="15"/>
      <c r="N2749" s="15"/>
      <c r="O2749" s="14"/>
      <c r="P2749" s="14"/>
    </row>
    <row r="2750">
      <c r="A2750" s="14"/>
      <c r="B2750" s="17"/>
      <c r="C2750" s="17"/>
      <c r="D2750" s="17"/>
      <c r="E2750" s="14"/>
      <c r="F2750" s="14"/>
      <c r="G2750" s="14"/>
      <c r="H2750" s="14"/>
      <c r="I2750" s="14"/>
      <c r="J2750" s="14"/>
      <c r="K2750" s="14"/>
      <c r="L2750" s="14"/>
      <c r="M2750" s="15"/>
      <c r="N2750" s="15"/>
      <c r="O2750" s="14"/>
      <c r="P2750" s="14"/>
    </row>
    <row r="2751">
      <c r="A2751" s="14"/>
      <c r="B2751" s="17"/>
      <c r="C2751" s="17"/>
      <c r="D2751" s="17"/>
      <c r="E2751" s="14"/>
      <c r="F2751" s="14"/>
      <c r="G2751" s="14"/>
      <c r="H2751" s="14"/>
      <c r="I2751" s="14"/>
      <c r="J2751" s="14"/>
      <c r="K2751" s="14"/>
      <c r="L2751" s="14"/>
      <c r="M2751" s="15"/>
      <c r="N2751" s="15"/>
      <c r="O2751" s="14"/>
      <c r="P2751" s="14"/>
    </row>
    <row r="2752">
      <c r="A2752" s="14"/>
      <c r="B2752" s="17"/>
      <c r="C2752" s="17"/>
      <c r="D2752" s="17"/>
      <c r="E2752" s="14"/>
      <c r="F2752" s="14"/>
      <c r="G2752" s="14"/>
      <c r="H2752" s="14"/>
      <c r="I2752" s="14"/>
      <c r="J2752" s="14"/>
      <c r="K2752" s="14"/>
      <c r="L2752" s="14"/>
      <c r="M2752" s="15"/>
      <c r="N2752" s="15"/>
      <c r="O2752" s="14"/>
      <c r="P2752" s="14"/>
    </row>
    <row r="2753">
      <c r="A2753" s="14"/>
      <c r="B2753" s="17"/>
      <c r="C2753" s="17"/>
      <c r="D2753" s="17"/>
      <c r="E2753" s="14"/>
      <c r="F2753" s="14"/>
      <c r="G2753" s="14"/>
      <c r="H2753" s="14"/>
      <c r="I2753" s="14"/>
      <c r="J2753" s="14"/>
      <c r="K2753" s="14"/>
      <c r="L2753" s="14"/>
      <c r="M2753" s="15"/>
      <c r="N2753" s="15"/>
      <c r="O2753" s="14"/>
      <c r="P2753" s="14"/>
    </row>
    <row r="2754">
      <c r="A2754" s="14"/>
      <c r="B2754" s="17"/>
      <c r="C2754" s="17"/>
      <c r="D2754" s="17"/>
      <c r="E2754" s="14"/>
      <c r="F2754" s="14"/>
      <c r="G2754" s="14"/>
      <c r="H2754" s="14"/>
      <c r="I2754" s="14"/>
      <c r="J2754" s="14"/>
      <c r="K2754" s="14"/>
      <c r="L2754" s="14"/>
      <c r="M2754" s="15"/>
      <c r="N2754" s="15"/>
      <c r="O2754" s="14"/>
      <c r="P2754" s="14"/>
    </row>
    <row r="2755">
      <c r="A2755" s="14"/>
      <c r="B2755" s="17"/>
      <c r="C2755" s="17"/>
      <c r="D2755" s="17"/>
      <c r="E2755" s="14"/>
      <c r="F2755" s="14"/>
      <c r="G2755" s="14"/>
      <c r="H2755" s="14"/>
      <c r="I2755" s="14"/>
      <c r="J2755" s="14"/>
      <c r="K2755" s="14"/>
      <c r="L2755" s="14"/>
      <c r="M2755" s="15"/>
      <c r="N2755" s="15"/>
      <c r="O2755" s="14"/>
      <c r="P2755" s="14"/>
    </row>
    <row r="2756">
      <c r="A2756" s="14"/>
      <c r="B2756" s="17"/>
      <c r="C2756" s="17"/>
      <c r="D2756" s="17"/>
      <c r="E2756" s="14"/>
      <c r="F2756" s="14"/>
      <c r="G2756" s="14"/>
      <c r="H2756" s="14"/>
      <c r="I2756" s="14"/>
      <c r="J2756" s="14"/>
      <c r="K2756" s="14"/>
      <c r="L2756" s="14"/>
      <c r="M2756" s="15"/>
      <c r="N2756" s="15"/>
      <c r="O2756" s="14"/>
      <c r="P2756" s="14"/>
    </row>
    <row r="2757">
      <c r="A2757" s="14"/>
      <c r="B2757" s="17"/>
      <c r="C2757" s="17"/>
      <c r="D2757" s="17"/>
      <c r="E2757" s="14"/>
      <c r="F2757" s="14"/>
      <c r="G2757" s="14"/>
      <c r="H2757" s="14"/>
      <c r="I2757" s="14"/>
      <c r="J2757" s="14"/>
      <c r="K2757" s="14"/>
      <c r="L2757" s="14"/>
      <c r="M2757" s="15"/>
      <c r="N2757" s="15"/>
      <c r="O2757" s="14"/>
      <c r="P2757" s="14"/>
    </row>
    <row r="2758">
      <c r="A2758" s="14"/>
      <c r="B2758" s="17"/>
      <c r="C2758" s="17"/>
      <c r="D2758" s="17"/>
      <c r="E2758" s="14"/>
      <c r="F2758" s="14"/>
      <c r="G2758" s="14"/>
      <c r="H2758" s="14"/>
      <c r="I2758" s="14"/>
      <c r="J2758" s="14"/>
      <c r="K2758" s="14"/>
      <c r="L2758" s="14"/>
      <c r="M2758" s="15"/>
      <c r="N2758" s="15"/>
      <c r="O2758" s="14"/>
      <c r="P2758" s="14"/>
    </row>
    <row r="2759">
      <c r="A2759" s="14"/>
      <c r="B2759" s="17"/>
      <c r="C2759" s="17"/>
      <c r="D2759" s="17"/>
      <c r="E2759" s="14"/>
      <c r="F2759" s="14"/>
      <c r="G2759" s="14"/>
      <c r="H2759" s="14"/>
      <c r="I2759" s="14"/>
      <c r="J2759" s="14"/>
      <c r="K2759" s="14"/>
      <c r="L2759" s="14"/>
      <c r="M2759" s="15"/>
      <c r="N2759" s="15"/>
      <c r="O2759" s="14"/>
      <c r="P2759" s="14"/>
    </row>
    <row r="2760">
      <c r="A2760" s="14"/>
      <c r="B2760" s="17"/>
      <c r="C2760" s="17"/>
      <c r="D2760" s="17"/>
      <c r="E2760" s="14"/>
      <c r="F2760" s="14"/>
      <c r="G2760" s="14"/>
      <c r="H2760" s="14"/>
      <c r="I2760" s="14"/>
      <c r="J2760" s="14"/>
      <c r="K2760" s="14"/>
      <c r="L2760" s="14"/>
      <c r="M2760" s="15"/>
      <c r="N2760" s="15"/>
      <c r="O2760" s="14"/>
      <c r="P2760" s="14"/>
    </row>
    <row r="2761">
      <c r="A2761" s="14"/>
      <c r="B2761" s="17"/>
      <c r="C2761" s="17"/>
      <c r="D2761" s="17"/>
      <c r="E2761" s="14"/>
      <c r="F2761" s="14"/>
      <c r="G2761" s="14"/>
      <c r="H2761" s="14"/>
      <c r="I2761" s="14"/>
      <c r="J2761" s="14"/>
      <c r="K2761" s="14"/>
      <c r="L2761" s="14"/>
      <c r="M2761" s="15"/>
      <c r="N2761" s="15"/>
      <c r="O2761" s="14"/>
      <c r="P2761" s="14"/>
    </row>
    <row r="2762">
      <c r="A2762" s="14"/>
      <c r="B2762" s="17"/>
      <c r="C2762" s="17"/>
      <c r="D2762" s="17"/>
      <c r="E2762" s="14"/>
      <c r="F2762" s="14"/>
      <c r="G2762" s="14"/>
      <c r="H2762" s="14"/>
      <c r="I2762" s="14"/>
      <c r="J2762" s="14"/>
      <c r="K2762" s="14"/>
      <c r="L2762" s="14"/>
      <c r="M2762" s="15"/>
      <c r="N2762" s="15"/>
      <c r="O2762" s="14"/>
      <c r="P2762" s="14"/>
    </row>
    <row r="2763">
      <c r="A2763" s="14"/>
      <c r="B2763" s="17"/>
      <c r="C2763" s="17"/>
      <c r="D2763" s="17"/>
      <c r="E2763" s="14"/>
      <c r="F2763" s="14"/>
      <c r="G2763" s="14"/>
      <c r="H2763" s="14"/>
      <c r="I2763" s="14"/>
      <c r="J2763" s="14"/>
      <c r="K2763" s="14"/>
      <c r="L2763" s="14"/>
      <c r="M2763" s="15"/>
      <c r="N2763" s="15"/>
      <c r="O2763" s="14"/>
      <c r="P2763" s="14"/>
    </row>
    <row r="2764">
      <c r="A2764" s="14"/>
      <c r="B2764" s="17"/>
      <c r="C2764" s="17"/>
      <c r="D2764" s="17"/>
      <c r="E2764" s="14"/>
      <c r="F2764" s="14"/>
      <c r="G2764" s="14"/>
      <c r="H2764" s="14"/>
      <c r="I2764" s="14"/>
      <c r="J2764" s="14"/>
      <c r="K2764" s="14"/>
      <c r="L2764" s="14"/>
      <c r="M2764" s="15"/>
      <c r="N2764" s="15"/>
      <c r="O2764" s="14"/>
      <c r="P2764" s="14"/>
    </row>
    <row r="2765">
      <c r="A2765" s="14"/>
      <c r="B2765" s="17"/>
      <c r="C2765" s="17"/>
      <c r="D2765" s="17"/>
      <c r="E2765" s="14"/>
      <c r="F2765" s="14"/>
      <c r="G2765" s="14"/>
      <c r="H2765" s="14"/>
      <c r="I2765" s="14"/>
      <c r="J2765" s="14"/>
      <c r="K2765" s="14"/>
      <c r="L2765" s="14"/>
      <c r="M2765" s="15"/>
      <c r="N2765" s="15"/>
      <c r="O2765" s="14"/>
      <c r="P2765" s="14"/>
    </row>
    <row r="2766">
      <c r="A2766" s="14"/>
      <c r="B2766" s="17"/>
      <c r="C2766" s="17"/>
      <c r="D2766" s="17"/>
      <c r="E2766" s="14"/>
      <c r="F2766" s="14"/>
      <c r="G2766" s="14"/>
      <c r="H2766" s="14"/>
      <c r="I2766" s="14"/>
      <c r="J2766" s="14"/>
      <c r="K2766" s="14"/>
      <c r="L2766" s="14"/>
      <c r="M2766" s="15"/>
      <c r="N2766" s="15"/>
      <c r="O2766" s="14"/>
      <c r="P2766" s="14"/>
    </row>
    <row r="2767">
      <c r="A2767" s="14"/>
      <c r="B2767" s="17"/>
      <c r="C2767" s="17"/>
      <c r="D2767" s="17"/>
      <c r="E2767" s="14"/>
      <c r="F2767" s="14"/>
      <c r="G2767" s="14"/>
      <c r="H2767" s="14"/>
      <c r="I2767" s="14"/>
      <c r="J2767" s="14"/>
      <c r="K2767" s="14"/>
      <c r="L2767" s="14"/>
      <c r="M2767" s="15"/>
      <c r="N2767" s="15"/>
      <c r="O2767" s="14"/>
      <c r="P2767" s="14"/>
    </row>
    <row r="2768">
      <c r="A2768" s="14"/>
      <c r="B2768" s="17"/>
      <c r="C2768" s="17"/>
      <c r="D2768" s="17"/>
      <c r="E2768" s="14"/>
      <c r="F2768" s="14"/>
      <c r="G2768" s="14"/>
      <c r="H2768" s="14"/>
      <c r="I2768" s="14"/>
      <c r="J2768" s="14"/>
      <c r="K2768" s="14"/>
      <c r="L2768" s="14"/>
      <c r="M2768" s="15"/>
      <c r="N2768" s="15"/>
      <c r="O2768" s="14"/>
      <c r="P2768" s="14"/>
    </row>
    <row r="2769">
      <c r="A2769" s="14"/>
      <c r="B2769" s="17"/>
      <c r="C2769" s="17"/>
      <c r="D2769" s="17"/>
      <c r="E2769" s="14"/>
      <c r="F2769" s="14"/>
      <c r="G2769" s="14"/>
      <c r="H2769" s="14"/>
      <c r="I2769" s="14"/>
      <c r="J2769" s="14"/>
      <c r="K2769" s="14"/>
      <c r="L2769" s="14"/>
      <c r="M2769" s="15"/>
      <c r="N2769" s="15"/>
      <c r="O2769" s="14"/>
      <c r="P2769" s="14"/>
    </row>
    <row r="2770">
      <c r="A2770" s="14"/>
      <c r="B2770" s="17"/>
      <c r="C2770" s="17"/>
      <c r="D2770" s="17"/>
      <c r="E2770" s="14"/>
      <c r="F2770" s="14"/>
      <c r="G2770" s="14"/>
      <c r="H2770" s="14"/>
      <c r="I2770" s="14"/>
      <c r="J2770" s="14"/>
      <c r="K2770" s="14"/>
      <c r="L2770" s="14"/>
      <c r="M2770" s="15"/>
      <c r="N2770" s="15"/>
      <c r="O2770" s="14"/>
      <c r="P2770" s="14"/>
    </row>
    <row r="2771">
      <c r="A2771" s="14"/>
      <c r="B2771" s="17"/>
      <c r="C2771" s="17"/>
      <c r="D2771" s="17"/>
      <c r="E2771" s="14"/>
      <c r="F2771" s="14"/>
      <c r="G2771" s="14"/>
      <c r="H2771" s="14"/>
      <c r="I2771" s="14"/>
      <c r="J2771" s="14"/>
      <c r="K2771" s="14"/>
      <c r="L2771" s="14"/>
      <c r="M2771" s="15"/>
      <c r="N2771" s="15"/>
      <c r="O2771" s="14"/>
      <c r="P2771" s="14"/>
    </row>
    <row r="2772">
      <c r="A2772" s="14"/>
      <c r="B2772" s="17"/>
      <c r="C2772" s="17"/>
      <c r="D2772" s="17"/>
      <c r="E2772" s="14"/>
      <c r="F2772" s="14"/>
      <c r="G2772" s="14"/>
      <c r="H2772" s="14"/>
      <c r="I2772" s="14"/>
      <c r="J2772" s="14"/>
      <c r="K2772" s="14"/>
      <c r="L2772" s="14"/>
      <c r="M2772" s="15"/>
      <c r="N2772" s="15"/>
      <c r="O2772" s="14"/>
      <c r="P2772" s="14"/>
    </row>
    <row r="2773">
      <c r="A2773" s="14"/>
      <c r="B2773" s="17"/>
      <c r="C2773" s="17"/>
      <c r="D2773" s="17"/>
      <c r="E2773" s="14"/>
      <c r="F2773" s="14"/>
      <c r="G2773" s="14"/>
      <c r="H2773" s="14"/>
      <c r="I2773" s="14"/>
      <c r="J2773" s="14"/>
      <c r="K2773" s="14"/>
      <c r="L2773" s="14"/>
      <c r="M2773" s="15"/>
      <c r="N2773" s="15"/>
      <c r="O2773" s="14"/>
      <c r="P2773" s="14"/>
    </row>
    <row r="2774">
      <c r="A2774" s="14"/>
      <c r="B2774" s="17"/>
      <c r="C2774" s="17"/>
      <c r="D2774" s="17"/>
      <c r="E2774" s="14"/>
      <c r="F2774" s="14"/>
      <c r="G2774" s="14"/>
      <c r="H2774" s="14"/>
      <c r="I2774" s="14"/>
      <c r="J2774" s="14"/>
      <c r="K2774" s="14"/>
      <c r="L2774" s="14"/>
      <c r="M2774" s="15"/>
      <c r="N2774" s="15"/>
      <c r="O2774" s="14"/>
      <c r="P2774" s="14"/>
    </row>
    <row r="2775">
      <c r="A2775" s="14"/>
      <c r="B2775" s="17"/>
      <c r="C2775" s="17"/>
      <c r="D2775" s="17"/>
      <c r="E2775" s="14"/>
      <c r="F2775" s="14"/>
      <c r="G2775" s="14"/>
      <c r="H2775" s="14"/>
      <c r="I2775" s="14"/>
      <c r="J2775" s="14"/>
      <c r="K2775" s="14"/>
      <c r="L2775" s="14"/>
      <c r="M2775" s="15"/>
      <c r="N2775" s="15"/>
      <c r="O2775" s="14"/>
      <c r="P2775" s="14"/>
    </row>
    <row r="2776">
      <c r="A2776" s="14"/>
      <c r="B2776" s="17"/>
      <c r="C2776" s="17"/>
      <c r="D2776" s="17"/>
      <c r="E2776" s="14"/>
      <c r="F2776" s="14"/>
      <c r="G2776" s="14"/>
      <c r="H2776" s="14"/>
      <c r="I2776" s="14"/>
      <c r="J2776" s="14"/>
      <c r="K2776" s="14"/>
      <c r="L2776" s="14"/>
      <c r="M2776" s="15"/>
      <c r="N2776" s="15"/>
      <c r="O2776" s="14"/>
      <c r="P2776" s="14"/>
    </row>
    <row r="2777">
      <c r="A2777" s="14"/>
      <c r="B2777" s="17"/>
      <c r="C2777" s="17"/>
      <c r="D2777" s="17"/>
      <c r="E2777" s="14"/>
      <c r="F2777" s="14"/>
      <c r="G2777" s="14"/>
      <c r="H2777" s="14"/>
      <c r="I2777" s="14"/>
      <c r="J2777" s="14"/>
      <c r="K2777" s="14"/>
      <c r="L2777" s="14"/>
      <c r="M2777" s="15"/>
      <c r="N2777" s="15"/>
      <c r="O2777" s="14"/>
      <c r="P2777" s="14"/>
    </row>
    <row r="2778">
      <c r="A2778" s="14"/>
      <c r="B2778" s="17"/>
      <c r="C2778" s="17"/>
      <c r="D2778" s="17"/>
      <c r="E2778" s="14"/>
      <c r="F2778" s="14"/>
      <c r="G2778" s="14"/>
      <c r="H2778" s="14"/>
      <c r="I2778" s="14"/>
      <c r="J2778" s="14"/>
      <c r="K2778" s="14"/>
      <c r="L2778" s="14"/>
      <c r="M2778" s="15"/>
      <c r="N2778" s="15"/>
      <c r="O2778" s="14"/>
      <c r="P2778" s="14"/>
    </row>
    <row r="2779">
      <c r="A2779" s="14"/>
      <c r="B2779" s="17"/>
      <c r="C2779" s="17"/>
      <c r="D2779" s="17"/>
      <c r="E2779" s="14"/>
      <c r="F2779" s="14"/>
      <c r="G2779" s="14"/>
      <c r="H2779" s="14"/>
      <c r="I2779" s="14"/>
      <c r="J2779" s="14"/>
      <c r="K2779" s="14"/>
      <c r="L2779" s="14"/>
      <c r="M2779" s="15"/>
      <c r="N2779" s="15"/>
      <c r="O2779" s="14"/>
      <c r="P2779" s="14"/>
    </row>
    <row r="2780">
      <c r="A2780" s="14"/>
      <c r="B2780" s="17"/>
      <c r="C2780" s="17"/>
      <c r="D2780" s="17"/>
      <c r="E2780" s="14"/>
      <c r="F2780" s="14"/>
      <c r="G2780" s="14"/>
      <c r="H2780" s="14"/>
      <c r="I2780" s="14"/>
      <c r="J2780" s="14"/>
      <c r="K2780" s="14"/>
      <c r="L2780" s="14"/>
      <c r="M2780" s="15"/>
      <c r="N2780" s="15"/>
      <c r="O2780" s="14"/>
      <c r="P2780" s="14"/>
    </row>
    <row r="2781">
      <c r="A2781" s="14"/>
      <c r="B2781" s="17"/>
      <c r="C2781" s="17"/>
      <c r="D2781" s="17"/>
      <c r="E2781" s="14"/>
      <c r="F2781" s="14"/>
      <c r="G2781" s="14"/>
      <c r="H2781" s="14"/>
      <c r="I2781" s="14"/>
      <c r="J2781" s="14"/>
      <c r="K2781" s="14"/>
      <c r="L2781" s="14"/>
      <c r="M2781" s="15"/>
      <c r="N2781" s="15"/>
      <c r="O2781" s="14"/>
      <c r="P2781" s="14"/>
    </row>
    <row r="2782">
      <c r="A2782" s="14"/>
      <c r="B2782" s="17"/>
      <c r="C2782" s="17"/>
      <c r="D2782" s="17"/>
      <c r="E2782" s="14"/>
      <c r="F2782" s="14"/>
      <c r="G2782" s="14"/>
      <c r="H2782" s="14"/>
      <c r="I2782" s="14"/>
      <c r="J2782" s="14"/>
      <c r="K2782" s="14"/>
      <c r="L2782" s="14"/>
      <c r="M2782" s="15"/>
      <c r="N2782" s="15"/>
      <c r="O2782" s="14"/>
      <c r="P2782" s="14"/>
    </row>
    <row r="2783">
      <c r="A2783" s="14"/>
      <c r="B2783" s="17"/>
      <c r="C2783" s="17"/>
      <c r="D2783" s="17"/>
      <c r="E2783" s="14"/>
      <c r="F2783" s="14"/>
      <c r="G2783" s="14"/>
      <c r="H2783" s="14"/>
      <c r="I2783" s="14"/>
      <c r="J2783" s="14"/>
      <c r="K2783" s="14"/>
      <c r="L2783" s="14"/>
      <c r="M2783" s="15"/>
      <c r="N2783" s="15"/>
      <c r="O2783" s="14"/>
      <c r="P2783" s="14"/>
    </row>
    <row r="2784">
      <c r="A2784" s="14"/>
      <c r="B2784" s="17"/>
      <c r="C2784" s="17"/>
      <c r="D2784" s="17"/>
      <c r="E2784" s="14"/>
      <c r="F2784" s="14"/>
      <c r="G2784" s="14"/>
      <c r="H2784" s="14"/>
      <c r="I2784" s="14"/>
      <c r="J2784" s="14"/>
      <c r="K2784" s="14"/>
      <c r="L2784" s="14"/>
      <c r="M2784" s="15"/>
      <c r="N2784" s="15"/>
      <c r="O2784" s="14"/>
      <c r="P2784" s="14"/>
    </row>
    <row r="2785">
      <c r="A2785" s="14"/>
      <c r="B2785" s="17"/>
      <c r="C2785" s="17"/>
      <c r="D2785" s="17"/>
      <c r="E2785" s="14"/>
      <c r="F2785" s="14"/>
      <c r="G2785" s="14"/>
      <c r="H2785" s="14"/>
      <c r="I2785" s="14"/>
      <c r="J2785" s="14"/>
      <c r="K2785" s="14"/>
      <c r="L2785" s="14"/>
      <c r="M2785" s="15"/>
      <c r="N2785" s="15"/>
      <c r="O2785" s="14"/>
      <c r="P2785" s="14"/>
    </row>
    <row r="2786">
      <c r="A2786" s="14"/>
      <c r="B2786" s="17"/>
      <c r="C2786" s="17"/>
      <c r="D2786" s="17"/>
      <c r="E2786" s="14"/>
      <c r="F2786" s="14"/>
      <c r="G2786" s="14"/>
      <c r="H2786" s="14"/>
      <c r="I2786" s="14"/>
      <c r="J2786" s="14"/>
      <c r="K2786" s="14"/>
      <c r="L2786" s="14"/>
      <c r="M2786" s="15"/>
      <c r="N2786" s="15"/>
      <c r="O2786" s="14"/>
      <c r="P2786" s="14"/>
    </row>
    <row r="2787">
      <c r="A2787" s="14"/>
      <c r="B2787" s="17"/>
      <c r="C2787" s="17"/>
      <c r="D2787" s="17"/>
      <c r="E2787" s="14"/>
      <c r="F2787" s="14"/>
      <c r="G2787" s="14"/>
      <c r="H2787" s="14"/>
      <c r="I2787" s="14"/>
      <c r="J2787" s="14"/>
      <c r="K2787" s="14"/>
      <c r="L2787" s="14"/>
      <c r="M2787" s="15"/>
      <c r="N2787" s="15"/>
      <c r="O2787" s="14"/>
      <c r="P2787" s="14"/>
    </row>
    <row r="2788">
      <c r="A2788" s="14"/>
      <c r="B2788" s="17"/>
      <c r="C2788" s="17"/>
      <c r="D2788" s="17"/>
      <c r="E2788" s="14"/>
      <c r="F2788" s="14"/>
      <c r="G2788" s="14"/>
      <c r="H2788" s="14"/>
      <c r="I2788" s="14"/>
      <c r="J2788" s="14"/>
      <c r="K2788" s="14"/>
      <c r="L2788" s="14"/>
      <c r="M2788" s="15"/>
      <c r="N2788" s="15"/>
      <c r="O2788" s="14"/>
      <c r="P2788" s="14"/>
    </row>
    <row r="2789">
      <c r="A2789" s="14"/>
      <c r="B2789" s="17"/>
      <c r="C2789" s="17"/>
      <c r="D2789" s="17"/>
      <c r="E2789" s="14"/>
      <c r="F2789" s="14"/>
      <c r="G2789" s="14"/>
      <c r="H2789" s="14"/>
      <c r="I2789" s="14"/>
      <c r="J2789" s="14"/>
      <c r="K2789" s="14"/>
      <c r="L2789" s="14"/>
      <c r="M2789" s="15"/>
      <c r="N2789" s="15"/>
      <c r="O2789" s="14"/>
      <c r="P2789" s="14"/>
    </row>
    <row r="2790">
      <c r="A2790" s="14"/>
      <c r="B2790" s="17"/>
      <c r="C2790" s="17"/>
      <c r="D2790" s="17"/>
      <c r="E2790" s="14"/>
      <c r="F2790" s="14"/>
      <c r="G2790" s="14"/>
      <c r="H2790" s="14"/>
      <c r="I2790" s="14"/>
      <c r="J2790" s="14"/>
      <c r="K2790" s="14"/>
      <c r="L2790" s="14"/>
      <c r="M2790" s="15"/>
      <c r="N2790" s="15"/>
      <c r="O2790" s="14"/>
      <c r="P2790" s="14"/>
    </row>
    <row r="2791">
      <c r="A2791" s="14"/>
      <c r="B2791" s="17"/>
      <c r="C2791" s="17"/>
      <c r="D2791" s="17"/>
      <c r="E2791" s="14"/>
      <c r="F2791" s="14"/>
      <c r="G2791" s="14"/>
      <c r="H2791" s="14"/>
      <c r="I2791" s="14"/>
      <c r="J2791" s="14"/>
      <c r="K2791" s="14"/>
      <c r="L2791" s="14"/>
      <c r="M2791" s="15"/>
      <c r="N2791" s="15"/>
      <c r="O2791" s="14"/>
      <c r="P2791" s="14"/>
    </row>
    <row r="2792">
      <c r="A2792" s="14"/>
      <c r="B2792" s="17"/>
      <c r="C2792" s="17"/>
      <c r="D2792" s="17"/>
      <c r="E2792" s="14"/>
      <c r="F2792" s="14"/>
      <c r="G2792" s="14"/>
      <c r="H2792" s="14"/>
      <c r="I2792" s="14"/>
      <c r="J2792" s="14"/>
      <c r="K2792" s="14"/>
      <c r="L2792" s="14"/>
      <c r="M2792" s="15"/>
      <c r="N2792" s="15"/>
      <c r="O2792" s="14"/>
      <c r="P2792" s="14"/>
    </row>
    <row r="2793">
      <c r="A2793" s="14"/>
      <c r="B2793" s="17"/>
      <c r="C2793" s="17"/>
      <c r="D2793" s="17"/>
      <c r="E2793" s="14"/>
      <c r="F2793" s="14"/>
      <c r="G2793" s="14"/>
      <c r="H2793" s="14"/>
      <c r="I2793" s="14"/>
      <c r="J2793" s="14"/>
      <c r="K2793" s="14"/>
      <c r="L2793" s="14"/>
      <c r="M2793" s="15"/>
      <c r="N2793" s="15"/>
      <c r="O2793" s="14"/>
      <c r="P2793" s="14"/>
    </row>
    <row r="2794">
      <c r="A2794" s="14"/>
      <c r="B2794" s="17"/>
      <c r="C2794" s="17"/>
      <c r="D2794" s="17"/>
      <c r="E2794" s="14"/>
      <c r="F2794" s="14"/>
      <c r="G2794" s="14"/>
      <c r="H2794" s="14"/>
      <c r="I2794" s="14"/>
      <c r="J2794" s="14"/>
      <c r="K2794" s="14"/>
      <c r="L2794" s="14"/>
      <c r="M2794" s="15"/>
      <c r="N2794" s="15"/>
      <c r="O2794" s="14"/>
      <c r="P2794" s="14"/>
    </row>
    <row r="2795">
      <c r="A2795" s="14"/>
      <c r="B2795" s="17"/>
      <c r="C2795" s="17"/>
      <c r="D2795" s="17"/>
      <c r="E2795" s="14"/>
      <c r="F2795" s="14"/>
      <c r="G2795" s="14"/>
      <c r="H2795" s="14"/>
      <c r="I2795" s="14"/>
      <c r="J2795" s="14"/>
      <c r="K2795" s="14"/>
      <c r="L2795" s="14"/>
      <c r="M2795" s="15"/>
      <c r="N2795" s="15"/>
      <c r="O2795" s="14"/>
      <c r="P2795" s="14"/>
    </row>
    <row r="2796">
      <c r="A2796" s="14"/>
      <c r="B2796" s="17"/>
      <c r="C2796" s="17"/>
      <c r="D2796" s="17"/>
      <c r="E2796" s="14"/>
      <c r="F2796" s="14"/>
      <c r="G2796" s="14"/>
      <c r="H2796" s="14"/>
      <c r="I2796" s="14"/>
      <c r="J2796" s="14"/>
      <c r="K2796" s="14"/>
      <c r="L2796" s="14"/>
      <c r="M2796" s="15"/>
      <c r="N2796" s="15"/>
      <c r="O2796" s="14"/>
      <c r="P2796" s="14"/>
    </row>
    <row r="2797">
      <c r="A2797" s="14"/>
      <c r="B2797" s="17"/>
      <c r="C2797" s="17"/>
      <c r="D2797" s="17"/>
      <c r="E2797" s="14"/>
      <c r="F2797" s="14"/>
      <c r="G2797" s="14"/>
      <c r="H2797" s="14"/>
      <c r="I2797" s="14"/>
      <c r="J2797" s="14"/>
      <c r="K2797" s="14"/>
      <c r="L2797" s="14"/>
      <c r="M2797" s="15"/>
      <c r="N2797" s="15"/>
      <c r="O2797" s="14"/>
      <c r="P2797" s="14"/>
    </row>
    <row r="2798">
      <c r="A2798" s="14"/>
      <c r="B2798" s="17"/>
      <c r="C2798" s="17"/>
      <c r="D2798" s="17"/>
      <c r="E2798" s="14"/>
      <c r="F2798" s="14"/>
      <c r="G2798" s="14"/>
      <c r="H2798" s="14"/>
      <c r="I2798" s="14"/>
      <c r="J2798" s="14"/>
      <c r="K2798" s="14"/>
      <c r="L2798" s="14"/>
      <c r="M2798" s="15"/>
      <c r="N2798" s="15"/>
      <c r="O2798" s="14"/>
      <c r="P2798" s="14"/>
    </row>
    <row r="2799">
      <c r="A2799" s="14"/>
      <c r="B2799" s="17"/>
      <c r="C2799" s="17"/>
      <c r="D2799" s="17"/>
      <c r="E2799" s="14"/>
      <c r="F2799" s="14"/>
      <c r="G2799" s="14"/>
      <c r="H2799" s="14"/>
      <c r="I2799" s="14"/>
      <c r="J2799" s="14"/>
      <c r="K2799" s="14"/>
      <c r="L2799" s="14"/>
      <c r="M2799" s="15"/>
      <c r="N2799" s="15"/>
      <c r="O2799" s="14"/>
      <c r="P2799" s="14"/>
    </row>
    <row r="2800">
      <c r="A2800" s="14"/>
      <c r="B2800" s="17"/>
      <c r="C2800" s="17"/>
      <c r="D2800" s="17"/>
      <c r="E2800" s="14"/>
      <c r="F2800" s="14"/>
      <c r="G2800" s="14"/>
      <c r="H2800" s="14"/>
      <c r="I2800" s="14"/>
      <c r="J2800" s="14"/>
      <c r="K2800" s="14"/>
      <c r="L2800" s="14"/>
      <c r="M2800" s="15"/>
      <c r="N2800" s="15"/>
      <c r="O2800" s="14"/>
      <c r="P2800" s="14"/>
    </row>
    <row r="2801">
      <c r="A2801" s="14"/>
      <c r="B2801" s="17"/>
      <c r="C2801" s="17"/>
      <c r="D2801" s="17"/>
      <c r="E2801" s="14"/>
      <c r="F2801" s="14"/>
      <c r="G2801" s="14"/>
      <c r="H2801" s="14"/>
      <c r="I2801" s="14"/>
      <c r="J2801" s="14"/>
      <c r="K2801" s="14"/>
      <c r="L2801" s="14"/>
      <c r="M2801" s="15"/>
      <c r="N2801" s="15"/>
      <c r="O2801" s="14"/>
      <c r="P2801" s="14"/>
    </row>
    <row r="2802">
      <c r="A2802" s="14"/>
      <c r="B2802" s="17"/>
      <c r="C2802" s="17"/>
      <c r="D2802" s="17"/>
      <c r="E2802" s="14"/>
      <c r="F2802" s="14"/>
      <c r="G2802" s="14"/>
      <c r="H2802" s="14"/>
      <c r="I2802" s="14"/>
      <c r="J2802" s="14"/>
      <c r="K2802" s="14"/>
      <c r="L2802" s="14"/>
      <c r="M2802" s="15"/>
      <c r="N2802" s="15"/>
      <c r="O2802" s="14"/>
      <c r="P2802" s="14"/>
    </row>
    <row r="2803">
      <c r="A2803" s="14"/>
      <c r="B2803" s="17"/>
      <c r="C2803" s="17"/>
      <c r="D2803" s="17"/>
      <c r="E2803" s="14"/>
      <c r="F2803" s="14"/>
      <c r="G2803" s="14"/>
      <c r="H2803" s="14"/>
      <c r="I2803" s="14"/>
      <c r="J2803" s="14"/>
      <c r="K2803" s="14"/>
      <c r="L2803" s="14"/>
      <c r="M2803" s="15"/>
      <c r="N2803" s="15"/>
      <c r="O2803" s="14"/>
      <c r="P2803" s="14"/>
    </row>
    <row r="2804">
      <c r="A2804" s="14"/>
      <c r="B2804" s="17"/>
      <c r="C2804" s="17"/>
      <c r="D2804" s="17"/>
      <c r="E2804" s="14"/>
      <c r="F2804" s="14"/>
      <c r="G2804" s="14"/>
      <c r="H2804" s="14"/>
      <c r="I2804" s="14"/>
      <c r="J2804" s="14"/>
      <c r="K2804" s="14"/>
      <c r="L2804" s="14"/>
      <c r="M2804" s="15"/>
      <c r="N2804" s="15"/>
      <c r="O2804" s="14"/>
      <c r="P2804" s="14"/>
    </row>
    <row r="2805">
      <c r="A2805" s="14"/>
      <c r="B2805" s="17"/>
      <c r="C2805" s="17"/>
      <c r="D2805" s="17"/>
      <c r="E2805" s="14"/>
      <c r="F2805" s="14"/>
      <c r="G2805" s="14"/>
      <c r="H2805" s="14"/>
      <c r="I2805" s="14"/>
      <c r="J2805" s="14"/>
      <c r="K2805" s="14"/>
      <c r="L2805" s="14"/>
      <c r="M2805" s="15"/>
      <c r="N2805" s="15"/>
      <c r="O2805" s="14"/>
      <c r="P2805" s="14"/>
    </row>
    <row r="2806">
      <c r="A2806" s="14"/>
      <c r="B2806" s="17"/>
      <c r="C2806" s="17"/>
      <c r="D2806" s="17"/>
      <c r="E2806" s="14"/>
      <c r="F2806" s="14"/>
      <c r="G2806" s="14"/>
      <c r="H2806" s="14"/>
      <c r="I2806" s="14"/>
      <c r="J2806" s="14"/>
      <c r="K2806" s="14"/>
      <c r="L2806" s="14"/>
      <c r="M2806" s="15"/>
      <c r="N2806" s="15"/>
      <c r="O2806" s="14"/>
      <c r="P2806" s="14"/>
    </row>
    <row r="2807">
      <c r="A2807" s="14"/>
      <c r="B2807" s="17"/>
      <c r="C2807" s="17"/>
      <c r="D2807" s="17"/>
      <c r="E2807" s="14"/>
      <c r="F2807" s="14"/>
      <c r="G2807" s="14"/>
      <c r="H2807" s="14"/>
      <c r="I2807" s="14"/>
      <c r="J2807" s="14"/>
      <c r="K2807" s="14"/>
      <c r="L2807" s="14"/>
      <c r="M2807" s="15"/>
      <c r="N2807" s="15"/>
      <c r="O2807" s="14"/>
      <c r="P2807" s="14"/>
    </row>
    <row r="2808">
      <c r="A2808" s="14"/>
      <c r="B2808" s="17"/>
      <c r="C2808" s="17"/>
      <c r="D2808" s="17"/>
      <c r="E2808" s="14"/>
      <c r="F2808" s="14"/>
      <c r="G2808" s="14"/>
      <c r="H2808" s="14"/>
      <c r="I2808" s="14"/>
      <c r="J2808" s="14"/>
      <c r="K2808" s="14"/>
      <c r="L2808" s="14"/>
      <c r="M2808" s="15"/>
      <c r="N2808" s="15"/>
      <c r="O2808" s="14"/>
      <c r="P2808" s="14"/>
    </row>
    <row r="2809">
      <c r="A2809" s="14"/>
      <c r="B2809" s="17"/>
      <c r="C2809" s="17"/>
      <c r="D2809" s="17"/>
      <c r="E2809" s="14"/>
      <c r="F2809" s="14"/>
      <c r="G2809" s="14"/>
      <c r="H2809" s="14"/>
      <c r="I2809" s="14"/>
      <c r="J2809" s="14"/>
      <c r="K2809" s="14"/>
      <c r="L2809" s="14"/>
      <c r="M2809" s="15"/>
      <c r="N2809" s="15"/>
      <c r="O2809" s="14"/>
      <c r="P2809" s="14"/>
    </row>
    <row r="2810">
      <c r="A2810" s="14"/>
      <c r="B2810" s="17"/>
      <c r="C2810" s="17"/>
      <c r="D2810" s="17"/>
      <c r="E2810" s="14"/>
      <c r="F2810" s="14"/>
      <c r="G2810" s="14"/>
      <c r="H2810" s="14"/>
      <c r="I2810" s="14"/>
      <c r="J2810" s="14"/>
      <c r="K2810" s="14"/>
      <c r="L2810" s="14"/>
      <c r="M2810" s="15"/>
      <c r="N2810" s="15"/>
      <c r="O2810" s="14"/>
      <c r="P2810" s="14"/>
    </row>
    <row r="2811">
      <c r="A2811" s="14"/>
      <c r="B2811" s="17"/>
      <c r="C2811" s="17"/>
      <c r="D2811" s="17"/>
      <c r="E2811" s="14"/>
      <c r="F2811" s="14"/>
      <c r="G2811" s="14"/>
      <c r="H2811" s="14"/>
      <c r="I2811" s="14"/>
      <c r="J2811" s="14"/>
      <c r="K2811" s="14"/>
      <c r="L2811" s="14"/>
      <c r="M2811" s="15"/>
      <c r="N2811" s="15"/>
      <c r="O2811" s="14"/>
      <c r="P2811" s="14"/>
    </row>
    <row r="2812">
      <c r="A2812" s="14"/>
      <c r="B2812" s="17"/>
      <c r="C2812" s="17"/>
      <c r="D2812" s="17"/>
      <c r="E2812" s="14"/>
      <c r="F2812" s="14"/>
      <c r="G2812" s="14"/>
      <c r="H2812" s="14"/>
      <c r="I2812" s="14"/>
      <c r="J2812" s="14"/>
      <c r="K2812" s="14"/>
      <c r="L2812" s="14"/>
      <c r="M2812" s="15"/>
      <c r="N2812" s="15"/>
      <c r="O2812" s="14"/>
      <c r="P2812" s="14"/>
    </row>
    <row r="2813">
      <c r="A2813" s="14"/>
      <c r="B2813" s="17"/>
      <c r="C2813" s="17"/>
      <c r="D2813" s="17"/>
      <c r="E2813" s="14"/>
      <c r="F2813" s="14"/>
      <c r="G2813" s="14"/>
      <c r="H2813" s="14"/>
      <c r="I2813" s="14"/>
      <c r="J2813" s="14"/>
      <c r="K2813" s="14"/>
      <c r="L2813" s="14"/>
      <c r="M2813" s="15"/>
      <c r="N2813" s="15"/>
      <c r="O2813" s="14"/>
      <c r="P2813" s="14"/>
    </row>
    <row r="2814">
      <c r="A2814" s="14"/>
      <c r="B2814" s="17"/>
      <c r="C2814" s="17"/>
      <c r="D2814" s="17"/>
      <c r="E2814" s="14"/>
      <c r="F2814" s="14"/>
      <c r="G2814" s="14"/>
      <c r="H2814" s="14"/>
      <c r="I2814" s="14"/>
      <c r="J2814" s="14"/>
      <c r="K2814" s="14"/>
      <c r="L2814" s="14"/>
      <c r="M2814" s="15"/>
      <c r="N2814" s="15"/>
      <c r="O2814" s="14"/>
      <c r="P2814" s="14"/>
    </row>
    <row r="2815">
      <c r="A2815" s="14"/>
      <c r="B2815" s="17"/>
      <c r="C2815" s="17"/>
      <c r="D2815" s="17"/>
      <c r="E2815" s="14"/>
      <c r="F2815" s="14"/>
      <c r="G2815" s="14"/>
      <c r="H2815" s="14"/>
      <c r="I2815" s="14"/>
      <c r="J2815" s="14"/>
      <c r="K2815" s="14"/>
      <c r="L2815" s="14"/>
      <c r="M2815" s="15"/>
      <c r="N2815" s="15"/>
      <c r="O2815" s="14"/>
      <c r="P2815" s="14"/>
    </row>
    <row r="2816">
      <c r="A2816" s="14"/>
      <c r="B2816" s="17"/>
      <c r="C2816" s="17"/>
      <c r="D2816" s="17"/>
      <c r="E2816" s="14"/>
      <c r="F2816" s="14"/>
      <c r="G2816" s="14"/>
      <c r="H2816" s="14"/>
      <c r="I2816" s="14"/>
      <c r="J2816" s="14"/>
      <c r="K2816" s="14"/>
      <c r="L2816" s="14"/>
      <c r="M2816" s="15"/>
      <c r="N2816" s="15"/>
      <c r="O2816" s="14"/>
      <c r="P2816" s="14"/>
    </row>
    <row r="2817">
      <c r="A2817" s="14"/>
      <c r="B2817" s="17"/>
      <c r="C2817" s="17"/>
      <c r="D2817" s="17"/>
      <c r="E2817" s="14"/>
      <c r="F2817" s="14"/>
      <c r="G2817" s="14"/>
      <c r="H2817" s="14"/>
      <c r="I2817" s="14"/>
      <c r="J2817" s="14"/>
      <c r="K2817" s="14"/>
      <c r="L2817" s="14"/>
      <c r="M2817" s="15"/>
      <c r="N2817" s="15"/>
      <c r="O2817" s="14"/>
      <c r="P2817" s="14"/>
    </row>
    <row r="2818">
      <c r="A2818" s="14"/>
      <c r="B2818" s="17"/>
      <c r="C2818" s="17"/>
      <c r="D2818" s="17"/>
      <c r="E2818" s="14"/>
      <c r="F2818" s="14"/>
      <c r="G2818" s="14"/>
      <c r="H2818" s="14"/>
      <c r="I2818" s="14"/>
      <c r="J2818" s="14"/>
      <c r="K2818" s="14"/>
      <c r="L2818" s="14"/>
      <c r="M2818" s="15"/>
      <c r="N2818" s="15"/>
      <c r="O2818" s="14"/>
      <c r="P2818" s="14"/>
    </row>
    <row r="2819">
      <c r="A2819" s="14"/>
      <c r="B2819" s="17"/>
      <c r="C2819" s="17"/>
      <c r="D2819" s="17"/>
      <c r="E2819" s="14"/>
      <c r="F2819" s="14"/>
      <c r="G2819" s="14"/>
      <c r="H2819" s="14"/>
      <c r="I2819" s="14"/>
      <c r="J2819" s="14"/>
      <c r="K2819" s="14"/>
      <c r="L2819" s="14"/>
      <c r="M2819" s="15"/>
      <c r="N2819" s="15"/>
      <c r="O2819" s="14"/>
      <c r="P2819" s="14"/>
    </row>
    <row r="2820">
      <c r="A2820" s="14"/>
      <c r="B2820" s="17"/>
      <c r="C2820" s="17"/>
      <c r="D2820" s="17"/>
      <c r="E2820" s="14"/>
      <c r="F2820" s="14"/>
      <c r="G2820" s="14"/>
      <c r="H2820" s="14"/>
      <c r="I2820" s="14"/>
      <c r="J2820" s="14"/>
      <c r="K2820" s="14"/>
      <c r="L2820" s="14"/>
      <c r="M2820" s="15"/>
      <c r="N2820" s="15"/>
      <c r="O2820" s="14"/>
      <c r="P2820" s="14"/>
    </row>
    <row r="2821">
      <c r="A2821" s="14"/>
      <c r="B2821" s="17"/>
      <c r="C2821" s="17"/>
      <c r="D2821" s="17"/>
      <c r="E2821" s="14"/>
      <c r="F2821" s="14"/>
      <c r="G2821" s="14"/>
      <c r="H2821" s="14"/>
      <c r="I2821" s="14"/>
      <c r="J2821" s="14"/>
      <c r="K2821" s="14"/>
      <c r="L2821" s="14"/>
      <c r="M2821" s="15"/>
      <c r="N2821" s="15"/>
      <c r="O2821" s="14"/>
      <c r="P2821" s="14"/>
    </row>
    <row r="2822">
      <c r="A2822" s="14"/>
      <c r="B2822" s="17"/>
      <c r="C2822" s="17"/>
      <c r="D2822" s="17"/>
      <c r="E2822" s="14"/>
      <c r="F2822" s="14"/>
      <c r="G2822" s="14"/>
      <c r="H2822" s="14"/>
      <c r="I2822" s="14"/>
      <c r="J2822" s="14"/>
      <c r="K2822" s="14"/>
      <c r="L2822" s="14"/>
      <c r="M2822" s="15"/>
      <c r="N2822" s="15"/>
      <c r="O2822" s="14"/>
      <c r="P2822" s="14"/>
    </row>
    <row r="2823">
      <c r="A2823" s="14"/>
      <c r="B2823" s="17"/>
      <c r="C2823" s="17"/>
      <c r="D2823" s="17"/>
      <c r="E2823" s="14"/>
      <c r="F2823" s="14"/>
      <c r="G2823" s="14"/>
      <c r="H2823" s="14"/>
      <c r="I2823" s="14"/>
      <c r="J2823" s="14"/>
      <c r="K2823" s="14"/>
      <c r="L2823" s="14"/>
      <c r="M2823" s="15"/>
      <c r="N2823" s="15"/>
      <c r="O2823" s="14"/>
      <c r="P2823" s="14"/>
    </row>
    <row r="2824">
      <c r="A2824" s="14"/>
      <c r="B2824" s="17"/>
      <c r="C2824" s="17"/>
      <c r="D2824" s="17"/>
      <c r="E2824" s="14"/>
      <c r="F2824" s="14"/>
      <c r="G2824" s="14"/>
      <c r="H2824" s="14"/>
      <c r="I2824" s="14"/>
      <c r="J2824" s="14"/>
      <c r="K2824" s="14"/>
      <c r="L2824" s="14"/>
      <c r="M2824" s="15"/>
      <c r="N2824" s="15"/>
      <c r="O2824" s="14"/>
      <c r="P2824" s="14"/>
    </row>
    <row r="2825">
      <c r="A2825" s="14"/>
      <c r="B2825" s="17"/>
      <c r="C2825" s="17"/>
      <c r="D2825" s="17"/>
      <c r="E2825" s="14"/>
      <c r="F2825" s="14"/>
      <c r="G2825" s="14"/>
      <c r="H2825" s="14"/>
      <c r="I2825" s="14"/>
      <c r="J2825" s="14"/>
      <c r="K2825" s="14"/>
      <c r="L2825" s="14"/>
      <c r="M2825" s="15"/>
      <c r="N2825" s="15"/>
      <c r="O2825" s="14"/>
      <c r="P2825" s="14"/>
    </row>
    <row r="2826">
      <c r="A2826" s="14"/>
      <c r="B2826" s="17"/>
      <c r="C2826" s="17"/>
      <c r="D2826" s="17"/>
      <c r="E2826" s="14"/>
      <c r="F2826" s="14"/>
      <c r="G2826" s="14"/>
      <c r="H2826" s="14"/>
      <c r="I2826" s="14"/>
      <c r="J2826" s="14"/>
      <c r="K2826" s="14"/>
      <c r="L2826" s="14"/>
      <c r="M2826" s="15"/>
      <c r="N2826" s="15"/>
      <c r="O2826" s="14"/>
      <c r="P2826" s="14"/>
    </row>
    <row r="2827">
      <c r="A2827" s="14"/>
      <c r="B2827" s="17"/>
      <c r="C2827" s="17"/>
      <c r="D2827" s="17"/>
      <c r="E2827" s="14"/>
      <c r="F2827" s="14"/>
      <c r="G2827" s="14"/>
      <c r="H2827" s="14"/>
      <c r="I2827" s="14"/>
      <c r="J2827" s="14"/>
      <c r="K2827" s="14"/>
      <c r="L2827" s="14"/>
      <c r="M2827" s="15"/>
      <c r="N2827" s="15"/>
      <c r="O2827" s="14"/>
      <c r="P2827" s="14"/>
    </row>
    <row r="2828">
      <c r="A2828" s="14"/>
      <c r="B2828" s="17"/>
      <c r="C2828" s="17"/>
      <c r="D2828" s="17"/>
      <c r="E2828" s="14"/>
      <c r="F2828" s="14"/>
      <c r="G2828" s="14"/>
      <c r="H2828" s="14"/>
      <c r="I2828" s="14"/>
      <c r="J2828" s="14"/>
      <c r="K2828" s="14"/>
      <c r="L2828" s="14"/>
      <c r="M2828" s="15"/>
      <c r="N2828" s="15"/>
      <c r="O2828" s="14"/>
      <c r="P2828" s="14"/>
    </row>
    <row r="2829">
      <c r="A2829" s="14"/>
      <c r="B2829" s="17"/>
      <c r="C2829" s="17"/>
      <c r="D2829" s="17"/>
      <c r="E2829" s="14"/>
      <c r="F2829" s="14"/>
      <c r="G2829" s="14"/>
      <c r="H2829" s="14"/>
      <c r="I2829" s="14"/>
      <c r="J2829" s="14"/>
      <c r="K2829" s="14"/>
      <c r="L2829" s="14"/>
      <c r="M2829" s="15"/>
      <c r="N2829" s="15"/>
      <c r="O2829" s="14"/>
      <c r="P2829" s="14"/>
    </row>
    <row r="2830">
      <c r="A2830" s="14"/>
      <c r="B2830" s="17"/>
      <c r="C2830" s="17"/>
      <c r="D2830" s="17"/>
      <c r="E2830" s="14"/>
      <c r="F2830" s="14"/>
      <c r="G2830" s="14"/>
      <c r="H2830" s="14"/>
      <c r="I2830" s="14"/>
      <c r="J2830" s="14"/>
      <c r="K2830" s="14"/>
      <c r="L2830" s="14"/>
      <c r="M2830" s="15"/>
      <c r="N2830" s="15"/>
      <c r="O2830" s="14"/>
      <c r="P2830" s="14"/>
    </row>
    <row r="2831">
      <c r="A2831" s="14"/>
      <c r="B2831" s="17"/>
      <c r="C2831" s="17"/>
      <c r="D2831" s="17"/>
      <c r="E2831" s="14"/>
      <c r="F2831" s="14"/>
      <c r="G2831" s="14"/>
      <c r="H2831" s="14"/>
      <c r="I2831" s="14"/>
      <c r="J2831" s="14"/>
      <c r="K2831" s="14"/>
      <c r="L2831" s="14"/>
      <c r="M2831" s="15"/>
      <c r="N2831" s="15"/>
      <c r="O2831" s="14"/>
      <c r="P2831" s="14"/>
    </row>
    <row r="2832">
      <c r="A2832" s="14"/>
      <c r="B2832" s="17"/>
      <c r="C2832" s="17"/>
      <c r="D2832" s="17"/>
      <c r="E2832" s="14"/>
      <c r="F2832" s="14"/>
      <c r="G2832" s="14"/>
      <c r="H2832" s="14"/>
      <c r="I2832" s="14"/>
      <c r="J2832" s="14"/>
      <c r="K2832" s="14"/>
      <c r="L2832" s="14"/>
      <c r="M2832" s="15"/>
      <c r="N2832" s="15"/>
      <c r="O2832" s="14"/>
      <c r="P2832" s="14"/>
    </row>
    <row r="2833">
      <c r="A2833" s="14"/>
      <c r="B2833" s="17"/>
      <c r="C2833" s="17"/>
      <c r="D2833" s="17"/>
      <c r="E2833" s="14"/>
      <c r="F2833" s="14"/>
      <c r="G2833" s="14"/>
      <c r="H2833" s="14"/>
      <c r="I2833" s="14"/>
      <c r="J2833" s="14"/>
      <c r="K2833" s="14"/>
      <c r="L2833" s="14"/>
      <c r="M2833" s="15"/>
      <c r="N2833" s="15"/>
      <c r="O2833" s="14"/>
      <c r="P2833" s="14"/>
    </row>
    <row r="2834">
      <c r="A2834" s="14"/>
      <c r="B2834" s="17"/>
      <c r="C2834" s="17"/>
      <c r="D2834" s="17"/>
      <c r="E2834" s="14"/>
      <c r="F2834" s="14"/>
      <c r="G2834" s="14"/>
      <c r="H2834" s="14"/>
      <c r="I2834" s="14"/>
      <c r="J2834" s="14"/>
      <c r="K2834" s="14"/>
      <c r="L2834" s="14"/>
      <c r="M2834" s="15"/>
      <c r="N2834" s="15"/>
      <c r="O2834" s="14"/>
      <c r="P2834" s="14"/>
    </row>
    <row r="2835">
      <c r="A2835" s="14"/>
      <c r="B2835" s="17"/>
      <c r="C2835" s="17"/>
      <c r="D2835" s="17"/>
      <c r="E2835" s="14"/>
      <c r="F2835" s="14"/>
      <c r="G2835" s="14"/>
      <c r="H2835" s="14"/>
      <c r="I2835" s="14"/>
      <c r="J2835" s="14"/>
      <c r="K2835" s="14"/>
      <c r="L2835" s="14"/>
      <c r="M2835" s="15"/>
      <c r="N2835" s="15"/>
      <c r="O2835" s="14"/>
      <c r="P2835" s="14"/>
    </row>
    <row r="2836">
      <c r="A2836" s="14"/>
      <c r="B2836" s="17"/>
      <c r="C2836" s="17"/>
      <c r="D2836" s="17"/>
      <c r="E2836" s="14"/>
      <c r="F2836" s="14"/>
      <c r="G2836" s="14"/>
      <c r="H2836" s="14"/>
      <c r="I2836" s="14"/>
      <c r="J2836" s="14"/>
      <c r="K2836" s="14"/>
      <c r="L2836" s="14"/>
      <c r="M2836" s="15"/>
      <c r="N2836" s="15"/>
      <c r="O2836" s="14"/>
      <c r="P2836" s="14"/>
    </row>
    <row r="2837">
      <c r="A2837" s="14"/>
      <c r="B2837" s="17"/>
      <c r="C2837" s="17"/>
      <c r="D2837" s="17"/>
      <c r="E2837" s="14"/>
      <c r="F2837" s="14"/>
      <c r="G2837" s="14"/>
      <c r="H2837" s="14"/>
      <c r="I2837" s="14"/>
      <c r="J2837" s="14"/>
      <c r="K2837" s="14"/>
      <c r="L2837" s="14"/>
      <c r="M2837" s="15"/>
      <c r="N2837" s="15"/>
      <c r="O2837" s="14"/>
      <c r="P2837" s="14"/>
    </row>
    <row r="2838">
      <c r="A2838" s="14"/>
      <c r="B2838" s="17"/>
      <c r="C2838" s="17"/>
      <c r="D2838" s="17"/>
      <c r="E2838" s="14"/>
      <c r="F2838" s="14"/>
      <c r="G2838" s="14"/>
      <c r="H2838" s="14"/>
      <c r="I2838" s="14"/>
      <c r="J2838" s="14"/>
      <c r="K2838" s="14"/>
      <c r="L2838" s="14"/>
      <c r="M2838" s="15"/>
      <c r="N2838" s="15"/>
      <c r="O2838" s="14"/>
      <c r="P2838" s="14"/>
    </row>
    <row r="2839">
      <c r="A2839" s="14"/>
      <c r="B2839" s="17"/>
      <c r="C2839" s="17"/>
      <c r="D2839" s="17"/>
      <c r="E2839" s="14"/>
      <c r="F2839" s="14"/>
      <c r="G2839" s="14"/>
      <c r="H2839" s="14"/>
      <c r="I2839" s="14"/>
      <c r="J2839" s="14"/>
      <c r="K2839" s="14"/>
      <c r="L2839" s="14"/>
      <c r="M2839" s="15"/>
      <c r="N2839" s="15"/>
      <c r="O2839" s="14"/>
      <c r="P2839" s="14"/>
    </row>
    <row r="2840">
      <c r="A2840" s="14"/>
      <c r="B2840" s="17"/>
      <c r="C2840" s="17"/>
      <c r="D2840" s="17"/>
      <c r="E2840" s="14"/>
      <c r="F2840" s="14"/>
      <c r="G2840" s="14"/>
      <c r="H2840" s="14"/>
      <c r="I2840" s="14"/>
      <c r="J2840" s="14"/>
      <c r="K2840" s="14"/>
      <c r="L2840" s="14"/>
      <c r="M2840" s="15"/>
      <c r="N2840" s="15"/>
      <c r="O2840" s="14"/>
      <c r="P2840" s="14"/>
    </row>
    <row r="2841">
      <c r="A2841" s="14"/>
      <c r="B2841" s="17"/>
      <c r="C2841" s="17"/>
      <c r="D2841" s="17"/>
      <c r="E2841" s="14"/>
      <c r="F2841" s="14"/>
      <c r="G2841" s="14"/>
      <c r="H2841" s="14"/>
      <c r="I2841" s="14"/>
      <c r="J2841" s="14"/>
      <c r="K2841" s="14"/>
      <c r="L2841" s="14"/>
      <c r="M2841" s="15"/>
      <c r="N2841" s="15"/>
      <c r="O2841" s="14"/>
      <c r="P2841" s="14"/>
    </row>
    <row r="2842">
      <c r="A2842" s="14"/>
      <c r="B2842" s="17"/>
      <c r="C2842" s="17"/>
      <c r="D2842" s="17"/>
      <c r="E2842" s="14"/>
      <c r="F2842" s="14"/>
      <c r="G2842" s="14"/>
      <c r="H2842" s="14"/>
      <c r="I2842" s="14"/>
      <c r="J2842" s="14"/>
      <c r="K2842" s="14"/>
      <c r="L2842" s="14"/>
      <c r="M2842" s="15"/>
      <c r="N2842" s="15"/>
      <c r="O2842" s="14"/>
      <c r="P2842" s="14"/>
    </row>
    <row r="2843">
      <c r="A2843" s="14"/>
      <c r="B2843" s="17"/>
      <c r="C2843" s="17"/>
      <c r="D2843" s="17"/>
      <c r="E2843" s="14"/>
      <c r="F2843" s="14"/>
      <c r="G2843" s="14"/>
      <c r="H2843" s="14"/>
      <c r="I2843" s="14"/>
      <c r="J2843" s="14"/>
      <c r="K2843" s="14"/>
      <c r="L2843" s="14"/>
      <c r="M2843" s="15"/>
      <c r="N2843" s="15"/>
      <c r="O2843" s="14"/>
      <c r="P2843" s="14"/>
    </row>
    <row r="2844">
      <c r="A2844" s="14"/>
      <c r="B2844" s="17"/>
      <c r="C2844" s="17"/>
      <c r="D2844" s="17"/>
      <c r="E2844" s="14"/>
      <c r="F2844" s="14"/>
      <c r="G2844" s="14"/>
      <c r="H2844" s="14"/>
      <c r="I2844" s="14"/>
      <c r="J2844" s="14"/>
      <c r="K2844" s="14"/>
      <c r="L2844" s="14"/>
      <c r="M2844" s="15"/>
      <c r="N2844" s="15"/>
      <c r="O2844" s="14"/>
      <c r="P2844" s="14"/>
    </row>
    <row r="2845">
      <c r="A2845" s="14"/>
      <c r="B2845" s="17"/>
      <c r="C2845" s="17"/>
      <c r="D2845" s="17"/>
      <c r="E2845" s="14"/>
      <c r="F2845" s="14"/>
      <c r="G2845" s="14"/>
      <c r="H2845" s="14"/>
      <c r="I2845" s="14"/>
      <c r="J2845" s="14"/>
      <c r="K2845" s="14"/>
      <c r="L2845" s="14"/>
      <c r="M2845" s="15"/>
      <c r="N2845" s="15"/>
      <c r="O2845" s="14"/>
      <c r="P2845" s="14"/>
    </row>
    <row r="2846">
      <c r="A2846" s="14"/>
      <c r="B2846" s="17"/>
      <c r="C2846" s="17"/>
      <c r="D2846" s="17"/>
      <c r="E2846" s="14"/>
      <c r="F2846" s="14"/>
      <c r="G2846" s="14"/>
      <c r="H2846" s="14"/>
      <c r="I2846" s="14"/>
      <c r="J2846" s="14"/>
      <c r="K2846" s="14"/>
      <c r="L2846" s="14"/>
      <c r="M2846" s="15"/>
      <c r="N2846" s="15"/>
      <c r="O2846" s="14"/>
      <c r="P2846" s="14"/>
    </row>
    <row r="2847">
      <c r="A2847" s="14"/>
      <c r="B2847" s="17"/>
      <c r="C2847" s="17"/>
      <c r="D2847" s="17"/>
      <c r="E2847" s="14"/>
      <c r="F2847" s="14"/>
      <c r="G2847" s="14"/>
      <c r="H2847" s="14"/>
      <c r="I2847" s="14"/>
      <c r="J2847" s="14"/>
      <c r="K2847" s="14"/>
      <c r="L2847" s="14"/>
      <c r="M2847" s="15"/>
      <c r="N2847" s="15"/>
      <c r="O2847" s="14"/>
      <c r="P2847" s="14"/>
    </row>
    <row r="2848">
      <c r="A2848" s="14"/>
      <c r="B2848" s="17"/>
      <c r="C2848" s="17"/>
      <c r="D2848" s="17"/>
      <c r="E2848" s="14"/>
      <c r="F2848" s="14"/>
      <c r="G2848" s="14"/>
      <c r="H2848" s="14"/>
      <c r="I2848" s="14"/>
      <c r="J2848" s="14"/>
      <c r="K2848" s="14"/>
      <c r="L2848" s="14"/>
      <c r="M2848" s="15"/>
      <c r="N2848" s="15"/>
      <c r="O2848" s="14"/>
      <c r="P2848" s="14"/>
    </row>
    <row r="2849">
      <c r="A2849" s="14"/>
      <c r="B2849" s="17"/>
      <c r="C2849" s="17"/>
      <c r="D2849" s="17"/>
      <c r="E2849" s="14"/>
      <c r="F2849" s="14"/>
      <c r="G2849" s="14"/>
      <c r="H2849" s="14"/>
      <c r="I2849" s="14"/>
      <c r="J2849" s="14"/>
      <c r="K2849" s="14"/>
      <c r="L2849" s="14"/>
      <c r="M2849" s="15"/>
      <c r="N2849" s="15"/>
      <c r="O2849" s="14"/>
      <c r="P2849" s="14"/>
    </row>
    <row r="2850">
      <c r="A2850" s="14"/>
      <c r="B2850" s="17"/>
      <c r="C2850" s="17"/>
      <c r="D2850" s="17"/>
      <c r="E2850" s="14"/>
      <c r="F2850" s="14"/>
      <c r="G2850" s="14"/>
      <c r="H2850" s="14"/>
      <c r="I2850" s="14"/>
      <c r="J2850" s="14"/>
      <c r="K2850" s="14"/>
      <c r="L2850" s="14"/>
      <c r="M2850" s="15"/>
      <c r="N2850" s="15"/>
      <c r="O2850" s="14"/>
      <c r="P2850" s="14"/>
    </row>
    <row r="2851">
      <c r="A2851" s="14"/>
      <c r="B2851" s="17"/>
      <c r="C2851" s="17"/>
      <c r="D2851" s="17"/>
      <c r="E2851" s="14"/>
      <c r="F2851" s="14"/>
      <c r="G2851" s="14"/>
      <c r="H2851" s="14"/>
      <c r="I2851" s="14"/>
      <c r="J2851" s="14"/>
      <c r="K2851" s="14"/>
      <c r="L2851" s="14"/>
      <c r="M2851" s="15"/>
      <c r="N2851" s="15"/>
      <c r="O2851" s="14"/>
      <c r="P2851" s="14"/>
    </row>
    <row r="2852">
      <c r="A2852" s="14"/>
      <c r="B2852" s="17"/>
      <c r="C2852" s="17"/>
      <c r="D2852" s="17"/>
      <c r="E2852" s="14"/>
      <c r="F2852" s="14"/>
      <c r="G2852" s="14"/>
      <c r="H2852" s="14"/>
      <c r="I2852" s="14"/>
      <c r="J2852" s="14"/>
      <c r="K2852" s="14"/>
      <c r="L2852" s="14"/>
      <c r="M2852" s="15"/>
      <c r="N2852" s="15"/>
      <c r="O2852" s="14"/>
      <c r="P2852" s="14"/>
    </row>
    <row r="2853">
      <c r="A2853" s="14"/>
      <c r="B2853" s="17"/>
      <c r="C2853" s="17"/>
      <c r="D2853" s="17"/>
      <c r="E2853" s="14"/>
      <c r="F2853" s="14"/>
      <c r="G2853" s="14"/>
      <c r="H2853" s="14"/>
      <c r="I2853" s="14"/>
      <c r="J2853" s="14"/>
      <c r="K2853" s="14"/>
      <c r="L2853" s="14"/>
      <c r="M2853" s="15"/>
      <c r="N2853" s="15"/>
      <c r="O2853" s="14"/>
      <c r="P2853" s="14"/>
    </row>
    <row r="2854">
      <c r="A2854" s="14"/>
      <c r="B2854" s="17"/>
      <c r="C2854" s="17"/>
      <c r="D2854" s="17"/>
      <c r="E2854" s="14"/>
      <c r="F2854" s="14"/>
      <c r="G2854" s="14"/>
      <c r="H2854" s="14"/>
      <c r="I2854" s="14"/>
      <c r="J2854" s="14"/>
      <c r="K2854" s="14"/>
      <c r="L2854" s="14"/>
      <c r="M2854" s="15"/>
      <c r="N2854" s="15"/>
      <c r="O2854" s="14"/>
      <c r="P2854" s="14"/>
    </row>
    <row r="2855">
      <c r="A2855" s="14"/>
      <c r="B2855" s="17"/>
      <c r="C2855" s="17"/>
      <c r="D2855" s="17"/>
      <c r="E2855" s="14"/>
      <c r="F2855" s="14"/>
      <c r="G2855" s="14"/>
      <c r="H2855" s="14"/>
      <c r="I2855" s="14"/>
      <c r="J2855" s="14"/>
      <c r="K2855" s="14"/>
      <c r="L2855" s="14"/>
      <c r="M2855" s="15"/>
      <c r="N2855" s="15"/>
      <c r="O2855" s="14"/>
      <c r="P2855" s="14"/>
    </row>
    <row r="2856">
      <c r="A2856" s="14"/>
      <c r="B2856" s="17"/>
      <c r="C2856" s="17"/>
      <c r="D2856" s="17"/>
      <c r="E2856" s="14"/>
      <c r="F2856" s="14"/>
      <c r="G2856" s="14"/>
      <c r="H2856" s="14"/>
      <c r="I2856" s="14"/>
      <c r="J2856" s="14"/>
      <c r="K2856" s="14"/>
      <c r="L2856" s="14"/>
      <c r="M2856" s="15"/>
      <c r="N2856" s="15"/>
      <c r="O2856" s="14"/>
      <c r="P2856" s="14"/>
    </row>
    <row r="2857">
      <c r="A2857" s="14"/>
      <c r="B2857" s="17"/>
      <c r="C2857" s="17"/>
      <c r="D2857" s="17"/>
      <c r="E2857" s="14"/>
      <c r="F2857" s="14"/>
      <c r="G2857" s="14"/>
      <c r="H2857" s="14"/>
      <c r="I2857" s="14"/>
      <c r="J2857" s="14"/>
      <c r="K2857" s="14"/>
      <c r="L2857" s="14"/>
      <c r="M2857" s="15"/>
      <c r="N2857" s="15"/>
      <c r="O2857" s="14"/>
      <c r="P2857" s="14"/>
    </row>
    <row r="2858">
      <c r="A2858" s="14"/>
      <c r="B2858" s="17"/>
      <c r="C2858" s="17"/>
      <c r="D2858" s="17"/>
      <c r="E2858" s="14"/>
      <c r="F2858" s="14"/>
      <c r="G2858" s="14"/>
      <c r="H2858" s="14"/>
      <c r="I2858" s="14"/>
      <c r="J2858" s="14"/>
      <c r="K2858" s="14"/>
      <c r="L2858" s="14"/>
      <c r="M2858" s="15"/>
      <c r="N2858" s="15"/>
      <c r="O2858" s="14"/>
      <c r="P2858" s="14"/>
    </row>
    <row r="2859">
      <c r="A2859" s="14"/>
      <c r="B2859" s="17"/>
      <c r="C2859" s="17"/>
      <c r="D2859" s="17"/>
      <c r="E2859" s="14"/>
      <c r="F2859" s="14"/>
      <c r="G2859" s="14"/>
      <c r="H2859" s="14"/>
      <c r="I2859" s="14"/>
      <c r="J2859" s="14"/>
      <c r="K2859" s="14"/>
      <c r="L2859" s="14"/>
      <c r="M2859" s="15"/>
      <c r="N2859" s="15"/>
      <c r="O2859" s="14"/>
      <c r="P2859" s="14"/>
    </row>
    <row r="2860">
      <c r="A2860" s="14"/>
      <c r="B2860" s="17"/>
      <c r="C2860" s="17"/>
      <c r="D2860" s="17"/>
      <c r="E2860" s="14"/>
      <c r="F2860" s="14"/>
      <c r="G2860" s="14"/>
      <c r="H2860" s="14"/>
      <c r="I2860" s="14"/>
      <c r="J2860" s="14"/>
      <c r="K2860" s="14"/>
      <c r="L2860" s="14"/>
      <c r="M2860" s="15"/>
      <c r="N2860" s="15"/>
      <c r="O2860" s="14"/>
      <c r="P2860" s="14"/>
    </row>
    <row r="2861">
      <c r="A2861" s="14"/>
      <c r="B2861" s="17"/>
      <c r="C2861" s="17"/>
      <c r="D2861" s="17"/>
      <c r="E2861" s="14"/>
      <c r="F2861" s="14"/>
      <c r="G2861" s="14"/>
      <c r="H2861" s="14"/>
      <c r="I2861" s="14"/>
      <c r="J2861" s="14"/>
      <c r="K2861" s="14"/>
      <c r="L2861" s="14"/>
      <c r="M2861" s="15"/>
      <c r="N2861" s="15"/>
      <c r="O2861" s="14"/>
      <c r="P2861" s="14"/>
    </row>
  </sheetData>
  <mergeCells count="2">
    <mergeCell ref="G1:O1"/>
    <mergeCell ref="A1:F1"/>
  </mergeCells>
  <hyperlinks>
    <hyperlink r:id="rId1" ref="B3"/>
    <hyperlink r:id="rId2" ref="E3"/>
    <hyperlink r:id="rId3" ref="O3"/>
    <hyperlink r:id="rId4" ref="B4"/>
    <hyperlink r:id="rId5" ref="E4"/>
    <hyperlink r:id="rId6" ref="O4"/>
    <hyperlink r:id="rId7" ref="B5"/>
    <hyperlink r:id="rId8" ref="E5"/>
    <hyperlink r:id="rId9" ref="O5"/>
    <hyperlink r:id="rId10" ref="B6"/>
    <hyperlink r:id="rId11" ref="E6"/>
    <hyperlink r:id="rId12" ref="O6"/>
    <hyperlink r:id="rId13" ref="B7"/>
    <hyperlink r:id="rId14" ref="E7"/>
    <hyperlink r:id="rId15" ref="O7"/>
    <hyperlink r:id="rId16" ref="B8"/>
    <hyperlink r:id="rId17" ref="E8"/>
    <hyperlink r:id="rId18" ref="O8"/>
    <hyperlink r:id="rId19" ref="B9"/>
    <hyperlink r:id="rId20" ref="E9"/>
    <hyperlink r:id="rId21" ref="O9"/>
    <hyperlink r:id="rId22" ref="B10"/>
    <hyperlink r:id="rId23" ref="E10"/>
    <hyperlink r:id="rId24" ref="O10"/>
    <hyperlink r:id="rId25" ref="B11"/>
    <hyperlink r:id="rId26" ref="E11"/>
    <hyperlink r:id="rId27" ref="O11"/>
    <hyperlink r:id="rId28" ref="B12"/>
    <hyperlink r:id="rId29" ref="E12"/>
    <hyperlink r:id="rId30" ref="O12"/>
    <hyperlink r:id="rId31" ref="B13"/>
    <hyperlink r:id="rId32" ref="E13"/>
    <hyperlink r:id="rId33" ref="O13"/>
    <hyperlink r:id="rId34" ref="B14"/>
    <hyperlink r:id="rId35" ref="E14"/>
    <hyperlink r:id="rId36" ref="O14"/>
    <hyperlink r:id="rId37" ref="B15"/>
    <hyperlink r:id="rId38" ref="E15"/>
    <hyperlink r:id="rId39" ref="O15"/>
    <hyperlink r:id="rId40" ref="B16"/>
    <hyperlink r:id="rId41" ref="E16"/>
    <hyperlink r:id="rId42" ref="O16"/>
    <hyperlink r:id="rId43" ref="B17"/>
    <hyperlink r:id="rId44" ref="E17"/>
    <hyperlink r:id="rId45" ref="O17"/>
    <hyperlink r:id="rId46" ref="B18"/>
    <hyperlink r:id="rId47" ref="E18"/>
    <hyperlink r:id="rId48" ref="O18"/>
    <hyperlink r:id="rId49" ref="B19"/>
    <hyperlink r:id="rId50" ref="E19"/>
    <hyperlink r:id="rId51" ref="O19"/>
    <hyperlink r:id="rId52" ref="B20"/>
    <hyperlink r:id="rId53" ref="E20"/>
    <hyperlink r:id="rId54" ref="O20"/>
    <hyperlink r:id="rId55" ref="B21"/>
    <hyperlink r:id="rId56" ref="E21"/>
    <hyperlink r:id="rId57" ref="O21"/>
    <hyperlink r:id="rId58" ref="B22"/>
    <hyperlink r:id="rId59" ref="E22"/>
    <hyperlink r:id="rId60" ref="O22"/>
    <hyperlink r:id="rId61" ref="B23"/>
    <hyperlink r:id="rId62" ref="E23"/>
    <hyperlink r:id="rId63" ref="O23"/>
    <hyperlink r:id="rId64" ref="B24"/>
    <hyperlink r:id="rId65" ref="E24"/>
    <hyperlink r:id="rId66" ref="O24"/>
    <hyperlink r:id="rId67" ref="B25"/>
    <hyperlink r:id="rId68" ref="E25"/>
    <hyperlink r:id="rId69" ref="O25"/>
    <hyperlink r:id="rId70" ref="B26"/>
    <hyperlink r:id="rId71" ref="E26"/>
    <hyperlink r:id="rId72" ref="O26"/>
    <hyperlink r:id="rId73" ref="B27"/>
    <hyperlink r:id="rId74" ref="E27"/>
    <hyperlink r:id="rId75" ref="O27"/>
    <hyperlink r:id="rId76" ref="B28"/>
    <hyperlink r:id="rId77" ref="E28"/>
    <hyperlink r:id="rId78" ref="O28"/>
    <hyperlink r:id="rId79" ref="B29"/>
    <hyperlink r:id="rId80" ref="E29"/>
    <hyperlink r:id="rId81" ref="O29"/>
    <hyperlink r:id="rId82" ref="B30"/>
    <hyperlink r:id="rId83" ref="E30"/>
    <hyperlink r:id="rId84" ref="O30"/>
    <hyperlink r:id="rId85" ref="B31"/>
    <hyperlink r:id="rId86" ref="E31"/>
    <hyperlink r:id="rId87" ref="O31"/>
    <hyperlink r:id="rId88" ref="B32"/>
    <hyperlink r:id="rId89" ref="E32"/>
    <hyperlink r:id="rId90" ref="O32"/>
    <hyperlink r:id="rId91" ref="B33"/>
    <hyperlink r:id="rId92" ref="E33"/>
    <hyperlink r:id="rId93" ref="O33"/>
    <hyperlink r:id="rId94" ref="B34"/>
    <hyperlink r:id="rId95" ref="E34"/>
    <hyperlink r:id="rId96" ref="O34"/>
    <hyperlink r:id="rId97" ref="B35"/>
    <hyperlink r:id="rId98" ref="E35"/>
    <hyperlink r:id="rId99" ref="O35"/>
    <hyperlink r:id="rId100" ref="B36"/>
    <hyperlink r:id="rId101" ref="E36"/>
    <hyperlink r:id="rId102" ref="O36"/>
    <hyperlink r:id="rId103" ref="B37"/>
    <hyperlink r:id="rId104" ref="E37"/>
    <hyperlink r:id="rId105" ref="O37"/>
    <hyperlink r:id="rId106" ref="B38"/>
    <hyperlink r:id="rId107" ref="E38"/>
    <hyperlink r:id="rId108" ref="O38"/>
    <hyperlink r:id="rId109" ref="B39"/>
    <hyperlink r:id="rId110" ref="E39"/>
    <hyperlink r:id="rId111" ref="O39"/>
    <hyperlink r:id="rId112" ref="B40"/>
    <hyperlink r:id="rId113" ref="E40"/>
    <hyperlink r:id="rId114" ref="O40"/>
    <hyperlink r:id="rId115" ref="B41"/>
    <hyperlink r:id="rId116" ref="E41"/>
    <hyperlink r:id="rId117" ref="O41"/>
    <hyperlink r:id="rId118" ref="B42"/>
    <hyperlink r:id="rId119" ref="E42"/>
    <hyperlink r:id="rId120" ref="O42"/>
    <hyperlink r:id="rId121" ref="B43"/>
    <hyperlink r:id="rId122" ref="E43"/>
    <hyperlink r:id="rId123" ref="O43"/>
    <hyperlink r:id="rId124" ref="B44"/>
    <hyperlink r:id="rId125" ref="E44"/>
    <hyperlink r:id="rId126" ref="O44"/>
    <hyperlink r:id="rId127" ref="B45"/>
    <hyperlink r:id="rId128" ref="E45"/>
    <hyperlink r:id="rId129" ref="O45"/>
    <hyperlink r:id="rId130" ref="B46"/>
    <hyperlink r:id="rId131" ref="E46"/>
    <hyperlink r:id="rId132" ref="O46"/>
    <hyperlink r:id="rId133" ref="B47"/>
    <hyperlink r:id="rId134" ref="E47"/>
    <hyperlink r:id="rId135" ref="O47"/>
    <hyperlink r:id="rId136" ref="B48"/>
    <hyperlink r:id="rId137" ref="E48"/>
    <hyperlink r:id="rId138" ref="O48"/>
    <hyperlink r:id="rId139" ref="B49"/>
    <hyperlink r:id="rId140" ref="E49"/>
    <hyperlink r:id="rId141" ref="O49"/>
    <hyperlink r:id="rId142" ref="B50"/>
    <hyperlink r:id="rId143" ref="E50"/>
    <hyperlink r:id="rId144" ref="O50"/>
    <hyperlink r:id="rId145" ref="B51"/>
    <hyperlink r:id="rId146" ref="E51"/>
    <hyperlink r:id="rId147" ref="O51"/>
    <hyperlink r:id="rId148" ref="B52"/>
    <hyperlink r:id="rId149" ref="E52"/>
    <hyperlink r:id="rId150" ref="O52"/>
    <hyperlink r:id="rId151" ref="B53"/>
    <hyperlink r:id="rId152" ref="E53"/>
    <hyperlink r:id="rId153" ref="O53"/>
    <hyperlink r:id="rId154" ref="B54"/>
    <hyperlink r:id="rId155" ref="E54"/>
    <hyperlink r:id="rId156" ref="O54"/>
    <hyperlink r:id="rId157" ref="B55"/>
    <hyperlink r:id="rId158" ref="E55"/>
    <hyperlink r:id="rId159" ref="O55"/>
    <hyperlink r:id="rId160" ref="B56"/>
    <hyperlink r:id="rId161" ref="E56"/>
    <hyperlink r:id="rId162" ref="O56"/>
    <hyperlink r:id="rId163" ref="B57"/>
    <hyperlink r:id="rId164" ref="E57"/>
    <hyperlink r:id="rId165" ref="O57"/>
    <hyperlink r:id="rId166" ref="B58"/>
    <hyperlink r:id="rId167" ref="E58"/>
    <hyperlink r:id="rId168" ref="O58"/>
    <hyperlink r:id="rId169" ref="B59"/>
    <hyperlink r:id="rId170" ref="E59"/>
    <hyperlink r:id="rId171" ref="O59"/>
    <hyperlink r:id="rId172" ref="B60"/>
    <hyperlink r:id="rId173" ref="E60"/>
    <hyperlink r:id="rId174" ref="O60"/>
    <hyperlink r:id="rId175" ref="B61"/>
    <hyperlink r:id="rId176" ref="E61"/>
    <hyperlink r:id="rId177" ref="O61"/>
    <hyperlink r:id="rId178" ref="B62"/>
    <hyperlink r:id="rId179" ref="E62"/>
    <hyperlink r:id="rId180" ref="O62"/>
    <hyperlink r:id="rId181" ref="B63"/>
    <hyperlink r:id="rId182" ref="E63"/>
    <hyperlink r:id="rId183" ref="O63"/>
    <hyperlink r:id="rId184" ref="B64"/>
    <hyperlink r:id="rId185" ref="E64"/>
    <hyperlink r:id="rId186" ref="O64"/>
    <hyperlink r:id="rId187" ref="B65"/>
    <hyperlink r:id="rId188" ref="E65"/>
    <hyperlink r:id="rId189" ref="O65"/>
    <hyperlink r:id="rId190" ref="B66"/>
    <hyperlink r:id="rId191" ref="E66"/>
    <hyperlink r:id="rId192" ref="O66"/>
    <hyperlink r:id="rId193" ref="B67"/>
    <hyperlink r:id="rId194" ref="E67"/>
    <hyperlink r:id="rId195" ref="O67"/>
    <hyperlink r:id="rId196" ref="B68"/>
    <hyperlink r:id="rId197" ref="E68"/>
    <hyperlink r:id="rId198" ref="O68"/>
    <hyperlink r:id="rId199" ref="B69"/>
    <hyperlink r:id="rId200" ref="E69"/>
    <hyperlink r:id="rId201" ref="O69"/>
    <hyperlink r:id="rId202" ref="B70"/>
    <hyperlink r:id="rId203" ref="E70"/>
    <hyperlink r:id="rId204" ref="O70"/>
    <hyperlink r:id="rId205" ref="B71"/>
    <hyperlink r:id="rId206" ref="E71"/>
    <hyperlink r:id="rId207" ref="O71"/>
    <hyperlink r:id="rId208" ref="B72"/>
    <hyperlink r:id="rId209" ref="E72"/>
    <hyperlink r:id="rId210" ref="O72"/>
    <hyperlink r:id="rId211" ref="B73"/>
    <hyperlink r:id="rId212" ref="E73"/>
    <hyperlink r:id="rId213" ref="O73"/>
    <hyperlink r:id="rId214" ref="B74"/>
    <hyperlink r:id="rId215" ref="E74"/>
    <hyperlink r:id="rId216" ref="O74"/>
    <hyperlink r:id="rId217" ref="B75"/>
    <hyperlink r:id="rId218" ref="E75"/>
    <hyperlink r:id="rId219" ref="O75"/>
    <hyperlink r:id="rId220" ref="B76"/>
    <hyperlink r:id="rId221" ref="E76"/>
    <hyperlink r:id="rId222" ref="O76"/>
    <hyperlink r:id="rId223" ref="B77"/>
    <hyperlink r:id="rId224" ref="E77"/>
    <hyperlink r:id="rId225" ref="O77"/>
    <hyperlink r:id="rId226" ref="B78"/>
    <hyperlink r:id="rId227" ref="E78"/>
    <hyperlink r:id="rId228" ref="O78"/>
    <hyperlink r:id="rId229" ref="B79"/>
    <hyperlink r:id="rId230" ref="E79"/>
    <hyperlink r:id="rId231" ref="O79"/>
    <hyperlink r:id="rId232" ref="B80"/>
    <hyperlink r:id="rId233" ref="E80"/>
    <hyperlink r:id="rId234" ref="O80"/>
    <hyperlink r:id="rId235" ref="B81"/>
    <hyperlink r:id="rId236" ref="E81"/>
    <hyperlink r:id="rId237" ref="O81"/>
    <hyperlink r:id="rId238" ref="B82"/>
    <hyperlink r:id="rId239" ref="E82"/>
    <hyperlink r:id="rId240" ref="O82"/>
    <hyperlink r:id="rId241" ref="B83"/>
    <hyperlink r:id="rId242" ref="E83"/>
    <hyperlink r:id="rId243" ref="O83"/>
    <hyperlink r:id="rId244" ref="B84"/>
    <hyperlink r:id="rId245" ref="E84"/>
    <hyperlink r:id="rId246" ref="O84"/>
    <hyperlink r:id="rId247" ref="B85"/>
    <hyperlink r:id="rId248" ref="E85"/>
    <hyperlink r:id="rId249" ref="O85"/>
    <hyperlink r:id="rId250" ref="B86"/>
    <hyperlink r:id="rId251" ref="E86"/>
    <hyperlink r:id="rId252" ref="O86"/>
    <hyperlink r:id="rId253" ref="B87"/>
    <hyperlink r:id="rId254" ref="E87"/>
    <hyperlink r:id="rId255" ref="O87"/>
    <hyperlink r:id="rId256" ref="B88"/>
    <hyperlink r:id="rId257" ref="E88"/>
    <hyperlink r:id="rId258" ref="O88"/>
    <hyperlink r:id="rId259" ref="B89"/>
    <hyperlink r:id="rId260" ref="E89"/>
    <hyperlink r:id="rId261" ref="O89"/>
    <hyperlink r:id="rId262" ref="B90"/>
    <hyperlink r:id="rId263" ref="E90"/>
    <hyperlink r:id="rId264" ref="O90"/>
    <hyperlink r:id="rId265" ref="B91"/>
    <hyperlink r:id="rId266" ref="E91"/>
    <hyperlink r:id="rId267" ref="O91"/>
    <hyperlink r:id="rId268" location="42.38710915,-72.52660854" ref="P91"/>
    <hyperlink r:id="rId269" ref="B92"/>
    <hyperlink r:id="rId270" ref="E92"/>
    <hyperlink r:id="rId271" ref="O92"/>
    <hyperlink r:id="rId272" ref="B93"/>
    <hyperlink r:id="rId273" ref="E93"/>
    <hyperlink r:id="rId274" ref="O93"/>
    <hyperlink r:id="rId275" ref="B94"/>
    <hyperlink r:id="rId276" ref="E94"/>
    <hyperlink r:id="rId277" ref="O94"/>
    <hyperlink r:id="rId278" ref="B95"/>
    <hyperlink r:id="rId279" ref="E95"/>
    <hyperlink r:id="rId280" ref="O95"/>
    <hyperlink r:id="rId281" ref="B96"/>
    <hyperlink r:id="rId282" ref="E96"/>
    <hyperlink r:id="rId283" ref="O96"/>
    <hyperlink r:id="rId284" ref="B97"/>
    <hyperlink r:id="rId285" ref="E97"/>
    <hyperlink r:id="rId286" ref="O97"/>
    <hyperlink r:id="rId287" ref="B98"/>
    <hyperlink r:id="rId288" ref="E98"/>
    <hyperlink r:id="rId289" ref="O98"/>
    <hyperlink r:id="rId290" ref="B99"/>
    <hyperlink r:id="rId291" ref="E99"/>
    <hyperlink r:id="rId292" ref="O99"/>
    <hyperlink r:id="rId293" ref="B100"/>
    <hyperlink r:id="rId294" ref="E100"/>
    <hyperlink r:id="rId295" ref="O100"/>
    <hyperlink r:id="rId296" ref="B101"/>
    <hyperlink r:id="rId297" ref="E101"/>
    <hyperlink r:id="rId298" ref="O101"/>
    <hyperlink r:id="rId299" ref="B102"/>
    <hyperlink r:id="rId300" ref="E102"/>
    <hyperlink r:id="rId301" ref="O102"/>
    <hyperlink r:id="rId302" ref="B103"/>
    <hyperlink r:id="rId303" ref="E103"/>
    <hyperlink r:id="rId304" ref="O103"/>
    <hyperlink r:id="rId305" ref="B104"/>
    <hyperlink r:id="rId306" ref="E104"/>
    <hyperlink r:id="rId307" ref="O104"/>
    <hyperlink r:id="rId308" ref="B105"/>
    <hyperlink r:id="rId309" ref="E105"/>
    <hyperlink r:id="rId310" ref="O105"/>
    <hyperlink r:id="rId311" ref="B106"/>
    <hyperlink r:id="rId312" ref="E106"/>
    <hyperlink r:id="rId313" ref="O106"/>
    <hyperlink r:id="rId314" location="42.38712641,-72.52659779" ref="P106"/>
    <hyperlink r:id="rId315" ref="B107"/>
    <hyperlink r:id="rId316" ref="E107"/>
    <hyperlink r:id="rId317" ref="O107"/>
    <hyperlink r:id="rId318" ref="B108"/>
    <hyperlink r:id="rId319" ref="E108"/>
    <hyperlink r:id="rId320" ref="O108"/>
    <hyperlink r:id="rId321" ref="B109"/>
    <hyperlink r:id="rId322" ref="E109"/>
    <hyperlink r:id="rId323" ref="O109"/>
    <hyperlink r:id="rId324" ref="B110"/>
    <hyperlink r:id="rId325" ref="E110"/>
    <hyperlink r:id="rId326" ref="O110"/>
    <hyperlink r:id="rId327" ref="B111"/>
    <hyperlink r:id="rId328" ref="E111"/>
    <hyperlink r:id="rId329" ref="O111"/>
    <hyperlink r:id="rId330" ref="B112"/>
    <hyperlink r:id="rId331" ref="E112"/>
    <hyperlink r:id="rId332" ref="O112"/>
    <hyperlink r:id="rId333" ref="B113"/>
    <hyperlink r:id="rId334" ref="E113"/>
    <hyperlink r:id="rId335" ref="O113"/>
    <hyperlink r:id="rId336" ref="B114"/>
    <hyperlink r:id="rId337" ref="E114"/>
    <hyperlink r:id="rId338" ref="O114"/>
    <hyperlink r:id="rId339" ref="B115"/>
    <hyperlink r:id="rId340" ref="E115"/>
    <hyperlink r:id="rId341" ref="O115"/>
    <hyperlink r:id="rId342" ref="B116"/>
    <hyperlink r:id="rId343" ref="E116"/>
    <hyperlink r:id="rId344" ref="O116"/>
    <hyperlink r:id="rId345" ref="B117"/>
    <hyperlink r:id="rId346" ref="E117"/>
    <hyperlink r:id="rId347" ref="O117"/>
    <hyperlink r:id="rId348" ref="B118"/>
    <hyperlink r:id="rId349" ref="E118"/>
    <hyperlink r:id="rId350" ref="O118"/>
    <hyperlink r:id="rId351" ref="B119"/>
    <hyperlink r:id="rId352" ref="E119"/>
    <hyperlink r:id="rId353" ref="O119"/>
    <hyperlink r:id="rId354" ref="B120"/>
    <hyperlink r:id="rId355" ref="E120"/>
    <hyperlink r:id="rId356" ref="O120"/>
    <hyperlink r:id="rId357" ref="B121"/>
    <hyperlink r:id="rId358" ref="E121"/>
    <hyperlink r:id="rId359" ref="O121"/>
    <hyperlink r:id="rId360" ref="B122"/>
    <hyperlink r:id="rId361" ref="E122"/>
    <hyperlink r:id="rId362" ref="O122"/>
    <hyperlink r:id="rId363" ref="B123"/>
    <hyperlink r:id="rId364" ref="E123"/>
    <hyperlink r:id="rId365" ref="O123"/>
    <hyperlink r:id="rId366" ref="B124"/>
    <hyperlink r:id="rId367" ref="E124"/>
    <hyperlink r:id="rId368" ref="O124"/>
    <hyperlink r:id="rId369" ref="B125"/>
    <hyperlink r:id="rId370" ref="E125"/>
    <hyperlink r:id="rId371" ref="O125"/>
    <hyperlink r:id="rId372" ref="B126"/>
    <hyperlink r:id="rId373" ref="E126"/>
    <hyperlink r:id="rId374" ref="O126"/>
    <hyperlink r:id="rId375" ref="B127"/>
    <hyperlink r:id="rId376" ref="E127"/>
    <hyperlink r:id="rId377" ref="O127"/>
    <hyperlink r:id="rId378" ref="B128"/>
    <hyperlink r:id="rId379" ref="E128"/>
    <hyperlink r:id="rId380" ref="O128"/>
    <hyperlink r:id="rId381" ref="B129"/>
    <hyperlink r:id="rId382" ref="E129"/>
    <hyperlink r:id="rId383" ref="O129"/>
    <hyperlink r:id="rId384" ref="B130"/>
    <hyperlink r:id="rId385" ref="E130"/>
    <hyperlink r:id="rId386" ref="O130"/>
    <hyperlink r:id="rId387" ref="B131"/>
    <hyperlink r:id="rId388" ref="E131"/>
    <hyperlink r:id="rId389" ref="O131"/>
    <hyperlink r:id="rId390" ref="B132"/>
    <hyperlink r:id="rId391" ref="E132"/>
    <hyperlink r:id="rId392" ref="O132"/>
    <hyperlink r:id="rId393" ref="B133"/>
    <hyperlink r:id="rId394" ref="E133"/>
    <hyperlink r:id="rId395" ref="O133"/>
    <hyperlink r:id="rId396" ref="B134"/>
    <hyperlink r:id="rId397" ref="E134"/>
    <hyperlink r:id="rId398" ref="O134"/>
    <hyperlink r:id="rId399" ref="B135"/>
    <hyperlink r:id="rId400" ref="E135"/>
    <hyperlink r:id="rId401" ref="O135"/>
    <hyperlink r:id="rId402" ref="B136"/>
    <hyperlink r:id="rId403" ref="E136"/>
    <hyperlink r:id="rId404" ref="O136"/>
    <hyperlink r:id="rId405" ref="B137"/>
    <hyperlink r:id="rId406" ref="E137"/>
    <hyperlink r:id="rId407" ref="O137"/>
    <hyperlink r:id="rId408" ref="B138"/>
    <hyperlink r:id="rId409" ref="E138"/>
    <hyperlink r:id="rId410" ref="O138"/>
    <hyperlink r:id="rId411" ref="B139"/>
    <hyperlink r:id="rId412" ref="E139"/>
    <hyperlink r:id="rId413" ref="O139"/>
    <hyperlink r:id="rId414" ref="B140"/>
    <hyperlink r:id="rId415" ref="E140"/>
    <hyperlink r:id="rId416" ref="O140"/>
    <hyperlink r:id="rId417" ref="B141"/>
    <hyperlink r:id="rId418" ref="E141"/>
    <hyperlink r:id="rId419" ref="O141"/>
    <hyperlink r:id="rId420" ref="B142"/>
    <hyperlink r:id="rId421" ref="E142"/>
    <hyperlink r:id="rId422" ref="O142"/>
    <hyperlink r:id="rId423" ref="B143"/>
    <hyperlink r:id="rId424" ref="E143"/>
    <hyperlink r:id="rId425" ref="O143"/>
    <hyperlink r:id="rId426" ref="B144"/>
    <hyperlink r:id="rId427" ref="E144"/>
    <hyperlink r:id="rId428" ref="O144"/>
    <hyperlink r:id="rId429" ref="B145"/>
    <hyperlink r:id="rId430" ref="E145"/>
    <hyperlink r:id="rId431" ref="O145"/>
    <hyperlink r:id="rId432" ref="B146"/>
    <hyperlink r:id="rId433" ref="E146"/>
    <hyperlink r:id="rId434" ref="O146"/>
    <hyperlink r:id="rId435" ref="B147"/>
    <hyperlink r:id="rId436" ref="E147"/>
    <hyperlink r:id="rId437" ref="O147"/>
    <hyperlink r:id="rId438" ref="B148"/>
    <hyperlink r:id="rId439" ref="E148"/>
    <hyperlink r:id="rId440" ref="O148"/>
    <hyperlink r:id="rId441" ref="B149"/>
    <hyperlink r:id="rId442" ref="E149"/>
    <hyperlink r:id="rId443" ref="O149"/>
    <hyperlink r:id="rId444" ref="B150"/>
    <hyperlink r:id="rId445" ref="E150"/>
    <hyperlink r:id="rId446" ref="O150"/>
    <hyperlink r:id="rId447" ref="B151"/>
    <hyperlink r:id="rId448" ref="E151"/>
    <hyperlink r:id="rId449" ref="O151"/>
    <hyperlink r:id="rId450" ref="B152"/>
    <hyperlink r:id="rId451" ref="E152"/>
    <hyperlink r:id="rId452" ref="O152"/>
    <hyperlink r:id="rId453" ref="B153"/>
    <hyperlink r:id="rId454" ref="E153"/>
    <hyperlink r:id="rId455" ref="O153"/>
    <hyperlink r:id="rId456" ref="B154"/>
    <hyperlink r:id="rId457" ref="E154"/>
    <hyperlink r:id="rId458" ref="O154"/>
    <hyperlink r:id="rId459" ref="B155"/>
    <hyperlink r:id="rId460" ref="E155"/>
    <hyperlink r:id="rId461" ref="O155"/>
    <hyperlink r:id="rId462" ref="B156"/>
    <hyperlink r:id="rId463" ref="E156"/>
    <hyperlink r:id="rId464" ref="O156"/>
    <hyperlink r:id="rId465" ref="B157"/>
    <hyperlink r:id="rId466" ref="E157"/>
    <hyperlink r:id="rId467" ref="O157"/>
    <hyperlink r:id="rId468" ref="B158"/>
    <hyperlink r:id="rId469" ref="E158"/>
    <hyperlink r:id="rId470" ref="O158"/>
    <hyperlink r:id="rId471" ref="B159"/>
    <hyperlink r:id="rId472" ref="E159"/>
    <hyperlink r:id="rId473" ref="O159"/>
    <hyperlink r:id="rId474" ref="B160"/>
    <hyperlink r:id="rId475" ref="E160"/>
    <hyperlink r:id="rId476" ref="O160"/>
    <hyperlink r:id="rId477" ref="B161"/>
    <hyperlink r:id="rId478" ref="E161"/>
    <hyperlink r:id="rId479" ref="O161"/>
    <hyperlink r:id="rId480" ref="B162"/>
    <hyperlink r:id="rId481" ref="E162"/>
    <hyperlink r:id="rId482" ref="O162"/>
    <hyperlink r:id="rId483" ref="B163"/>
    <hyperlink r:id="rId484" ref="E163"/>
    <hyperlink r:id="rId485" ref="O163"/>
    <hyperlink r:id="rId486" ref="B164"/>
    <hyperlink r:id="rId487" ref="E164"/>
    <hyperlink r:id="rId488" ref="O164"/>
    <hyperlink r:id="rId489" ref="B165"/>
    <hyperlink r:id="rId490" ref="E165"/>
    <hyperlink r:id="rId491" ref="O165"/>
    <hyperlink r:id="rId492" ref="B166"/>
    <hyperlink r:id="rId493" ref="E166"/>
    <hyperlink r:id="rId494" ref="O166"/>
    <hyperlink r:id="rId495" ref="B167"/>
    <hyperlink r:id="rId496" ref="E167"/>
    <hyperlink r:id="rId497" ref="O167"/>
    <hyperlink r:id="rId498" ref="B168"/>
    <hyperlink r:id="rId499" ref="E168"/>
    <hyperlink r:id="rId500" ref="O168"/>
    <hyperlink r:id="rId501" ref="B169"/>
    <hyperlink r:id="rId502" ref="E169"/>
    <hyperlink r:id="rId503" ref="O169"/>
    <hyperlink r:id="rId504" ref="B170"/>
    <hyperlink r:id="rId505" ref="E170"/>
    <hyperlink r:id="rId506" ref="O170"/>
    <hyperlink r:id="rId507" ref="B171"/>
    <hyperlink r:id="rId508" ref="E171"/>
    <hyperlink r:id="rId509" ref="O171"/>
    <hyperlink r:id="rId510" ref="B172"/>
    <hyperlink r:id="rId511" ref="E172"/>
    <hyperlink r:id="rId512" ref="O172"/>
    <hyperlink r:id="rId513" ref="B173"/>
    <hyperlink r:id="rId514" ref="E173"/>
    <hyperlink r:id="rId515" ref="O173"/>
    <hyperlink r:id="rId516" ref="B174"/>
    <hyperlink r:id="rId517" ref="E174"/>
    <hyperlink r:id="rId518" ref="O174"/>
    <hyperlink r:id="rId519" ref="B175"/>
    <hyperlink r:id="rId520" ref="E175"/>
    <hyperlink r:id="rId521" ref="O175"/>
    <hyperlink r:id="rId522" ref="B176"/>
    <hyperlink r:id="rId523" ref="E176"/>
    <hyperlink r:id="rId524" ref="O176"/>
    <hyperlink r:id="rId525" ref="B177"/>
    <hyperlink r:id="rId526" ref="E177"/>
    <hyperlink r:id="rId527" ref="O177"/>
    <hyperlink r:id="rId528" ref="B178"/>
    <hyperlink r:id="rId529" ref="E178"/>
    <hyperlink r:id="rId530" ref="O178"/>
    <hyperlink r:id="rId531" ref="B179"/>
    <hyperlink r:id="rId532" ref="E179"/>
    <hyperlink r:id="rId533" ref="O179"/>
    <hyperlink r:id="rId534" ref="B180"/>
    <hyperlink r:id="rId535" ref="E180"/>
    <hyperlink r:id="rId536" ref="O180"/>
    <hyperlink r:id="rId537" ref="B181"/>
    <hyperlink r:id="rId538" ref="E181"/>
    <hyperlink r:id="rId539" ref="O181"/>
    <hyperlink r:id="rId540" ref="B182"/>
    <hyperlink r:id="rId541" ref="E182"/>
    <hyperlink r:id="rId542" ref="O182"/>
    <hyperlink r:id="rId543" ref="B183"/>
    <hyperlink r:id="rId544" ref="E183"/>
    <hyperlink r:id="rId545" ref="O183"/>
    <hyperlink r:id="rId546" ref="B184"/>
    <hyperlink r:id="rId547" ref="E184"/>
    <hyperlink r:id="rId548" ref="O184"/>
    <hyperlink r:id="rId549" ref="B185"/>
    <hyperlink r:id="rId550" ref="E185"/>
    <hyperlink r:id="rId551" ref="O185"/>
    <hyperlink r:id="rId552" ref="B186"/>
    <hyperlink r:id="rId553" ref="E186"/>
    <hyperlink r:id="rId554" ref="O186"/>
    <hyperlink r:id="rId555" ref="B187"/>
    <hyperlink r:id="rId556" ref="E187"/>
    <hyperlink r:id="rId557" ref="O187"/>
    <hyperlink r:id="rId558" ref="B188"/>
    <hyperlink r:id="rId559" ref="E188"/>
    <hyperlink r:id="rId560" ref="O188"/>
    <hyperlink r:id="rId561" ref="B189"/>
    <hyperlink r:id="rId562" ref="E189"/>
    <hyperlink r:id="rId563" ref="O189"/>
    <hyperlink r:id="rId564" ref="B190"/>
    <hyperlink r:id="rId565" ref="E190"/>
    <hyperlink r:id="rId566" ref="O190"/>
    <hyperlink r:id="rId567" ref="B191"/>
    <hyperlink r:id="rId568" ref="E191"/>
    <hyperlink r:id="rId569" ref="O191"/>
    <hyperlink r:id="rId570" ref="B192"/>
    <hyperlink r:id="rId571" ref="E192"/>
    <hyperlink r:id="rId572" ref="O192"/>
    <hyperlink r:id="rId573" ref="B193"/>
    <hyperlink r:id="rId574" ref="E193"/>
    <hyperlink r:id="rId575" ref="O193"/>
    <hyperlink r:id="rId576" ref="B194"/>
    <hyperlink r:id="rId577" ref="E194"/>
    <hyperlink r:id="rId578" ref="O194"/>
    <hyperlink r:id="rId579" ref="B195"/>
    <hyperlink r:id="rId580" ref="E195"/>
    <hyperlink r:id="rId581" ref="O195"/>
    <hyperlink r:id="rId582" ref="B196"/>
    <hyperlink r:id="rId583" ref="E196"/>
    <hyperlink r:id="rId584" ref="O196"/>
    <hyperlink r:id="rId585" ref="B197"/>
    <hyperlink r:id="rId586" ref="E197"/>
    <hyperlink r:id="rId587" ref="O197"/>
    <hyperlink r:id="rId588" ref="B198"/>
    <hyperlink r:id="rId589" ref="E198"/>
    <hyperlink r:id="rId590" ref="O198"/>
    <hyperlink r:id="rId591" ref="B199"/>
    <hyperlink r:id="rId592" ref="E199"/>
    <hyperlink r:id="rId593" ref="O199"/>
    <hyperlink r:id="rId594" ref="B200"/>
    <hyperlink r:id="rId595" ref="E200"/>
    <hyperlink r:id="rId596" ref="O200"/>
    <hyperlink r:id="rId597" ref="B201"/>
    <hyperlink r:id="rId598" ref="E201"/>
    <hyperlink r:id="rId599" ref="O201"/>
    <hyperlink r:id="rId600" ref="B202"/>
    <hyperlink r:id="rId601" ref="E202"/>
    <hyperlink r:id="rId602" ref="O202"/>
    <hyperlink r:id="rId603" ref="B203"/>
    <hyperlink r:id="rId604" ref="E203"/>
    <hyperlink r:id="rId605" ref="O203"/>
    <hyperlink r:id="rId606" ref="B204"/>
    <hyperlink r:id="rId607" ref="E204"/>
    <hyperlink r:id="rId608" ref="O204"/>
    <hyperlink r:id="rId609" location="42.3871479,-72.52649386" ref="P204"/>
    <hyperlink r:id="rId610" ref="B205"/>
    <hyperlink r:id="rId611" ref="E205"/>
    <hyperlink r:id="rId612" ref="O205"/>
    <hyperlink r:id="rId613" ref="B206"/>
    <hyperlink r:id="rId614" ref="E206"/>
    <hyperlink r:id="rId615" ref="O206"/>
    <hyperlink r:id="rId616" ref="B207"/>
    <hyperlink r:id="rId617" ref="E207"/>
    <hyperlink r:id="rId618" ref="O207"/>
    <hyperlink r:id="rId619" ref="B208"/>
    <hyperlink r:id="rId620" ref="E208"/>
    <hyperlink r:id="rId621" ref="O208"/>
    <hyperlink r:id="rId622" ref="B209"/>
    <hyperlink r:id="rId623" ref="E209"/>
    <hyperlink r:id="rId624" ref="O209"/>
    <hyperlink r:id="rId625" ref="B210"/>
    <hyperlink r:id="rId626" ref="E210"/>
    <hyperlink r:id="rId627" ref="O210"/>
    <hyperlink r:id="rId628" ref="B211"/>
    <hyperlink r:id="rId629" ref="E211"/>
    <hyperlink r:id="rId630" ref="O211"/>
    <hyperlink r:id="rId631" ref="B212"/>
    <hyperlink r:id="rId632" ref="E212"/>
    <hyperlink r:id="rId633" ref="O212"/>
    <hyperlink r:id="rId634" location="42.38710784,-72.52655499" ref="P212"/>
    <hyperlink r:id="rId635" ref="B213"/>
    <hyperlink r:id="rId636" ref="E213"/>
    <hyperlink r:id="rId637" ref="O213"/>
    <hyperlink r:id="rId638" ref="B214"/>
    <hyperlink r:id="rId639" ref="E214"/>
    <hyperlink r:id="rId640" ref="O214"/>
    <hyperlink r:id="rId641" ref="B215"/>
    <hyperlink r:id="rId642" ref="E215"/>
    <hyperlink r:id="rId643" ref="O215"/>
    <hyperlink r:id="rId644" ref="B216"/>
    <hyperlink r:id="rId645" ref="E216"/>
    <hyperlink r:id="rId646" ref="O216"/>
    <hyperlink r:id="rId647" ref="B217"/>
    <hyperlink r:id="rId648" ref="E217"/>
    <hyperlink r:id="rId649" ref="O217"/>
    <hyperlink r:id="rId650" ref="B218"/>
    <hyperlink r:id="rId651" ref="E218"/>
    <hyperlink r:id="rId652" ref="O218"/>
    <hyperlink r:id="rId653" ref="B219"/>
    <hyperlink r:id="rId654" ref="E219"/>
    <hyperlink r:id="rId655" ref="O219"/>
    <hyperlink r:id="rId656" ref="B220"/>
    <hyperlink r:id="rId657" ref="E220"/>
    <hyperlink r:id="rId658" ref="O220"/>
    <hyperlink r:id="rId659" ref="B221"/>
    <hyperlink r:id="rId660" ref="E221"/>
    <hyperlink r:id="rId661" ref="O221"/>
    <hyperlink r:id="rId662" ref="B222"/>
    <hyperlink r:id="rId663" ref="E222"/>
    <hyperlink r:id="rId664" ref="O222"/>
    <hyperlink r:id="rId665" ref="B223"/>
    <hyperlink r:id="rId666" ref="E223"/>
    <hyperlink r:id="rId667" ref="O223"/>
    <hyperlink r:id="rId668" ref="B224"/>
    <hyperlink r:id="rId669" ref="E224"/>
    <hyperlink r:id="rId670" ref="O224"/>
    <hyperlink r:id="rId671" ref="B225"/>
    <hyperlink r:id="rId672" ref="E225"/>
    <hyperlink r:id="rId673" ref="O225"/>
    <hyperlink r:id="rId674" ref="B226"/>
    <hyperlink r:id="rId675" ref="E226"/>
    <hyperlink r:id="rId676" ref="O226"/>
    <hyperlink r:id="rId677" ref="B227"/>
    <hyperlink r:id="rId678" ref="E227"/>
    <hyperlink r:id="rId679" ref="O227"/>
    <hyperlink r:id="rId680" ref="B228"/>
    <hyperlink r:id="rId681" ref="E228"/>
    <hyperlink r:id="rId682" ref="O228"/>
    <hyperlink r:id="rId683" ref="B229"/>
    <hyperlink r:id="rId684" ref="E229"/>
    <hyperlink r:id="rId685" ref="O229"/>
    <hyperlink r:id="rId686" ref="B230"/>
    <hyperlink r:id="rId687" ref="E230"/>
    <hyperlink r:id="rId688" ref="O230"/>
    <hyperlink r:id="rId689" ref="B231"/>
    <hyperlink r:id="rId690" ref="E231"/>
    <hyperlink r:id="rId691" ref="O231"/>
    <hyperlink r:id="rId692" ref="B232"/>
    <hyperlink r:id="rId693" ref="E232"/>
    <hyperlink r:id="rId694" ref="O232"/>
    <hyperlink r:id="rId695" ref="B233"/>
    <hyperlink r:id="rId696" ref="E233"/>
    <hyperlink r:id="rId697" ref="O233"/>
    <hyperlink r:id="rId698" ref="B234"/>
    <hyperlink r:id="rId699" ref="E234"/>
    <hyperlink r:id="rId700" ref="O234"/>
    <hyperlink r:id="rId701" ref="B235"/>
    <hyperlink r:id="rId702" ref="E235"/>
    <hyperlink r:id="rId703" ref="O235"/>
    <hyperlink r:id="rId704" ref="B236"/>
    <hyperlink r:id="rId705" ref="E236"/>
    <hyperlink r:id="rId706" ref="O236"/>
    <hyperlink r:id="rId707" ref="B237"/>
    <hyperlink r:id="rId708" ref="E237"/>
    <hyperlink r:id="rId709" ref="O237"/>
    <hyperlink r:id="rId710" ref="B238"/>
    <hyperlink r:id="rId711" ref="E238"/>
    <hyperlink r:id="rId712" ref="O238"/>
    <hyperlink r:id="rId713" ref="B239"/>
    <hyperlink r:id="rId714" ref="E239"/>
    <hyperlink r:id="rId715" ref="O239"/>
    <hyperlink r:id="rId716" ref="B240"/>
    <hyperlink r:id="rId717" ref="E240"/>
    <hyperlink r:id="rId718" ref="O240"/>
    <hyperlink r:id="rId719" ref="B241"/>
    <hyperlink r:id="rId720" ref="E241"/>
    <hyperlink r:id="rId721" ref="O241"/>
    <hyperlink r:id="rId722" ref="B242"/>
    <hyperlink r:id="rId723" ref="E242"/>
    <hyperlink r:id="rId724" ref="O242"/>
    <hyperlink r:id="rId725" ref="B243"/>
    <hyperlink r:id="rId726" ref="E243"/>
    <hyperlink r:id="rId727" ref="O243"/>
    <hyperlink r:id="rId728" ref="B244"/>
    <hyperlink r:id="rId729" ref="E244"/>
    <hyperlink r:id="rId730" ref="O244"/>
    <hyperlink r:id="rId731" ref="B245"/>
    <hyperlink r:id="rId732" ref="E245"/>
    <hyperlink r:id="rId733" ref="O245"/>
    <hyperlink r:id="rId734" ref="B246"/>
    <hyperlink r:id="rId735" ref="E246"/>
    <hyperlink r:id="rId736" ref="O246"/>
    <hyperlink r:id="rId737" ref="B247"/>
    <hyperlink r:id="rId738" ref="E247"/>
    <hyperlink r:id="rId739" ref="O247"/>
    <hyperlink r:id="rId740" ref="B248"/>
    <hyperlink r:id="rId741" ref="E248"/>
    <hyperlink r:id="rId742" ref="O248"/>
    <hyperlink r:id="rId743" ref="B249"/>
    <hyperlink r:id="rId744" ref="E249"/>
    <hyperlink r:id="rId745" ref="O249"/>
    <hyperlink r:id="rId746" ref="B250"/>
    <hyperlink r:id="rId747" ref="E250"/>
    <hyperlink r:id="rId748" ref="O250"/>
    <hyperlink r:id="rId749" ref="B251"/>
    <hyperlink r:id="rId750" ref="E251"/>
    <hyperlink r:id="rId751" ref="O251"/>
    <hyperlink r:id="rId752" ref="B252"/>
    <hyperlink r:id="rId753" ref="E252"/>
    <hyperlink r:id="rId754" ref="O252"/>
    <hyperlink r:id="rId755" ref="B253"/>
    <hyperlink r:id="rId756" ref="E253"/>
    <hyperlink r:id="rId757" ref="O253"/>
    <hyperlink r:id="rId758" ref="B254"/>
    <hyperlink r:id="rId759" ref="E254"/>
    <hyperlink r:id="rId760" ref="O254"/>
    <hyperlink r:id="rId761" ref="B255"/>
    <hyperlink r:id="rId762" ref="E255"/>
    <hyperlink r:id="rId763" ref="O255"/>
    <hyperlink r:id="rId764" ref="B256"/>
    <hyperlink r:id="rId765" ref="E256"/>
    <hyperlink r:id="rId766" ref="O256"/>
    <hyperlink r:id="rId767" ref="B257"/>
    <hyperlink r:id="rId768" ref="E257"/>
    <hyperlink r:id="rId769" ref="O257"/>
    <hyperlink r:id="rId770" ref="B258"/>
    <hyperlink r:id="rId771" ref="E258"/>
    <hyperlink r:id="rId772" ref="O258"/>
    <hyperlink r:id="rId773" ref="B259"/>
    <hyperlink r:id="rId774" ref="E259"/>
    <hyperlink r:id="rId775" ref="O259"/>
    <hyperlink r:id="rId776" ref="B260"/>
    <hyperlink r:id="rId777" ref="E260"/>
    <hyperlink r:id="rId778" ref="O260"/>
    <hyperlink r:id="rId779" ref="B261"/>
    <hyperlink r:id="rId780" ref="E261"/>
    <hyperlink r:id="rId781" ref="O261"/>
    <hyperlink r:id="rId782" ref="B262"/>
    <hyperlink r:id="rId783" ref="E262"/>
    <hyperlink r:id="rId784" ref="O262"/>
    <hyperlink r:id="rId785" ref="B263"/>
    <hyperlink r:id="rId786" ref="E263"/>
    <hyperlink r:id="rId787" ref="O263"/>
    <hyperlink r:id="rId788" ref="B264"/>
    <hyperlink r:id="rId789" ref="E264"/>
    <hyperlink r:id="rId790" ref="O264"/>
    <hyperlink r:id="rId791" ref="B265"/>
    <hyperlink r:id="rId792" ref="E265"/>
    <hyperlink r:id="rId793" ref="O265"/>
    <hyperlink r:id="rId794" ref="B266"/>
    <hyperlink r:id="rId795" ref="E266"/>
    <hyperlink r:id="rId796" ref="O266"/>
    <hyperlink r:id="rId797" ref="B267"/>
    <hyperlink r:id="rId798" ref="E267"/>
    <hyperlink r:id="rId799" ref="O267"/>
    <hyperlink r:id="rId800" ref="B268"/>
    <hyperlink r:id="rId801" ref="E268"/>
    <hyperlink r:id="rId802" ref="O268"/>
    <hyperlink r:id="rId803" ref="B269"/>
    <hyperlink r:id="rId804" ref="E269"/>
    <hyperlink r:id="rId805" ref="O269"/>
    <hyperlink r:id="rId806" ref="B270"/>
    <hyperlink r:id="rId807" ref="E270"/>
    <hyperlink r:id="rId808" ref="O270"/>
    <hyperlink r:id="rId809" ref="B271"/>
    <hyperlink r:id="rId810" ref="E271"/>
    <hyperlink r:id="rId811" ref="O271"/>
    <hyperlink r:id="rId812" ref="B272"/>
    <hyperlink r:id="rId813" ref="E272"/>
    <hyperlink r:id="rId814" ref="O272"/>
    <hyperlink r:id="rId815" ref="B273"/>
    <hyperlink r:id="rId816" ref="E273"/>
    <hyperlink r:id="rId817" ref="O273"/>
    <hyperlink r:id="rId818" ref="B274"/>
    <hyperlink r:id="rId819" ref="E274"/>
    <hyperlink r:id="rId820" ref="O274"/>
    <hyperlink r:id="rId821" ref="B275"/>
    <hyperlink r:id="rId822" ref="E275"/>
    <hyperlink r:id="rId823" ref="O275"/>
    <hyperlink r:id="rId824" ref="B276"/>
    <hyperlink r:id="rId825" ref="E276"/>
    <hyperlink r:id="rId826" ref="O276"/>
    <hyperlink r:id="rId827" ref="B277"/>
    <hyperlink r:id="rId828" ref="E277"/>
    <hyperlink r:id="rId829" ref="O277"/>
    <hyperlink r:id="rId830" ref="B278"/>
    <hyperlink r:id="rId831" ref="E278"/>
    <hyperlink r:id="rId832" ref="O278"/>
    <hyperlink r:id="rId833" ref="B279"/>
    <hyperlink r:id="rId834" ref="E279"/>
    <hyperlink r:id="rId835" ref="O279"/>
    <hyperlink r:id="rId836" ref="B280"/>
    <hyperlink r:id="rId837" ref="E280"/>
    <hyperlink r:id="rId838" ref="O280"/>
    <hyperlink r:id="rId839" ref="B281"/>
    <hyperlink r:id="rId840" ref="E281"/>
    <hyperlink r:id="rId841" ref="O281"/>
    <hyperlink r:id="rId842" ref="B282"/>
    <hyperlink r:id="rId843" ref="E282"/>
    <hyperlink r:id="rId844" ref="O282"/>
    <hyperlink r:id="rId845" ref="B283"/>
    <hyperlink r:id="rId846" ref="E283"/>
    <hyperlink r:id="rId847" ref="O283"/>
    <hyperlink r:id="rId848" ref="B284"/>
    <hyperlink r:id="rId849" ref="E284"/>
    <hyperlink r:id="rId850" ref="O284"/>
    <hyperlink r:id="rId851" ref="B285"/>
    <hyperlink r:id="rId852" ref="E285"/>
    <hyperlink r:id="rId853" ref="O285"/>
    <hyperlink r:id="rId854" ref="B286"/>
    <hyperlink r:id="rId855" ref="E286"/>
    <hyperlink r:id="rId856" ref="O286"/>
    <hyperlink r:id="rId857" ref="B287"/>
    <hyperlink r:id="rId858" ref="E287"/>
    <hyperlink r:id="rId859" ref="O287"/>
    <hyperlink r:id="rId860" ref="B288"/>
    <hyperlink r:id="rId861" ref="E288"/>
    <hyperlink r:id="rId862" ref="O288"/>
    <hyperlink r:id="rId863" ref="B289"/>
    <hyperlink r:id="rId864" ref="E289"/>
    <hyperlink r:id="rId865" ref="O289"/>
    <hyperlink r:id="rId866" ref="B290"/>
    <hyperlink r:id="rId867" ref="E290"/>
    <hyperlink r:id="rId868" ref="O290"/>
    <hyperlink r:id="rId869" ref="B291"/>
    <hyperlink r:id="rId870" ref="E291"/>
    <hyperlink r:id="rId871" ref="O291"/>
    <hyperlink r:id="rId872" ref="B292"/>
    <hyperlink r:id="rId873" ref="E292"/>
    <hyperlink r:id="rId874" ref="O292"/>
    <hyperlink r:id="rId875" ref="B293"/>
    <hyperlink r:id="rId876" ref="E293"/>
    <hyperlink r:id="rId877" ref="O293"/>
    <hyperlink r:id="rId878" ref="B294"/>
    <hyperlink r:id="rId879" ref="E294"/>
    <hyperlink r:id="rId880" ref="O294"/>
    <hyperlink r:id="rId881" ref="B295"/>
    <hyperlink r:id="rId882" ref="E295"/>
    <hyperlink r:id="rId883" ref="O295"/>
    <hyperlink r:id="rId884" ref="B296"/>
    <hyperlink r:id="rId885" ref="E296"/>
    <hyperlink r:id="rId886" ref="O296"/>
    <hyperlink r:id="rId887" ref="B297"/>
    <hyperlink r:id="rId888" ref="E297"/>
    <hyperlink r:id="rId889" ref="O297"/>
    <hyperlink r:id="rId890" ref="B298"/>
    <hyperlink r:id="rId891" ref="E298"/>
    <hyperlink r:id="rId892" ref="O298"/>
    <hyperlink r:id="rId893" ref="B299"/>
    <hyperlink r:id="rId894" ref="E299"/>
    <hyperlink r:id="rId895" ref="O299"/>
    <hyperlink r:id="rId896" ref="B300"/>
    <hyperlink r:id="rId897" ref="E300"/>
    <hyperlink r:id="rId898" ref="O300"/>
    <hyperlink r:id="rId899" ref="B301"/>
    <hyperlink r:id="rId900" ref="E301"/>
    <hyperlink r:id="rId901" ref="O301"/>
    <hyperlink r:id="rId902" ref="B302"/>
    <hyperlink r:id="rId903" ref="E302"/>
    <hyperlink r:id="rId904" ref="O302"/>
    <hyperlink r:id="rId905" ref="B303"/>
    <hyperlink r:id="rId906" ref="E303"/>
    <hyperlink r:id="rId907" ref="O303"/>
    <hyperlink r:id="rId908" ref="B304"/>
    <hyperlink r:id="rId909" ref="E304"/>
    <hyperlink r:id="rId910" ref="O304"/>
    <hyperlink r:id="rId911" ref="B305"/>
    <hyperlink r:id="rId912" ref="E305"/>
    <hyperlink r:id="rId913" ref="O305"/>
    <hyperlink r:id="rId914" ref="B306"/>
    <hyperlink r:id="rId915" ref="E306"/>
    <hyperlink r:id="rId916" ref="O306"/>
    <hyperlink r:id="rId917" ref="B307"/>
    <hyperlink r:id="rId918" ref="E307"/>
    <hyperlink r:id="rId919" ref="O307"/>
    <hyperlink r:id="rId920" ref="B308"/>
    <hyperlink r:id="rId921" ref="E308"/>
    <hyperlink r:id="rId922" ref="O308"/>
    <hyperlink r:id="rId923" ref="B309"/>
    <hyperlink r:id="rId924" ref="E309"/>
    <hyperlink r:id="rId925" ref="O309"/>
    <hyperlink r:id="rId926" ref="B310"/>
    <hyperlink r:id="rId927" ref="E310"/>
    <hyperlink r:id="rId928" ref="O310"/>
    <hyperlink r:id="rId929" ref="B311"/>
    <hyperlink r:id="rId930" ref="E311"/>
    <hyperlink r:id="rId931" ref="O311"/>
    <hyperlink r:id="rId932" ref="B312"/>
    <hyperlink r:id="rId933" ref="E312"/>
    <hyperlink r:id="rId934" ref="O312"/>
    <hyperlink r:id="rId935" ref="B313"/>
    <hyperlink r:id="rId936" ref="E313"/>
    <hyperlink r:id="rId937" ref="O313"/>
    <hyperlink r:id="rId938" ref="B314"/>
    <hyperlink r:id="rId939" ref="E314"/>
    <hyperlink r:id="rId940" ref="O314"/>
    <hyperlink r:id="rId941" ref="B315"/>
    <hyperlink r:id="rId942" ref="E315"/>
    <hyperlink r:id="rId943" ref="O315"/>
    <hyperlink r:id="rId944" ref="B316"/>
    <hyperlink r:id="rId945" ref="E316"/>
    <hyperlink r:id="rId946" ref="O316"/>
    <hyperlink r:id="rId947" ref="B317"/>
    <hyperlink r:id="rId948" ref="E317"/>
    <hyperlink r:id="rId949" ref="O317"/>
    <hyperlink r:id="rId950" ref="B318"/>
    <hyperlink r:id="rId951" ref="E318"/>
    <hyperlink r:id="rId952" ref="O318"/>
    <hyperlink r:id="rId953" ref="B319"/>
    <hyperlink r:id="rId954" ref="E319"/>
    <hyperlink r:id="rId955" ref="O319"/>
    <hyperlink r:id="rId956" ref="B320"/>
    <hyperlink r:id="rId957" ref="E320"/>
    <hyperlink r:id="rId958" ref="O320"/>
    <hyperlink r:id="rId959" ref="B321"/>
    <hyperlink r:id="rId960" ref="E321"/>
    <hyperlink r:id="rId961" ref="O321"/>
    <hyperlink r:id="rId962" ref="B322"/>
    <hyperlink r:id="rId963" ref="E322"/>
    <hyperlink r:id="rId964" ref="O322"/>
    <hyperlink r:id="rId965" ref="B323"/>
    <hyperlink r:id="rId966" ref="E323"/>
    <hyperlink r:id="rId967" ref="O323"/>
    <hyperlink r:id="rId968" ref="B324"/>
    <hyperlink r:id="rId969" ref="E324"/>
    <hyperlink r:id="rId970" ref="O324"/>
    <hyperlink r:id="rId971" ref="B325"/>
    <hyperlink r:id="rId972" ref="E325"/>
    <hyperlink r:id="rId973" ref="O325"/>
    <hyperlink r:id="rId974" ref="B326"/>
    <hyperlink r:id="rId975" ref="E326"/>
    <hyperlink r:id="rId976" ref="O326"/>
    <hyperlink r:id="rId977" ref="B327"/>
    <hyperlink r:id="rId978" ref="E327"/>
    <hyperlink r:id="rId979" ref="O327"/>
    <hyperlink r:id="rId980" ref="B328"/>
    <hyperlink r:id="rId981" ref="E328"/>
    <hyperlink r:id="rId982" ref="O328"/>
    <hyperlink r:id="rId983" ref="B329"/>
    <hyperlink r:id="rId984" ref="E329"/>
    <hyperlink r:id="rId985" ref="O329"/>
    <hyperlink r:id="rId986" ref="B330"/>
    <hyperlink r:id="rId987" ref="E330"/>
    <hyperlink r:id="rId988" ref="O330"/>
    <hyperlink r:id="rId989" ref="B331"/>
    <hyperlink r:id="rId990" ref="E331"/>
    <hyperlink r:id="rId991" ref="O331"/>
    <hyperlink r:id="rId992" ref="B332"/>
    <hyperlink r:id="rId993" ref="E332"/>
    <hyperlink r:id="rId994" ref="O332"/>
    <hyperlink r:id="rId995" ref="B333"/>
    <hyperlink r:id="rId996" ref="E333"/>
    <hyperlink r:id="rId997" ref="O333"/>
    <hyperlink r:id="rId998" ref="B334"/>
    <hyperlink r:id="rId999" ref="E334"/>
    <hyperlink r:id="rId1000" ref="O334"/>
    <hyperlink r:id="rId1001" ref="B335"/>
    <hyperlink r:id="rId1002" ref="E335"/>
    <hyperlink r:id="rId1003" ref="O335"/>
    <hyperlink r:id="rId1004" ref="B336"/>
    <hyperlink r:id="rId1005" ref="E336"/>
    <hyperlink r:id="rId1006" ref="O336"/>
    <hyperlink r:id="rId1007" ref="B337"/>
    <hyperlink r:id="rId1008" ref="E337"/>
    <hyperlink r:id="rId1009" ref="O337"/>
    <hyperlink r:id="rId1010" ref="B338"/>
    <hyperlink r:id="rId1011" ref="E338"/>
    <hyperlink r:id="rId1012" ref="O338"/>
    <hyperlink r:id="rId1013" ref="B339"/>
    <hyperlink r:id="rId1014" ref="E339"/>
    <hyperlink r:id="rId1015" ref="O339"/>
    <hyperlink r:id="rId1016" ref="B340"/>
    <hyperlink r:id="rId1017" ref="E340"/>
    <hyperlink r:id="rId1018" ref="O340"/>
    <hyperlink r:id="rId1019" ref="B341"/>
    <hyperlink r:id="rId1020" ref="E341"/>
    <hyperlink r:id="rId1021" ref="O341"/>
    <hyperlink r:id="rId1022" ref="B342"/>
    <hyperlink r:id="rId1023" ref="E342"/>
    <hyperlink r:id="rId1024" ref="O342"/>
    <hyperlink r:id="rId1025" ref="B343"/>
    <hyperlink r:id="rId1026" ref="E343"/>
    <hyperlink r:id="rId1027" ref="O343"/>
    <hyperlink r:id="rId1028" ref="B344"/>
    <hyperlink r:id="rId1029" ref="E344"/>
    <hyperlink r:id="rId1030" ref="O344"/>
    <hyperlink r:id="rId1031" ref="B345"/>
    <hyperlink r:id="rId1032" ref="E345"/>
    <hyperlink r:id="rId1033" ref="O345"/>
    <hyperlink r:id="rId1034" ref="B346"/>
    <hyperlink r:id="rId1035" ref="E346"/>
    <hyperlink r:id="rId1036" ref="O346"/>
    <hyperlink r:id="rId1037" ref="B347"/>
    <hyperlink r:id="rId1038" ref="E347"/>
    <hyperlink r:id="rId1039" ref="O347"/>
    <hyperlink r:id="rId1040" location="42.3871255,-72.526555" ref="P347"/>
    <hyperlink r:id="rId1041" ref="B348"/>
    <hyperlink r:id="rId1042" ref="E348"/>
    <hyperlink r:id="rId1043" ref="O348"/>
    <hyperlink r:id="rId1044" ref="B349"/>
    <hyperlink r:id="rId1045" ref="E349"/>
    <hyperlink r:id="rId1046" ref="O349"/>
    <hyperlink r:id="rId1047" ref="B350"/>
    <hyperlink r:id="rId1048" ref="E350"/>
    <hyperlink r:id="rId1049" ref="O350"/>
    <hyperlink r:id="rId1050" ref="B351"/>
    <hyperlink r:id="rId1051" ref="E351"/>
    <hyperlink r:id="rId1052" ref="O351"/>
    <hyperlink r:id="rId1053" ref="B352"/>
    <hyperlink r:id="rId1054" ref="E352"/>
    <hyperlink r:id="rId1055" ref="O352"/>
    <hyperlink r:id="rId1056" ref="B353"/>
    <hyperlink r:id="rId1057" ref="E353"/>
    <hyperlink r:id="rId1058" ref="O353"/>
    <hyperlink r:id="rId1059" ref="B354"/>
    <hyperlink r:id="rId1060" ref="E354"/>
    <hyperlink r:id="rId1061" ref="O354"/>
    <hyperlink r:id="rId1062" ref="B355"/>
    <hyperlink r:id="rId1063" ref="E355"/>
    <hyperlink r:id="rId1064" ref="O355"/>
    <hyperlink r:id="rId1065" ref="B356"/>
    <hyperlink r:id="rId1066" ref="E356"/>
    <hyperlink r:id="rId1067" ref="O356"/>
    <hyperlink r:id="rId1068" ref="B357"/>
    <hyperlink r:id="rId1069" ref="E357"/>
    <hyperlink r:id="rId1070" ref="O357"/>
    <hyperlink r:id="rId1071" ref="B358"/>
    <hyperlink r:id="rId1072" ref="E358"/>
    <hyperlink r:id="rId1073" ref="O358"/>
    <hyperlink r:id="rId1074" ref="B359"/>
    <hyperlink r:id="rId1075" ref="E359"/>
    <hyperlink r:id="rId1076" ref="O359"/>
    <hyperlink r:id="rId1077" ref="B360"/>
    <hyperlink r:id="rId1078" ref="E360"/>
    <hyperlink r:id="rId1079" ref="O360"/>
    <hyperlink r:id="rId1080" ref="B361"/>
    <hyperlink r:id="rId1081" ref="E361"/>
    <hyperlink r:id="rId1082" ref="O361"/>
    <hyperlink r:id="rId1083" ref="B362"/>
    <hyperlink r:id="rId1084" ref="E362"/>
    <hyperlink r:id="rId1085" ref="O362"/>
    <hyperlink r:id="rId1086" ref="B363"/>
    <hyperlink r:id="rId1087" ref="E363"/>
    <hyperlink r:id="rId1088" ref="O363"/>
    <hyperlink r:id="rId1089" ref="B364"/>
    <hyperlink r:id="rId1090" ref="E364"/>
    <hyperlink r:id="rId1091" ref="O364"/>
    <hyperlink r:id="rId1092" ref="B365"/>
    <hyperlink r:id="rId1093" ref="E365"/>
    <hyperlink r:id="rId1094" ref="O365"/>
    <hyperlink r:id="rId1095" ref="B366"/>
    <hyperlink r:id="rId1096" ref="E366"/>
    <hyperlink r:id="rId1097" ref="O366"/>
    <hyperlink r:id="rId1098" ref="B367"/>
    <hyperlink r:id="rId1099" ref="E367"/>
    <hyperlink r:id="rId1100" ref="O367"/>
    <hyperlink r:id="rId1101" ref="B368"/>
    <hyperlink r:id="rId1102" ref="E368"/>
    <hyperlink r:id="rId1103" ref="O368"/>
    <hyperlink r:id="rId1104" ref="B369"/>
    <hyperlink r:id="rId1105" ref="E369"/>
    <hyperlink r:id="rId1106" ref="O369"/>
    <hyperlink r:id="rId1107" ref="B370"/>
    <hyperlink r:id="rId1108" ref="E370"/>
    <hyperlink r:id="rId1109" ref="O370"/>
    <hyperlink r:id="rId1110" ref="B371"/>
    <hyperlink r:id="rId1111" ref="E371"/>
    <hyperlink r:id="rId1112" ref="O371"/>
    <hyperlink r:id="rId1113" ref="B372"/>
    <hyperlink r:id="rId1114" ref="E372"/>
    <hyperlink r:id="rId1115" ref="O372"/>
    <hyperlink r:id="rId1116" ref="B373"/>
    <hyperlink r:id="rId1117" ref="E373"/>
    <hyperlink r:id="rId1118" ref="O373"/>
    <hyperlink r:id="rId1119" ref="B374"/>
    <hyperlink r:id="rId1120" ref="E374"/>
    <hyperlink r:id="rId1121" ref="O374"/>
    <hyperlink r:id="rId1122" ref="B375"/>
    <hyperlink r:id="rId1123" ref="E375"/>
    <hyperlink r:id="rId1124" ref="O375"/>
    <hyperlink r:id="rId1125" ref="B376"/>
    <hyperlink r:id="rId1126" ref="E376"/>
    <hyperlink r:id="rId1127" ref="O376"/>
    <hyperlink r:id="rId1128" ref="B377"/>
    <hyperlink r:id="rId1129" ref="E377"/>
    <hyperlink r:id="rId1130" ref="O377"/>
    <hyperlink r:id="rId1131" ref="B378"/>
    <hyperlink r:id="rId1132" ref="E378"/>
    <hyperlink r:id="rId1133" ref="O378"/>
    <hyperlink r:id="rId1134" ref="B379"/>
    <hyperlink r:id="rId1135" ref="E379"/>
    <hyperlink r:id="rId1136" ref="O379"/>
    <hyperlink r:id="rId1137" ref="B380"/>
    <hyperlink r:id="rId1138" ref="E380"/>
    <hyperlink r:id="rId1139" ref="O380"/>
    <hyperlink r:id="rId1140" ref="B381"/>
    <hyperlink r:id="rId1141" ref="E381"/>
    <hyperlink r:id="rId1142" ref="O381"/>
    <hyperlink r:id="rId1143" ref="B382"/>
    <hyperlink r:id="rId1144" ref="E382"/>
    <hyperlink r:id="rId1145" ref="O382"/>
    <hyperlink r:id="rId1146" ref="B383"/>
    <hyperlink r:id="rId1147" ref="E383"/>
    <hyperlink r:id="rId1148" ref="O383"/>
    <hyperlink r:id="rId1149" ref="B384"/>
    <hyperlink r:id="rId1150" ref="E384"/>
    <hyperlink r:id="rId1151" ref="O384"/>
    <hyperlink r:id="rId1152" ref="B385"/>
    <hyperlink r:id="rId1153" ref="E385"/>
    <hyperlink r:id="rId1154" ref="O385"/>
    <hyperlink r:id="rId1155" ref="B386"/>
    <hyperlink r:id="rId1156" ref="E386"/>
    <hyperlink r:id="rId1157" ref="O386"/>
    <hyperlink r:id="rId1158" ref="B387"/>
    <hyperlink r:id="rId1159" ref="E387"/>
    <hyperlink r:id="rId1160" ref="O387"/>
    <hyperlink r:id="rId1161" ref="B388"/>
    <hyperlink r:id="rId1162" ref="E388"/>
    <hyperlink r:id="rId1163" ref="O388"/>
    <hyperlink r:id="rId1164" ref="B389"/>
    <hyperlink r:id="rId1165" ref="E389"/>
    <hyperlink r:id="rId1166" ref="O389"/>
    <hyperlink r:id="rId1167" ref="B390"/>
    <hyperlink r:id="rId1168" ref="E390"/>
    <hyperlink r:id="rId1169" ref="O390"/>
    <hyperlink r:id="rId1170" ref="B391"/>
    <hyperlink r:id="rId1171" ref="E391"/>
    <hyperlink r:id="rId1172" ref="O391"/>
    <hyperlink r:id="rId1173" ref="B392"/>
    <hyperlink r:id="rId1174" ref="E392"/>
    <hyperlink r:id="rId1175" ref="O392"/>
    <hyperlink r:id="rId1176" ref="B393"/>
    <hyperlink r:id="rId1177" ref="E393"/>
    <hyperlink r:id="rId1178" ref="O393"/>
    <hyperlink r:id="rId1179" ref="B394"/>
    <hyperlink r:id="rId1180" ref="E394"/>
    <hyperlink r:id="rId1181" ref="O394"/>
    <hyperlink r:id="rId1182" ref="B395"/>
    <hyperlink r:id="rId1183" ref="E395"/>
    <hyperlink r:id="rId1184" ref="O395"/>
    <hyperlink r:id="rId1185" ref="B396"/>
    <hyperlink r:id="rId1186" ref="E396"/>
    <hyperlink r:id="rId1187" ref="O396"/>
    <hyperlink r:id="rId1188" ref="B397"/>
    <hyperlink r:id="rId1189" ref="E397"/>
    <hyperlink r:id="rId1190" ref="O397"/>
    <hyperlink r:id="rId1191" ref="B398"/>
    <hyperlink r:id="rId1192" ref="E398"/>
    <hyperlink r:id="rId1193" ref="O398"/>
    <hyperlink r:id="rId1194" ref="B399"/>
    <hyperlink r:id="rId1195" ref="E399"/>
    <hyperlink r:id="rId1196" ref="O399"/>
    <hyperlink r:id="rId1197" ref="B400"/>
    <hyperlink r:id="rId1198" ref="E400"/>
    <hyperlink r:id="rId1199" ref="O400"/>
    <hyperlink r:id="rId1200" ref="B401"/>
    <hyperlink r:id="rId1201" ref="E401"/>
    <hyperlink r:id="rId1202" ref="O401"/>
    <hyperlink r:id="rId1203" ref="B402"/>
    <hyperlink r:id="rId1204" ref="E402"/>
    <hyperlink r:id="rId1205" ref="O402"/>
    <hyperlink r:id="rId1206" ref="B403"/>
    <hyperlink r:id="rId1207" ref="E403"/>
    <hyperlink r:id="rId1208" ref="O403"/>
    <hyperlink r:id="rId1209" ref="B404"/>
    <hyperlink r:id="rId1210" ref="E404"/>
    <hyperlink r:id="rId1211" ref="O404"/>
    <hyperlink r:id="rId1212" ref="B405"/>
    <hyperlink r:id="rId1213" ref="E405"/>
    <hyperlink r:id="rId1214" ref="O405"/>
    <hyperlink r:id="rId1215" ref="B406"/>
    <hyperlink r:id="rId1216" ref="E406"/>
    <hyperlink r:id="rId1217" ref="O406"/>
    <hyperlink r:id="rId1218" ref="B407"/>
    <hyperlink r:id="rId1219" ref="E407"/>
    <hyperlink r:id="rId1220" ref="O407"/>
    <hyperlink r:id="rId1221" ref="B408"/>
    <hyperlink r:id="rId1222" ref="E408"/>
    <hyperlink r:id="rId1223" ref="O408"/>
    <hyperlink r:id="rId1224" ref="B409"/>
    <hyperlink r:id="rId1225" ref="E409"/>
    <hyperlink r:id="rId1226" ref="O409"/>
    <hyperlink r:id="rId1227" ref="B410"/>
    <hyperlink r:id="rId1228" ref="E410"/>
    <hyperlink r:id="rId1229" ref="O410"/>
    <hyperlink r:id="rId1230" ref="B411"/>
    <hyperlink r:id="rId1231" ref="E411"/>
    <hyperlink r:id="rId1232" ref="O411"/>
    <hyperlink r:id="rId1233" ref="B412"/>
    <hyperlink r:id="rId1234" ref="E412"/>
    <hyperlink r:id="rId1235" ref="O412"/>
    <hyperlink r:id="rId1236" ref="B413"/>
    <hyperlink r:id="rId1237" ref="E413"/>
    <hyperlink r:id="rId1238" ref="O413"/>
    <hyperlink r:id="rId1239" ref="B414"/>
    <hyperlink r:id="rId1240" ref="E414"/>
    <hyperlink r:id="rId1241" ref="O414"/>
    <hyperlink r:id="rId1242" ref="B415"/>
    <hyperlink r:id="rId1243" ref="E415"/>
    <hyperlink r:id="rId1244" ref="O415"/>
    <hyperlink r:id="rId1245" ref="B416"/>
    <hyperlink r:id="rId1246" ref="E416"/>
    <hyperlink r:id="rId1247" ref="O416"/>
    <hyperlink r:id="rId1248" ref="B417"/>
    <hyperlink r:id="rId1249" ref="E417"/>
    <hyperlink r:id="rId1250" ref="O417"/>
    <hyperlink r:id="rId1251" ref="B418"/>
    <hyperlink r:id="rId1252" ref="E418"/>
    <hyperlink r:id="rId1253" ref="O418"/>
    <hyperlink r:id="rId1254" ref="B419"/>
    <hyperlink r:id="rId1255" ref="E419"/>
    <hyperlink r:id="rId1256" ref="O419"/>
    <hyperlink r:id="rId1257" ref="B420"/>
    <hyperlink r:id="rId1258" ref="E420"/>
    <hyperlink r:id="rId1259" ref="O420"/>
    <hyperlink r:id="rId1260" ref="B421"/>
    <hyperlink r:id="rId1261" ref="E421"/>
    <hyperlink r:id="rId1262" ref="O421"/>
    <hyperlink r:id="rId1263" ref="B422"/>
    <hyperlink r:id="rId1264" ref="E422"/>
    <hyperlink r:id="rId1265" ref="O422"/>
    <hyperlink r:id="rId1266" ref="B423"/>
    <hyperlink r:id="rId1267" ref="E423"/>
    <hyperlink r:id="rId1268" ref="O423"/>
    <hyperlink r:id="rId1269" ref="B424"/>
    <hyperlink r:id="rId1270" ref="E424"/>
    <hyperlink r:id="rId1271" ref="O424"/>
    <hyperlink r:id="rId1272" ref="B425"/>
    <hyperlink r:id="rId1273" ref="E425"/>
    <hyperlink r:id="rId1274" ref="O425"/>
    <hyperlink r:id="rId1275" ref="B426"/>
    <hyperlink r:id="rId1276" ref="E426"/>
    <hyperlink r:id="rId1277" ref="O426"/>
    <hyperlink r:id="rId1278" ref="B427"/>
    <hyperlink r:id="rId1279" ref="E427"/>
    <hyperlink r:id="rId1280" ref="O427"/>
    <hyperlink r:id="rId1281" ref="B428"/>
    <hyperlink r:id="rId1282" ref="E428"/>
    <hyperlink r:id="rId1283" ref="O428"/>
    <hyperlink r:id="rId1284" ref="B429"/>
    <hyperlink r:id="rId1285" ref="E429"/>
    <hyperlink r:id="rId1286" ref="O429"/>
    <hyperlink r:id="rId1287" ref="B430"/>
    <hyperlink r:id="rId1288" ref="E430"/>
    <hyperlink r:id="rId1289" ref="O430"/>
    <hyperlink r:id="rId1290" ref="B431"/>
    <hyperlink r:id="rId1291" ref="E431"/>
    <hyperlink r:id="rId1292" ref="O431"/>
    <hyperlink r:id="rId1293" ref="B432"/>
    <hyperlink r:id="rId1294" ref="E432"/>
    <hyperlink r:id="rId1295" ref="O432"/>
    <hyperlink r:id="rId1296" ref="B433"/>
    <hyperlink r:id="rId1297" ref="E433"/>
    <hyperlink r:id="rId1298" ref="O433"/>
    <hyperlink r:id="rId1299" ref="B434"/>
    <hyperlink r:id="rId1300" ref="E434"/>
    <hyperlink r:id="rId1301" ref="O434"/>
    <hyperlink r:id="rId1302" ref="B435"/>
    <hyperlink r:id="rId1303" ref="E435"/>
    <hyperlink r:id="rId1304" ref="O435"/>
    <hyperlink r:id="rId1305" ref="B436"/>
    <hyperlink r:id="rId1306" ref="E436"/>
    <hyperlink r:id="rId1307" ref="O436"/>
    <hyperlink r:id="rId1308" ref="B437"/>
    <hyperlink r:id="rId1309" ref="E437"/>
    <hyperlink r:id="rId1310" ref="O437"/>
    <hyperlink r:id="rId1311" ref="B438"/>
    <hyperlink r:id="rId1312" ref="E438"/>
    <hyperlink r:id="rId1313" ref="O438"/>
    <hyperlink r:id="rId1314" ref="B439"/>
    <hyperlink r:id="rId1315" ref="E439"/>
    <hyperlink r:id="rId1316" ref="O439"/>
    <hyperlink r:id="rId1317" ref="B440"/>
    <hyperlink r:id="rId1318" ref="E440"/>
    <hyperlink r:id="rId1319" ref="O440"/>
    <hyperlink r:id="rId1320" ref="B441"/>
    <hyperlink r:id="rId1321" ref="E441"/>
    <hyperlink r:id="rId1322" ref="O441"/>
    <hyperlink r:id="rId1323" ref="B442"/>
    <hyperlink r:id="rId1324" ref="E442"/>
    <hyperlink r:id="rId1325" ref="O442"/>
    <hyperlink r:id="rId1326" ref="B443"/>
    <hyperlink r:id="rId1327" ref="E443"/>
    <hyperlink r:id="rId1328" ref="O443"/>
    <hyperlink r:id="rId1329" ref="B444"/>
    <hyperlink r:id="rId1330" ref="E444"/>
    <hyperlink r:id="rId1331" ref="O444"/>
    <hyperlink r:id="rId1332" ref="B445"/>
    <hyperlink r:id="rId1333" ref="E445"/>
    <hyperlink r:id="rId1334" ref="O445"/>
    <hyperlink r:id="rId1335" ref="B446"/>
    <hyperlink r:id="rId1336" ref="E446"/>
    <hyperlink r:id="rId1337" ref="O446"/>
    <hyperlink r:id="rId1338" ref="B447"/>
    <hyperlink r:id="rId1339" ref="E447"/>
    <hyperlink r:id="rId1340" ref="O447"/>
    <hyperlink r:id="rId1341" ref="B448"/>
    <hyperlink r:id="rId1342" ref="E448"/>
    <hyperlink r:id="rId1343" ref="O448"/>
    <hyperlink r:id="rId1344" ref="B449"/>
    <hyperlink r:id="rId1345" ref="E449"/>
    <hyperlink r:id="rId1346" ref="O449"/>
    <hyperlink r:id="rId1347" ref="B450"/>
    <hyperlink r:id="rId1348" ref="E450"/>
    <hyperlink r:id="rId1349" ref="O450"/>
    <hyperlink r:id="rId1350" ref="B451"/>
    <hyperlink r:id="rId1351" ref="E451"/>
    <hyperlink r:id="rId1352" ref="O451"/>
    <hyperlink r:id="rId1353" ref="B452"/>
    <hyperlink r:id="rId1354" ref="E452"/>
    <hyperlink r:id="rId1355" ref="O452"/>
    <hyperlink r:id="rId1356" ref="B453"/>
    <hyperlink r:id="rId1357" ref="E453"/>
    <hyperlink r:id="rId1358" ref="O453"/>
    <hyperlink r:id="rId1359" ref="B454"/>
    <hyperlink r:id="rId1360" ref="E454"/>
    <hyperlink r:id="rId1361" ref="O454"/>
    <hyperlink r:id="rId1362" ref="B455"/>
    <hyperlink r:id="rId1363" ref="E455"/>
    <hyperlink r:id="rId1364" ref="O455"/>
    <hyperlink r:id="rId1365" ref="B456"/>
    <hyperlink r:id="rId1366" ref="E456"/>
    <hyperlink r:id="rId1367" ref="O456"/>
    <hyperlink r:id="rId1368" ref="B457"/>
    <hyperlink r:id="rId1369" ref="E457"/>
    <hyperlink r:id="rId1370" ref="O457"/>
    <hyperlink r:id="rId1371" ref="B458"/>
    <hyperlink r:id="rId1372" ref="E458"/>
    <hyperlink r:id="rId1373" ref="O458"/>
    <hyperlink r:id="rId1374" ref="B459"/>
    <hyperlink r:id="rId1375" ref="E459"/>
    <hyperlink r:id="rId1376" ref="O459"/>
    <hyperlink r:id="rId1377" ref="B460"/>
    <hyperlink r:id="rId1378" ref="E460"/>
    <hyperlink r:id="rId1379" ref="O460"/>
    <hyperlink r:id="rId1380" ref="B461"/>
    <hyperlink r:id="rId1381" ref="E461"/>
    <hyperlink r:id="rId1382" ref="O461"/>
    <hyperlink r:id="rId1383" ref="B462"/>
    <hyperlink r:id="rId1384" ref="E462"/>
    <hyperlink r:id="rId1385" ref="O462"/>
    <hyperlink r:id="rId1386" ref="B463"/>
    <hyperlink r:id="rId1387" ref="E463"/>
    <hyperlink r:id="rId1388" ref="O463"/>
    <hyperlink r:id="rId1389" ref="B464"/>
    <hyperlink r:id="rId1390" ref="E464"/>
    <hyperlink r:id="rId1391" ref="O464"/>
    <hyperlink r:id="rId1392" ref="B465"/>
    <hyperlink r:id="rId1393" ref="E465"/>
    <hyperlink r:id="rId1394" ref="O465"/>
    <hyperlink r:id="rId1395" ref="B466"/>
    <hyperlink r:id="rId1396" ref="E466"/>
    <hyperlink r:id="rId1397" ref="O466"/>
    <hyperlink r:id="rId1398" ref="B467"/>
    <hyperlink r:id="rId1399" ref="E467"/>
    <hyperlink r:id="rId1400" ref="O467"/>
    <hyperlink r:id="rId1401" ref="B468"/>
    <hyperlink r:id="rId1402" ref="E468"/>
    <hyperlink r:id="rId1403" ref="O468"/>
    <hyperlink r:id="rId1404" ref="B469"/>
    <hyperlink r:id="rId1405" ref="E469"/>
    <hyperlink r:id="rId1406" ref="O469"/>
    <hyperlink r:id="rId1407" ref="B470"/>
    <hyperlink r:id="rId1408" ref="E470"/>
    <hyperlink r:id="rId1409" ref="O470"/>
    <hyperlink r:id="rId1410" ref="B471"/>
    <hyperlink r:id="rId1411" ref="E471"/>
    <hyperlink r:id="rId1412" ref="O471"/>
    <hyperlink r:id="rId1413" ref="B472"/>
    <hyperlink r:id="rId1414" ref="E472"/>
    <hyperlink r:id="rId1415" ref="O472"/>
    <hyperlink r:id="rId1416" ref="B473"/>
    <hyperlink r:id="rId1417" ref="E473"/>
    <hyperlink r:id="rId1418" ref="O473"/>
    <hyperlink r:id="rId1419" ref="B474"/>
    <hyperlink r:id="rId1420" ref="E474"/>
    <hyperlink r:id="rId1421" ref="O474"/>
    <hyperlink r:id="rId1422" ref="B475"/>
    <hyperlink r:id="rId1423" ref="E475"/>
    <hyperlink r:id="rId1424" ref="O475"/>
    <hyperlink r:id="rId1425" ref="B476"/>
    <hyperlink r:id="rId1426" ref="E476"/>
    <hyperlink r:id="rId1427" ref="O476"/>
    <hyperlink r:id="rId1428" ref="B477"/>
    <hyperlink r:id="rId1429" ref="E477"/>
    <hyperlink r:id="rId1430" ref="O477"/>
    <hyperlink r:id="rId1431" ref="B478"/>
    <hyperlink r:id="rId1432" ref="E478"/>
    <hyperlink r:id="rId1433" ref="O478"/>
    <hyperlink r:id="rId1434" ref="B479"/>
    <hyperlink r:id="rId1435" ref="E479"/>
    <hyperlink r:id="rId1436" ref="O479"/>
    <hyperlink r:id="rId1437" ref="B480"/>
    <hyperlink r:id="rId1438" ref="E480"/>
    <hyperlink r:id="rId1439" ref="O480"/>
    <hyperlink r:id="rId1440" ref="B481"/>
    <hyperlink r:id="rId1441" ref="E481"/>
    <hyperlink r:id="rId1442" ref="O481"/>
    <hyperlink r:id="rId1443" ref="B482"/>
    <hyperlink r:id="rId1444" ref="E482"/>
    <hyperlink r:id="rId1445" ref="O482"/>
    <hyperlink r:id="rId1446" ref="B483"/>
    <hyperlink r:id="rId1447" ref="E483"/>
    <hyperlink r:id="rId1448" ref="O483"/>
    <hyperlink r:id="rId1449" ref="B484"/>
    <hyperlink r:id="rId1450" ref="E484"/>
    <hyperlink r:id="rId1451" ref="O484"/>
    <hyperlink r:id="rId1452" ref="B485"/>
    <hyperlink r:id="rId1453" ref="E485"/>
    <hyperlink r:id="rId1454" ref="O485"/>
    <hyperlink r:id="rId1455" ref="B486"/>
    <hyperlink r:id="rId1456" ref="E486"/>
    <hyperlink r:id="rId1457" ref="O486"/>
    <hyperlink r:id="rId1458" ref="B487"/>
    <hyperlink r:id="rId1459" ref="E487"/>
    <hyperlink r:id="rId1460" ref="O487"/>
    <hyperlink r:id="rId1461" ref="B488"/>
    <hyperlink r:id="rId1462" ref="E488"/>
    <hyperlink r:id="rId1463" ref="O488"/>
    <hyperlink r:id="rId1464" ref="B489"/>
    <hyperlink r:id="rId1465" ref="E489"/>
    <hyperlink r:id="rId1466" ref="O489"/>
    <hyperlink r:id="rId1467" ref="B490"/>
    <hyperlink r:id="rId1468" ref="E490"/>
    <hyperlink r:id="rId1469" ref="O490"/>
    <hyperlink r:id="rId1470" ref="B491"/>
    <hyperlink r:id="rId1471" ref="E491"/>
    <hyperlink r:id="rId1472" ref="O491"/>
    <hyperlink r:id="rId1473" ref="B492"/>
    <hyperlink r:id="rId1474" ref="E492"/>
    <hyperlink r:id="rId1475" ref="O492"/>
    <hyperlink r:id="rId1476" ref="B493"/>
    <hyperlink r:id="rId1477" ref="E493"/>
    <hyperlink r:id="rId1478" ref="O493"/>
    <hyperlink r:id="rId1479" ref="B494"/>
    <hyperlink r:id="rId1480" ref="E494"/>
    <hyperlink r:id="rId1481" ref="O494"/>
    <hyperlink r:id="rId1482" ref="B495"/>
    <hyperlink r:id="rId1483" ref="E495"/>
    <hyperlink r:id="rId1484" ref="O495"/>
    <hyperlink r:id="rId1485" ref="B496"/>
    <hyperlink r:id="rId1486" ref="E496"/>
    <hyperlink r:id="rId1487" ref="O496"/>
    <hyperlink r:id="rId1488" ref="B497"/>
    <hyperlink r:id="rId1489" ref="E497"/>
    <hyperlink r:id="rId1490" ref="O497"/>
    <hyperlink r:id="rId1491" ref="B498"/>
    <hyperlink r:id="rId1492" ref="E498"/>
    <hyperlink r:id="rId1493" ref="O498"/>
    <hyperlink r:id="rId1494" ref="B499"/>
    <hyperlink r:id="rId1495" ref="E499"/>
    <hyperlink r:id="rId1496" ref="O499"/>
    <hyperlink r:id="rId1497" ref="B500"/>
    <hyperlink r:id="rId1498" ref="E500"/>
    <hyperlink r:id="rId1499" ref="O500"/>
    <hyperlink r:id="rId1500" ref="B501"/>
    <hyperlink r:id="rId1501" ref="E501"/>
    <hyperlink r:id="rId1502" ref="O501"/>
    <hyperlink r:id="rId1503" ref="B502"/>
    <hyperlink r:id="rId1504" ref="E502"/>
    <hyperlink r:id="rId1505" ref="O502"/>
    <hyperlink r:id="rId1506" ref="B503"/>
    <hyperlink r:id="rId1507" ref="E503"/>
    <hyperlink r:id="rId1508" ref="O503"/>
    <hyperlink r:id="rId1509" ref="B504"/>
    <hyperlink r:id="rId1510" ref="E504"/>
    <hyperlink r:id="rId1511" ref="O504"/>
    <hyperlink r:id="rId1512" ref="B505"/>
    <hyperlink r:id="rId1513" ref="E505"/>
    <hyperlink r:id="rId1514" ref="O505"/>
    <hyperlink r:id="rId1515" ref="B506"/>
    <hyperlink r:id="rId1516" ref="E506"/>
    <hyperlink r:id="rId1517" ref="O506"/>
    <hyperlink r:id="rId1518" ref="B507"/>
    <hyperlink r:id="rId1519" ref="E507"/>
    <hyperlink r:id="rId1520" ref="O507"/>
    <hyperlink r:id="rId1521" ref="B508"/>
    <hyperlink r:id="rId1522" ref="E508"/>
    <hyperlink r:id="rId1523" ref="O508"/>
    <hyperlink r:id="rId1524" ref="B509"/>
    <hyperlink r:id="rId1525" ref="E509"/>
    <hyperlink r:id="rId1526" ref="O509"/>
    <hyperlink r:id="rId1527" ref="B510"/>
    <hyperlink r:id="rId1528" ref="E510"/>
    <hyperlink r:id="rId1529" ref="O510"/>
    <hyperlink r:id="rId1530" ref="B511"/>
    <hyperlink r:id="rId1531" ref="E511"/>
    <hyperlink r:id="rId1532" ref="O511"/>
    <hyperlink r:id="rId1533" ref="B512"/>
    <hyperlink r:id="rId1534" ref="E512"/>
    <hyperlink r:id="rId1535" ref="O512"/>
    <hyperlink r:id="rId1536" ref="B513"/>
    <hyperlink r:id="rId1537" ref="E513"/>
    <hyperlink r:id="rId1538" ref="O513"/>
    <hyperlink r:id="rId1539" ref="B514"/>
    <hyperlink r:id="rId1540" ref="E514"/>
    <hyperlink r:id="rId1541" ref="O514"/>
    <hyperlink r:id="rId1542" ref="B515"/>
    <hyperlink r:id="rId1543" ref="E515"/>
    <hyperlink r:id="rId1544" ref="O515"/>
    <hyperlink r:id="rId1545" ref="B516"/>
    <hyperlink r:id="rId1546" ref="E516"/>
    <hyperlink r:id="rId1547" ref="O516"/>
    <hyperlink r:id="rId1548" ref="B517"/>
    <hyperlink r:id="rId1549" ref="E517"/>
    <hyperlink r:id="rId1550" ref="O517"/>
    <hyperlink r:id="rId1551" ref="B518"/>
    <hyperlink r:id="rId1552" ref="E518"/>
    <hyperlink r:id="rId1553" ref="O518"/>
    <hyperlink r:id="rId1554" ref="B519"/>
    <hyperlink r:id="rId1555" ref="E519"/>
    <hyperlink r:id="rId1556" ref="O519"/>
    <hyperlink r:id="rId1557" ref="B520"/>
    <hyperlink r:id="rId1558" ref="E520"/>
    <hyperlink r:id="rId1559" ref="O520"/>
    <hyperlink r:id="rId1560" ref="B521"/>
    <hyperlink r:id="rId1561" ref="E521"/>
    <hyperlink r:id="rId1562" ref="O521"/>
    <hyperlink r:id="rId1563" ref="B522"/>
    <hyperlink r:id="rId1564" ref="E522"/>
    <hyperlink r:id="rId1565" ref="O522"/>
    <hyperlink r:id="rId1566" ref="B523"/>
    <hyperlink r:id="rId1567" ref="E523"/>
    <hyperlink r:id="rId1568" ref="O523"/>
    <hyperlink r:id="rId1569" ref="B524"/>
    <hyperlink r:id="rId1570" ref="E524"/>
    <hyperlink r:id="rId1571" ref="O524"/>
    <hyperlink r:id="rId1572" ref="B525"/>
    <hyperlink r:id="rId1573" ref="E525"/>
    <hyperlink r:id="rId1574" ref="O525"/>
    <hyperlink r:id="rId1575" ref="B526"/>
    <hyperlink r:id="rId1576" ref="E526"/>
    <hyperlink r:id="rId1577" ref="O526"/>
    <hyperlink r:id="rId1578" ref="B527"/>
    <hyperlink r:id="rId1579" ref="E527"/>
    <hyperlink r:id="rId1580" ref="O527"/>
    <hyperlink r:id="rId1581" ref="B528"/>
    <hyperlink r:id="rId1582" ref="E528"/>
    <hyperlink r:id="rId1583" ref="O528"/>
    <hyperlink r:id="rId1584" ref="B529"/>
    <hyperlink r:id="rId1585" ref="E529"/>
    <hyperlink r:id="rId1586" ref="O529"/>
    <hyperlink r:id="rId1587" ref="B530"/>
    <hyperlink r:id="rId1588" ref="E530"/>
    <hyperlink r:id="rId1589" ref="O530"/>
    <hyperlink r:id="rId1590" ref="B531"/>
    <hyperlink r:id="rId1591" ref="E531"/>
    <hyperlink r:id="rId1592" ref="O531"/>
    <hyperlink r:id="rId1593" ref="B532"/>
    <hyperlink r:id="rId1594" ref="E532"/>
    <hyperlink r:id="rId1595" ref="O532"/>
    <hyperlink r:id="rId1596" ref="B533"/>
    <hyperlink r:id="rId1597" ref="E533"/>
    <hyperlink r:id="rId1598" ref="O533"/>
    <hyperlink r:id="rId1599" ref="B534"/>
    <hyperlink r:id="rId1600" ref="E534"/>
    <hyperlink r:id="rId1601" ref="O534"/>
    <hyperlink r:id="rId1602" ref="B535"/>
    <hyperlink r:id="rId1603" ref="E535"/>
    <hyperlink r:id="rId1604" ref="O535"/>
    <hyperlink r:id="rId1605" ref="B536"/>
    <hyperlink r:id="rId1606" ref="E536"/>
    <hyperlink r:id="rId1607" ref="O536"/>
    <hyperlink r:id="rId1608" ref="B537"/>
    <hyperlink r:id="rId1609" ref="E537"/>
    <hyperlink r:id="rId1610" ref="O537"/>
    <hyperlink r:id="rId1611" ref="B538"/>
    <hyperlink r:id="rId1612" ref="E538"/>
    <hyperlink r:id="rId1613" ref="O538"/>
    <hyperlink r:id="rId1614" ref="B539"/>
    <hyperlink r:id="rId1615" ref="E539"/>
    <hyperlink r:id="rId1616" ref="O539"/>
    <hyperlink r:id="rId1617" ref="B540"/>
    <hyperlink r:id="rId1618" ref="E540"/>
    <hyperlink r:id="rId1619" ref="O540"/>
    <hyperlink r:id="rId1620" ref="B541"/>
    <hyperlink r:id="rId1621" ref="E541"/>
    <hyperlink r:id="rId1622" ref="O541"/>
    <hyperlink r:id="rId1623" ref="B542"/>
    <hyperlink r:id="rId1624" ref="E542"/>
    <hyperlink r:id="rId1625" ref="O542"/>
    <hyperlink r:id="rId1626" ref="B543"/>
    <hyperlink r:id="rId1627" ref="E543"/>
    <hyperlink r:id="rId1628" ref="O543"/>
    <hyperlink r:id="rId1629" ref="B544"/>
    <hyperlink r:id="rId1630" ref="E544"/>
    <hyperlink r:id="rId1631" ref="O544"/>
    <hyperlink r:id="rId1632" ref="B545"/>
    <hyperlink r:id="rId1633" ref="E545"/>
    <hyperlink r:id="rId1634" ref="O545"/>
    <hyperlink r:id="rId1635" ref="B546"/>
    <hyperlink r:id="rId1636" ref="E546"/>
    <hyperlink r:id="rId1637" ref="O546"/>
    <hyperlink r:id="rId1638" ref="B547"/>
    <hyperlink r:id="rId1639" ref="E547"/>
    <hyperlink r:id="rId1640" ref="O547"/>
    <hyperlink r:id="rId1641" ref="B548"/>
    <hyperlink r:id="rId1642" ref="E548"/>
    <hyperlink r:id="rId1643" ref="O548"/>
    <hyperlink r:id="rId1644" ref="B549"/>
    <hyperlink r:id="rId1645" ref="E549"/>
    <hyperlink r:id="rId1646" ref="O549"/>
    <hyperlink r:id="rId1647" ref="B550"/>
    <hyperlink r:id="rId1648" ref="E550"/>
    <hyperlink r:id="rId1649" ref="O550"/>
    <hyperlink r:id="rId1650" ref="B551"/>
    <hyperlink r:id="rId1651" ref="E551"/>
    <hyperlink r:id="rId1652" ref="O551"/>
    <hyperlink r:id="rId1653" ref="B552"/>
    <hyperlink r:id="rId1654" ref="E552"/>
    <hyperlink r:id="rId1655" ref="O552"/>
    <hyperlink r:id="rId1656" ref="B553"/>
    <hyperlink r:id="rId1657" ref="E553"/>
    <hyperlink r:id="rId1658" ref="O553"/>
    <hyperlink r:id="rId1659" ref="B554"/>
    <hyperlink r:id="rId1660" ref="E554"/>
    <hyperlink r:id="rId1661" ref="O554"/>
    <hyperlink r:id="rId1662" ref="B555"/>
    <hyperlink r:id="rId1663" ref="E555"/>
    <hyperlink r:id="rId1664" ref="O555"/>
    <hyperlink r:id="rId1665" ref="B556"/>
    <hyperlink r:id="rId1666" ref="E556"/>
    <hyperlink r:id="rId1667" ref="O556"/>
    <hyperlink r:id="rId1668" ref="B557"/>
    <hyperlink r:id="rId1669" ref="E557"/>
    <hyperlink r:id="rId1670" ref="O557"/>
    <hyperlink r:id="rId1671" ref="B558"/>
    <hyperlink r:id="rId1672" ref="E558"/>
    <hyperlink r:id="rId1673" ref="O558"/>
    <hyperlink r:id="rId1674" ref="B559"/>
    <hyperlink r:id="rId1675" ref="E559"/>
    <hyperlink r:id="rId1676" ref="O559"/>
    <hyperlink r:id="rId1677" ref="B560"/>
    <hyperlink r:id="rId1678" ref="E560"/>
    <hyperlink r:id="rId1679" ref="O560"/>
    <hyperlink r:id="rId1680" ref="B561"/>
    <hyperlink r:id="rId1681" ref="E561"/>
    <hyperlink r:id="rId1682" ref="O561"/>
    <hyperlink r:id="rId1683" ref="B562"/>
    <hyperlink r:id="rId1684" ref="E562"/>
    <hyperlink r:id="rId1685" ref="O562"/>
    <hyperlink r:id="rId1686" ref="B563"/>
    <hyperlink r:id="rId1687" ref="E563"/>
    <hyperlink r:id="rId1688" ref="O563"/>
    <hyperlink r:id="rId1689" ref="B564"/>
    <hyperlink r:id="rId1690" ref="E564"/>
    <hyperlink r:id="rId1691" ref="O564"/>
    <hyperlink r:id="rId1692" ref="B565"/>
    <hyperlink r:id="rId1693" ref="E565"/>
    <hyperlink r:id="rId1694" ref="O565"/>
    <hyperlink r:id="rId1695" ref="B566"/>
    <hyperlink r:id="rId1696" ref="E566"/>
    <hyperlink r:id="rId1697" ref="O566"/>
    <hyperlink r:id="rId1698" ref="B567"/>
    <hyperlink r:id="rId1699" ref="E567"/>
    <hyperlink r:id="rId1700" ref="O567"/>
    <hyperlink r:id="rId1701" ref="B568"/>
    <hyperlink r:id="rId1702" ref="E568"/>
    <hyperlink r:id="rId1703" ref="O568"/>
    <hyperlink r:id="rId1704" ref="B569"/>
    <hyperlink r:id="rId1705" ref="E569"/>
    <hyperlink r:id="rId1706" ref="O569"/>
    <hyperlink r:id="rId1707" ref="B570"/>
    <hyperlink r:id="rId1708" ref="E570"/>
    <hyperlink r:id="rId1709" ref="O570"/>
    <hyperlink r:id="rId1710" ref="B571"/>
    <hyperlink r:id="rId1711" ref="E571"/>
    <hyperlink r:id="rId1712" ref="O571"/>
    <hyperlink r:id="rId1713" ref="B572"/>
    <hyperlink r:id="rId1714" ref="E572"/>
    <hyperlink r:id="rId1715" ref="O572"/>
    <hyperlink r:id="rId1716" ref="B573"/>
    <hyperlink r:id="rId1717" ref="E573"/>
    <hyperlink r:id="rId1718" ref="O573"/>
    <hyperlink r:id="rId1719" ref="B574"/>
    <hyperlink r:id="rId1720" ref="E574"/>
    <hyperlink r:id="rId1721" ref="O574"/>
    <hyperlink r:id="rId1722" ref="B575"/>
    <hyperlink r:id="rId1723" ref="E575"/>
    <hyperlink r:id="rId1724" ref="O575"/>
    <hyperlink r:id="rId1725" ref="B576"/>
    <hyperlink r:id="rId1726" ref="E576"/>
    <hyperlink r:id="rId1727" ref="O576"/>
    <hyperlink r:id="rId1728" ref="B577"/>
    <hyperlink r:id="rId1729" ref="E577"/>
    <hyperlink r:id="rId1730" ref="O577"/>
    <hyperlink r:id="rId1731" ref="B578"/>
    <hyperlink r:id="rId1732" ref="E578"/>
    <hyperlink r:id="rId1733" ref="O578"/>
    <hyperlink r:id="rId1734" ref="B579"/>
    <hyperlink r:id="rId1735" ref="E579"/>
    <hyperlink r:id="rId1736" ref="O579"/>
    <hyperlink r:id="rId1737" ref="B580"/>
    <hyperlink r:id="rId1738" ref="E580"/>
    <hyperlink r:id="rId1739" ref="O580"/>
    <hyperlink r:id="rId1740" ref="B581"/>
    <hyperlink r:id="rId1741" ref="E581"/>
    <hyperlink r:id="rId1742" ref="O581"/>
    <hyperlink r:id="rId1743" ref="B582"/>
    <hyperlink r:id="rId1744" ref="E582"/>
    <hyperlink r:id="rId1745" ref="O582"/>
    <hyperlink r:id="rId1746" ref="B583"/>
    <hyperlink r:id="rId1747" ref="E583"/>
    <hyperlink r:id="rId1748" ref="O583"/>
    <hyperlink r:id="rId1749" ref="B584"/>
    <hyperlink r:id="rId1750" ref="E584"/>
    <hyperlink r:id="rId1751" ref="O584"/>
    <hyperlink r:id="rId1752" ref="B585"/>
    <hyperlink r:id="rId1753" ref="E585"/>
    <hyperlink r:id="rId1754" ref="O585"/>
    <hyperlink r:id="rId1755" ref="B586"/>
    <hyperlink r:id="rId1756" ref="E586"/>
    <hyperlink r:id="rId1757" ref="O586"/>
    <hyperlink r:id="rId1758" ref="B587"/>
    <hyperlink r:id="rId1759" ref="E587"/>
    <hyperlink r:id="rId1760" ref="O587"/>
    <hyperlink r:id="rId1761" ref="B588"/>
    <hyperlink r:id="rId1762" ref="E588"/>
    <hyperlink r:id="rId1763" ref="O588"/>
    <hyperlink r:id="rId1764" ref="B589"/>
    <hyperlink r:id="rId1765" ref="E589"/>
    <hyperlink r:id="rId1766" ref="O589"/>
    <hyperlink r:id="rId1767" ref="B590"/>
    <hyperlink r:id="rId1768" ref="E590"/>
    <hyperlink r:id="rId1769" ref="O590"/>
    <hyperlink r:id="rId1770" ref="B591"/>
    <hyperlink r:id="rId1771" ref="E591"/>
    <hyperlink r:id="rId1772" ref="O591"/>
    <hyperlink r:id="rId1773" ref="B592"/>
    <hyperlink r:id="rId1774" ref="E592"/>
    <hyperlink r:id="rId1775" ref="O592"/>
    <hyperlink r:id="rId1776" ref="B593"/>
    <hyperlink r:id="rId1777" ref="E593"/>
    <hyperlink r:id="rId1778" ref="O593"/>
    <hyperlink r:id="rId1779" ref="B594"/>
    <hyperlink r:id="rId1780" ref="E594"/>
    <hyperlink r:id="rId1781" ref="O594"/>
    <hyperlink r:id="rId1782" ref="B595"/>
    <hyperlink r:id="rId1783" ref="E595"/>
    <hyperlink r:id="rId1784" ref="O595"/>
    <hyperlink r:id="rId1785" ref="B596"/>
    <hyperlink r:id="rId1786" ref="E596"/>
    <hyperlink r:id="rId1787" ref="O596"/>
    <hyperlink r:id="rId1788" ref="B597"/>
    <hyperlink r:id="rId1789" ref="E597"/>
    <hyperlink r:id="rId1790" ref="O597"/>
    <hyperlink r:id="rId1791" ref="B598"/>
    <hyperlink r:id="rId1792" ref="E598"/>
    <hyperlink r:id="rId1793" ref="O598"/>
    <hyperlink r:id="rId1794" ref="B599"/>
    <hyperlink r:id="rId1795" ref="E599"/>
    <hyperlink r:id="rId1796" ref="O599"/>
    <hyperlink r:id="rId1797" ref="B600"/>
    <hyperlink r:id="rId1798" ref="E600"/>
    <hyperlink r:id="rId1799" ref="O600"/>
    <hyperlink r:id="rId1800" ref="B601"/>
    <hyperlink r:id="rId1801" ref="E601"/>
    <hyperlink r:id="rId1802" ref="O601"/>
    <hyperlink r:id="rId1803" ref="B602"/>
    <hyperlink r:id="rId1804" ref="E602"/>
    <hyperlink r:id="rId1805" ref="O602"/>
    <hyperlink r:id="rId1806" ref="B603"/>
    <hyperlink r:id="rId1807" ref="E603"/>
    <hyperlink r:id="rId1808" ref="O603"/>
    <hyperlink r:id="rId1809" ref="B604"/>
    <hyperlink r:id="rId1810" ref="E604"/>
    <hyperlink r:id="rId1811" ref="O604"/>
    <hyperlink r:id="rId1812" ref="B605"/>
    <hyperlink r:id="rId1813" ref="E605"/>
    <hyperlink r:id="rId1814" ref="O605"/>
    <hyperlink r:id="rId1815" ref="B606"/>
    <hyperlink r:id="rId1816" ref="E606"/>
    <hyperlink r:id="rId1817" ref="O606"/>
    <hyperlink r:id="rId1818" ref="B607"/>
    <hyperlink r:id="rId1819" ref="E607"/>
    <hyperlink r:id="rId1820" ref="O607"/>
    <hyperlink r:id="rId1821" ref="B608"/>
    <hyperlink r:id="rId1822" ref="E608"/>
    <hyperlink r:id="rId1823" ref="O608"/>
    <hyperlink r:id="rId1824" ref="B609"/>
    <hyperlink r:id="rId1825" ref="E609"/>
    <hyperlink r:id="rId1826" ref="O609"/>
    <hyperlink r:id="rId1827" ref="B610"/>
    <hyperlink r:id="rId1828" ref="E610"/>
    <hyperlink r:id="rId1829" ref="O610"/>
    <hyperlink r:id="rId1830" ref="B611"/>
    <hyperlink r:id="rId1831" ref="E611"/>
    <hyperlink r:id="rId1832" ref="O611"/>
    <hyperlink r:id="rId1833" ref="B612"/>
    <hyperlink r:id="rId1834" ref="E612"/>
    <hyperlink r:id="rId1835" ref="O612"/>
    <hyperlink r:id="rId1836" ref="B613"/>
    <hyperlink r:id="rId1837" ref="E613"/>
    <hyperlink r:id="rId1838" ref="O613"/>
    <hyperlink r:id="rId1839" ref="B614"/>
    <hyperlink r:id="rId1840" ref="E614"/>
    <hyperlink r:id="rId1841" ref="O614"/>
    <hyperlink r:id="rId1842" ref="B615"/>
    <hyperlink r:id="rId1843" ref="E615"/>
    <hyperlink r:id="rId1844" ref="O615"/>
    <hyperlink r:id="rId1845" ref="B616"/>
    <hyperlink r:id="rId1846" ref="E616"/>
    <hyperlink r:id="rId1847" ref="O616"/>
    <hyperlink r:id="rId1848" ref="B617"/>
    <hyperlink r:id="rId1849" ref="E617"/>
    <hyperlink r:id="rId1850" ref="O617"/>
    <hyperlink r:id="rId1851" ref="B618"/>
    <hyperlink r:id="rId1852" ref="E618"/>
    <hyperlink r:id="rId1853" ref="O618"/>
    <hyperlink r:id="rId1854" ref="B619"/>
    <hyperlink r:id="rId1855" ref="E619"/>
    <hyperlink r:id="rId1856" ref="O619"/>
    <hyperlink r:id="rId1857" ref="B620"/>
    <hyperlink r:id="rId1858" ref="E620"/>
    <hyperlink r:id="rId1859" ref="O620"/>
    <hyperlink r:id="rId1860" ref="B621"/>
    <hyperlink r:id="rId1861" ref="E621"/>
    <hyperlink r:id="rId1862" ref="O621"/>
    <hyperlink r:id="rId1863" ref="B622"/>
    <hyperlink r:id="rId1864" ref="E622"/>
    <hyperlink r:id="rId1865" ref="O622"/>
    <hyperlink r:id="rId1866" ref="B623"/>
    <hyperlink r:id="rId1867" ref="E623"/>
    <hyperlink r:id="rId1868" ref="O623"/>
    <hyperlink r:id="rId1869" ref="B624"/>
    <hyperlink r:id="rId1870" ref="E624"/>
    <hyperlink r:id="rId1871" ref="O624"/>
    <hyperlink r:id="rId1872" ref="B625"/>
    <hyperlink r:id="rId1873" ref="E625"/>
    <hyperlink r:id="rId1874" ref="O625"/>
    <hyperlink r:id="rId1875" ref="B626"/>
    <hyperlink r:id="rId1876" ref="E626"/>
    <hyperlink r:id="rId1877" ref="O626"/>
    <hyperlink r:id="rId1878" ref="B627"/>
    <hyperlink r:id="rId1879" ref="E627"/>
    <hyperlink r:id="rId1880" ref="O627"/>
    <hyperlink r:id="rId1881" ref="B628"/>
    <hyperlink r:id="rId1882" ref="E628"/>
    <hyperlink r:id="rId1883" ref="O628"/>
    <hyperlink r:id="rId1884" ref="B629"/>
    <hyperlink r:id="rId1885" ref="E629"/>
    <hyperlink r:id="rId1886" ref="O629"/>
    <hyperlink r:id="rId1887" ref="B630"/>
    <hyperlink r:id="rId1888" ref="E630"/>
    <hyperlink r:id="rId1889" ref="O630"/>
    <hyperlink r:id="rId1890" ref="B631"/>
    <hyperlink r:id="rId1891" ref="E631"/>
    <hyperlink r:id="rId1892" ref="O631"/>
    <hyperlink r:id="rId1893" ref="B632"/>
    <hyperlink r:id="rId1894" ref="E632"/>
    <hyperlink r:id="rId1895" ref="O632"/>
    <hyperlink r:id="rId1896" ref="B633"/>
    <hyperlink r:id="rId1897" ref="E633"/>
    <hyperlink r:id="rId1898" ref="O633"/>
    <hyperlink r:id="rId1899" ref="B634"/>
    <hyperlink r:id="rId1900" ref="E634"/>
    <hyperlink r:id="rId1901" ref="O634"/>
    <hyperlink r:id="rId1902" ref="B635"/>
    <hyperlink r:id="rId1903" ref="E635"/>
    <hyperlink r:id="rId1904" ref="O635"/>
    <hyperlink r:id="rId1905" ref="B636"/>
    <hyperlink r:id="rId1906" ref="E636"/>
    <hyperlink r:id="rId1907" ref="O636"/>
    <hyperlink r:id="rId1908" ref="B637"/>
    <hyperlink r:id="rId1909" ref="E637"/>
    <hyperlink r:id="rId1910" ref="O637"/>
    <hyperlink r:id="rId1911" ref="B638"/>
    <hyperlink r:id="rId1912" ref="E638"/>
    <hyperlink r:id="rId1913" ref="O638"/>
    <hyperlink r:id="rId1914" ref="B639"/>
    <hyperlink r:id="rId1915" ref="E639"/>
    <hyperlink r:id="rId1916" ref="O639"/>
    <hyperlink r:id="rId1917" ref="B640"/>
    <hyperlink r:id="rId1918" ref="E640"/>
    <hyperlink r:id="rId1919" ref="O640"/>
    <hyperlink r:id="rId1920" ref="B641"/>
    <hyperlink r:id="rId1921" ref="E641"/>
    <hyperlink r:id="rId1922" ref="O641"/>
    <hyperlink r:id="rId1923" ref="B642"/>
    <hyperlink r:id="rId1924" ref="E642"/>
    <hyperlink r:id="rId1925" ref="O642"/>
    <hyperlink r:id="rId1926" ref="B643"/>
    <hyperlink r:id="rId1927" ref="E643"/>
    <hyperlink r:id="rId1928" ref="O643"/>
    <hyperlink r:id="rId1929" ref="B644"/>
    <hyperlink r:id="rId1930" ref="E644"/>
    <hyperlink r:id="rId1931" ref="O644"/>
    <hyperlink r:id="rId1932" ref="B645"/>
    <hyperlink r:id="rId1933" ref="E645"/>
    <hyperlink r:id="rId1934" ref="O645"/>
    <hyperlink r:id="rId1935" ref="B646"/>
    <hyperlink r:id="rId1936" ref="E646"/>
    <hyperlink r:id="rId1937" ref="O646"/>
    <hyperlink r:id="rId1938" ref="B647"/>
    <hyperlink r:id="rId1939" ref="E647"/>
    <hyperlink r:id="rId1940" ref="O647"/>
    <hyperlink r:id="rId1941" ref="B648"/>
    <hyperlink r:id="rId1942" ref="E648"/>
    <hyperlink r:id="rId1943" ref="O648"/>
    <hyperlink r:id="rId1944" ref="B649"/>
    <hyperlink r:id="rId1945" ref="E649"/>
    <hyperlink r:id="rId1946" ref="O649"/>
    <hyperlink r:id="rId1947" ref="B650"/>
    <hyperlink r:id="rId1948" ref="E650"/>
    <hyperlink r:id="rId1949" ref="O650"/>
    <hyperlink r:id="rId1950" ref="B651"/>
    <hyperlink r:id="rId1951" ref="E651"/>
    <hyperlink r:id="rId1952" ref="O651"/>
    <hyperlink r:id="rId1953" ref="B652"/>
    <hyperlink r:id="rId1954" ref="E652"/>
    <hyperlink r:id="rId1955" ref="O652"/>
    <hyperlink r:id="rId1956" ref="B653"/>
    <hyperlink r:id="rId1957" ref="E653"/>
    <hyperlink r:id="rId1958" ref="O653"/>
    <hyperlink r:id="rId1959" ref="B654"/>
    <hyperlink r:id="rId1960" ref="E654"/>
    <hyperlink r:id="rId1961" ref="O654"/>
    <hyperlink r:id="rId1962" ref="B655"/>
    <hyperlink r:id="rId1963" ref="E655"/>
    <hyperlink r:id="rId1964" ref="O655"/>
    <hyperlink r:id="rId1965" ref="B656"/>
    <hyperlink r:id="rId1966" ref="E656"/>
    <hyperlink r:id="rId1967" ref="O656"/>
    <hyperlink r:id="rId1968" ref="B657"/>
    <hyperlink r:id="rId1969" ref="E657"/>
    <hyperlink r:id="rId1970" ref="O657"/>
    <hyperlink r:id="rId1971" ref="B658"/>
    <hyperlink r:id="rId1972" ref="E658"/>
    <hyperlink r:id="rId1973" ref="O658"/>
    <hyperlink r:id="rId1974" ref="B659"/>
    <hyperlink r:id="rId1975" ref="E659"/>
    <hyperlink r:id="rId1976" ref="O659"/>
    <hyperlink r:id="rId1977" ref="B660"/>
    <hyperlink r:id="rId1978" ref="E660"/>
    <hyperlink r:id="rId1979" ref="O660"/>
    <hyperlink r:id="rId1980" ref="B661"/>
    <hyperlink r:id="rId1981" ref="E661"/>
    <hyperlink r:id="rId1982" ref="O661"/>
    <hyperlink r:id="rId1983" ref="B662"/>
    <hyperlink r:id="rId1984" ref="E662"/>
    <hyperlink r:id="rId1985" ref="O662"/>
    <hyperlink r:id="rId1986" ref="B663"/>
    <hyperlink r:id="rId1987" ref="E663"/>
    <hyperlink r:id="rId1988" ref="O663"/>
    <hyperlink r:id="rId1989" ref="B664"/>
    <hyperlink r:id="rId1990" ref="E664"/>
    <hyperlink r:id="rId1991" ref="O664"/>
    <hyperlink r:id="rId1992" ref="B665"/>
    <hyperlink r:id="rId1993" ref="E665"/>
    <hyperlink r:id="rId1994" ref="O665"/>
    <hyperlink r:id="rId1995" ref="B666"/>
    <hyperlink r:id="rId1996" ref="E666"/>
    <hyperlink r:id="rId1997" ref="O666"/>
    <hyperlink r:id="rId1998" ref="B667"/>
    <hyperlink r:id="rId1999" ref="E667"/>
    <hyperlink r:id="rId2000" ref="O667"/>
    <hyperlink r:id="rId2001" ref="B668"/>
    <hyperlink r:id="rId2002" ref="E668"/>
    <hyperlink r:id="rId2003" ref="O668"/>
    <hyperlink r:id="rId2004" ref="B669"/>
    <hyperlink r:id="rId2005" ref="E669"/>
    <hyperlink r:id="rId2006" ref="O669"/>
    <hyperlink r:id="rId2007" ref="B670"/>
    <hyperlink r:id="rId2008" ref="E670"/>
    <hyperlink r:id="rId2009" ref="O670"/>
    <hyperlink r:id="rId2010" ref="B671"/>
    <hyperlink r:id="rId2011" ref="E671"/>
    <hyperlink r:id="rId2012" ref="O671"/>
    <hyperlink r:id="rId2013" ref="B672"/>
    <hyperlink r:id="rId2014" ref="E672"/>
    <hyperlink r:id="rId2015" ref="O672"/>
    <hyperlink r:id="rId2016" ref="B673"/>
    <hyperlink r:id="rId2017" ref="E673"/>
    <hyperlink r:id="rId2018" ref="O673"/>
    <hyperlink r:id="rId2019" ref="B674"/>
    <hyperlink r:id="rId2020" ref="E674"/>
    <hyperlink r:id="rId2021" ref="O674"/>
    <hyperlink r:id="rId2022" ref="B675"/>
    <hyperlink r:id="rId2023" ref="E675"/>
    <hyperlink r:id="rId2024" ref="O675"/>
    <hyperlink r:id="rId2025" ref="B676"/>
    <hyperlink r:id="rId2026" ref="E676"/>
    <hyperlink r:id="rId2027" ref="O676"/>
    <hyperlink r:id="rId2028" ref="B677"/>
    <hyperlink r:id="rId2029" ref="E677"/>
    <hyperlink r:id="rId2030" ref="O677"/>
    <hyperlink r:id="rId2031" ref="B678"/>
    <hyperlink r:id="rId2032" ref="E678"/>
    <hyperlink r:id="rId2033" ref="O678"/>
    <hyperlink r:id="rId2034" ref="B679"/>
    <hyperlink r:id="rId2035" ref="E679"/>
    <hyperlink r:id="rId2036" ref="O679"/>
    <hyperlink r:id="rId2037" ref="B680"/>
    <hyperlink r:id="rId2038" ref="E680"/>
    <hyperlink r:id="rId2039" ref="O680"/>
    <hyperlink r:id="rId2040" ref="B681"/>
    <hyperlink r:id="rId2041" ref="E681"/>
    <hyperlink r:id="rId2042" ref="O681"/>
    <hyperlink r:id="rId2043" ref="B682"/>
    <hyperlink r:id="rId2044" ref="E682"/>
    <hyperlink r:id="rId2045" ref="O682"/>
    <hyperlink r:id="rId2046" ref="B683"/>
    <hyperlink r:id="rId2047" ref="E683"/>
    <hyperlink r:id="rId2048" ref="O683"/>
    <hyperlink r:id="rId2049" ref="B684"/>
    <hyperlink r:id="rId2050" ref="E684"/>
    <hyperlink r:id="rId2051" ref="O684"/>
    <hyperlink r:id="rId2052" ref="B685"/>
    <hyperlink r:id="rId2053" ref="E685"/>
    <hyperlink r:id="rId2054" ref="O685"/>
    <hyperlink r:id="rId2055" ref="B686"/>
    <hyperlink r:id="rId2056" ref="E686"/>
    <hyperlink r:id="rId2057" ref="O686"/>
    <hyperlink r:id="rId2058" ref="B687"/>
    <hyperlink r:id="rId2059" ref="E687"/>
    <hyperlink r:id="rId2060" ref="O687"/>
    <hyperlink r:id="rId2061" ref="B688"/>
    <hyperlink r:id="rId2062" ref="E688"/>
    <hyperlink r:id="rId2063" ref="O688"/>
    <hyperlink r:id="rId2064" ref="B689"/>
    <hyperlink r:id="rId2065" ref="E689"/>
    <hyperlink r:id="rId2066" ref="O689"/>
    <hyperlink r:id="rId2067" ref="B690"/>
    <hyperlink r:id="rId2068" ref="E690"/>
    <hyperlink r:id="rId2069" ref="O690"/>
    <hyperlink r:id="rId2070" ref="B691"/>
    <hyperlink r:id="rId2071" ref="E691"/>
    <hyperlink r:id="rId2072" ref="O691"/>
    <hyperlink r:id="rId2073" ref="B692"/>
    <hyperlink r:id="rId2074" ref="E692"/>
    <hyperlink r:id="rId2075" ref="O692"/>
    <hyperlink r:id="rId2076" ref="B693"/>
    <hyperlink r:id="rId2077" ref="E693"/>
    <hyperlink r:id="rId2078" ref="O693"/>
    <hyperlink r:id="rId2079" ref="B694"/>
    <hyperlink r:id="rId2080" ref="E694"/>
    <hyperlink r:id="rId2081" ref="O694"/>
    <hyperlink r:id="rId2082" ref="B695"/>
    <hyperlink r:id="rId2083" ref="E695"/>
    <hyperlink r:id="rId2084" ref="O695"/>
    <hyperlink r:id="rId2085" ref="B696"/>
    <hyperlink r:id="rId2086" ref="E696"/>
    <hyperlink r:id="rId2087" ref="O696"/>
    <hyperlink r:id="rId2088" ref="B697"/>
    <hyperlink r:id="rId2089" ref="E697"/>
    <hyperlink r:id="rId2090" ref="O697"/>
    <hyperlink r:id="rId2091" ref="B698"/>
    <hyperlink r:id="rId2092" ref="E698"/>
    <hyperlink r:id="rId2093" ref="O698"/>
    <hyperlink r:id="rId2094" ref="B699"/>
    <hyperlink r:id="rId2095" ref="E699"/>
    <hyperlink r:id="rId2096" ref="O699"/>
    <hyperlink r:id="rId2097" ref="B700"/>
    <hyperlink r:id="rId2098" ref="E700"/>
    <hyperlink r:id="rId2099" ref="O700"/>
    <hyperlink r:id="rId2100" ref="B701"/>
    <hyperlink r:id="rId2101" ref="E701"/>
    <hyperlink r:id="rId2102" ref="O701"/>
    <hyperlink r:id="rId2103" ref="B702"/>
    <hyperlink r:id="rId2104" ref="E702"/>
    <hyperlink r:id="rId2105" ref="O702"/>
    <hyperlink r:id="rId2106" ref="B703"/>
    <hyperlink r:id="rId2107" ref="E703"/>
    <hyperlink r:id="rId2108" ref="O703"/>
    <hyperlink r:id="rId2109" ref="B704"/>
    <hyperlink r:id="rId2110" ref="E704"/>
    <hyperlink r:id="rId2111" ref="O704"/>
    <hyperlink r:id="rId2112" ref="B705"/>
    <hyperlink r:id="rId2113" ref="E705"/>
    <hyperlink r:id="rId2114" ref="O705"/>
    <hyperlink r:id="rId2115" ref="B706"/>
    <hyperlink r:id="rId2116" ref="E706"/>
    <hyperlink r:id="rId2117" ref="O706"/>
    <hyperlink r:id="rId2118" ref="B707"/>
    <hyperlink r:id="rId2119" ref="E707"/>
    <hyperlink r:id="rId2120" ref="O707"/>
    <hyperlink r:id="rId2121" ref="B708"/>
    <hyperlink r:id="rId2122" ref="E708"/>
    <hyperlink r:id="rId2123" ref="O708"/>
    <hyperlink r:id="rId2124" ref="B709"/>
    <hyperlink r:id="rId2125" ref="E709"/>
    <hyperlink r:id="rId2126" ref="O709"/>
    <hyperlink r:id="rId2127" ref="B710"/>
    <hyperlink r:id="rId2128" ref="E710"/>
    <hyperlink r:id="rId2129" ref="O710"/>
    <hyperlink r:id="rId2130" ref="B711"/>
    <hyperlink r:id="rId2131" ref="E711"/>
    <hyperlink r:id="rId2132" ref="O711"/>
    <hyperlink r:id="rId2133" ref="B712"/>
    <hyperlink r:id="rId2134" ref="E712"/>
    <hyperlink r:id="rId2135" ref="O712"/>
    <hyperlink r:id="rId2136" ref="B713"/>
    <hyperlink r:id="rId2137" ref="E713"/>
    <hyperlink r:id="rId2138" ref="O713"/>
    <hyperlink r:id="rId2139" ref="B714"/>
    <hyperlink r:id="rId2140" ref="E714"/>
    <hyperlink r:id="rId2141" ref="O714"/>
    <hyperlink r:id="rId2142" ref="B715"/>
    <hyperlink r:id="rId2143" ref="E715"/>
    <hyperlink r:id="rId2144" ref="O715"/>
    <hyperlink r:id="rId2145" ref="B716"/>
    <hyperlink r:id="rId2146" ref="E716"/>
    <hyperlink r:id="rId2147" ref="O716"/>
    <hyperlink r:id="rId2148" ref="B717"/>
    <hyperlink r:id="rId2149" ref="E717"/>
    <hyperlink r:id="rId2150" ref="O717"/>
    <hyperlink r:id="rId2151" ref="B718"/>
    <hyperlink r:id="rId2152" ref="E718"/>
    <hyperlink r:id="rId2153" ref="O718"/>
    <hyperlink r:id="rId2154" ref="B719"/>
    <hyperlink r:id="rId2155" ref="E719"/>
    <hyperlink r:id="rId2156" ref="O719"/>
    <hyperlink r:id="rId2157" ref="B720"/>
    <hyperlink r:id="rId2158" ref="E720"/>
    <hyperlink r:id="rId2159" ref="O720"/>
    <hyperlink r:id="rId2160" ref="B721"/>
    <hyperlink r:id="rId2161" ref="E721"/>
    <hyperlink r:id="rId2162" ref="O721"/>
    <hyperlink r:id="rId2163" ref="B722"/>
    <hyperlink r:id="rId2164" ref="E722"/>
    <hyperlink r:id="rId2165" ref="O722"/>
    <hyperlink r:id="rId2166" ref="B723"/>
    <hyperlink r:id="rId2167" ref="E723"/>
    <hyperlink r:id="rId2168" ref="O723"/>
    <hyperlink r:id="rId2169" ref="B724"/>
    <hyperlink r:id="rId2170" ref="E724"/>
    <hyperlink r:id="rId2171" ref="O724"/>
    <hyperlink r:id="rId2172" ref="B725"/>
    <hyperlink r:id="rId2173" ref="E725"/>
    <hyperlink r:id="rId2174" ref="O725"/>
    <hyperlink r:id="rId2175" ref="B726"/>
    <hyperlink r:id="rId2176" ref="E726"/>
    <hyperlink r:id="rId2177" ref="O726"/>
    <hyperlink r:id="rId2178" ref="B727"/>
    <hyperlink r:id="rId2179" ref="E727"/>
    <hyperlink r:id="rId2180" ref="O727"/>
    <hyperlink r:id="rId2181" ref="B728"/>
    <hyperlink r:id="rId2182" ref="E728"/>
    <hyperlink r:id="rId2183" ref="O728"/>
    <hyperlink r:id="rId2184" ref="B729"/>
    <hyperlink r:id="rId2185" ref="E729"/>
    <hyperlink r:id="rId2186" ref="O729"/>
    <hyperlink r:id="rId2187" ref="B730"/>
    <hyperlink r:id="rId2188" ref="E730"/>
    <hyperlink r:id="rId2189" ref="O730"/>
    <hyperlink r:id="rId2190" ref="B731"/>
    <hyperlink r:id="rId2191" ref="E731"/>
    <hyperlink r:id="rId2192" ref="O731"/>
    <hyperlink r:id="rId2193" ref="B732"/>
    <hyperlink r:id="rId2194" ref="E732"/>
    <hyperlink r:id="rId2195" ref="O732"/>
    <hyperlink r:id="rId2196" ref="B733"/>
    <hyperlink r:id="rId2197" ref="E733"/>
    <hyperlink r:id="rId2198" ref="O733"/>
    <hyperlink r:id="rId2199" ref="B734"/>
    <hyperlink r:id="rId2200" ref="E734"/>
    <hyperlink r:id="rId2201" ref="O734"/>
    <hyperlink r:id="rId2202" ref="B735"/>
    <hyperlink r:id="rId2203" ref="E735"/>
    <hyperlink r:id="rId2204" ref="O735"/>
    <hyperlink r:id="rId2205" ref="B736"/>
    <hyperlink r:id="rId2206" ref="E736"/>
    <hyperlink r:id="rId2207" ref="O736"/>
    <hyperlink r:id="rId2208" ref="B737"/>
    <hyperlink r:id="rId2209" ref="E737"/>
    <hyperlink r:id="rId2210" ref="O737"/>
    <hyperlink r:id="rId2211" ref="B738"/>
    <hyperlink r:id="rId2212" ref="E738"/>
    <hyperlink r:id="rId2213" ref="O738"/>
    <hyperlink r:id="rId2214" ref="B739"/>
    <hyperlink r:id="rId2215" ref="E739"/>
    <hyperlink r:id="rId2216" ref="O739"/>
    <hyperlink r:id="rId2217" ref="B740"/>
    <hyperlink r:id="rId2218" ref="E740"/>
    <hyperlink r:id="rId2219" ref="O740"/>
    <hyperlink r:id="rId2220" ref="B741"/>
    <hyperlink r:id="rId2221" ref="E741"/>
    <hyperlink r:id="rId2222" ref="O741"/>
    <hyperlink r:id="rId2223" ref="B742"/>
    <hyperlink r:id="rId2224" ref="E742"/>
    <hyperlink r:id="rId2225" ref="O742"/>
    <hyperlink r:id="rId2226" ref="B743"/>
    <hyperlink r:id="rId2227" ref="E743"/>
    <hyperlink r:id="rId2228" ref="O743"/>
    <hyperlink r:id="rId2229" ref="B744"/>
    <hyperlink r:id="rId2230" ref="E744"/>
    <hyperlink r:id="rId2231" ref="O744"/>
    <hyperlink r:id="rId2232" ref="B745"/>
    <hyperlink r:id="rId2233" ref="E745"/>
    <hyperlink r:id="rId2234" ref="O745"/>
    <hyperlink r:id="rId2235" ref="B746"/>
    <hyperlink r:id="rId2236" ref="E746"/>
    <hyperlink r:id="rId2237" ref="O746"/>
    <hyperlink r:id="rId2238" ref="B747"/>
    <hyperlink r:id="rId2239" ref="E747"/>
    <hyperlink r:id="rId2240" ref="O747"/>
    <hyperlink r:id="rId2241" ref="B748"/>
    <hyperlink r:id="rId2242" ref="E748"/>
    <hyperlink r:id="rId2243" ref="O748"/>
    <hyperlink r:id="rId2244" ref="B749"/>
    <hyperlink r:id="rId2245" ref="E749"/>
    <hyperlink r:id="rId2246" ref="O749"/>
    <hyperlink r:id="rId2247" ref="B750"/>
    <hyperlink r:id="rId2248" ref="E750"/>
    <hyperlink r:id="rId2249" ref="O750"/>
    <hyperlink r:id="rId2250" ref="B751"/>
    <hyperlink r:id="rId2251" ref="E751"/>
    <hyperlink r:id="rId2252" ref="O751"/>
    <hyperlink r:id="rId2253" ref="B752"/>
    <hyperlink r:id="rId2254" ref="E752"/>
    <hyperlink r:id="rId2255" ref="O752"/>
    <hyperlink r:id="rId2256" ref="B753"/>
    <hyperlink r:id="rId2257" ref="E753"/>
    <hyperlink r:id="rId2258" ref="O753"/>
    <hyperlink r:id="rId2259" ref="B754"/>
    <hyperlink r:id="rId2260" ref="E754"/>
    <hyperlink r:id="rId2261" ref="O754"/>
    <hyperlink r:id="rId2262" ref="B755"/>
    <hyperlink r:id="rId2263" ref="E755"/>
    <hyperlink r:id="rId2264" ref="O755"/>
    <hyperlink r:id="rId2265" ref="B756"/>
    <hyperlink r:id="rId2266" ref="E756"/>
    <hyperlink r:id="rId2267" ref="O756"/>
    <hyperlink r:id="rId2268" ref="B757"/>
    <hyperlink r:id="rId2269" ref="E757"/>
    <hyperlink r:id="rId2270" ref="O757"/>
    <hyperlink r:id="rId2271" ref="B758"/>
    <hyperlink r:id="rId2272" ref="E758"/>
    <hyperlink r:id="rId2273" ref="O758"/>
    <hyperlink r:id="rId2274" ref="B759"/>
    <hyperlink r:id="rId2275" ref="E759"/>
    <hyperlink r:id="rId2276" ref="O759"/>
    <hyperlink r:id="rId2277" ref="B760"/>
    <hyperlink r:id="rId2278" ref="E760"/>
    <hyperlink r:id="rId2279" ref="O760"/>
    <hyperlink r:id="rId2280" ref="B761"/>
    <hyperlink r:id="rId2281" ref="E761"/>
    <hyperlink r:id="rId2282" ref="O761"/>
    <hyperlink r:id="rId2283" ref="B762"/>
    <hyperlink r:id="rId2284" ref="E762"/>
    <hyperlink r:id="rId2285" ref="O762"/>
    <hyperlink r:id="rId2286" ref="B763"/>
    <hyperlink r:id="rId2287" ref="E763"/>
    <hyperlink r:id="rId2288" ref="O763"/>
    <hyperlink r:id="rId2289" ref="B764"/>
    <hyperlink r:id="rId2290" ref="E764"/>
    <hyperlink r:id="rId2291" ref="O764"/>
    <hyperlink r:id="rId2292" ref="B765"/>
    <hyperlink r:id="rId2293" ref="E765"/>
    <hyperlink r:id="rId2294" ref="O765"/>
    <hyperlink r:id="rId2295" ref="B766"/>
    <hyperlink r:id="rId2296" ref="E766"/>
    <hyperlink r:id="rId2297" ref="O766"/>
    <hyperlink r:id="rId2298" ref="B767"/>
    <hyperlink r:id="rId2299" ref="E767"/>
    <hyperlink r:id="rId2300" ref="O767"/>
    <hyperlink r:id="rId2301" ref="B768"/>
    <hyperlink r:id="rId2302" ref="E768"/>
    <hyperlink r:id="rId2303" ref="O768"/>
    <hyperlink r:id="rId2304" ref="B769"/>
    <hyperlink r:id="rId2305" ref="E769"/>
    <hyperlink r:id="rId2306" ref="O769"/>
    <hyperlink r:id="rId2307" ref="B770"/>
    <hyperlink r:id="rId2308" ref="E770"/>
    <hyperlink r:id="rId2309" ref="O770"/>
    <hyperlink r:id="rId2310" ref="B771"/>
    <hyperlink r:id="rId2311" ref="E771"/>
    <hyperlink r:id="rId2312" ref="O771"/>
    <hyperlink r:id="rId2313" ref="B772"/>
    <hyperlink r:id="rId2314" ref="E772"/>
    <hyperlink r:id="rId2315" ref="O772"/>
    <hyperlink r:id="rId2316" ref="B773"/>
    <hyperlink r:id="rId2317" ref="E773"/>
    <hyperlink r:id="rId2318" ref="O773"/>
    <hyperlink r:id="rId2319" ref="B774"/>
    <hyperlink r:id="rId2320" ref="E774"/>
    <hyperlink r:id="rId2321" ref="O774"/>
    <hyperlink r:id="rId2322" ref="B775"/>
    <hyperlink r:id="rId2323" ref="E775"/>
    <hyperlink r:id="rId2324" ref="O775"/>
    <hyperlink r:id="rId2325" ref="B776"/>
    <hyperlink r:id="rId2326" ref="E776"/>
    <hyperlink r:id="rId2327" ref="O776"/>
    <hyperlink r:id="rId2328" ref="B777"/>
    <hyperlink r:id="rId2329" ref="E777"/>
    <hyperlink r:id="rId2330" ref="O777"/>
    <hyperlink r:id="rId2331" ref="B778"/>
    <hyperlink r:id="rId2332" ref="E778"/>
    <hyperlink r:id="rId2333" ref="O778"/>
    <hyperlink r:id="rId2334" ref="B779"/>
    <hyperlink r:id="rId2335" ref="E779"/>
    <hyperlink r:id="rId2336" ref="O779"/>
    <hyperlink r:id="rId2337" ref="B780"/>
    <hyperlink r:id="rId2338" ref="E780"/>
    <hyperlink r:id="rId2339" ref="O780"/>
    <hyperlink r:id="rId2340" ref="B781"/>
    <hyperlink r:id="rId2341" ref="E781"/>
    <hyperlink r:id="rId2342" ref="O781"/>
    <hyperlink r:id="rId2343" ref="B782"/>
    <hyperlink r:id="rId2344" ref="E782"/>
    <hyperlink r:id="rId2345" ref="O782"/>
    <hyperlink r:id="rId2346" ref="B783"/>
    <hyperlink r:id="rId2347" ref="E783"/>
    <hyperlink r:id="rId2348" ref="O783"/>
    <hyperlink r:id="rId2349" ref="B784"/>
    <hyperlink r:id="rId2350" ref="E784"/>
    <hyperlink r:id="rId2351" ref="O784"/>
    <hyperlink r:id="rId2352" ref="B785"/>
    <hyperlink r:id="rId2353" ref="E785"/>
    <hyperlink r:id="rId2354" ref="O785"/>
    <hyperlink r:id="rId2355" ref="B786"/>
    <hyperlink r:id="rId2356" ref="E786"/>
    <hyperlink r:id="rId2357" ref="O786"/>
    <hyperlink r:id="rId2358" ref="B787"/>
    <hyperlink r:id="rId2359" ref="E787"/>
    <hyperlink r:id="rId2360" ref="O787"/>
    <hyperlink r:id="rId2361" ref="B788"/>
    <hyperlink r:id="rId2362" ref="E788"/>
    <hyperlink r:id="rId2363" ref="O788"/>
    <hyperlink r:id="rId2364" ref="B789"/>
    <hyperlink r:id="rId2365" ref="E789"/>
    <hyperlink r:id="rId2366" ref="O789"/>
    <hyperlink r:id="rId2367" ref="B790"/>
    <hyperlink r:id="rId2368" ref="E790"/>
    <hyperlink r:id="rId2369" ref="F790"/>
    <hyperlink r:id="rId2370" ref="O790"/>
    <hyperlink r:id="rId2371" ref="B791"/>
    <hyperlink r:id="rId2372" ref="E791"/>
    <hyperlink r:id="rId2373" ref="O791"/>
    <hyperlink r:id="rId2374" ref="B792"/>
    <hyperlink r:id="rId2375" ref="E792"/>
    <hyperlink r:id="rId2376" ref="O792"/>
    <hyperlink r:id="rId2377" ref="B793"/>
    <hyperlink r:id="rId2378" ref="E793"/>
    <hyperlink r:id="rId2379" ref="O793"/>
    <hyperlink r:id="rId2380" ref="B794"/>
    <hyperlink r:id="rId2381" ref="E794"/>
    <hyperlink r:id="rId2382" ref="O794"/>
    <hyperlink r:id="rId2383" ref="B795"/>
    <hyperlink r:id="rId2384" ref="E795"/>
    <hyperlink r:id="rId2385" ref="O795"/>
    <hyperlink r:id="rId2386" ref="B796"/>
    <hyperlink r:id="rId2387" ref="E796"/>
    <hyperlink r:id="rId2388" ref="O796"/>
    <hyperlink r:id="rId2389" ref="B797"/>
    <hyperlink r:id="rId2390" ref="E797"/>
    <hyperlink r:id="rId2391" ref="O797"/>
    <hyperlink r:id="rId2392" ref="B798"/>
    <hyperlink r:id="rId2393" ref="E798"/>
    <hyperlink r:id="rId2394" ref="O798"/>
    <hyperlink r:id="rId2395" ref="B799"/>
    <hyperlink r:id="rId2396" ref="E799"/>
    <hyperlink r:id="rId2397" ref="O799"/>
    <hyperlink r:id="rId2398" ref="B800"/>
    <hyperlink r:id="rId2399" ref="E800"/>
    <hyperlink r:id="rId2400" ref="O800"/>
    <hyperlink r:id="rId2401" ref="B801"/>
    <hyperlink r:id="rId2402" ref="E801"/>
    <hyperlink r:id="rId2403" ref="O801"/>
    <hyperlink r:id="rId2404" ref="B802"/>
    <hyperlink r:id="rId2405" ref="E802"/>
    <hyperlink r:id="rId2406" ref="O802"/>
    <hyperlink r:id="rId2407" ref="B803"/>
    <hyperlink r:id="rId2408" ref="E803"/>
    <hyperlink r:id="rId2409" ref="O803"/>
    <hyperlink r:id="rId2410" ref="B804"/>
    <hyperlink r:id="rId2411" ref="E804"/>
    <hyperlink r:id="rId2412" ref="O804"/>
    <hyperlink r:id="rId2413" ref="B805"/>
    <hyperlink r:id="rId2414" ref="E805"/>
    <hyperlink r:id="rId2415" ref="O805"/>
    <hyperlink r:id="rId2416" ref="B806"/>
    <hyperlink r:id="rId2417" ref="E806"/>
    <hyperlink r:id="rId2418" ref="O806"/>
    <hyperlink r:id="rId2419" ref="B807"/>
    <hyperlink r:id="rId2420" ref="E807"/>
    <hyperlink r:id="rId2421" ref="O807"/>
    <hyperlink r:id="rId2422" ref="B808"/>
    <hyperlink r:id="rId2423" ref="E808"/>
    <hyperlink r:id="rId2424" ref="O808"/>
    <hyperlink r:id="rId2425" ref="B809"/>
    <hyperlink r:id="rId2426" ref="E809"/>
    <hyperlink r:id="rId2427" ref="O809"/>
    <hyperlink r:id="rId2428" ref="B810"/>
    <hyperlink r:id="rId2429" ref="E810"/>
    <hyperlink r:id="rId2430" ref="O810"/>
    <hyperlink r:id="rId2431" ref="B811"/>
    <hyperlink r:id="rId2432" ref="E811"/>
    <hyperlink r:id="rId2433" ref="O811"/>
    <hyperlink r:id="rId2434" ref="B812"/>
    <hyperlink r:id="rId2435" ref="E812"/>
    <hyperlink r:id="rId2436" ref="O812"/>
    <hyperlink r:id="rId2437" ref="B813"/>
    <hyperlink r:id="rId2438" ref="E813"/>
    <hyperlink r:id="rId2439" ref="O813"/>
    <hyperlink r:id="rId2440" ref="B814"/>
    <hyperlink r:id="rId2441" ref="E814"/>
    <hyperlink r:id="rId2442" ref="O814"/>
    <hyperlink r:id="rId2443" ref="B815"/>
    <hyperlink r:id="rId2444" ref="E815"/>
    <hyperlink r:id="rId2445" ref="O815"/>
    <hyperlink r:id="rId2446" ref="B816"/>
    <hyperlink r:id="rId2447" ref="E816"/>
    <hyperlink r:id="rId2448" ref="O816"/>
    <hyperlink r:id="rId2449" ref="B817"/>
    <hyperlink r:id="rId2450" ref="E817"/>
    <hyperlink r:id="rId2451" ref="O817"/>
    <hyperlink r:id="rId2452" ref="B818"/>
    <hyperlink r:id="rId2453" ref="E818"/>
    <hyperlink r:id="rId2454" ref="O818"/>
    <hyperlink r:id="rId2455" ref="B819"/>
    <hyperlink r:id="rId2456" ref="E819"/>
    <hyperlink r:id="rId2457" ref="O819"/>
    <hyperlink r:id="rId2458" ref="B820"/>
    <hyperlink r:id="rId2459" ref="E820"/>
    <hyperlink r:id="rId2460" ref="O820"/>
    <hyperlink r:id="rId2461" ref="B821"/>
    <hyperlink r:id="rId2462" ref="E821"/>
    <hyperlink r:id="rId2463" ref="O821"/>
    <hyperlink r:id="rId2464" ref="B822"/>
    <hyperlink r:id="rId2465" ref="E822"/>
    <hyperlink r:id="rId2466" ref="O822"/>
    <hyperlink r:id="rId2467" ref="B823"/>
    <hyperlink r:id="rId2468" ref="E823"/>
    <hyperlink r:id="rId2469" ref="O823"/>
    <hyperlink r:id="rId2470" ref="B824"/>
    <hyperlink r:id="rId2471" ref="E824"/>
    <hyperlink r:id="rId2472" ref="O824"/>
    <hyperlink r:id="rId2473" ref="B825"/>
    <hyperlink r:id="rId2474" ref="E825"/>
    <hyperlink r:id="rId2475" ref="O825"/>
    <hyperlink r:id="rId2476" ref="B826"/>
    <hyperlink r:id="rId2477" ref="E826"/>
    <hyperlink r:id="rId2478" ref="O826"/>
    <hyperlink r:id="rId2479" ref="B827"/>
    <hyperlink r:id="rId2480" ref="E827"/>
    <hyperlink r:id="rId2481" ref="O827"/>
    <hyperlink r:id="rId2482" ref="B828"/>
    <hyperlink r:id="rId2483" ref="E828"/>
    <hyperlink r:id="rId2484" ref="O828"/>
    <hyperlink r:id="rId2485" ref="B829"/>
    <hyperlink r:id="rId2486" ref="E829"/>
    <hyperlink r:id="rId2487" ref="O829"/>
    <hyperlink r:id="rId2488" ref="B830"/>
    <hyperlink r:id="rId2489" ref="E830"/>
    <hyperlink r:id="rId2490" ref="O830"/>
    <hyperlink r:id="rId2491" ref="B831"/>
    <hyperlink r:id="rId2492" ref="E831"/>
    <hyperlink r:id="rId2493" ref="O831"/>
    <hyperlink r:id="rId2494" ref="B832"/>
    <hyperlink r:id="rId2495" ref="E832"/>
    <hyperlink r:id="rId2496" ref="O832"/>
    <hyperlink r:id="rId2497" ref="B833"/>
    <hyperlink r:id="rId2498" ref="E833"/>
    <hyperlink r:id="rId2499" ref="O833"/>
    <hyperlink r:id="rId2500" ref="B834"/>
    <hyperlink r:id="rId2501" ref="E834"/>
    <hyperlink r:id="rId2502" ref="O834"/>
    <hyperlink r:id="rId2503" ref="B835"/>
    <hyperlink r:id="rId2504" ref="E835"/>
    <hyperlink r:id="rId2505" ref="O835"/>
    <hyperlink r:id="rId2506" ref="B836"/>
    <hyperlink r:id="rId2507" ref="E836"/>
    <hyperlink r:id="rId2508" ref="O836"/>
    <hyperlink r:id="rId2509" ref="B837"/>
    <hyperlink r:id="rId2510" ref="E837"/>
    <hyperlink r:id="rId2511" ref="O837"/>
    <hyperlink r:id="rId2512" ref="B838"/>
    <hyperlink r:id="rId2513" ref="E838"/>
    <hyperlink r:id="rId2514" ref="O838"/>
    <hyperlink r:id="rId2515" ref="B839"/>
    <hyperlink r:id="rId2516" ref="E839"/>
    <hyperlink r:id="rId2517" ref="O839"/>
    <hyperlink r:id="rId2518" ref="B840"/>
    <hyperlink r:id="rId2519" ref="E840"/>
    <hyperlink r:id="rId2520" ref="O840"/>
    <hyperlink r:id="rId2521" ref="B841"/>
    <hyperlink r:id="rId2522" ref="E841"/>
    <hyperlink r:id="rId2523" ref="O841"/>
    <hyperlink r:id="rId2524" ref="B842"/>
    <hyperlink r:id="rId2525" ref="E842"/>
    <hyperlink r:id="rId2526" ref="O842"/>
    <hyperlink r:id="rId2527" ref="B843"/>
    <hyperlink r:id="rId2528" ref="E843"/>
    <hyperlink r:id="rId2529" ref="O843"/>
    <hyperlink r:id="rId2530" ref="B844"/>
    <hyperlink r:id="rId2531" ref="E844"/>
    <hyperlink r:id="rId2532" ref="O844"/>
    <hyperlink r:id="rId2533" ref="B845"/>
    <hyperlink r:id="rId2534" ref="E845"/>
    <hyperlink r:id="rId2535" ref="O845"/>
    <hyperlink r:id="rId2536" ref="B846"/>
    <hyperlink r:id="rId2537" ref="E846"/>
    <hyperlink r:id="rId2538" ref="O846"/>
    <hyperlink r:id="rId2539" ref="B847"/>
    <hyperlink r:id="rId2540" ref="E847"/>
    <hyperlink r:id="rId2541" ref="O847"/>
    <hyperlink r:id="rId2542" ref="B848"/>
    <hyperlink r:id="rId2543" ref="E848"/>
    <hyperlink r:id="rId2544" ref="O848"/>
    <hyperlink r:id="rId2545" ref="B849"/>
    <hyperlink r:id="rId2546" ref="E849"/>
    <hyperlink r:id="rId2547" ref="O849"/>
    <hyperlink r:id="rId2548" ref="B850"/>
    <hyperlink r:id="rId2549" ref="E850"/>
    <hyperlink r:id="rId2550" ref="O850"/>
    <hyperlink r:id="rId2551" ref="B851"/>
    <hyperlink r:id="rId2552" ref="E851"/>
    <hyperlink r:id="rId2553" ref="O851"/>
    <hyperlink r:id="rId2554" ref="B852"/>
    <hyperlink r:id="rId2555" ref="E852"/>
    <hyperlink r:id="rId2556" ref="O852"/>
    <hyperlink r:id="rId2557" ref="B853"/>
    <hyperlink r:id="rId2558" ref="E853"/>
    <hyperlink r:id="rId2559" ref="O853"/>
    <hyperlink r:id="rId2560" ref="B854"/>
    <hyperlink r:id="rId2561" ref="E854"/>
    <hyperlink r:id="rId2562" ref="O854"/>
    <hyperlink r:id="rId2563" ref="B855"/>
    <hyperlink r:id="rId2564" ref="E855"/>
    <hyperlink r:id="rId2565" ref="O855"/>
    <hyperlink r:id="rId2566" ref="B856"/>
    <hyperlink r:id="rId2567" ref="E856"/>
    <hyperlink r:id="rId2568" ref="O856"/>
    <hyperlink r:id="rId2569" ref="B857"/>
    <hyperlink r:id="rId2570" ref="E857"/>
    <hyperlink r:id="rId2571" ref="O857"/>
    <hyperlink r:id="rId2572" ref="B858"/>
    <hyperlink r:id="rId2573" ref="E858"/>
    <hyperlink r:id="rId2574" ref="O858"/>
    <hyperlink r:id="rId2575" ref="B859"/>
    <hyperlink r:id="rId2576" ref="E859"/>
    <hyperlink r:id="rId2577" ref="O859"/>
    <hyperlink r:id="rId2578" ref="B860"/>
    <hyperlink r:id="rId2579" ref="E860"/>
    <hyperlink r:id="rId2580" ref="O860"/>
    <hyperlink r:id="rId2581" ref="B861"/>
    <hyperlink r:id="rId2582" ref="E861"/>
    <hyperlink r:id="rId2583" ref="O861"/>
    <hyperlink r:id="rId2584" ref="B862"/>
    <hyperlink r:id="rId2585" ref="E862"/>
    <hyperlink r:id="rId2586" ref="O862"/>
    <hyperlink r:id="rId2587" ref="B863"/>
    <hyperlink r:id="rId2588" ref="E863"/>
    <hyperlink r:id="rId2589" ref="O863"/>
    <hyperlink r:id="rId2590" ref="B864"/>
    <hyperlink r:id="rId2591" ref="E864"/>
    <hyperlink r:id="rId2592" ref="O864"/>
    <hyperlink r:id="rId2593" ref="B865"/>
    <hyperlink r:id="rId2594" ref="E865"/>
    <hyperlink r:id="rId2595" ref="O865"/>
    <hyperlink r:id="rId2596" ref="B866"/>
    <hyperlink r:id="rId2597" ref="E866"/>
    <hyperlink r:id="rId2598" ref="O866"/>
    <hyperlink r:id="rId2599" ref="B867"/>
    <hyperlink r:id="rId2600" ref="E867"/>
    <hyperlink r:id="rId2601" ref="O867"/>
    <hyperlink r:id="rId2602" ref="B868"/>
    <hyperlink r:id="rId2603" ref="E868"/>
    <hyperlink r:id="rId2604" ref="O868"/>
    <hyperlink r:id="rId2605" ref="B869"/>
    <hyperlink r:id="rId2606" ref="E869"/>
    <hyperlink r:id="rId2607" ref="O869"/>
    <hyperlink r:id="rId2608" ref="B870"/>
    <hyperlink r:id="rId2609" ref="E870"/>
    <hyperlink r:id="rId2610" ref="O870"/>
    <hyperlink r:id="rId2611" ref="B871"/>
    <hyperlink r:id="rId2612" ref="E871"/>
    <hyperlink r:id="rId2613" ref="O871"/>
    <hyperlink r:id="rId2614" ref="B872"/>
    <hyperlink r:id="rId2615" ref="E872"/>
    <hyperlink r:id="rId2616" ref="O872"/>
    <hyperlink r:id="rId2617" ref="B873"/>
    <hyperlink r:id="rId2618" ref="E873"/>
    <hyperlink r:id="rId2619" ref="O873"/>
    <hyperlink r:id="rId2620" ref="B874"/>
    <hyperlink r:id="rId2621" ref="E874"/>
    <hyperlink r:id="rId2622" ref="O874"/>
    <hyperlink r:id="rId2623" ref="B875"/>
    <hyperlink r:id="rId2624" ref="E875"/>
    <hyperlink r:id="rId2625" ref="O875"/>
    <hyperlink r:id="rId2626" ref="B876"/>
    <hyperlink r:id="rId2627" ref="E876"/>
    <hyperlink r:id="rId2628" ref="O876"/>
    <hyperlink r:id="rId2629" ref="B877"/>
    <hyperlink r:id="rId2630" ref="E877"/>
    <hyperlink r:id="rId2631" ref="O877"/>
    <hyperlink r:id="rId2632" ref="B878"/>
    <hyperlink r:id="rId2633" ref="E878"/>
    <hyperlink r:id="rId2634" ref="O878"/>
    <hyperlink r:id="rId2635" ref="B879"/>
    <hyperlink r:id="rId2636" ref="E879"/>
    <hyperlink r:id="rId2637" ref="O879"/>
    <hyperlink r:id="rId2638" ref="B880"/>
    <hyperlink r:id="rId2639" ref="E880"/>
    <hyperlink r:id="rId2640" ref="O880"/>
    <hyperlink r:id="rId2641" ref="B881"/>
    <hyperlink r:id="rId2642" ref="E881"/>
    <hyperlink r:id="rId2643" ref="O881"/>
    <hyperlink r:id="rId2644" ref="B882"/>
    <hyperlink r:id="rId2645" ref="E882"/>
    <hyperlink r:id="rId2646" ref="O882"/>
    <hyperlink r:id="rId2647" ref="B883"/>
    <hyperlink r:id="rId2648" ref="E883"/>
    <hyperlink r:id="rId2649" ref="O883"/>
    <hyperlink r:id="rId2650" ref="B884"/>
    <hyperlink r:id="rId2651" ref="E884"/>
    <hyperlink r:id="rId2652" ref="O884"/>
    <hyperlink r:id="rId2653" ref="B885"/>
    <hyperlink r:id="rId2654" ref="E885"/>
    <hyperlink r:id="rId2655" ref="O885"/>
    <hyperlink r:id="rId2656" ref="B886"/>
    <hyperlink r:id="rId2657" ref="E886"/>
    <hyperlink r:id="rId2658" ref="O886"/>
    <hyperlink r:id="rId2659" ref="B887"/>
    <hyperlink r:id="rId2660" ref="E887"/>
    <hyperlink r:id="rId2661" ref="O887"/>
    <hyperlink r:id="rId2662" ref="B888"/>
    <hyperlink r:id="rId2663" ref="E888"/>
    <hyperlink r:id="rId2664" ref="O888"/>
    <hyperlink r:id="rId2665" ref="B889"/>
    <hyperlink r:id="rId2666" ref="E889"/>
    <hyperlink r:id="rId2667" ref="O889"/>
    <hyperlink r:id="rId2668" ref="B890"/>
    <hyperlink r:id="rId2669" ref="E890"/>
    <hyperlink r:id="rId2670" ref="O890"/>
    <hyperlink r:id="rId2671" ref="B891"/>
    <hyperlink r:id="rId2672" ref="E891"/>
    <hyperlink r:id="rId2673" ref="O891"/>
    <hyperlink r:id="rId2674" ref="B892"/>
    <hyperlink r:id="rId2675" ref="E892"/>
    <hyperlink r:id="rId2676" ref="O892"/>
    <hyperlink r:id="rId2677" ref="B893"/>
    <hyperlink r:id="rId2678" ref="E893"/>
    <hyperlink r:id="rId2679" ref="O893"/>
    <hyperlink r:id="rId2680" ref="B894"/>
    <hyperlink r:id="rId2681" ref="E894"/>
    <hyperlink r:id="rId2682" ref="O894"/>
    <hyperlink r:id="rId2683" ref="B895"/>
    <hyperlink r:id="rId2684" ref="E895"/>
    <hyperlink r:id="rId2685" ref="O895"/>
    <hyperlink r:id="rId2686" ref="B896"/>
    <hyperlink r:id="rId2687" ref="E896"/>
    <hyperlink r:id="rId2688" ref="O896"/>
    <hyperlink r:id="rId2689" ref="B897"/>
    <hyperlink r:id="rId2690" ref="E897"/>
    <hyperlink r:id="rId2691" ref="O897"/>
    <hyperlink r:id="rId2692" ref="B898"/>
    <hyperlink r:id="rId2693" ref="E898"/>
    <hyperlink r:id="rId2694" ref="O898"/>
    <hyperlink r:id="rId2695" ref="B899"/>
    <hyperlink r:id="rId2696" ref="E899"/>
    <hyperlink r:id="rId2697" ref="O899"/>
    <hyperlink r:id="rId2698" ref="B900"/>
    <hyperlink r:id="rId2699" ref="E900"/>
    <hyperlink r:id="rId2700" ref="O900"/>
    <hyperlink r:id="rId2701" ref="B901"/>
    <hyperlink r:id="rId2702" ref="E901"/>
    <hyperlink r:id="rId2703" ref="O901"/>
    <hyperlink r:id="rId2704" ref="B902"/>
    <hyperlink r:id="rId2705" ref="E902"/>
    <hyperlink r:id="rId2706" ref="O902"/>
    <hyperlink r:id="rId2707" ref="B903"/>
    <hyperlink r:id="rId2708" ref="E903"/>
    <hyperlink r:id="rId2709" ref="O903"/>
    <hyperlink r:id="rId2710" ref="B904"/>
    <hyperlink r:id="rId2711" ref="E904"/>
    <hyperlink r:id="rId2712" ref="O904"/>
    <hyperlink r:id="rId2713" ref="B905"/>
    <hyperlink r:id="rId2714" ref="E905"/>
    <hyperlink r:id="rId2715" ref="O905"/>
    <hyperlink r:id="rId2716" ref="B906"/>
    <hyperlink r:id="rId2717" ref="E906"/>
    <hyperlink r:id="rId2718" ref="O906"/>
    <hyperlink r:id="rId2719" ref="B907"/>
    <hyperlink r:id="rId2720" ref="E907"/>
    <hyperlink r:id="rId2721" ref="O907"/>
    <hyperlink r:id="rId2722" ref="B908"/>
    <hyperlink r:id="rId2723" ref="E908"/>
    <hyperlink r:id="rId2724" ref="O908"/>
    <hyperlink r:id="rId2725" ref="B909"/>
    <hyperlink r:id="rId2726" ref="E909"/>
    <hyperlink r:id="rId2727" ref="O909"/>
    <hyperlink r:id="rId2728" ref="B910"/>
    <hyperlink r:id="rId2729" ref="E910"/>
    <hyperlink r:id="rId2730" ref="O910"/>
    <hyperlink r:id="rId2731" ref="B911"/>
    <hyperlink r:id="rId2732" ref="E911"/>
    <hyperlink r:id="rId2733" ref="O911"/>
    <hyperlink r:id="rId2734" ref="B912"/>
    <hyperlink r:id="rId2735" ref="E912"/>
    <hyperlink r:id="rId2736" ref="O912"/>
    <hyperlink r:id="rId2737" ref="B913"/>
    <hyperlink r:id="rId2738" ref="E913"/>
    <hyperlink r:id="rId2739" ref="O913"/>
    <hyperlink r:id="rId2740" ref="B914"/>
    <hyperlink r:id="rId2741" ref="E914"/>
    <hyperlink r:id="rId2742" ref="O914"/>
    <hyperlink r:id="rId2743" ref="B915"/>
    <hyperlink r:id="rId2744" ref="E915"/>
    <hyperlink r:id="rId2745" ref="O915"/>
    <hyperlink r:id="rId2746" ref="B916"/>
    <hyperlink r:id="rId2747" ref="E916"/>
    <hyperlink r:id="rId2748" ref="O916"/>
    <hyperlink r:id="rId2749" ref="B917"/>
    <hyperlink r:id="rId2750" ref="E917"/>
    <hyperlink r:id="rId2751" ref="O917"/>
    <hyperlink r:id="rId2752" ref="B918"/>
    <hyperlink r:id="rId2753" ref="E918"/>
    <hyperlink r:id="rId2754" ref="O918"/>
    <hyperlink r:id="rId2755" ref="B919"/>
    <hyperlink r:id="rId2756" ref="E919"/>
    <hyperlink r:id="rId2757" ref="O919"/>
    <hyperlink r:id="rId2758" ref="B920"/>
    <hyperlink r:id="rId2759" ref="E920"/>
    <hyperlink r:id="rId2760" ref="O920"/>
    <hyperlink r:id="rId2761" ref="B921"/>
    <hyperlink r:id="rId2762" ref="E921"/>
    <hyperlink r:id="rId2763" ref="O921"/>
    <hyperlink r:id="rId2764" ref="B922"/>
    <hyperlink r:id="rId2765" ref="E922"/>
    <hyperlink r:id="rId2766" ref="O922"/>
    <hyperlink r:id="rId2767" ref="B923"/>
    <hyperlink r:id="rId2768" ref="E923"/>
    <hyperlink r:id="rId2769" ref="O923"/>
    <hyperlink r:id="rId2770" ref="B924"/>
    <hyperlink r:id="rId2771" ref="E924"/>
    <hyperlink r:id="rId2772" ref="O924"/>
    <hyperlink r:id="rId2773" ref="B925"/>
    <hyperlink r:id="rId2774" ref="E925"/>
    <hyperlink r:id="rId2775" ref="O925"/>
    <hyperlink r:id="rId2776" ref="B926"/>
    <hyperlink r:id="rId2777" ref="E926"/>
    <hyperlink r:id="rId2778" ref="O926"/>
    <hyperlink r:id="rId2779" ref="B927"/>
    <hyperlink r:id="rId2780" ref="E927"/>
    <hyperlink r:id="rId2781" ref="O927"/>
    <hyperlink r:id="rId2782" ref="B928"/>
    <hyperlink r:id="rId2783" ref="E928"/>
    <hyperlink r:id="rId2784" ref="O928"/>
    <hyperlink r:id="rId2785" ref="B929"/>
    <hyperlink r:id="rId2786" ref="E929"/>
    <hyperlink r:id="rId2787" ref="O929"/>
    <hyperlink r:id="rId2788" ref="B930"/>
    <hyperlink r:id="rId2789" ref="E930"/>
    <hyperlink r:id="rId2790" ref="O930"/>
    <hyperlink r:id="rId2791" ref="B931"/>
    <hyperlink r:id="rId2792" ref="E931"/>
    <hyperlink r:id="rId2793" ref="O931"/>
    <hyperlink r:id="rId2794" ref="B932"/>
    <hyperlink r:id="rId2795" ref="E932"/>
    <hyperlink r:id="rId2796" ref="O932"/>
    <hyperlink r:id="rId2797" ref="B933"/>
    <hyperlink r:id="rId2798" ref="E933"/>
    <hyperlink r:id="rId2799" ref="O933"/>
    <hyperlink r:id="rId2800" ref="B934"/>
    <hyperlink r:id="rId2801" ref="E934"/>
    <hyperlink r:id="rId2802" ref="O934"/>
    <hyperlink r:id="rId2803" ref="B935"/>
    <hyperlink r:id="rId2804" ref="E935"/>
    <hyperlink r:id="rId2805" ref="O935"/>
    <hyperlink r:id="rId2806" ref="B936"/>
    <hyperlink r:id="rId2807" ref="E936"/>
    <hyperlink r:id="rId2808" ref="O936"/>
    <hyperlink r:id="rId2809" ref="B937"/>
    <hyperlink r:id="rId2810" ref="E937"/>
    <hyperlink r:id="rId2811" ref="O937"/>
    <hyperlink r:id="rId2812" ref="B938"/>
    <hyperlink r:id="rId2813" ref="E938"/>
    <hyperlink r:id="rId2814" ref="O938"/>
    <hyperlink r:id="rId2815" ref="B939"/>
    <hyperlink r:id="rId2816" ref="E939"/>
    <hyperlink r:id="rId2817" ref="O939"/>
    <hyperlink r:id="rId2818" ref="B940"/>
    <hyperlink r:id="rId2819" ref="E940"/>
    <hyperlink r:id="rId2820" ref="O940"/>
    <hyperlink r:id="rId2821" ref="B941"/>
    <hyperlink r:id="rId2822" ref="E941"/>
    <hyperlink r:id="rId2823" ref="O941"/>
    <hyperlink r:id="rId2824" ref="B942"/>
    <hyperlink r:id="rId2825" ref="E942"/>
    <hyperlink r:id="rId2826" ref="O942"/>
    <hyperlink r:id="rId2827" ref="B943"/>
    <hyperlink r:id="rId2828" ref="E943"/>
    <hyperlink r:id="rId2829" ref="O943"/>
    <hyperlink r:id="rId2830" ref="B944"/>
    <hyperlink r:id="rId2831" ref="E944"/>
    <hyperlink r:id="rId2832" ref="O944"/>
    <hyperlink r:id="rId2833" ref="B945"/>
    <hyperlink r:id="rId2834" ref="E945"/>
    <hyperlink r:id="rId2835" ref="O945"/>
    <hyperlink r:id="rId2836" ref="B946"/>
    <hyperlink r:id="rId2837" ref="E946"/>
    <hyperlink r:id="rId2838" ref="O946"/>
    <hyperlink r:id="rId2839" ref="B947"/>
    <hyperlink r:id="rId2840" ref="E947"/>
    <hyperlink r:id="rId2841" ref="O947"/>
    <hyperlink r:id="rId2842" ref="B948"/>
    <hyperlink r:id="rId2843" ref="E948"/>
    <hyperlink r:id="rId2844" ref="O948"/>
    <hyperlink r:id="rId2845" ref="B949"/>
    <hyperlink r:id="rId2846" ref="E949"/>
    <hyperlink r:id="rId2847" ref="O949"/>
    <hyperlink r:id="rId2848" ref="B950"/>
    <hyperlink r:id="rId2849" ref="E950"/>
    <hyperlink r:id="rId2850" ref="O950"/>
    <hyperlink r:id="rId2851" ref="B951"/>
    <hyperlink r:id="rId2852" ref="E951"/>
    <hyperlink r:id="rId2853" ref="O951"/>
    <hyperlink r:id="rId2854" ref="B952"/>
    <hyperlink r:id="rId2855" ref="E952"/>
    <hyperlink r:id="rId2856" ref="O952"/>
    <hyperlink r:id="rId2857" ref="B953"/>
    <hyperlink r:id="rId2858" ref="E953"/>
    <hyperlink r:id="rId2859" ref="O953"/>
    <hyperlink r:id="rId2860" ref="B954"/>
    <hyperlink r:id="rId2861" ref="E954"/>
    <hyperlink r:id="rId2862" ref="O954"/>
    <hyperlink r:id="rId2863" ref="B955"/>
    <hyperlink r:id="rId2864" ref="E955"/>
    <hyperlink r:id="rId2865" ref="O955"/>
    <hyperlink r:id="rId2866" ref="B956"/>
    <hyperlink r:id="rId2867" ref="E956"/>
    <hyperlink r:id="rId2868" ref="O956"/>
    <hyperlink r:id="rId2869" ref="B957"/>
    <hyperlink r:id="rId2870" ref="E957"/>
    <hyperlink r:id="rId2871" ref="O957"/>
    <hyperlink r:id="rId2872" ref="B958"/>
    <hyperlink r:id="rId2873" ref="E958"/>
    <hyperlink r:id="rId2874" ref="O958"/>
    <hyperlink r:id="rId2875" ref="B959"/>
    <hyperlink r:id="rId2876" ref="E959"/>
    <hyperlink r:id="rId2877" ref="O959"/>
    <hyperlink r:id="rId2878" ref="B960"/>
    <hyperlink r:id="rId2879" ref="E960"/>
    <hyperlink r:id="rId2880" ref="O960"/>
    <hyperlink r:id="rId2881" ref="B961"/>
    <hyperlink r:id="rId2882" ref="E961"/>
    <hyperlink r:id="rId2883" ref="O961"/>
    <hyperlink r:id="rId2884" ref="B962"/>
    <hyperlink r:id="rId2885" ref="E962"/>
    <hyperlink r:id="rId2886" ref="O962"/>
    <hyperlink r:id="rId2887" ref="B963"/>
    <hyperlink r:id="rId2888" ref="E963"/>
    <hyperlink r:id="rId2889" ref="O963"/>
    <hyperlink r:id="rId2890" ref="B964"/>
    <hyperlink r:id="rId2891" ref="E964"/>
    <hyperlink r:id="rId2892" ref="O964"/>
    <hyperlink r:id="rId2893" ref="B965"/>
    <hyperlink r:id="rId2894" ref="E965"/>
    <hyperlink r:id="rId2895" ref="O965"/>
    <hyperlink r:id="rId2896" ref="B966"/>
    <hyperlink r:id="rId2897" ref="E966"/>
    <hyperlink r:id="rId2898" ref="O966"/>
    <hyperlink r:id="rId2899" ref="B967"/>
    <hyperlink r:id="rId2900" ref="E967"/>
    <hyperlink r:id="rId2901" ref="O967"/>
    <hyperlink r:id="rId2902" ref="B968"/>
    <hyperlink r:id="rId2903" ref="E968"/>
    <hyperlink r:id="rId2904" ref="O968"/>
    <hyperlink r:id="rId2905" ref="B969"/>
    <hyperlink r:id="rId2906" ref="E969"/>
    <hyperlink r:id="rId2907" ref="O969"/>
    <hyperlink r:id="rId2908" ref="B970"/>
    <hyperlink r:id="rId2909" ref="E970"/>
    <hyperlink r:id="rId2910" ref="O970"/>
    <hyperlink r:id="rId2911" ref="B971"/>
    <hyperlink r:id="rId2912" ref="E971"/>
    <hyperlink r:id="rId2913" ref="O971"/>
    <hyperlink r:id="rId2914" ref="B972"/>
    <hyperlink r:id="rId2915" ref="E972"/>
    <hyperlink r:id="rId2916" ref="O972"/>
    <hyperlink r:id="rId2917" ref="B973"/>
    <hyperlink r:id="rId2918" ref="E973"/>
    <hyperlink r:id="rId2919" ref="O973"/>
    <hyperlink r:id="rId2920" ref="B974"/>
    <hyperlink r:id="rId2921" ref="E974"/>
    <hyperlink r:id="rId2922" ref="O974"/>
    <hyperlink r:id="rId2923" ref="B975"/>
    <hyperlink r:id="rId2924" ref="E975"/>
    <hyperlink r:id="rId2925" ref="O975"/>
    <hyperlink r:id="rId2926" ref="B976"/>
    <hyperlink r:id="rId2927" ref="E976"/>
    <hyperlink r:id="rId2928" ref="O976"/>
    <hyperlink r:id="rId2929" ref="B977"/>
    <hyperlink r:id="rId2930" ref="E977"/>
    <hyperlink r:id="rId2931" ref="O977"/>
    <hyperlink r:id="rId2932" ref="B978"/>
    <hyperlink r:id="rId2933" ref="E978"/>
    <hyperlink r:id="rId2934" ref="O978"/>
    <hyperlink r:id="rId2935" ref="B979"/>
    <hyperlink r:id="rId2936" ref="E979"/>
    <hyperlink r:id="rId2937" ref="O979"/>
    <hyperlink r:id="rId2938" ref="B980"/>
    <hyperlink r:id="rId2939" ref="E980"/>
    <hyperlink r:id="rId2940" ref="O980"/>
    <hyperlink r:id="rId2941" ref="B981"/>
    <hyperlink r:id="rId2942" ref="E981"/>
    <hyperlink r:id="rId2943" ref="O981"/>
    <hyperlink r:id="rId2944" ref="B982"/>
    <hyperlink r:id="rId2945" ref="E982"/>
    <hyperlink r:id="rId2946" ref="O982"/>
    <hyperlink r:id="rId2947" ref="B983"/>
    <hyperlink r:id="rId2948" ref="E983"/>
    <hyperlink r:id="rId2949" ref="O983"/>
    <hyperlink r:id="rId2950" ref="B984"/>
    <hyperlink r:id="rId2951" ref="E984"/>
    <hyperlink r:id="rId2952" ref="O984"/>
    <hyperlink r:id="rId2953" ref="B985"/>
    <hyperlink r:id="rId2954" ref="E985"/>
    <hyperlink r:id="rId2955" ref="O985"/>
    <hyperlink r:id="rId2956" ref="B986"/>
    <hyperlink r:id="rId2957" ref="E986"/>
    <hyperlink r:id="rId2958" ref="O986"/>
    <hyperlink r:id="rId2959" ref="B987"/>
    <hyperlink r:id="rId2960" ref="E987"/>
    <hyperlink r:id="rId2961" ref="O987"/>
    <hyperlink r:id="rId2962" ref="B988"/>
    <hyperlink r:id="rId2963" ref="E988"/>
    <hyperlink r:id="rId2964" ref="O988"/>
    <hyperlink r:id="rId2965" ref="B989"/>
    <hyperlink r:id="rId2966" ref="E989"/>
    <hyperlink r:id="rId2967" ref="O989"/>
    <hyperlink r:id="rId2968" ref="B990"/>
    <hyperlink r:id="rId2969" ref="E990"/>
    <hyperlink r:id="rId2970" ref="O990"/>
    <hyperlink r:id="rId2971" ref="B991"/>
    <hyperlink r:id="rId2972" ref="E991"/>
    <hyperlink r:id="rId2973" ref="O991"/>
    <hyperlink r:id="rId2974" ref="B992"/>
    <hyperlink r:id="rId2975" ref="E992"/>
    <hyperlink r:id="rId2976" ref="O992"/>
    <hyperlink r:id="rId2977" ref="B993"/>
    <hyperlink r:id="rId2978" ref="E993"/>
    <hyperlink r:id="rId2979" ref="O993"/>
    <hyperlink r:id="rId2980" ref="B994"/>
    <hyperlink r:id="rId2981" ref="E994"/>
    <hyperlink r:id="rId2982" ref="O994"/>
    <hyperlink r:id="rId2983" ref="B995"/>
    <hyperlink r:id="rId2984" ref="E995"/>
    <hyperlink r:id="rId2985" ref="O995"/>
    <hyperlink r:id="rId2986" ref="B996"/>
    <hyperlink r:id="rId2987" ref="E996"/>
    <hyperlink r:id="rId2988" ref="O996"/>
    <hyperlink r:id="rId2989" ref="B997"/>
    <hyperlink r:id="rId2990" ref="E997"/>
    <hyperlink r:id="rId2991" ref="O997"/>
    <hyperlink r:id="rId2992" ref="B998"/>
    <hyperlink r:id="rId2993" ref="E998"/>
    <hyperlink r:id="rId2994" ref="O998"/>
    <hyperlink r:id="rId2995" ref="B999"/>
    <hyperlink r:id="rId2996" ref="E999"/>
    <hyperlink r:id="rId2997" ref="O999"/>
    <hyperlink r:id="rId2998" ref="B1000"/>
    <hyperlink r:id="rId2999" ref="E1000"/>
    <hyperlink r:id="rId3000" ref="O1000"/>
    <hyperlink r:id="rId3001" ref="B1001"/>
    <hyperlink r:id="rId3002" ref="E1001"/>
    <hyperlink r:id="rId3003" ref="O1001"/>
    <hyperlink r:id="rId3004" ref="B1002"/>
    <hyperlink r:id="rId3005" ref="E1002"/>
    <hyperlink r:id="rId3006" ref="O1002"/>
    <hyperlink r:id="rId3007" ref="B1003"/>
    <hyperlink r:id="rId3008" ref="E1003"/>
    <hyperlink r:id="rId3009" ref="O1003"/>
    <hyperlink r:id="rId3010" ref="B1004"/>
    <hyperlink r:id="rId3011" ref="E1004"/>
    <hyperlink r:id="rId3012" ref="O1004"/>
    <hyperlink r:id="rId3013" ref="B1005"/>
    <hyperlink r:id="rId3014" ref="E1005"/>
    <hyperlink r:id="rId3015" ref="O1005"/>
    <hyperlink r:id="rId3016" ref="B1006"/>
    <hyperlink r:id="rId3017" ref="E1006"/>
    <hyperlink r:id="rId3018" ref="O1006"/>
    <hyperlink r:id="rId3019" ref="B1007"/>
    <hyperlink r:id="rId3020" ref="E1007"/>
    <hyperlink r:id="rId3021" ref="O1007"/>
    <hyperlink r:id="rId3022" ref="B1008"/>
    <hyperlink r:id="rId3023" ref="E1008"/>
    <hyperlink r:id="rId3024" ref="O1008"/>
    <hyperlink r:id="rId3025" ref="B1009"/>
    <hyperlink r:id="rId3026" ref="E1009"/>
    <hyperlink r:id="rId3027" ref="O1009"/>
    <hyperlink r:id="rId3028" ref="B1010"/>
    <hyperlink r:id="rId3029" ref="E1010"/>
    <hyperlink r:id="rId3030" ref="O1010"/>
    <hyperlink r:id="rId3031" ref="B1011"/>
    <hyperlink r:id="rId3032" ref="E1011"/>
    <hyperlink r:id="rId3033" ref="O1011"/>
    <hyperlink r:id="rId3034" ref="B1012"/>
    <hyperlink r:id="rId3035" ref="E1012"/>
    <hyperlink r:id="rId3036" ref="O1012"/>
    <hyperlink r:id="rId3037" ref="B1013"/>
    <hyperlink r:id="rId3038" ref="E1013"/>
    <hyperlink r:id="rId3039" ref="O1013"/>
    <hyperlink r:id="rId3040" ref="B1014"/>
    <hyperlink r:id="rId3041" ref="E1014"/>
    <hyperlink r:id="rId3042" ref="O1014"/>
    <hyperlink r:id="rId3043" ref="B1015"/>
    <hyperlink r:id="rId3044" ref="E1015"/>
    <hyperlink r:id="rId3045" ref="O1015"/>
    <hyperlink r:id="rId3046" ref="B1016"/>
    <hyperlink r:id="rId3047" ref="E1016"/>
    <hyperlink r:id="rId3048" ref="O1016"/>
    <hyperlink r:id="rId3049" ref="B1017"/>
    <hyperlink r:id="rId3050" ref="E1017"/>
    <hyperlink r:id="rId3051" ref="O1017"/>
    <hyperlink r:id="rId3052" ref="B1018"/>
    <hyperlink r:id="rId3053" ref="E1018"/>
    <hyperlink r:id="rId3054" ref="O1018"/>
    <hyperlink r:id="rId3055" ref="B1019"/>
    <hyperlink r:id="rId3056" ref="E1019"/>
    <hyperlink r:id="rId3057" ref="O1019"/>
    <hyperlink r:id="rId3058" ref="B1020"/>
    <hyperlink r:id="rId3059" ref="E1020"/>
    <hyperlink r:id="rId3060" ref="O1020"/>
    <hyperlink r:id="rId3061" ref="B1021"/>
    <hyperlink r:id="rId3062" ref="E1021"/>
    <hyperlink r:id="rId3063" ref="O1021"/>
    <hyperlink r:id="rId3064" ref="B1022"/>
    <hyperlink r:id="rId3065" ref="E1022"/>
    <hyperlink r:id="rId3066" ref="O1022"/>
    <hyperlink r:id="rId3067" ref="B1023"/>
    <hyperlink r:id="rId3068" ref="E1023"/>
    <hyperlink r:id="rId3069" ref="O1023"/>
    <hyperlink r:id="rId3070" ref="B1024"/>
    <hyperlink r:id="rId3071" ref="E1024"/>
    <hyperlink r:id="rId3072" ref="O1024"/>
    <hyperlink r:id="rId3073" ref="B1025"/>
    <hyperlink r:id="rId3074" ref="E1025"/>
    <hyperlink r:id="rId3075" ref="O1025"/>
    <hyperlink r:id="rId3076" ref="B1026"/>
    <hyperlink r:id="rId3077" ref="E1026"/>
    <hyperlink r:id="rId3078" ref="O1026"/>
    <hyperlink r:id="rId3079" ref="B1027"/>
    <hyperlink r:id="rId3080" ref="E1027"/>
    <hyperlink r:id="rId3081" ref="O1027"/>
    <hyperlink r:id="rId3082" ref="B1028"/>
    <hyperlink r:id="rId3083" ref="E1028"/>
    <hyperlink r:id="rId3084" ref="O1028"/>
    <hyperlink r:id="rId3085" ref="B1029"/>
    <hyperlink r:id="rId3086" ref="E1029"/>
    <hyperlink r:id="rId3087" ref="O1029"/>
    <hyperlink r:id="rId3088" ref="B1030"/>
    <hyperlink r:id="rId3089" ref="E1030"/>
    <hyperlink r:id="rId3090" ref="O1030"/>
    <hyperlink r:id="rId3091" ref="B1031"/>
    <hyperlink r:id="rId3092" ref="E1031"/>
    <hyperlink r:id="rId3093" ref="O1031"/>
    <hyperlink r:id="rId3094" ref="B1032"/>
    <hyperlink r:id="rId3095" ref="E1032"/>
    <hyperlink r:id="rId3096" ref="O1032"/>
    <hyperlink r:id="rId3097" ref="B1033"/>
    <hyperlink r:id="rId3098" ref="E1033"/>
    <hyperlink r:id="rId3099" ref="O1033"/>
    <hyperlink r:id="rId3100" ref="B1034"/>
    <hyperlink r:id="rId3101" ref="E1034"/>
    <hyperlink r:id="rId3102" ref="O1034"/>
    <hyperlink r:id="rId3103" ref="B1035"/>
    <hyperlink r:id="rId3104" ref="E1035"/>
    <hyperlink r:id="rId3105" ref="O1035"/>
    <hyperlink r:id="rId3106" ref="B1036"/>
    <hyperlink r:id="rId3107" ref="E1036"/>
    <hyperlink r:id="rId3108" ref="O1036"/>
    <hyperlink r:id="rId3109" ref="B1037"/>
    <hyperlink r:id="rId3110" ref="E1037"/>
    <hyperlink r:id="rId3111" ref="O1037"/>
    <hyperlink r:id="rId3112" ref="B1038"/>
    <hyperlink r:id="rId3113" ref="E1038"/>
    <hyperlink r:id="rId3114" ref="O1038"/>
    <hyperlink r:id="rId3115" ref="B1039"/>
    <hyperlink r:id="rId3116" ref="E1039"/>
    <hyperlink r:id="rId3117" ref="O1039"/>
    <hyperlink r:id="rId3118" ref="B1040"/>
    <hyperlink r:id="rId3119" ref="E1040"/>
    <hyperlink r:id="rId3120" ref="O1040"/>
    <hyperlink r:id="rId3121" ref="B1041"/>
    <hyperlink r:id="rId3122" ref="E1041"/>
    <hyperlink r:id="rId3123" ref="O1041"/>
    <hyperlink r:id="rId3124" ref="B1042"/>
    <hyperlink r:id="rId3125" ref="E1042"/>
    <hyperlink r:id="rId3126" ref="O1042"/>
    <hyperlink r:id="rId3127" ref="B1043"/>
    <hyperlink r:id="rId3128" ref="E1043"/>
    <hyperlink r:id="rId3129" ref="O1043"/>
    <hyperlink r:id="rId3130" ref="B1044"/>
    <hyperlink r:id="rId3131" ref="E1044"/>
    <hyperlink r:id="rId3132" ref="O1044"/>
    <hyperlink r:id="rId3133" ref="B1045"/>
    <hyperlink r:id="rId3134" ref="E1045"/>
    <hyperlink r:id="rId3135" ref="O1045"/>
    <hyperlink r:id="rId3136" ref="B1046"/>
    <hyperlink r:id="rId3137" ref="E1046"/>
    <hyperlink r:id="rId3138" ref="O1046"/>
    <hyperlink r:id="rId3139" ref="B1047"/>
    <hyperlink r:id="rId3140" ref="E1047"/>
    <hyperlink r:id="rId3141" ref="O1047"/>
    <hyperlink r:id="rId3142" ref="B1048"/>
    <hyperlink r:id="rId3143" ref="E1048"/>
    <hyperlink r:id="rId3144" ref="O1048"/>
    <hyperlink r:id="rId3145" ref="B1049"/>
    <hyperlink r:id="rId3146" ref="E1049"/>
    <hyperlink r:id="rId3147" ref="O1049"/>
    <hyperlink r:id="rId3148" ref="B1050"/>
    <hyperlink r:id="rId3149" ref="E1050"/>
    <hyperlink r:id="rId3150" ref="O1050"/>
    <hyperlink r:id="rId3151" ref="B1051"/>
    <hyperlink r:id="rId3152" ref="E1051"/>
    <hyperlink r:id="rId3153" ref="O1051"/>
    <hyperlink r:id="rId3154" ref="B1052"/>
    <hyperlink r:id="rId3155" ref="E1052"/>
    <hyperlink r:id="rId3156" ref="O1052"/>
    <hyperlink r:id="rId3157" ref="B1053"/>
    <hyperlink r:id="rId3158" ref="E1053"/>
    <hyperlink r:id="rId3159" ref="O1053"/>
    <hyperlink r:id="rId3160" ref="B1054"/>
    <hyperlink r:id="rId3161" ref="E1054"/>
    <hyperlink r:id="rId3162" ref="O1054"/>
    <hyperlink r:id="rId3163" ref="B1055"/>
    <hyperlink r:id="rId3164" ref="E1055"/>
    <hyperlink r:id="rId3165" ref="O1055"/>
    <hyperlink r:id="rId3166" ref="B1056"/>
    <hyperlink r:id="rId3167" ref="E1056"/>
    <hyperlink r:id="rId3168" ref="O1056"/>
    <hyperlink r:id="rId3169" ref="B1057"/>
    <hyperlink r:id="rId3170" ref="E1057"/>
    <hyperlink r:id="rId3171" ref="O1057"/>
    <hyperlink r:id="rId3172" ref="B1058"/>
    <hyperlink r:id="rId3173" ref="E1058"/>
    <hyperlink r:id="rId3174" ref="O1058"/>
    <hyperlink r:id="rId3175" ref="B1059"/>
    <hyperlink r:id="rId3176" ref="E1059"/>
    <hyperlink r:id="rId3177" ref="O1059"/>
    <hyperlink r:id="rId3178" ref="B1060"/>
    <hyperlink r:id="rId3179" ref="E1060"/>
    <hyperlink r:id="rId3180" ref="O1060"/>
    <hyperlink r:id="rId3181" ref="B1061"/>
    <hyperlink r:id="rId3182" ref="E1061"/>
    <hyperlink r:id="rId3183" ref="O1061"/>
    <hyperlink r:id="rId3184" ref="B1062"/>
    <hyperlink r:id="rId3185" ref="E1062"/>
    <hyperlink r:id="rId3186" ref="O1062"/>
    <hyperlink r:id="rId3187" ref="B1063"/>
    <hyperlink r:id="rId3188" ref="E1063"/>
    <hyperlink r:id="rId3189" ref="O1063"/>
    <hyperlink r:id="rId3190" ref="B1064"/>
    <hyperlink r:id="rId3191" ref="E1064"/>
    <hyperlink r:id="rId3192" ref="O1064"/>
    <hyperlink r:id="rId3193" ref="B1065"/>
    <hyperlink r:id="rId3194" ref="E1065"/>
    <hyperlink r:id="rId3195" ref="O1065"/>
    <hyperlink r:id="rId3196" ref="B1066"/>
    <hyperlink r:id="rId3197" ref="E1066"/>
    <hyperlink r:id="rId3198" ref="O1066"/>
    <hyperlink r:id="rId3199" ref="B1067"/>
    <hyperlink r:id="rId3200" ref="E1067"/>
    <hyperlink r:id="rId3201" ref="O1067"/>
    <hyperlink r:id="rId3202" ref="B1068"/>
    <hyperlink r:id="rId3203" ref="E1068"/>
    <hyperlink r:id="rId3204" ref="O1068"/>
    <hyperlink r:id="rId3205" ref="B1069"/>
    <hyperlink r:id="rId3206" ref="E1069"/>
    <hyperlink r:id="rId3207" ref="O1069"/>
    <hyperlink r:id="rId3208" ref="B1070"/>
    <hyperlink r:id="rId3209" ref="E1070"/>
    <hyperlink r:id="rId3210" ref="O1070"/>
    <hyperlink r:id="rId3211" ref="B1071"/>
    <hyperlink r:id="rId3212" ref="E1071"/>
    <hyperlink r:id="rId3213" ref="O1071"/>
    <hyperlink r:id="rId3214" ref="B1072"/>
    <hyperlink r:id="rId3215" ref="E1072"/>
    <hyperlink r:id="rId3216" ref="O1072"/>
    <hyperlink r:id="rId3217" ref="B1073"/>
    <hyperlink r:id="rId3218" ref="E1073"/>
    <hyperlink r:id="rId3219" ref="O1073"/>
    <hyperlink r:id="rId3220" ref="B1074"/>
    <hyperlink r:id="rId3221" ref="E1074"/>
    <hyperlink r:id="rId3222" ref="O1074"/>
    <hyperlink r:id="rId3223" ref="B1075"/>
    <hyperlink r:id="rId3224" ref="E1075"/>
    <hyperlink r:id="rId3225" ref="O1075"/>
    <hyperlink r:id="rId3226" ref="B1076"/>
    <hyperlink r:id="rId3227" ref="E1076"/>
    <hyperlink r:id="rId3228" ref="O1076"/>
    <hyperlink r:id="rId3229" ref="B1077"/>
    <hyperlink r:id="rId3230" ref="E1077"/>
    <hyperlink r:id="rId3231" ref="O1077"/>
    <hyperlink r:id="rId3232" ref="B1078"/>
    <hyperlink r:id="rId3233" ref="E1078"/>
    <hyperlink r:id="rId3234" ref="O1078"/>
    <hyperlink r:id="rId3235" ref="B1079"/>
    <hyperlink r:id="rId3236" ref="E1079"/>
    <hyperlink r:id="rId3237" ref="O1079"/>
    <hyperlink r:id="rId3238" ref="B1080"/>
    <hyperlink r:id="rId3239" ref="E1080"/>
    <hyperlink r:id="rId3240" ref="O1080"/>
    <hyperlink r:id="rId3241" ref="B1081"/>
    <hyperlink r:id="rId3242" ref="E1081"/>
    <hyperlink r:id="rId3243" ref="O1081"/>
    <hyperlink r:id="rId3244" ref="B1082"/>
    <hyperlink r:id="rId3245" ref="E1082"/>
    <hyperlink r:id="rId3246" ref="O1082"/>
    <hyperlink r:id="rId3247" ref="B1083"/>
    <hyperlink r:id="rId3248" ref="E1083"/>
    <hyperlink r:id="rId3249" ref="O1083"/>
    <hyperlink r:id="rId3250" ref="B1084"/>
    <hyperlink r:id="rId3251" ref="E1084"/>
    <hyperlink r:id="rId3252" ref="O1084"/>
    <hyperlink r:id="rId3253" ref="B1085"/>
    <hyperlink r:id="rId3254" ref="E1085"/>
    <hyperlink r:id="rId3255" ref="O1085"/>
    <hyperlink r:id="rId3256" ref="B1086"/>
    <hyperlink r:id="rId3257" ref="E1086"/>
    <hyperlink r:id="rId3258" ref="O1086"/>
    <hyperlink r:id="rId3259" ref="B1087"/>
    <hyperlink r:id="rId3260" ref="E1087"/>
    <hyperlink r:id="rId3261" ref="O1087"/>
    <hyperlink r:id="rId3262" ref="B1088"/>
    <hyperlink r:id="rId3263" ref="E1088"/>
    <hyperlink r:id="rId3264" ref="O1088"/>
    <hyperlink r:id="rId3265" ref="B1089"/>
    <hyperlink r:id="rId3266" ref="E1089"/>
    <hyperlink r:id="rId3267" ref="O1089"/>
    <hyperlink r:id="rId3268" ref="B1090"/>
    <hyperlink r:id="rId3269" ref="E1090"/>
    <hyperlink r:id="rId3270" ref="O1090"/>
    <hyperlink r:id="rId3271" ref="B1091"/>
    <hyperlink r:id="rId3272" ref="E1091"/>
    <hyperlink r:id="rId3273" ref="O1091"/>
    <hyperlink r:id="rId3274" ref="B1092"/>
    <hyperlink r:id="rId3275" ref="E1092"/>
    <hyperlink r:id="rId3276" ref="O1092"/>
    <hyperlink r:id="rId3277" ref="B1093"/>
    <hyperlink r:id="rId3278" ref="E1093"/>
    <hyperlink r:id="rId3279" ref="O1093"/>
    <hyperlink r:id="rId3280" ref="B1094"/>
    <hyperlink r:id="rId3281" ref="E1094"/>
    <hyperlink r:id="rId3282" ref="O1094"/>
    <hyperlink r:id="rId3283" ref="B1095"/>
    <hyperlink r:id="rId3284" ref="E1095"/>
    <hyperlink r:id="rId3285" ref="O1095"/>
    <hyperlink r:id="rId3286" ref="B1096"/>
    <hyperlink r:id="rId3287" ref="E1096"/>
    <hyperlink r:id="rId3288" ref="O1096"/>
    <hyperlink r:id="rId3289" ref="B1097"/>
    <hyperlink r:id="rId3290" ref="E1097"/>
    <hyperlink r:id="rId3291" ref="O1097"/>
    <hyperlink r:id="rId3292" ref="B1098"/>
    <hyperlink r:id="rId3293" ref="E1098"/>
    <hyperlink r:id="rId3294" ref="O1098"/>
    <hyperlink r:id="rId3295" ref="B1099"/>
    <hyperlink r:id="rId3296" ref="E1099"/>
    <hyperlink r:id="rId3297" ref="O1099"/>
    <hyperlink r:id="rId3298" ref="B1100"/>
    <hyperlink r:id="rId3299" ref="E1100"/>
    <hyperlink r:id="rId3300" ref="O1100"/>
    <hyperlink r:id="rId3301" ref="B1101"/>
    <hyperlink r:id="rId3302" ref="E1101"/>
    <hyperlink r:id="rId3303" ref="O1101"/>
    <hyperlink r:id="rId3304" ref="B1102"/>
    <hyperlink r:id="rId3305" ref="E1102"/>
    <hyperlink r:id="rId3306" ref="O1102"/>
    <hyperlink r:id="rId3307" ref="B1103"/>
    <hyperlink r:id="rId3308" ref="E1103"/>
    <hyperlink r:id="rId3309" ref="O1103"/>
    <hyperlink r:id="rId3310" ref="B1104"/>
    <hyperlink r:id="rId3311" ref="E1104"/>
    <hyperlink r:id="rId3312" ref="O1104"/>
    <hyperlink r:id="rId3313" ref="B1105"/>
    <hyperlink r:id="rId3314" ref="E1105"/>
    <hyperlink r:id="rId3315" ref="O1105"/>
    <hyperlink r:id="rId3316" ref="B1106"/>
    <hyperlink r:id="rId3317" ref="E1106"/>
    <hyperlink r:id="rId3318" ref="O1106"/>
    <hyperlink r:id="rId3319" ref="B1107"/>
    <hyperlink r:id="rId3320" ref="E1107"/>
    <hyperlink r:id="rId3321" ref="O1107"/>
    <hyperlink r:id="rId3322" ref="B1108"/>
    <hyperlink r:id="rId3323" ref="E1108"/>
    <hyperlink r:id="rId3324" ref="O1108"/>
    <hyperlink r:id="rId3325" ref="B1109"/>
    <hyperlink r:id="rId3326" ref="E1109"/>
    <hyperlink r:id="rId3327" ref="O1109"/>
    <hyperlink r:id="rId3328" ref="B1110"/>
    <hyperlink r:id="rId3329" ref="E1110"/>
    <hyperlink r:id="rId3330" ref="O1110"/>
    <hyperlink r:id="rId3331" ref="B1111"/>
    <hyperlink r:id="rId3332" ref="E1111"/>
    <hyperlink r:id="rId3333" ref="O1111"/>
    <hyperlink r:id="rId3334" ref="B1112"/>
    <hyperlink r:id="rId3335" ref="E1112"/>
    <hyperlink r:id="rId3336" ref="O1112"/>
    <hyperlink r:id="rId3337" ref="B1113"/>
    <hyperlink r:id="rId3338" ref="E1113"/>
    <hyperlink r:id="rId3339" ref="O1113"/>
    <hyperlink r:id="rId3340" ref="B1114"/>
    <hyperlink r:id="rId3341" ref="E1114"/>
    <hyperlink r:id="rId3342" ref="O1114"/>
    <hyperlink r:id="rId3343" ref="B1115"/>
    <hyperlink r:id="rId3344" ref="E1115"/>
    <hyperlink r:id="rId3345" ref="O1115"/>
    <hyperlink r:id="rId3346" ref="B1116"/>
    <hyperlink r:id="rId3347" ref="E1116"/>
    <hyperlink r:id="rId3348" ref="O1116"/>
    <hyperlink r:id="rId3349" ref="B1117"/>
    <hyperlink r:id="rId3350" ref="E1117"/>
    <hyperlink r:id="rId3351" ref="O1117"/>
    <hyperlink r:id="rId3352" ref="B1118"/>
    <hyperlink r:id="rId3353" ref="E1118"/>
    <hyperlink r:id="rId3354" ref="O1118"/>
    <hyperlink r:id="rId3355" ref="B1119"/>
    <hyperlink r:id="rId3356" ref="E1119"/>
    <hyperlink r:id="rId3357" ref="O1119"/>
    <hyperlink r:id="rId3358" ref="B1120"/>
    <hyperlink r:id="rId3359" ref="E1120"/>
    <hyperlink r:id="rId3360" ref="O1120"/>
    <hyperlink r:id="rId3361" ref="B1121"/>
    <hyperlink r:id="rId3362" ref="E1121"/>
    <hyperlink r:id="rId3363" ref="O1121"/>
    <hyperlink r:id="rId3364" ref="B1122"/>
    <hyperlink r:id="rId3365" ref="E1122"/>
    <hyperlink r:id="rId3366" ref="O1122"/>
    <hyperlink r:id="rId3367" ref="B1123"/>
    <hyperlink r:id="rId3368" ref="E1123"/>
    <hyperlink r:id="rId3369" ref="O1123"/>
    <hyperlink r:id="rId3370" ref="B1124"/>
    <hyperlink r:id="rId3371" ref="E1124"/>
    <hyperlink r:id="rId3372" ref="O1124"/>
    <hyperlink r:id="rId3373" ref="B1125"/>
    <hyperlink r:id="rId3374" ref="E1125"/>
    <hyperlink r:id="rId3375" ref="O1125"/>
    <hyperlink r:id="rId3376" ref="B1126"/>
    <hyperlink r:id="rId3377" ref="E1126"/>
    <hyperlink r:id="rId3378" ref="O1126"/>
    <hyperlink r:id="rId3379" ref="B1127"/>
    <hyperlink r:id="rId3380" ref="E1127"/>
    <hyperlink r:id="rId3381" ref="O1127"/>
    <hyperlink r:id="rId3382" ref="B1128"/>
    <hyperlink r:id="rId3383" ref="E1128"/>
    <hyperlink r:id="rId3384" ref="O1128"/>
    <hyperlink r:id="rId3385" ref="B1129"/>
    <hyperlink r:id="rId3386" ref="E1129"/>
    <hyperlink r:id="rId3387" ref="O1129"/>
    <hyperlink r:id="rId3388" ref="B1130"/>
    <hyperlink r:id="rId3389" ref="E1130"/>
    <hyperlink r:id="rId3390" ref="O1130"/>
    <hyperlink r:id="rId3391" ref="B1131"/>
    <hyperlink r:id="rId3392" ref="E1131"/>
    <hyperlink r:id="rId3393" ref="O1131"/>
    <hyperlink r:id="rId3394" ref="B1132"/>
    <hyperlink r:id="rId3395" ref="E1132"/>
    <hyperlink r:id="rId3396" ref="O1132"/>
    <hyperlink r:id="rId3397" ref="B1133"/>
    <hyperlink r:id="rId3398" ref="E1133"/>
    <hyperlink r:id="rId3399" ref="O1133"/>
    <hyperlink r:id="rId3400" ref="B1134"/>
    <hyperlink r:id="rId3401" ref="E1134"/>
    <hyperlink r:id="rId3402" ref="O1134"/>
    <hyperlink r:id="rId3403" ref="B1135"/>
    <hyperlink r:id="rId3404" ref="E1135"/>
    <hyperlink r:id="rId3405" ref="O1135"/>
    <hyperlink r:id="rId3406" ref="B1136"/>
    <hyperlink r:id="rId3407" ref="E1136"/>
    <hyperlink r:id="rId3408" ref="O1136"/>
    <hyperlink r:id="rId3409" ref="B1137"/>
    <hyperlink r:id="rId3410" ref="E1137"/>
    <hyperlink r:id="rId3411" ref="O1137"/>
    <hyperlink r:id="rId3412" ref="B1138"/>
    <hyperlink r:id="rId3413" ref="E1138"/>
    <hyperlink r:id="rId3414" ref="O1138"/>
    <hyperlink r:id="rId3415" ref="B1139"/>
    <hyperlink r:id="rId3416" ref="E1139"/>
    <hyperlink r:id="rId3417" ref="O1139"/>
    <hyperlink r:id="rId3418" ref="B1140"/>
    <hyperlink r:id="rId3419" ref="E1140"/>
    <hyperlink r:id="rId3420" ref="O1140"/>
    <hyperlink r:id="rId3421" ref="B1141"/>
    <hyperlink r:id="rId3422" ref="E1141"/>
    <hyperlink r:id="rId3423" ref="O1141"/>
    <hyperlink r:id="rId3424" ref="B1142"/>
    <hyperlink r:id="rId3425" ref="E1142"/>
    <hyperlink r:id="rId3426" ref="O1142"/>
    <hyperlink r:id="rId3427" ref="B1143"/>
    <hyperlink r:id="rId3428" ref="E1143"/>
    <hyperlink r:id="rId3429" ref="O1143"/>
    <hyperlink r:id="rId3430" ref="B1144"/>
    <hyperlink r:id="rId3431" ref="E1144"/>
    <hyperlink r:id="rId3432" ref="O1144"/>
    <hyperlink r:id="rId3433" ref="B1145"/>
    <hyperlink r:id="rId3434" ref="E1145"/>
    <hyperlink r:id="rId3435" ref="O1145"/>
    <hyperlink r:id="rId3436" ref="B1146"/>
    <hyperlink r:id="rId3437" ref="E1146"/>
    <hyperlink r:id="rId3438" ref="O1146"/>
    <hyperlink r:id="rId3439" ref="B1147"/>
    <hyperlink r:id="rId3440" ref="E1147"/>
    <hyperlink r:id="rId3441" ref="O1147"/>
    <hyperlink r:id="rId3442" ref="B1148"/>
    <hyperlink r:id="rId3443" ref="E1148"/>
    <hyperlink r:id="rId3444" ref="O1148"/>
    <hyperlink r:id="rId3445" ref="B1149"/>
    <hyperlink r:id="rId3446" ref="E1149"/>
    <hyperlink r:id="rId3447" ref="O1149"/>
    <hyperlink r:id="rId3448" ref="B1150"/>
    <hyperlink r:id="rId3449" ref="E1150"/>
    <hyperlink r:id="rId3450" ref="O1150"/>
    <hyperlink r:id="rId3451" ref="B1151"/>
    <hyperlink r:id="rId3452" ref="E1151"/>
    <hyperlink r:id="rId3453" ref="O1151"/>
    <hyperlink r:id="rId3454" ref="B1152"/>
    <hyperlink r:id="rId3455" ref="E1152"/>
    <hyperlink r:id="rId3456" ref="O1152"/>
    <hyperlink r:id="rId3457" ref="B1153"/>
    <hyperlink r:id="rId3458" ref="E1153"/>
    <hyperlink r:id="rId3459" ref="O1153"/>
    <hyperlink r:id="rId3460" ref="B1154"/>
    <hyperlink r:id="rId3461" ref="E1154"/>
    <hyperlink r:id="rId3462" ref="O1154"/>
    <hyperlink r:id="rId3463" ref="B1155"/>
    <hyperlink r:id="rId3464" ref="E1155"/>
    <hyperlink r:id="rId3465" ref="O1155"/>
    <hyperlink r:id="rId3466" ref="B1156"/>
    <hyperlink r:id="rId3467" ref="E1156"/>
    <hyperlink r:id="rId3468" ref="O1156"/>
    <hyperlink r:id="rId3469" ref="B1157"/>
    <hyperlink r:id="rId3470" ref="E1157"/>
    <hyperlink r:id="rId3471" ref="O1157"/>
    <hyperlink r:id="rId3472" ref="B1158"/>
    <hyperlink r:id="rId3473" ref="E1158"/>
    <hyperlink r:id="rId3474" ref="O1158"/>
    <hyperlink r:id="rId3475" ref="B1159"/>
    <hyperlink r:id="rId3476" ref="E1159"/>
    <hyperlink r:id="rId3477" ref="O1159"/>
    <hyperlink r:id="rId3478" ref="B1160"/>
    <hyperlink r:id="rId3479" ref="E1160"/>
    <hyperlink r:id="rId3480" ref="O1160"/>
    <hyperlink r:id="rId3481" ref="B1161"/>
    <hyperlink r:id="rId3482" ref="E1161"/>
    <hyperlink r:id="rId3483" ref="O1161"/>
    <hyperlink r:id="rId3484" ref="B1162"/>
    <hyperlink r:id="rId3485" ref="E1162"/>
    <hyperlink r:id="rId3486" ref="O1162"/>
    <hyperlink r:id="rId3487" ref="B1163"/>
    <hyperlink r:id="rId3488" ref="E1163"/>
    <hyperlink r:id="rId3489" ref="O1163"/>
    <hyperlink r:id="rId3490" ref="B1164"/>
    <hyperlink r:id="rId3491" ref="E1164"/>
    <hyperlink r:id="rId3492" ref="O1164"/>
    <hyperlink r:id="rId3493" ref="B1165"/>
    <hyperlink r:id="rId3494" ref="E1165"/>
    <hyperlink r:id="rId3495" ref="O1165"/>
    <hyperlink r:id="rId3496" ref="B1166"/>
    <hyperlink r:id="rId3497" ref="E1166"/>
    <hyperlink r:id="rId3498" ref="O1166"/>
    <hyperlink r:id="rId3499" ref="B1167"/>
    <hyperlink r:id="rId3500" ref="E1167"/>
    <hyperlink r:id="rId3501" ref="O1167"/>
    <hyperlink r:id="rId3502" ref="B1168"/>
    <hyperlink r:id="rId3503" ref="E1168"/>
    <hyperlink r:id="rId3504" ref="O1168"/>
    <hyperlink r:id="rId3505" ref="B1169"/>
    <hyperlink r:id="rId3506" ref="E1169"/>
    <hyperlink r:id="rId3507" ref="O1169"/>
    <hyperlink r:id="rId3508" ref="B1170"/>
    <hyperlink r:id="rId3509" ref="E1170"/>
    <hyperlink r:id="rId3510" ref="O1170"/>
    <hyperlink r:id="rId3511" ref="B1171"/>
    <hyperlink r:id="rId3512" ref="E1171"/>
    <hyperlink r:id="rId3513" ref="O1171"/>
    <hyperlink r:id="rId3514" ref="B1172"/>
    <hyperlink r:id="rId3515" ref="E1172"/>
    <hyperlink r:id="rId3516" ref="O1172"/>
    <hyperlink r:id="rId3517" ref="B1173"/>
    <hyperlink r:id="rId3518" ref="E1173"/>
    <hyperlink r:id="rId3519" ref="O1173"/>
    <hyperlink r:id="rId3520" ref="B1174"/>
    <hyperlink r:id="rId3521" ref="E1174"/>
    <hyperlink r:id="rId3522" ref="O1174"/>
    <hyperlink r:id="rId3523" ref="B1175"/>
    <hyperlink r:id="rId3524" ref="E1175"/>
    <hyperlink r:id="rId3525" ref="O1175"/>
    <hyperlink r:id="rId3526" ref="B1176"/>
    <hyperlink r:id="rId3527" ref="E1176"/>
    <hyperlink r:id="rId3528" ref="O1176"/>
    <hyperlink r:id="rId3529" ref="B1177"/>
    <hyperlink r:id="rId3530" ref="E1177"/>
    <hyperlink r:id="rId3531" ref="O1177"/>
    <hyperlink r:id="rId3532" ref="B1178"/>
    <hyperlink r:id="rId3533" ref="E1178"/>
    <hyperlink r:id="rId3534" ref="O1178"/>
    <hyperlink r:id="rId3535" ref="B1179"/>
    <hyperlink r:id="rId3536" ref="E1179"/>
    <hyperlink r:id="rId3537" ref="O1179"/>
    <hyperlink r:id="rId3538" ref="B1180"/>
    <hyperlink r:id="rId3539" ref="E1180"/>
    <hyperlink r:id="rId3540" ref="O1180"/>
    <hyperlink r:id="rId3541" ref="B1181"/>
    <hyperlink r:id="rId3542" ref="E1181"/>
    <hyperlink r:id="rId3543" ref="O1181"/>
    <hyperlink r:id="rId3544" ref="B1182"/>
    <hyperlink r:id="rId3545" ref="E1182"/>
    <hyperlink r:id="rId3546" ref="O1182"/>
    <hyperlink r:id="rId3547" ref="B1183"/>
    <hyperlink r:id="rId3548" ref="E1183"/>
    <hyperlink r:id="rId3549" ref="O1183"/>
    <hyperlink r:id="rId3550" ref="B1184"/>
    <hyperlink r:id="rId3551" ref="E1184"/>
    <hyperlink r:id="rId3552" ref="O1184"/>
    <hyperlink r:id="rId3553" ref="B1185"/>
    <hyperlink r:id="rId3554" ref="E1185"/>
    <hyperlink r:id="rId3555" ref="O1185"/>
    <hyperlink r:id="rId3556" ref="B1186"/>
    <hyperlink r:id="rId3557" ref="E1186"/>
    <hyperlink r:id="rId3558" ref="O1186"/>
    <hyperlink r:id="rId3559" ref="B1187"/>
    <hyperlink r:id="rId3560" ref="E1187"/>
    <hyperlink r:id="rId3561" ref="O1187"/>
    <hyperlink r:id="rId3562" ref="B1188"/>
    <hyperlink r:id="rId3563" ref="E1188"/>
    <hyperlink r:id="rId3564" ref="O1188"/>
    <hyperlink r:id="rId3565" ref="B1189"/>
    <hyperlink r:id="rId3566" ref="E1189"/>
    <hyperlink r:id="rId3567" ref="O1189"/>
    <hyperlink r:id="rId3568" ref="B1190"/>
    <hyperlink r:id="rId3569" ref="E1190"/>
    <hyperlink r:id="rId3570" ref="O1190"/>
    <hyperlink r:id="rId3571" ref="B1191"/>
    <hyperlink r:id="rId3572" ref="E1191"/>
    <hyperlink r:id="rId3573" ref="O1191"/>
    <hyperlink r:id="rId3574" ref="B1192"/>
    <hyperlink r:id="rId3575" ref="E1192"/>
    <hyperlink r:id="rId3576" ref="O1192"/>
    <hyperlink r:id="rId3577" ref="B1193"/>
    <hyperlink r:id="rId3578" ref="E1193"/>
    <hyperlink r:id="rId3579" ref="O1193"/>
    <hyperlink r:id="rId3580" ref="B1194"/>
    <hyperlink r:id="rId3581" ref="E1194"/>
    <hyperlink r:id="rId3582" ref="O1194"/>
    <hyperlink r:id="rId3583" ref="B1195"/>
    <hyperlink r:id="rId3584" ref="E1195"/>
    <hyperlink r:id="rId3585" ref="O1195"/>
    <hyperlink r:id="rId3586" ref="B1196"/>
    <hyperlink r:id="rId3587" ref="E1196"/>
    <hyperlink r:id="rId3588" ref="O1196"/>
    <hyperlink r:id="rId3589" ref="B1197"/>
    <hyperlink r:id="rId3590" ref="E1197"/>
    <hyperlink r:id="rId3591" ref="O1197"/>
    <hyperlink r:id="rId3592" ref="B1198"/>
    <hyperlink r:id="rId3593" ref="E1198"/>
    <hyperlink r:id="rId3594" ref="O1198"/>
    <hyperlink r:id="rId3595" ref="B1199"/>
    <hyperlink r:id="rId3596" ref="E1199"/>
    <hyperlink r:id="rId3597" ref="O1199"/>
    <hyperlink r:id="rId3598" ref="B1200"/>
    <hyperlink r:id="rId3599" ref="E1200"/>
    <hyperlink r:id="rId3600" ref="O1200"/>
    <hyperlink r:id="rId3601" ref="B1201"/>
    <hyperlink r:id="rId3602" ref="E1201"/>
    <hyperlink r:id="rId3603" ref="O1201"/>
    <hyperlink r:id="rId3604" ref="B1202"/>
    <hyperlink r:id="rId3605" ref="E1202"/>
    <hyperlink r:id="rId3606" ref="O1202"/>
    <hyperlink r:id="rId3607" ref="B1203"/>
    <hyperlink r:id="rId3608" ref="E1203"/>
    <hyperlink r:id="rId3609" ref="O1203"/>
    <hyperlink r:id="rId3610" ref="B1204"/>
    <hyperlink r:id="rId3611" ref="E1204"/>
    <hyperlink r:id="rId3612" ref="O1204"/>
    <hyperlink r:id="rId3613" ref="B1205"/>
    <hyperlink r:id="rId3614" ref="E1205"/>
    <hyperlink r:id="rId3615" ref="O1205"/>
    <hyperlink r:id="rId3616" ref="B1206"/>
    <hyperlink r:id="rId3617" ref="E1206"/>
    <hyperlink r:id="rId3618" ref="O1206"/>
    <hyperlink r:id="rId3619" ref="B1207"/>
    <hyperlink r:id="rId3620" ref="E1207"/>
    <hyperlink r:id="rId3621" ref="O1207"/>
    <hyperlink r:id="rId3622" ref="B1208"/>
    <hyperlink r:id="rId3623" ref="E1208"/>
    <hyperlink r:id="rId3624" ref="O1208"/>
    <hyperlink r:id="rId3625" ref="B1209"/>
    <hyperlink r:id="rId3626" ref="E1209"/>
    <hyperlink r:id="rId3627" ref="O1209"/>
    <hyperlink r:id="rId3628" ref="B1210"/>
    <hyperlink r:id="rId3629" ref="E1210"/>
    <hyperlink r:id="rId3630" ref="O1210"/>
    <hyperlink r:id="rId3631" ref="B1211"/>
    <hyperlink r:id="rId3632" ref="E1211"/>
    <hyperlink r:id="rId3633" ref="O1211"/>
    <hyperlink r:id="rId3634" ref="B1212"/>
    <hyperlink r:id="rId3635" ref="E1212"/>
    <hyperlink r:id="rId3636" ref="O1212"/>
    <hyperlink r:id="rId3637" ref="B1213"/>
    <hyperlink r:id="rId3638" ref="E1213"/>
    <hyperlink r:id="rId3639" ref="O1213"/>
    <hyperlink r:id="rId3640" ref="B1214"/>
    <hyperlink r:id="rId3641" ref="E1214"/>
    <hyperlink r:id="rId3642" ref="O1214"/>
    <hyperlink r:id="rId3643" ref="B1215"/>
    <hyperlink r:id="rId3644" ref="E1215"/>
    <hyperlink r:id="rId3645" ref="O1215"/>
    <hyperlink r:id="rId3646" ref="B1216"/>
    <hyperlink r:id="rId3647" ref="E1216"/>
    <hyperlink r:id="rId3648" ref="O1216"/>
    <hyperlink r:id="rId3649" ref="B1217"/>
    <hyperlink r:id="rId3650" ref="E1217"/>
    <hyperlink r:id="rId3651" ref="O1217"/>
    <hyperlink r:id="rId3652" ref="B1218"/>
    <hyperlink r:id="rId3653" ref="E1218"/>
    <hyperlink r:id="rId3654" ref="O1218"/>
    <hyperlink r:id="rId3655" ref="B1219"/>
    <hyperlink r:id="rId3656" ref="E1219"/>
    <hyperlink r:id="rId3657" ref="O1219"/>
    <hyperlink r:id="rId3658" ref="B1220"/>
    <hyperlink r:id="rId3659" ref="E1220"/>
    <hyperlink r:id="rId3660" ref="O1220"/>
    <hyperlink r:id="rId3661" ref="B1221"/>
    <hyperlink r:id="rId3662" ref="E1221"/>
    <hyperlink r:id="rId3663" ref="O1221"/>
    <hyperlink r:id="rId3664" ref="B1222"/>
    <hyperlink r:id="rId3665" ref="E1222"/>
    <hyperlink r:id="rId3666" ref="O1222"/>
    <hyperlink r:id="rId3667" ref="B1223"/>
    <hyperlink r:id="rId3668" ref="E1223"/>
    <hyperlink r:id="rId3669" ref="O1223"/>
    <hyperlink r:id="rId3670" ref="B1224"/>
    <hyperlink r:id="rId3671" ref="E1224"/>
    <hyperlink r:id="rId3672" ref="O1224"/>
    <hyperlink r:id="rId3673" ref="B1225"/>
    <hyperlink r:id="rId3674" ref="E1225"/>
    <hyperlink r:id="rId3675" ref="O1225"/>
    <hyperlink r:id="rId3676" ref="B1226"/>
    <hyperlink r:id="rId3677" ref="E1226"/>
    <hyperlink r:id="rId3678" ref="O1226"/>
    <hyperlink r:id="rId3679" ref="B1227"/>
    <hyperlink r:id="rId3680" ref="E1227"/>
    <hyperlink r:id="rId3681" ref="O1227"/>
    <hyperlink r:id="rId3682" ref="B1228"/>
    <hyperlink r:id="rId3683" ref="E1228"/>
    <hyperlink r:id="rId3684" ref="O1228"/>
    <hyperlink r:id="rId3685" ref="B1229"/>
    <hyperlink r:id="rId3686" ref="E1229"/>
    <hyperlink r:id="rId3687" ref="O1229"/>
    <hyperlink r:id="rId3688" ref="B1230"/>
    <hyperlink r:id="rId3689" ref="E1230"/>
    <hyperlink r:id="rId3690" ref="O1230"/>
    <hyperlink r:id="rId3691" ref="B1231"/>
    <hyperlink r:id="rId3692" ref="E1231"/>
    <hyperlink r:id="rId3693" ref="O1231"/>
    <hyperlink r:id="rId3694" ref="B1232"/>
    <hyperlink r:id="rId3695" ref="E1232"/>
    <hyperlink r:id="rId3696" ref="O1232"/>
    <hyperlink r:id="rId3697" ref="B1233"/>
    <hyperlink r:id="rId3698" ref="E1233"/>
    <hyperlink r:id="rId3699" ref="O1233"/>
    <hyperlink r:id="rId3700" ref="B1234"/>
    <hyperlink r:id="rId3701" ref="E1234"/>
    <hyperlink r:id="rId3702" ref="O1234"/>
    <hyperlink r:id="rId3703" ref="B1235"/>
    <hyperlink r:id="rId3704" ref="E1235"/>
    <hyperlink r:id="rId3705" ref="O1235"/>
    <hyperlink r:id="rId3706" ref="B1236"/>
    <hyperlink r:id="rId3707" ref="E1236"/>
    <hyperlink r:id="rId3708" ref="O1236"/>
    <hyperlink r:id="rId3709" ref="B1237"/>
    <hyperlink r:id="rId3710" ref="E1237"/>
    <hyperlink r:id="rId3711" ref="O1237"/>
    <hyperlink r:id="rId3712" ref="B1238"/>
    <hyperlink r:id="rId3713" ref="E1238"/>
    <hyperlink r:id="rId3714" ref="O1238"/>
    <hyperlink r:id="rId3715" ref="B1239"/>
    <hyperlink r:id="rId3716" ref="E1239"/>
    <hyperlink r:id="rId3717" ref="O1239"/>
    <hyperlink r:id="rId3718" ref="B1240"/>
    <hyperlink r:id="rId3719" ref="E1240"/>
    <hyperlink r:id="rId3720" ref="O1240"/>
    <hyperlink r:id="rId3721" ref="B1241"/>
    <hyperlink r:id="rId3722" ref="E1241"/>
    <hyperlink r:id="rId3723" ref="O1241"/>
    <hyperlink r:id="rId3724" ref="B1242"/>
    <hyperlink r:id="rId3725" ref="E1242"/>
    <hyperlink r:id="rId3726" ref="O1242"/>
    <hyperlink r:id="rId3727" ref="B1243"/>
    <hyperlink r:id="rId3728" ref="E1243"/>
    <hyperlink r:id="rId3729" ref="O1243"/>
    <hyperlink r:id="rId3730" ref="B1244"/>
    <hyperlink r:id="rId3731" ref="E1244"/>
    <hyperlink r:id="rId3732" ref="O1244"/>
    <hyperlink r:id="rId3733" ref="B1245"/>
    <hyperlink r:id="rId3734" ref="E1245"/>
    <hyperlink r:id="rId3735" ref="O1245"/>
    <hyperlink r:id="rId3736" ref="B1246"/>
    <hyperlink r:id="rId3737" ref="E1246"/>
    <hyperlink r:id="rId3738" ref="O1246"/>
    <hyperlink r:id="rId3739" ref="B1247"/>
    <hyperlink r:id="rId3740" ref="E1247"/>
    <hyperlink r:id="rId3741" ref="O1247"/>
    <hyperlink r:id="rId3742" ref="B1248"/>
    <hyperlink r:id="rId3743" ref="E1248"/>
    <hyperlink r:id="rId3744" ref="O1248"/>
    <hyperlink r:id="rId3745" ref="B1249"/>
    <hyperlink r:id="rId3746" ref="E1249"/>
    <hyperlink r:id="rId3747" ref="O1249"/>
    <hyperlink r:id="rId3748" ref="B1250"/>
    <hyperlink r:id="rId3749" ref="E1250"/>
    <hyperlink r:id="rId3750" ref="O1250"/>
    <hyperlink r:id="rId3751" ref="B1251"/>
    <hyperlink r:id="rId3752" ref="E1251"/>
    <hyperlink r:id="rId3753" ref="O1251"/>
    <hyperlink r:id="rId3754" ref="B1252"/>
    <hyperlink r:id="rId3755" ref="E1252"/>
    <hyperlink r:id="rId3756" ref="O1252"/>
    <hyperlink r:id="rId3757" ref="B1253"/>
    <hyperlink r:id="rId3758" ref="E1253"/>
    <hyperlink r:id="rId3759" ref="O1253"/>
    <hyperlink r:id="rId3760" ref="B1254"/>
    <hyperlink r:id="rId3761" ref="E1254"/>
    <hyperlink r:id="rId3762" ref="O1254"/>
    <hyperlink r:id="rId3763" ref="B1255"/>
    <hyperlink r:id="rId3764" ref="E1255"/>
    <hyperlink r:id="rId3765" ref="O1255"/>
    <hyperlink r:id="rId3766" ref="B1256"/>
    <hyperlink r:id="rId3767" ref="E1256"/>
    <hyperlink r:id="rId3768" ref="O1256"/>
    <hyperlink r:id="rId3769" ref="B1257"/>
    <hyperlink r:id="rId3770" ref="E1257"/>
    <hyperlink r:id="rId3771" ref="O1257"/>
    <hyperlink r:id="rId3772" ref="B1258"/>
    <hyperlink r:id="rId3773" ref="E1258"/>
    <hyperlink r:id="rId3774" ref="O1258"/>
    <hyperlink r:id="rId3775" ref="B1259"/>
    <hyperlink r:id="rId3776" ref="E1259"/>
    <hyperlink r:id="rId3777" ref="O1259"/>
    <hyperlink r:id="rId3778" ref="B1260"/>
    <hyperlink r:id="rId3779" ref="E1260"/>
    <hyperlink r:id="rId3780" ref="O1260"/>
    <hyperlink r:id="rId3781" ref="B1261"/>
    <hyperlink r:id="rId3782" ref="E1261"/>
    <hyperlink r:id="rId3783" ref="O1261"/>
    <hyperlink r:id="rId3784" ref="B1262"/>
    <hyperlink r:id="rId3785" ref="E1262"/>
    <hyperlink r:id="rId3786" ref="O1262"/>
    <hyperlink r:id="rId3787" ref="B1263"/>
    <hyperlink r:id="rId3788" ref="E1263"/>
    <hyperlink r:id="rId3789" ref="O1263"/>
    <hyperlink r:id="rId3790" ref="B1264"/>
    <hyperlink r:id="rId3791" ref="E1264"/>
    <hyperlink r:id="rId3792" ref="O1264"/>
    <hyperlink r:id="rId3793" ref="B1265"/>
    <hyperlink r:id="rId3794" ref="E1265"/>
    <hyperlink r:id="rId3795" ref="O1265"/>
    <hyperlink r:id="rId3796" ref="B1266"/>
    <hyperlink r:id="rId3797" ref="E1266"/>
    <hyperlink r:id="rId3798" ref="O1266"/>
    <hyperlink r:id="rId3799" ref="B1267"/>
    <hyperlink r:id="rId3800" ref="E1267"/>
    <hyperlink r:id="rId3801" ref="O1267"/>
    <hyperlink r:id="rId3802" ref="B1268"/>
    <hyperlink r:id="rId3803" ref="E1268"/>
    <hyperlink r:id="rId3804" ref="O1268"/>
    <hyperlink r:id="rId3805" ref="B1269"/>
    <hyperlink r:id="rId3806" ref="E1269"/>
    <hyperlink r:id="rId3807" ref="O1269"/>
    <hyperlink r:id="rId3808" ref="B1270"/>
    <hyperlink r:id="rId3809" ref="E1270"/>
    <hyperlink r:id="rId3810" ref="O1270"/>
    <hyperlink r:id="rId3811" ref="B1271"/>
    <hyperlink r:id="rId3812" ref="E1271"/>
    <hyperlink r:id="rId3813" ref="O1271"/>
    <hyperlink r:id="rId3814" ref="B1272"/>
    <hyperlink r:id="rId3815" ref="E1272"/>
    <hyperlink r:id="rId3816" ref="O1272"/>
    <hyperlink r:id="rId3817" ref="B1273"/>
    <hyperlink r:id="rId3818" ref="E1273"/>
    <hyperlink r:id="rId3819" ref="O1273"/>
    <hyperlink r:id="rId3820" ref="B1274"/>
    <hyperlink r:id="rId3821" ref="E1274"/>
    <hyperlink r:id="rId3822" ref="O1274"/>
    <hyperlink r:id="rId3823" ref="B1275"/>
    <hyperlink r:id="rId3824" ref="E1275"/>
    <hyperlink r:id="rId3825" ref="O1275"/>
    <hyperlink r:id="rId3826" ref="B1276"/>
    <hyperlink r:id="rId3827" ref="E1276"/>
    <hyperlink r:id="rId3828" ref="O1276"/>
    <hyperlink r:id="rId3829" ref="B1277"/>
    <hyperlink r:id="rId3830" ref="E1277"/>
    <hyperlink r:id="rId3831" ref="O1277"/>
    <hyperlink r:id="rId3832" ref="B1278"/>
    <hyperlink r:id="rId3833" ref="E1278"/>
    <hyperlink r:id="rId3834" ref="O1278"/>
    <hyperlink r:id="rId3835" ref="B1279"/>
    <hyperlink r:id="rId3836" ref="E1279"/>
    <hyperlink r:id="rId3837" ref="O1279"/>
    <hyperlink r:id="rId3838" ref="B1280"/>
    <hyperlink r:id="rId3839" ref="E1280"/>
    <hyperlink r:id="rId3840" ref="O1280"/>
    <hyperlink r:id="rId3841" ref="B1281"/>
    <hyperlink r:id="rId3842" ref="E1281"/>
    <hyperlink r:id="rId3843" ref="O1281"/>
    <hyperlink r:id="rId3844" ref="B1282"/>
    <hyperlink r:id="rId3845" ref="E1282"/>
    <hyperlink r:id="rId3846" ref="O1282"/>
    <hyperlink r:id="rId3847" ref="B1283"/>
    <hyperlink r:id="rId3848" ref="E1283"/>
    <hyperlink r:id="rId3849" ref="O1283"/>
    <hyperlink r:id="rId3850" ref="B1284"/>
    <hyperlink r:id="rId3851" ref="E1284"/>
    <hyperlink r:id="rId3852" ref="O1284"/>
    <hyperlink r:id="rId3853" ref="B1285"/>
    <hyperlink r:id="rId3854" ref="E1285"/>
    <hyperlink r:id="rId3855" ref="O1285"/>
    <hyperlink r:id="rId3856" ref="B1286"/>
    <hyperlink r:id="rId3857" ref="E1286"/>
    <hyperlink r:id="rId3858" ref="O1286"/>
    <hyperlink r:id="rId3859" ref="B1287"/>
    <hyperlink r:id="rId3860" ref="E1287"/>
    <hyperlink r:id="rId3861" ref="O1287"/>
    <hyperlink r:id="rId3862" ref="B1288"/>
    <hyperlink r:id="rId3863" ref="E1288"/>
    <hyperlink r:id="rId3864" ref="O1288"/>
    <hyperlink r:id="rId3865" ref="B1289"/>
    <hyperlink r:id="rId3866" ref="E1289"/>
    <hyperlink r:id="rId3867" ref="O1289"/>
    <hyperlink r:id="rId3868" ref="B1290"/>
    <hyperlink r:id="rId3869" ref="E1290"/>
    <hyperlink r:id="rId3870" ref="O1290"/>
    <hyperlink r:id="rId3871" ref="B1291"/>
    <hyperlink r:id="rId3872" ref="E1291"/>
    <hyperlink r:id="rId3873" ref="O1291"/>
    <hyperlink r:id="rId3874" ref="B1292"/>
    <hyperlink r:id="rId3875" ref="E1292"/>
    <hyperlink r:id="rId3876" ref="O1292"/>
    <hyperlink r:id="rId3877" ref="B1293"/>
    <hyperlink r:id="rId3878" ref="E1293"/>
    <hyperlink r:id="rId3879" ref="O1293"/>
    <hyperlink r:id="rId3880" ref="B1294"/>
    <hyperlink r:id="rId3881" ref="E1294"/>
    <hyperlink r:id="rId3882" ref="O1294"/>
    <hyperlink r:id="rId3883" ref="B1295"/>
    <hyperlink r:id="rId3884" ref="E1295"/>
    <hyperlink r:id="rId3885" ref="O1295"/>
    <hyperlink r:id="rId3886" ref="B1296"/>
    <hyperlink r:id="rId3887" ref="E1296"/>
    <hyperlink r:id="rId3888" ref="O1296"/>
    <hyperlink r:id="rId3889" ref="B1297"/>
    <hyperlink r:id="rId3890" ref="E1297"/>
    <hyperlink r:id="rId3891" ref="O1297"/>
    <hyperlink r:id="rId3892" ref="B1298"/>
    <hyperlink r:id="rId3893" ref="E1298"/>
    <hyperlink r:id="rId3894" ref="O1298"/>
    <hyperlink r:id="rId3895" ref="B1299"/>
    <hyperlink r:id="rId3896" ref="E1299"/>
    <hyperlink r:id="rId3897" ref="O1299"/>
    <hyperlink r:id="rId3898" ref="B1300"/>
    <hyperlink r:id="rId3899" ref="E1300"/>
    <hyperlink r:id="rId3900" ref="O1300"/>
    <hyperlink r:id="rId3901" ref="B1301"/>
    <hyperlink r:id="rId3902" ref="E1301"/>
    <hyperlink r:id="rId3903" ref="O1301"/>
    <hyperlink r:id="rId3904" ref="B1302"/>
    <hyperlink r:id="rId3905" ref="E1302"/>
    <hyperlink r:id="rId3906" ref="O1302"/>
    <hyperlink r:id="rId3907" ref="B1303"/>
    <hyperlink r:id="rId3908" ref="E1303"/>
    <hyperlink r:id="rId3909" ref="O1303"/>
    <hyperlink r:id="rId3910" ref="B1304"/>
    <hyperlink r:id="rId3911" ref="E1304"/>
    <hyperlink r:id="rId3912" ref="O1304"/>
    <hyperlink r:id="rId3913" ref="B1305"/>
    <hyperlink r:id="rId3914" ref="E1305"/>
    <hyperlink r:id="rId3915" ref="O1305"/>
    <hyperlink r:id="rId3916" ref="B1306"/>
    <hyperlink r:id="rId3917" ref="E1306"/>
    <hyperlink r:id="rId3918" ref="O1306"/>
    <hyperlink r:id="rId3919" ref="B1307"/>
    <hyperlink r:id="rId3920" ref="E1307"/>
    <hyperlink r:id="rId3921" ref="O1307"/>
    <hyperlink r:id="rId3922" ref="B1308"/>
    <hyperlink r:id="rId3923" ref="E1308"/>
    <hyperlink r:id="rId3924" ref="O1308"/>
    <hyperlink r:id="rId3925" ref="B1309"/>
    <hyperlink r:id="rId3926" ref="E1309"/>
    <hyperlink r:id="rId3927" ref="O1309"/>
    <hyperlink r:id="rId3928" ref="B1310"/>
    <hyperlink r:id="rId3929" ref="E1310"/>
    <hyperlink r:id="rId3930" ref="O1310"/>
    <hyperlink r:id="rId3931" ref="B1311"/>
    <hyperlink r:id="rId3932" ref="E1311"/>
    <hyperlink r:id="rId3933" ref="O1311"/>
    <hyperlink r:id="rId3934" ref="B1312"/>
    <hyperlink r:id="rId3935" ref="E1312"/>
    <hyperlink r:id="rId3936" ref="O1312"/>
    <hyperlink r:id="rId3937" ref="B1313"/>
    <hyperlink r:id="rId3938" ref="E1313"/>
    <hyperlink r:id="rId3939" ref="O1313"/>
    <hyperlink r:id="rId3940" ref="B1314"/>
    <hyperlink r:id="rId3941" ref="E1314"/>
    <hyperlink r:id="rId3942" ref="O1314"/>
    <hyperlink r:id="rId3943" ref="B1315"/>
    <hyperlink r:id="rId3944" ref="E1315"/>
    <hyperlink r:id="rId3945" ref="O1315"/>
    <hyperlink r:id="rId3946" ref="B1316"/>
    <hyperlink r:id="rId3947" ref="E1316"/>
    <hyperlink r:id="rId3948" ref="O1316"/>
    <hyperlink r:id="rId3949" ref="B1317"/>
    <hyperlink r:id="rId3950" ref="E1317"/>
    <hyperlink r:id="rId3951" ref="O1317"/>
    <hyperlink r:id="rId3952" ref="B1318"/>
    <hyperlink r:id="rId3953" ref="E1318"/>
    <hyperlink r:id="rId3954" ref="O1318"/>
    <hyperlink r:id="rId3955" ref="B1319"/>
    <hyperlink r:id="rId3956" ref="E1319"/>
    <hyperlink r:id="rId3957" ref="O1319"/>
    <hyperlink r:id="rId3958" ref="B1320"/>
    <hyperlink r:id="rId3959" ref="E1320"/>
    <hyperlink r:id="rId3960" ref="O1320"/>
    <hyperlink r:id="rId3961" ref="B1321"/>
    <hyperlink r:id="rId3962" ref="E1321"/>
    <hyperlink r:id="rId3963" ref="O1321"/>
    <hyperlink r:id="rId3964" ref="B1322"/>
    <hyperlink r:id="rId3965" ref="E1322"/>
    <hyperlink r:id="rId3966" ref="O1322"/>
    <hyperlink r:id="rId3967" ref="B1323"/>
    <hyperlink r:id="rId3968" ref="E1323"/>
    <hyperlink r:id="rId3969" ref="O1323"/>
    <hyperlink r:id="rId3970" ref="B1324"/>
    <hyperlink r:id="rId3971" ref="E1324"/>
    <hyperlink r:id="rId3972" ref="O1324"/>
    <hyperlink r:id="rId3973" ref="B1325"/>
    <hyperlink r:id="rId3974" ref="E1325"/>
    <hyperlink r:id="rId3975" ref="O1325"/>
    <hyperlink r:id="rId3976" ref="B1326"/>
    <hyperlink r:id="rId3977" ref="E1326"/>
    <hyperlink r:id="rId3978" ref="O1326"/>
    <hyperlink r:id="rId3979" ref="B1327"/>
    <hyperlink r:id="rId3980" ref="E1327"/>
    <hyperlink r:id="rId3981" ref="O1327"/>
    <hyperlink r:id="rId3982" ref="B1328"/>
    <hyperlink r:id="rId3983" ref="E1328"/>
    <hyperlink r:id="rId3984" ref="O1328"/>
    <hyperlink r:id="rId3985" ref="B1329"/>
    <hyperlink r:id="rId3986" ref="E1329"/>
    <hyperlink r:id="rId3987" ref="O1329"/>
    <hyperlink r:id="rId3988" ref="B1330"/>
    <hyperlink r:id="rId3989" ref="E1330"/>
    <hyperlink r:id="rId3990" ref="O1330"/>
    <hyperlink r:id="rId3991" ref="B1331"/>
    <hyperlink r:id="rId3992" ref="E1331"/>
    <hyperlink r:id="rId3993" ref="O1331"/>
    <hyperlink r:id="rId3994" ref="B1332"/>
    <hyperlink r:id="rId3995" ref="E1332"/>
    <hyperlink r:id="rId3996" ref="O1332"/>
    <hyperlink r:id="rId3997" ref="B1333"/>
    <hyperlink r:id="rId3998" ref="E1333"/>
    <hyperlink r:id="rId3999" ref="O1333"/>
    <hyperlink r:id="rId4000" ref="B1334"/>
    <hyperlink r:id="rId4001" ref="E1334"/>
    <hyperlink r:id="rId4002" ref="O1334"/>
    <hyperlink r:id="rId4003" ref="B1335"/>
    <hyperlink r:id="rId4004" ref="E1335"/>
    <hyperlink r:id="rId4005" ref="O1335"/>
    <hyperlink r:id="rId4006" ref="B1336"/>
    <hyperlink r:id="rId4007" ref="E1336"/>
    <hyperlink r:id="rId4008" ref="O1336"/>
    <hyperlink r:id="rId4009" ref="B1337"/>
    <hyperlink r:id="rId4010" ref="E1337"/>
    <hyperlink r:id="rId4011" ref="O1337"/>
    <hyperlink r:id="rId4012" ref="B1338"/>
    <hyperlink r:id="rId4013" ref="E1338"/>
    <hyperlink r:id="rId4014" ref="O1338"/>
    <hyperlink r:id="rId4015" ref="B1339"/>
    <hyperlink r:id="rId4016" ref="E1339"/>
    <hyperlink r:id="rId4017" ref="O1339"/>
    <hyperlink r:id="rId4018" ref="B1340"/>
    <hyperlink r:id="rId4019" ref="E1340"/>
    <hyperlink r:id="rId4020" ref="O1340"/>
    <hyperlink r:id="rId4021" ref="B1341"/>
    <hyperlink r:id="rId4022" ref="E1341"/>
    <hyperlink r:id="rId4023" ref="O1341"/>
    <hyperlink r:id="rId4024" ref="B1342"/>
    <hyperlink r:id="rId4025" ref="E1342"/>
    <hyperlink r:id="rId4026" ref="O1342"/>
    <hyperlink r:id="rId4027" ref="B1343"/>
    <hyperlink r:id="rId4028" ref="E1343"/>
    <hyperlink r:id="rId4029" ref="O1343"/>
    <hyperlink r:id="rId4030" ref="B1344"/>
    <hyperlink r:id="rId4031" ref="E1344"/>
    <hyperlink r:id="rId4032" ref="O1344"/>
    <hyperlink r:id="rId4033" ref="B1345"/>
    <hyperlink r:id="rId4034" ref="E1345"/>
    <hyperlink r:id="rId4035" ref="O1345"/>
    <hyperlink r:id="rId4036" ref="B1346"/>
    <hyperlink r:id="rId4037" ref="E1346"/>
    <hyperlink r:id="rId4038" ref="O1346"/>
    <hyperlink r:id="rId4039" ref="B1347"/>
    <hyperlink r:id="rId4040" ref="E1347"/>
    <hyperlink r:id="rId4041" ref="O1347"/>
    <hyperlink r:id="rId4042" ref="B1348"/>
    <hyperlink r:id="rId4043" ref="E1348"/>
    <hyperlink r:id="rId4044" ref="O1348"/>
    <hyperlink r:id="rId4045" ref="B1349"/>
    <hyperlink r:id="rId4046" ref="E1349"/>
    <hyperlink r:id="rId4047" ref="O1349"/>
    <hyperlink r:id="rId4048" ref="B1350"/>
    <hyperlink r:id="rId4049" ref="E1350"/>
    <hyperlink r:id="rId4050" ref="O1350"/>
    <hyperlink r:id="rId4051" ref="B1351"/>
    <hyperlink r:id="rId4052" ref="E1351"/>
    <hyperlink r:id="rId4053" ref="O1351"/>
    <hyperlink r:id="rId4054" ref="B1352"/>
    <hyperlink r:id="rId4055" ref="E1352"/>
    <hyperlink r:id="rId4056" ref="O1352"/>
    <hyperlink r:id="rId4057" ref="B1353"/>
    <hyperlink r:id="rId4058" ref="E1353"/>
    <hyperlink r:id="rId4059" ref="O1353"/>
    <hyperlink r:id="rId4060" ref="B1354"/>
    <hyperlink r:id="rId4061" ref="E1354"/>
    <hyperlink r:id="rId4062" ref="O1354"/>
    <hyperlink r:id="rId4063" ref="B1355"/>
    <hyperlink r:id="rId4064" ref="E1355"/>
    <hyperlink r:id="rId4065" ref="O1355"/>
    <hyperlink r:id="rId4066" ref="B1356"/>
    <hyperlink r:id="rId4067" ref="E1356"/>
    <hyperlink r:id="rId4068" ref="O1356"/>
    <hyperlink r:id="rId4069" ref="B1357"/>
    <hyperlink r:id="rId4070" ref="E1357"/>
    <hyperlink r:id="rId4071" ref="O1357"/>
    <hyperlink r:id="rId4072" ref="B1358"/>
    <hyperlink r:id="rId4073" ref="E1358"/>
    <hyperlink r:id="rId4074" ref="O1358"/>
    <hyperlink r:id="rId4075" ref="B1359"/>
    <hyperlink r:id="rId4076" ref="E1359"/>
    <hyperlink r:id="rId4077" ref="O1359"/>
    <hyperlink r:id="rId4078" ref="B1360"/>
    <hyperlink r:id="rId4079" ref="E1360"/>
    <hyperlink r:id="rId4080" ref="O1360"/>
    <hyperlink r:id="rId4081" ref="B1361"/>
    <hyperlink r:id="rId4082" ref="E1361"/>
    <hyperlink r:id="rId4083" ref="O1361"/>
    <hyperlink r:id="rId4084" ref="B1362"/>
    <hyperlink r:id="rId4085" ref="E1362"/>
    <hyperlink r:id="rId4086" ref="O1362"/>
    <hyperlink r:id="rId4087" ref="B1363"/>
    <hyperlink r:id="rId4088" ref="E1363"/>
    <hyperlink r:id="rId4089" ref="O1363"/>
    <hyperlink r:id="rId4090" ref="B1364"/>
    <hyperlink r:id="rId4091" ref="E1364"/>
    <hyperlink r:id="rId4092" ref="O1364"/>
    <hyperlink r:id="rId4093" ref="B1365"/>
    <hyperlink r:id="rId4094" ref="E1365"/>
    <hyperlink r:id="rId4095" ref="O1365"/>
    <hyperlink r:id="rId4096" ref="B1366"/>
    <hyperlink r:id="rId4097" ref="E1366"/>
    <hyperlink r:id="rId4098" ref="O1366"/>
    <hyperlink r:id="rId4099" ref="B1367"/>
    <hyperlink r:id="rId4100" ref="E1367"/>
    <hyperlink r:id="rId4101" ref="O1367"/>
    <hyperlink r:id="rId4102" ref="B1368"/>
    <hyperlink r:id="rId4103" ref="E1368"/>
    <hyperlink r:id="rId4104" ref="O1368"/>
    <hyperlink r:id="rId4105" ref="B1369"/>
    <hyperlink r:id="rId4106" ref="E1369"/>
    <hyperlink r:id="rId4107" ref="O1369"/>
    <hyperlink r:id="rId4108" ref="B1370"/>
    <hyperlink r:id="rId4109" ref="E1370"/>
    <hyperlink r:id="rId4110" ref="O1370"/>
    <hyperlink r:id="rId4111" ref="B1371"/>
    <hyperlink r:id="rId4112" ref="E1371"/>
    <hyperlink r:id="rId4113" ref="O1371"/>
    <hyperlink r:id="rId4114" ref="B1372"/>
    <hyperlink r:id="rId4115" ref="E1372"/>
    <hyperlink r:id="rId4116" ref="O1372"/>
    <hyperlink r:id="rId4117" ref="B1373"/>
    <hyperlink r:id="rId4118" ref="E1373"/>
    <hyperlink r:id="rId4119" ref="O1373"/>
    <hyperlink r:id="rId4120" ref="B1374"/>
    <hyperlink r:id="rId4121" ref="E1374"/>
    <hyperlink r:id="rId4122" ref="O1374"/>
    <hyperlink r:id="rId4123" ref="B1375"/>
    <hyperlink r:id="rId4124" ref="E1375"/>
    <hyperlink r:id="rId4125" ref="O1375"/>
    <hyperlink r:id="rId4126" ref="B1376"/>
    <hyperlink r:id="rId4127" ref="E1376"/>
    <hyperlink r:id="rId4128" ref="O1376"/>
    <hyperlink r:id="rId4129" ref="B1377"/>
    <hyperlink r:id="rId4130" ref="E1377"/>
    <hyperlink r:id="rId4131" ref="O1377"/>
    <hyperlink r:id="rId4132" ref="B1378"/>
    <hyperlink r:id="rId4133" ref="E1378"/>
    <hyperlink r:id="rId4134" ref="O1378"/>
    <hyperlink r:id="rId4135" ref="B1379"/>
    <hyperlink r:id="rId4136" ref="E1379"/>
    <hyperlink r:id="rId4137" ref="O1379"/>
    <hyperlink r:id="rId4138" ref="B1380"/>
    <hyperlink r:id="rId4139" ref="E1380"/>
    <hyperlink r:id="rId4140" ref="O1380"/>
    <hyperlink r:id="rId4141" ref="B1381"/>
    <hyperlink r:id="rId4142" ref="E1381"/>
    <hyperlink r:id="rId4143" ref="O1381"/>
    <hyperlink r:id="rId4144" ref="B1382"/>
    <hyperlink r:id="rId4145" ref="E1382"/>
    <hyperlink r:id="rId4146" ref="O1382"/>
    <hyperlink r:id="rId4147" ref="B1383"/>
    <hyperlink r:id="rId4148" ref="E1383"/>
    <hyperlink r:id="rId4149" ref="O1383"/>
    <hyperlink r:id="rId4150" ref="B1384"/>
    <hyperlink r:id="rId4151" ref="E1384"/>
    <hyperlink r:id="rId4152" ref="O1384"/>
    <hyperlink r:id="rId4153" ref="B1385"/>
    <hyperlink r:id="rId4154" ref="E1385"/>
    <hyperlink r:id="rId4155" ref="O1385"/>
    <hyperlink r:id="rId4156" ref="B1386"/>
    <hyperlink r:id="rId4157" ref="E1386"/>
    <hyperlink r:id="rId4158" ref="O1386"/>
    <hyperlink r:id="rId4159" ref="B1387"/>
    <hyperlink r:id="rId4160" ref="E1387"/>
    <hyperlink r:id="rId4161" ref="O1387"/>
    <hyperlink r:id="rId4162" ref="B1388"/>
    <hyperlink r:id="rId4163" ref="E1388"/>
    <hyperlink r:id="rId4164" ref="O1388"/>
    <hyperlink r:id="rId4165" ref="B1389"/>
    <hyperlink r:id="rId4166" ref="E1389"/>
    <hyperlink r:id="rId4167" ref="O1389"/>
    <hyperlink r:id="rId4168" ref="B1390"/>
    <hyperlink r:id="rId4169" ref="E1390"/>
    <hyperlink r:id="rId4170" ref="O1390"/>
    <hyperlink r:id="rId4171" ref="B1391"/>
    <hyperlink r:id="rId4172" ref="E1391"/>
    <hyperlink r:id="rId4173" ref="O1391"/>
    <hyperlink r:id="rId4174" ref="B1392"/>
    <hyperlink r:id="rId4175" ref="E1392"/>
    <hyperlink r:id="rId4176" ref="O1392"/>
    <hyperlink r:id="rId4177" ref="B1393"/>
    <hyperlink r:id="rId4178" ref="E1393"/>
    <hyperlink r:id="rId4179" ref="O1393"/>
    <hyperlink r:id="rId4180" ref="B1394"/>
    <hyperlink r:id="rId4181" ref="E1394"/>
    <hyperlink r:id="rId4182" ref="O1394"/>
    <hyperlink r:id="rId4183" ref="B1395"/>
    <hyperlink r:id="rId4184" ref="E1395"/>
    <hyperlink r:id="rId4185" ref="O1395"/>
    <hyperlink r:id="rId4186" ref="B1396"/>
    <hyperlink r:id="rId4187" ref="E1396"/>
    <hyperlink r:id="rId4188" ref="O1396"/>
    <hyperlink r:id="rId4189" ref="B1397"/>
    <hyperlink r:id="rId4190" ref="E1397"/>
    <hyperlink r:id="rId4191" ref="O1397"/>
    <hyperlink r:id="rId4192" ref="B1398"/>
    <hyperlink r:id="rId4193" ref="E1398"/>
    <hyperlink r:id="rId4194" ref="O1398"/>
    <hyperlink r:id="rId4195" ref="B1399"/>
    <hyperlink r:id="rId4196" ref="E1399"/>
    <hyperlink r:id="rId4197" ref="O1399"/>
    <hyperlink r:id="rId4198" ref="B1400"/>
    <hyperlink r:id="rId4199" ref="E1400"/>
    <hyperlink r:id="rId4200" ref="O1400"/>
    <hyperlink r:id="rId4201" ref="B1401"/>
    <hyperlink r:id="rId4202" ref="E1401"/>
    <hyperlink r:id="rId4203" ref="O1401"/>
    <hyperlink r:id="rId4204" ref="B1402"/>
    <hyperlink r:id="rId4205" ref="E1402"/>
    <hyperlink r:id="rId4206" ref="O1402"/>
    <hyperlink r:id="rId4207" ref="B1403"/>
    <hyperlink r:id="rId4208" ref="E1403"/>
    <hyperlink r:id="rId4209" ref="O1403"/>
    <hyperlink r:id="rId4210" ref="B1404"/>
    <hyperlink r:id="rId4211" ref="E1404"/>
    <hyperlink r:id="rId4212" ref="O1404"/>
    <hyperlink r:id="rId4213" ref="B1405"/>
    <hyperlink r:id="rId4214" ref="E1405"/>
    <hyperlink r:id="rId4215" ref="O1405"/>
    <hyperlink r:id="rId4216" ref="B1406"/>
    <hyperlink r:id="rId4217" ref="E1406"/>
    <hyperlink r:id="rId4218" ref="O1406"/>
    <hyperlink r:id="rId4219" ref="B1407"/>
    <hyperlink r:id="rId4220" ref="E1407"/>
    <hyperlink r:id="rId4221" ref="O1407"/>
    <hyperlink r:id="rId4222" ref="B1408"/>
    <hyperlink r:id="rId4223" ref="E1408"/>
    <hyperlink r:id="rId4224" ref="O1408"/>
    <hyperlink r:id="rId4225" ref="B1409"/>
    <hyperlink r:id="rId4226" ref="E1409"/>
    <hyperlink r:id="rId4227" ref="O1409"/>
    <hyperlink r:id="rId4228" ref="B1410"/>
    <hyperlink r:id="rId4229" ref="E1410"/>
    <hyperlink r:id="rId4230" ref="O1410"/>
    <hyperlink r:id="rId4231" ref="B1411"/>
    <hyperlink r:id="rId4232" ref="E1411"/>
    <hyperlink r:id="rId4233" ref="O1411"/>
    <hyperlink r:id="rId4234" ref="B1412"/>
    <hyperlink r:id="rId4235" ref="E1412"/>
    <hyperlink r:id="rId4236" ref="O1412"/>
    <hyperlink r:id="rId4237" ref="B1413"/>
    <hyperlink r:id="rId4238" ref="E1413"/>
    <hyperlink r:id="rId4239" ref="O1413"/>
    <hyperlink r:id="rId4240" ref="B1414"/>
    <hyperlink r:id="rId4241" ref="E1414"/>
    <hyperlink r:id="rId4242" ref="O1414"/>
    <hyperlink r:id="rId4243" ref="B1415"/>
    <hyperlink r:id="rId4244" ref="E1415"/>
    <hyperlink r:id="rId4245" ref="O1415"/>
    <hyperlink r:id="rId4246" location="42.38888889,-72.52777778" ref="P1415"/>
    <hyperlink r:id="rId4247" ref="B1416"/>
    <hyperlink r:id="rId4248" ref="E1416"/>
    <hyperlink r:id="rId4249" ref="O1416"/>
    <hyperlink r:id="rId4250" ref="B1417"/>
    <hyperlink r:id="rId4251" ref="E1417"/>
    <hyperlink r:id="rId4252" ref="O1417"/>
    <hyperlink r:id="rId4253" ref="B1418"/>
    <hyperlink r:id="rId4254" ref="E1418"/>
    <hyperlink r:id="rId4255" ref="O1418"/>
    <hyperlink r:id="rId4256" ref="B1419"/>
    <hyperlink r:id="rId4257" ref="E1419"/>
    <hyperlink r:id="rId4258" ref="O1419"/>
    <hyperlink r:id="rId4259" ref="B1420"/>
    <hyperlink r:id="rId4260" ref="E1420"/>
    <hyperlink r:id="rId4261" ref="O1420"/>
    <hyperlink r:id="rId4262" ref="B1421"/>
    <hyperlink r:id="rId4263" ref="E1421"/>
    <hyperlink r:id="rId4264" ref="O1421"/>
    <hyperlink r:id="rId4265" ref="B1422"/>
    <hyperlink r:id="rId4266" ref="E1422"/>
    <hyperlink r:id="rId4267" ref="O1422"/>
    <hyperlink r:id="rId4268" ref="B1423"/>
    <hyperlink r:id="rId4269" ref="E1423"/>
    <hyperlink r:id="rId4270" ref="O1423"/>
    <hyperlink r:id="rId4271" ref="B1424"/>
    <hyperlink r:id="rId4272" ref="E1424"/>
    <hyperlink r:id="rId4273" ref="O1424"/>
    <hyperlink r:id="rId4274" ref="B1425"/>
    <hyperlink r:id="rId4275" ref="E1425"/>
    <hyperlink r:id="rId4276" ref="O1425"/>
    <hyperlink r:id="rId4277" ref="B1426"/>
    <hyperlink r:id="rId4278" ref="E1426"/>
    <hyperlink r:id="rId4279" ref="O1426"/>
    <hyperlink r:id="rId4280" ref="B1427"/>
    <hyperlink r:id="rId4281" ref="E1427"/>
    <hyperlink r:id="rId4282" ref="O1427"/>
    <hyperlink r:id="rId4283" ref="B1428"/>
    <hyperlink r:id="rId4284" ref="E1428"/>
    <hyperlink r:id="rId4285" ref="O1428"/>
    <hyperlink r:id="rId4286" ref="B1429"/>
    <hyperlink r:id="rId4287" ref="E1429"/>
    <hyperlink r:id="rId4288" ref="O1429"/>
    <hyperlink r:id="rId4289" ref="B1430"/>
    <hyperlink r:id="rId4290" ref="E1430"/>
    <hyperlink r:id="rId4291" ref="O1430"/>
    <hyperlink r:id="rId4292" ref="B1431"/>
    <hyperlink r:id="rId4293" ref="E1431"/>
    <hyperlink r:id="rId4294" ref="O1431"/>
    <hyperlink r:id="rId4295" ref="B1432"/>
    <hyperlink r:id="rId4296" ref="E1432"/>
    <hyperlink r:id="rId4297" ref="O1432"/>
    <hyperlink r:id="rId4298" ref="B1433"/>
    <hyperlink r:id="rId4299" ref="E1433"/>
    <hyperlink r:id="rId4300" ref="O1433"/>
    <hyperlink r:id="rId4301" ref="B1434"/>
    <hyperlink r:id="rId4302" ref="E1434"/>
    <hyperlink r:id="rId4303" ref="O1434"/>
    <hyperlink r:id="rId4304" ref="B1435"/>
    <hyperlink r:id="rId4305" ref="E1435"/>
    <hyperlink r:id="rId4306" ref="O1435"/>
    <hyperlink r:id="rId4307" ref="B1436"/>
    <hyperlink r:id="rId4308" ref="E1436"/>
    <hyperlink r:id="rId4309" ref="O1436"/>
    <hyperlink r:id="rId4310" ref="B1437"/>
    <hyperlink r:id="rId4311" ref="E1437"/>
    <hyperlink r:id="rId4312" ref="O1437"/>
    <hyperlink r:id="rId4313" ref="B1438"/>
    <hyperlink r:id="rId4314" ref="E1438"/>
    <hyperlink r:id="rId4315" ref="O1438"/>
    <hyperlink r:id="rId4316" ref="B1439"/>
    <hyperlink r:id="rId4317" ref="E1439"/>
    <hyperlink r:id="rId4318" ref="O1439"/>
    <hyperlink r:id="rId4319" ref="B1440"/>
    <hyperlink r:id="rId4320" ref="E1440"/>
    <hyperlink r:id="rId4321" ref="O1440"/>
    <hyperlink r:id="rId4322" ref="B1441"/>
    <hyperlink r:id="rId4323" ref="E1441"/>
    <hyperlink r:id="rId4324" ref="O1441"/>
    <hyperlink r:id="rId4325" ref="B1442"/>
    <hyperlink r:id="rId4326" ref="E1442"/>
    <hyperlink r:id="rId4327" ref="O1442"/>
    <hyperlink r:id="rId4328" ref="B1443"/>
    <hyperlink r:id="rId4329" ref="E1443"/>
    <hyperlink r:id="rId4330" ref="O1443"/>
    <hyperlink r:id="rId4331" ref="B1444"/>
    <hyperlink r:id="rId4332" ref="E1444"/>
    <hyperlink r:id="rId4333" ref="O1444"/>
    <hyperlink r:id="rId4334" ref="B1445"/>
    <hyperlink r:id="rId4335" ref="E1445"/>
    <hyperlink r:id="rId4336" ref="O1445"/>
    <hyperlink r:id="rId4337" ref="B1446"/>
    <hyperlink r:id="rId4338" ref="E1446"/>
    <hyperlink r:id="rId4339" ref="O1446"/>
    <hyperlink r:id="rId4340" ref="B1447"/>
    <hyperlink r:id="rId4341" ref="E1447"/>
    <hyperlink r:id="rId4342" ref="O1447"/>
    <hyperlink r:id="rId4343" ref="B1448"/>
    <hyperlink r:id="rId4344" ref="E1448"/>
    <hyperlink r:id="rId4345" ref="O1448"/>
    <hyperlink r:id="rId4346" ref="B1449"/>
    <hyperlink r:id="rId4347" ref="E1449"/>
    <hyperlink r:id="rId4348" ref="O1449"/>
    <hyperlink r:id="rId4349" ref="B1450"/>
    <hyperlink r:id="rId4350" ref="E1450"/>
    <hyperlink r:id="rId4351" ref="O1450"/>
    <hyperlink r:id="rId4352" ref="B1451"/>
    <hyperlink r:id="rId4353" ref="E1451"/>
    <hyperlink r:id="rId4354" ref="O1451"/>
    <hyperlink r:id="rId4355" ref="B1452"/>
    <hyperlink r:id="rId4356" ref="E1452"/>
    <hyperlink r:id="rId4357" ref="O1452"/>
    <hyperlink r:id="rId4358" ref="B1453"/>
    <hyperlink r:id="rId4359" ref="E1453"/>
    <hyperlink r:id="rId4360" ref="O1453"/>
    <hyperlink r:id="rId4361" ref="B1454"/>
    <hyperlink r:id="rId4362" ref="E1454"/>
    <hyperlink r:id="rId4363" ref="O1454"/>
    <hyperlink r:id="rId4364" ref="B1455"/>
    <hyperlink r:id="rId4365" ref="E1455"/>
    <hyperlink r:id="rId4366" ref="O1455"/>
    <hyperlink r:id="rId4367" ref="B1456"/>
    <hyperlink r:id="rId4368" ref="E1456"/>
    <hyperlink r:id="rId4369" ref="O1456"/>
    <hyperlink r:id="rId4370" ref="B1457"/>
    <hyperlink r:id="rId4371" ref="E1457"/>
    <hyperlink r:id="rId4372" ref="O1457"/>
    <hyperlink r:id="rId4373" ref="B1458"/>
    <hyperlink r:id="rId4374" ref="E1458"/>
    <hyperlink r:id="rId4375" ref="O1458"/>
    <hyperlink r:id="rId4376" ref="B1459"/>
    <hyperlink r:id="rId4377" ref="E1459"/>
    <hyperlink r:id="rId4378" ref="O1459"/>
    <hyperlink r:id="rId4379" ref="B1460"/>
    <hyperlink r:id="rId4380" ref="E1460"/>
    <hyperlink r:id="rId4381" ref="O1460"/>
    <hyperlink r:id="rId4382" ref="B1461"/>
    <hyperlink r:id="rId4383" ref="E1461"/>
    <hyperlink r:id="rId4384" ref="O1461"/>
    <hyperlink r:id="rId4385" ref="B1462"/>
    <hyperlink r:id="rId4386" ref="E1462"/>
    <hyperlink r:id="rId4387" ref="O1462"/>
    <hyperlink r:id="rId4388" ref="B1463"/>
    <hyperlink r:id="rId4389" ref="E1463"/>
    <hyperlink r:id="rId4390" ref="O1463"/>
    <hyperlink r:id="rId4391" ref="B1464"/>
    <hyperlink r:id="rId4392" ref="E1464"/>
    <hyperlink r:id="rId4393" ref="O1464"/>
    <hyperlink r:id="rId4394" ref="B1465"/>
    <hyperlink r:id="rId4395" ref="E1465"/>
    <hyperlink r:id="rId4396" ref="O1465"/>
    <hyperlink r:id="rId4397" ref="B1466"/>
    <hyperlink r:id="rId4398" ref="E1466"/>
    <hyperlink r:id="rId4399" ref="O1466"/>
    <hyperlink r:id="rId4400" ref="B1467"/>
    <hyperlink r:id="rId4401" ref="E1467"/>
    <hyperlink r:id="rId4402" ref="O1467"/>
    <hyperlink r:id="rId4403" ref="B1468"/>
    <hyperlink r:id="rId4404" ref="E1468"/>
    <hyperlink r:id="rId4405" ref="O1468"/>
    <hyperlink r:id="rId4406" ref="B1469"/>
    <hyperlink r:id="rId4407" ref="E1469"/>
    <hyperlink r:id="rId4408" ref="O1469"/>
    <hyperlink r:id="rId4409" ref="B1470"/>
    <hyperlink r:id="rId4410" ref="E1470"/>
    <hyperlink r:id="rId4411" ref="O1470"/>
    <hyperlink r:id="rId4412" ref="B1471"/>
    <hyperlink r:id="rId4413" ref="E1471"/>
    <hyperlink r:id="rId4414" ref="O1471"/>
    <hyperlink r:id="rId4415" ref="B1472"/>
    <hyperlink r:id="rId4416" ref="E1472"/>
    <hyperlink r:id="rId4417" ref="O1472"/>
    <hyperlink r:id="rId4418" ref="B1473"/>
    <hyperlink r:id="rId4419" ref="E1473"/>
    <hyperlink r:id="rId4420" ref="O1473"/>
    <hyperlink r:id="rId4421" ref="B1474"/>
    <hyperlink r:id="rId4422" ref="E1474"/>
    <hyperlink r:id="rId4423" ref="O1474"/>
    <hyperlink r:id="rId4424" ref="B1475"/>
    <hyperlink r:id="rId4425" ref="E1475"/>
    <hyperlink r:id="rId4426" ref="O1475"/>
    <hyperlink r:id="rId4427" ref="B1476"/>
    <hyperlink r:id="rId4428" ref="E1476"/>
    <hyperlink r:id="rId4429" ref="O1476"/>
    <hyperlink r:id="rId4430" ref="B1477"/>
    <hyperlink r:id="rId4431" ref="E1477"/>
    <hyperlink r:id="rId4432" ref="O1477"/>
    <hyperlink r:id="rId4433" ref="B1478"/>
    <hyperlink r:id="rId4434" ref="E1478"/>
    <hyperlink r:id="rId4435" ref="O1478"/>
    <hyperlink r:id="rId4436" ref="B1479"/>
    <hyperlink r:id="rId4437" ref="E1479"/>
    <hyperlink r:id="rId4438" ref="O1479"/>
    <hyperlink r:id="rId4439" ref="B1480"/>
    <hyperlink r:id="rId4440" ref="E1480"/>
    <hyperlink r:id="rId4441" ref="O1480"/>
    <hyperlink r:id="rId4442" ref="B1481"/>
    <hyperlink r:id="rId4443" ref="E1481"/>
    <hyperlink r:id="rId4444" ref="O1481"/>
    <hyperlink r:id="rId4445" ref="B1482"/>
    <hyperlink r:id="rId4446" ref="E1482"/>
    <hyperlink r:id="rId4447" ref="O1482"/>
    <hyperlink r:id="rId4448" ref="B1483"/>
    <hyperlink r:id="rId4449" ref="E1483"/>
    <hyperlink r:id="rId4450" ref="O1483"/>
    <hyperlink r:id="rId4451" ref="B1484"/>
    <hyperlink r:id="rId4452" ref="E1484"/>
    <hyperlink r:id="rId4453" ref="O1484"/>
    <hyperlink r:id="rId4454" ref="B1485"/>
    <hyperlink r:id="rId4455" ref="E1485"/>
    <hyperlink r:id="rId4456" ref="O1485"/>
    <hyperlink r:id="rId4457" ref="B1486"/>
    <hyperlink r:id="rId4458" ref="E1486"/>
    <hyperlink r:id="rId4459" ref="O1486"/>
    <hyperlink r:id="rId4460" ref="B1487"/>
    <hyperlink r:id="rId4461" ref="E1487"/>
    <hyperlink r:id="rId4462" ref="O1487"/>
    <hyperlink r:id="rId4463" ref="B1488"/>
    <hyperlink r:id="rId4464" ref="E1488"/>
    <hyperlink r:id="rId4465" ref="O1488"/>
    <hyperlink r:id="rId4466" ref="B1489"/>
    <hyperlink r:id="rId4467" ref="E1489"/>
    <hyperlink r:id="rId4468" ref="O1489"/>
    <hyperlink r:id="rId4469" ref="B1490"/>
    <hyperlink r:id="rId4470" ref="E1490"/>
    <hyperlink r:id="rId4471" ref="O1490"/>
    <hyperlink r:id="rId4472" ref="B1491"/>
    <hyperlink r:id="rId4473" ref="E1491"/>
    <hyperlink r:id="rId4474" ref="O1491"/>
    <hyperlink r:id="rId4475" ref="B1492"/>
    <hyperlink r:id="rId4476" ref="E1492"/>
    <hyperlink r:id="rId4477" ref="O1492"/>
    <hyperlink r:id="rId4478" ref="B1493"/>
    <hyperlink r:id="rId4479" ref="E1493"/>
    <hyperlink r:id="rId4480" ref="O1493"/>
    <hyperlink r:id="rId4481" ref="B1494"/>
    <hyperlink r:id="rId4482" ref="E1494"/>
    <hyperlink r:id="rId4483" ref="O1494"/>
    <hyperlink r:id="rId4484" ref="B1495"/>
    <hyperlink r:id="rId4485" ref="E1495"/>
    <hyperlink r:id="rId4486" ref="O1495"/>
    <hyperlink r:id="rId4487" ref="B1496"/>
    <hyperlink r:id="rId4488" ref="E1496"/>
    <hyperlink r:id="rId4489" ref="O1496"/>
    <hyperlink r:id="rId4490" ref="B1497"/>
    <hyperlink r:id="rId4491" ref="E1497"/>
    <hyperlink r:id="rId4492" ref="O1497"/>
    <hyperlink r:id="rId4493" ref="B1498"/>
    <hyperlink r:id="rId4494" ref="E1498"/>
    <hyperlink r:id="rId4495" ref="O1498"/>
    <hyperlink r:id="rId4496" ref="B1499"/>
    <hyperlink r:id="rId4497" ref="E1499"/>
    <hyperlink r:id="rId4498" ref="O1499"/>
    <hyperlink r:id="rId4499" ref="B1500"/>
    <hyperlink r:id="rId4500" ref="E1500"/>
    <hyperlink r:id="rId4501" ref="O1500"/>
    <hyperlink r:id="rId4502" ref="B1501"/>
    <hyperlink r:id="rId4503" ref="E1501"/>
    <hyperlink r:id="rId4504" ref="O1501"/>
    <hyperlink r:id="rId4505" ref="B1502"/>
    <hyperlink r:id="rId4506" ref="E1502"/>
    <hyperlink r:id="rId4507" ref="O1502"/>
    <hyperlink r:id="rId4508" ref="B1503"/>
    <hyperlink r:id="rId4509" ref="E1503"/>
    <hyperlink r:id="rId4510" ref="O1503"/>
    <hyperlink r:id="rId4511" ref="B1504"/>
    <hyperlink r:id="rId4512" ref="E1504"/>
    <hyperlink r:id="rId4513" ref="O1504"/>
    <hyperlink r:id="rId4514" ref="B1505"/>
    <hyperlink r:id="rId4515" ref="E1505"/>
    <hyperlink r:id="rId4516" ref="O1505"/>
    <hyperlink r:id="rId4517" ref="B1506"/>
    <hyperlink r:id="rId4518" ref="E1506"/>
    <hyperlink r:id="rId4519" ref="O1506"/>
    <hyperlink r:id="rId4520" ref="B1507"/>
    <hyperlink r:id="rId4521" ref="E1507"/>
    <hyperlink r:id="rId4522" ref="O1507"/>
    <hyperlink r:id="rId4523" ref="B1508"/>
    <hyperlink r:id="rId4524" ref="E1508"/>
    <hyperlink r:id="rId4525" ref="O1508"/>
    <hyperlink r:id="rId4526" ref="B1509"/>
    <hyperlink r:id="rId4527" ref="E1509"/>
    <hyperlink r:id="rId4528" ref="O1509"/>
    <hyperlink r:id="rId4529" ref="B1510"/>
    <hyperlink r:id="rId4530" ref="E1510"/>
    <hyperlink r:id="rId4531" ref="O1510"/>
    <hyperlink r:id="rId4532" ref="B1511"/>
    <hyperlink r:id="rId4533" ref="E1511"/>
    <hyperlink r:id="rId4534" ref="O1511"/>
    <hyperlink r:id="rId4535" ref="B1512"/>
    <hyperlink r:id="rId4536" ref="E1512"/>
    <hyperlink r:id="rId4537" ref="O1512"/>
    <hyperlink r:id="rId4538" ref="B1513"/>
    <hyperlink r:id="rId4539" ref="E1513"/>
    <hyperlink r:id="rId4540" ref="O1513"/>
    <hyperlink r:id="rId4541" ref="B1514"/>
    <hyperlink r:id="rId4542" ref="E1514"/>
    <hyperlink r:id="rId4543" ref="O1514"/>
    <hyperlink r:id="rId4544" ref="B1515"/>
    <hyperlink r:id="rId4545" ref="E1515"/>
    <hyperlink r:id="rId4546" ref="O1515"/>
    <hyperlink r:id="rId4547" ref="B1516"/>
    <hyperlink r:id="rId4548" ref="E1516"/>
    <hyperlink r:id="rId4549" ref="O1516"/>
    <hyperlink r:id="rId4550" ref="B1517"/>
    <hyperlink r:id="rId4551" ref="E1517"/>
    <hyperlink r:id="rId4552" ref="O1517"/>
    <hyperlink r:id="rId4553" ref="B1518"/>
    <hyperlink r:id="rId4554" ref="E1518"/>
    <hyperlink r:id="rId4555" ref="O1518"/>
    <hyperlink r:id="rId4556" ref="B1519"/>
    <hyperlink r:id="rId4557" ref="E1519"/>
    <hyperlink r:id="rId4558" ref="O1519"/>
    <hyperlink r:id="rId4559" ref="B1520"/>
    <hyperlink r:id="rId4560" ref="E1520"/>
    <hyperlink r:id="rId4561" ref="O1520"/>
    <hyperlink r:id="rId4562" ref="B1521"/>
    <hyperlink r:id="rId4563" ref="E1521"/>
    <hyperlink r:id="rId4564" ref="O1521"/>
    <hyperlink r:id="rId4565" ref="B1522"/>
    <hyperlink r:id="rId4566" ref="E1522"/>
    <hyperlink r:id="rId4567" ref="O1522"/>
    <hyperlink r:id="rId4568" ref="B1523"/>
    <hyperlink r:id="rId4569" ref="E1523"/>
    <hyperlink r:id="rId4570" ref="O1523"/>
    <hyperlink r:id="rId4571" ref="B1524"/>
    <hyperlink r:id="rId4572" ref="E1524"/>
    <hyperlink r:id="rId4573" ref="O1524"/>
    <hyperlink r:id="rId4574" ref="B1525"/>
    <hyperlink r:id="rId4575" ref="E1525"/>
    <hyperlink r:id="rId4576" ref="O1525"/>
    <hyperlink r:id="rId4577" ref="B1526"/>
    <hyperlink r:id="rId4578" ref="E1526"/>
    <hyperlink r:id="rId4579" ref="O1526"/>
    <hyperlink r:id="rId4580" ref="B1527"/>
    <hyperlink r:id="rId4581" ref="E1527"/>
    <hyperlink r:id="rId4582" ref="O1527"/>
    <hyperlink r:id="rId4583" ref="B1528"/>
    <hyperlink r:id="rId4584" ref="E1528"/>
    <hyperlink r:id="rId4585" ref="O1528"/>
    <hyperlink r:id="rId4586" ref="B1529"/>
    <hyperlink r:id="rId4587" ref="E1529"/>
    <hyperlink r:id="rId4588" ref="O1529"/>
    <hyperlink r:id="rId4589" ref="B1530"/>
    <hyperlink r:id="rId4590" ref="E1530"/>
    <hyperlink r:id="rId4591" ref="O1530"/>
    <hyperlink r:id="rId4592" ref="B1531"/>
    <hyperlink r:id="rId4593" ref="E1531"/>
    <hyperlink r:id="rId4594" ref="O1531"/>
    <hyperlink r:id="rId4595" ref="B1532"/>
    <hyperlink r:id="rId4596" ref="E1532"/>
    <hyperlink r:id="rId4597" ref="O1532"/>
    <hyperlink r:id="rId4598" ref="B1533"/>
    <hyperlink r:id="rId4599" ref="E1533"/>
    <hyperlink r:id="rId4600" ref="O1533"/>
    <hyperlink r:id="rId4601" ref="B1534"/>
    <hyperlink r:id="rId4602" ref="E1534"/>
    <hyperlink r:id="rId4603" ref="O1534"/>
    <hyperlink r:id="rId4604" ref="B1535"/>
    <hyperlink r:id="rId4605" ref="E1535"/>
    <hyperlink r:id="rId4606" ref="O1535"/>
    <hyperlink r:id="rId4607" ref="B1536"/>
    <hyperlink r:id="rId4608" ref="E1536"/>
    <hyperlink r:id="rId4609" ref="O1536"/>
    <hyperlink r:id="rId4610" ref="B1537"/>
    <hyperlink r:id="rId4611" ref="E1537"/>
    <hyperlink r:id="rId4612" ref="O1537"/>
    <hyperlink r:id="rId4613" ref="B1538"/>
    <hyperlink r:id="rId4614" ref="E1538"/>
    <hyperlink r:id="rId4615" ref="O1538"/>
    <hyperlink r:id="rId4616" ref="B1539"/>
    <hyperlink r:id="rId4617" ref="E1539"/>
    <hyperlink r:id="rId4618" ref="O1539"/>
    <hyperlink r:id="rId4619" ref="B1540"/>
    <hyperlink r:id="rId4620" ref="E1540"/>
    <hyperlink r:id="rId4621" ref="O1540"/>
    <hyperlink r:id="rId4622" ref="B1541"/>
    <hyperlink r:id="rId4623" ref="E1541"/>
    <hyperlink r:id="rId4624" ref="O1541"/>
    <hyperlink r:id="rId4625" ref="B1542"/>
    <hyperlink r:id="rId4626" ref="E1542"/>
    <hyperlink r:id="rId4627" ref="O1542"/>
    <hyperlink r:id="rId4628" ref="B1543"/>
    <hyperlink r:id="rId4629" ref="E1543"/>
    <hyperlink r:id="rId4630" ref="O1543"/>
    <hyperlink r:id="rId4631" ref="B1544"/>
    <hyperlink r:id="rId4632" ref="E1544"/>
    <hyperlink r:id="rId4633" ref="O1544"/>
    <hyperlink r:id="rId4634" ref="B1545"/>
    <hyperlink r:id="rId4635" ref="E1545"/>
    <hyperlink r:id="rId4636" ref="O1545"/>
    <hyperlink r:id="rId4637" ref="B1546"/>
    <hyperlink r:id="rId4638" ref="E1546"/>
    <hyperlink r:id="rId4639" ref="O1546"/>
    <hyperlink r:id="rId4640" ref="B1547"/>
    <hyperlink r:id="rId4641" ref="E1547"/>
    <hyperlink r:id="rId4642" ref="O1547"/>
    <hyperlink r:id="rId4643" ref="B1548"/>
    <hyperlink r:id="rId4644" ref="E1548"/>
    <hyperlink r:id="rId4645" ref="O1548"/>
    <hyperlink r:id="rId4646" ref="B1549"/>
    <hyperlink r:id="rId4647" ref="E1549"/>
    <hyperlink r:id="rId4648" ref="O1549"/>
    <hyperlink r:id="rId4649" ref="B1550"/>
    <hyperlink r:id="rId4650" ref="E1550"/>
    <hyperlink r:id="rId4651" ref="O1550"/>
    <hyperlink r:id="rId4652" ref="B1551"/>
    <hyperlink r:id="rId4653" ref="E1551"/>
    <hyperlink r:id="rId4654" ref="O1551"/>
    <hyperlink r:id="rId4655" ref="B1552"/>
    <hyperlink r:id="rId4656" ref="E1552"/>
    <hyperlink r:id="rId4657" ref="O1552"/>
    <hyperlink r:id="rId4658" ref="B1553"/>
    <hyperlink r:id="rId4659" ref="E1553"/>
    <hyperlink r:id="rId4660" ref="O1553"/>
    <hyperlink r:id="rId4661" ref="B1554"/>
    <hyperlink r:id="rId4662" ref="E1554"/>
    <hyperlink r:id="rId4663" ref="O1554"/>
    <hyperlink r:id="rId4664" ref="B1555"/>
    <hyperlink r:id="rId4665" ref="E1555"/>
    <hyperlink r:id="rId4666" ref="O1555"/>
    <hyperlink r:id="rId4667" ref="B1556"/>
    <hyperlink r:id="rId4668" ref="E1556"/>
    <hyperlink r:id="rId4669" ref="O1556"/>
    <hyperlink r:id="rId4670" ref="B1557"/>
    <hyperlink r:id="rId4671" ref="E1557"/>
    <hyperlink r:id="rId4672" ref="O1557"/>
    <hyperlink r:id="rId4673" ref="B1558"/>
    <hyperlink r:id="rId4674" ref="E1558"/>
    <hyperlink r:id="rId4675" ref="O1558"/>
    <hyperlink r:id="rId4676" ref="B1559"/>
    <hyperlink r:id="rId4677" ref="E1559"/>
    <hyperlink r:id="rId4678" ref="O1559"/>
    <hyperlink r:id="rId4679" ref="B1560"/>
    <hyperlink r:id="rId4680" ref="E1560"/>
    <hyperlink r:id="rId4681" ref="O1560"/>
    <hyperlink r:id="rId4682" ref="B1561"/>
    <hyperlink r:id="rId4683" ref="E1561"/>
    <hyperlink r:id="rId4684" ref="O1561"/>
    <hyperlink r:id="rId4685" ref="B1562"/>
    <hyperlink r:id="rId4686" ref="E1562"/>
    <hyperlink r:id="rId4687" ref="O1562"/>
    <hyperlink r:id="rId4688" ref="B1563"/>
    <hyperlink r:id="rId4689" ref="E1563"/>
    <hyperlink r:id="rId4690" ref="O1563"/>
    <hyperlink r:id="rId4691" ref="B1564"/>
    <hyperlink r:id="rId4692" ref="E1564"/>
    <hyperlink r:id="rId4693" ref="O1564"/>
    <hyperlink r:id="rId4694" ref="B1565"/>
    <hyperlink r:id="rId4695" ref="E1565"/>
    <hyperlink r:id="rId4696" ref="O1565"/>
    <hyperlink r:id="rId4697" ref="B1566"/>
    <hyperlink r:id="rId4698" ref="E1566"/>
    <hyperlink r:id="rId4699" ref="O1566"/>
    <hyperlink r:id="rId4700" ref="B1567"/>
    <hyperlink r:id="rId4701" ref="E1567"/>
    <hyperlink r:id="rId4702" ref="O1567"/>
    <hyperlink r:id="rId4703" ref="B1568"/>
    <hyperlink r:id="rId4704" ref="E1568"/>
    <hyperlink r:id="rId4705" ref="O1568"/>
    <hyperlink r:id="rId4706" ref="B1569"/>
    <hyperlink r:id="rId4707" ref="E1569"/>
    <hyperlink r:id="rId4708" ref="O1569"/>
    <hyperlink r:id="rId4709" ref="B1570"/>
    <hyperlink r:id="rId4710" ref="E1570"/>
    <hyperlink r:id="rId4711" ref="O1570"/>
    <hyperlink r:id="rId4712" ref="B1571"/>
    <hyperlink r:id="rId4713" ref="E1571"/>
    <hyperlink r:id="rId4714" ref="O1571"/>
    <hyperlink r:id="rId4715" ref="B1572"/>
    <hyperlink r:id="rId4716" ref="E1572"/>
    <hyperlink r:id="rId4717" ref="O1572"/>
    <hyperlink r:id="rId4718" ref="B1573"/>
    <hyperlink r:id="rId4719" ref="E1573"/>
    <hyperlink r:id="rId4720" ref="O1573"/>
    <hyperlink r:id="rId4721" ref="B1574"/>
    <hyperlink r:id="rId4722" ref="E1574"/>
    <hyperlink r:id="rId4723" ref="O1574"/>
    <hyperlink r:id="rId4724" ref="B1575"/>
    <hyperlink r:id="rId4725" ref="E1575"/>
    <hyperlink r:id="rId4726" ref="O1575"/>
    <hyperlink r:id="rId4727" ref="B1576"/>
    <hyperlink r:id="rId4728" ref="E1576"/>
    <hyperlink r:id="rId4729" ref="O1576"/>
    <hyperlink r:id="rId4730" ref="B1577"/>
    <hyperlink r:id="rId4731" ref="E1577"/>
    <hyperlink r:id="rId4732" ref="O1577"/>
    <hyperlink r:id="rId4733" ref="B1578"/>
    <hyperlink r:id="rId4734" ref="E1578"/>
    <hyperlink r:id="rId4735" ref="O1578"/>
    <hyperlink r:id="rId4736" ref="B1579"/>
    <hyperlink r:id="rId4737" ref="E1579"/>
    <hyperlink r:id="rId4738" ref="O1579"/>
    <hyperlink r:id="rId4739" ref="B1580"/>
    <hyperlink r:id="rId4740" ref="E1580"/>
    <hyperlink r:id="rId4741" ref="O1580"/>
    <hyperlink r:id="rId4742" ref="B1581"/>
    <hyperlink r:id="rId4743" ref="E1581"/>
    <hyperlink r:id="rId4744" ref="O1581"/>
    <hyperlink r:id="rId4745" ref="B1582"/>
    <hyperlink r:id="rId4746" ref="E1582"/>
    <hyperlink r:id="rId4747" ref="O1582"/>
    <hyperlink r:id="rId4748" ref="B1583"/>
    <hyperlink r:id="rId4749" ref="E1583"/>
    <hyperlink r:id="rId4750" ref="O1583"/>
    <hyperlink r:id="rId4751" ref="B1584"/>
    <hyperlink r:id="rId4752" ref="E1584"/>
    <hyperlink r:id="rId4753" ref="O1584"/>
    <hyperlink r:id="rId4754" ref="B1585"/>
    <hyperlink r:id="rId4755" ref="E1585"/>
    <hyperlink r:id="rId4756" ref="O1585"/>
    <hyperlink r:id="rId4757" ref="B1586"/>
    <hyperlink r:id="rId4758" ref="E1586"/>
    <hyperlink r:id="rId4759" ref="O1586"/>
    <hyperlink r:id="rId4760" ref="B1587"/>
    <hyperlink r:id="rId4761" ref="E1587"/>
    <hyperlink r:id="rId4762" ref="O1587"/>
    <hyperlink r:id="rId4763" ref="B1588"/>
    <hyperlink r:id="rId4764" ref="E1588"/>
    <hyperlink r:id="rId4765" ref="O1588"/>
    <hyperlink r:id="rId4766" ref="B1589"/>
    <hyperlink r:id="rId4767" ref="E1589"/>
    <hyperlink r:id="rId4768" ref="O1589"/>
    <hyperlink r:id="rId4769" ref="B1590"/>
    <hyperlink r:id="rId4770" ref="E1590"/>
    <hyperlink r:id="rId4771" ref="O1590"/>
    <hyperlink r:id="rId4772" ref="B1591"/>
    <hyperlink r:id="rId4773" ref="E1591"/>
    <hyperlink r:id="rId4774" ref="O1591"/>
    <hyperlink r:id="rId4775" ref="B1592"/>
    <hyperlink r:id="rId4776" ref="E1592"/>
    <hyperlink r:id="rId4777" ref="O1592"/>
    <hyperlink r:id="rId4778" ref="B1593"/>
    <hyperlink r:id="rId4779" ref="E1593"/>
    <hyperlink r:id="rId4780" ref="O1593"/>
    <hyperlink r:id="rId4781" ref="B1594"/>
    <hyperlink r:id="rId4782" ref="E1594"/>
    <hyperlink r:id="rId4783" ref="O1594"/>
    <hyperlink r:id="rId4784" ref="B1595"/>
    <hyperlink r:id="rId4785" ref="E1595"/>
    <hyperlink r:id="rId4786" ref="O1595"/>
    <hyperlink r:id="rId4787" ref="B1596"/>
    <hyperlink r:id="rId4788" ref="E1596"/>
    <hyperlink r:id="rId4789" ref="O1596"/>
    <hyperlink r:id="rId4790" ref="B1597"/>
    <hyperlink r:id="rId4791" ref="E1597"/>
    <hyperlink r:id="rId4792" ref="O1597"/>
    <hyperlink r:id="rId4793" ref="B1598"/>
    <hyperlink r:id="rId4794" ref="E1598"/>
    <hyperlink r:id="rId4795" ref="O1598"/>
    <hyperlink r:id="rId4796" ref="B1599"/>
    <hyperlink r:id="rId4797" ref="E1599"/>
    <hyperlink r:id="rId4798" ref="O1599"/>
    <hyperlink r:id="rId4799" ref="B1600"/>
    <hyperlink r:id="rId4800" ref="E1600"/>
    <hyperlink r:id="rId4801" ref="O1600"/>
    <hyperlink r:id="rId4802" ref="B1601"/>
    <hyperlink r:id="rId4803" ref="E1601"/>
    <hyperlink r:id="rId4804" ref="O1601"/>
    <hyperlink r:id="rId4805" ref="B1602"/>
    <hyperlink r:id="rId4806" ref="E1602"/>
    <hyperlink r:id="rId4807" ref="O1602"/>
    <hyperlink r:id="rId4808" ref="B1603"/>
    <hyperlink r:id="rId4809" ref="E1603"/>
    <hyperlink r:id="rId4810" ref="O1603"/>
    <hyperlink r:id="rId4811" ref="B1604"/>
    <hyperlink r:id="rId4812" ref="E1604"/>
    <hyperlink r:id="rId4813" ref="O1604"/>
    <hyperlink r:id="rId4814" ref="B1605"/>
    <hyperlink r:id="rId4815" ref="E1605"/>
    <hyperlink r:id="rId4816" ref="O1605"/>
    <hyperlink r:id="rId4817" ref="B1606"/>
    <hyperlink r:id="rId4818" ref="E1606"/>
    <hyperlink r:id="rId4819" ref="O1606"/>
    <hyperlink r:id="rId4820" ref="B1607"/>
    <hyperlink r:id="rId4821" ref="E1607"/>
    <hyperlink r:id="rId4822" ref="O1607"/>
    <hyperlink r:id="rId4823" ref="B1608"/>
    <hyperlink r:id="rId4824" ref="E1608"/>
    <hyperlink r:id="rId4825" ref="O1608"/>
    <hyperlink r:id="rId4826" ref="B1609"/>
    <hyperlink r:id="rId4827" ref="E1609"/>
    <hyperlink r:id="rId4828" ref="O1609"/>
    <hyperlink r:id="rId4829" ref="B1610"/>
    <hyperlink r:id="rId4830" ref="E1610"/>
    <hyperlink r:id="rId4831" ref="O1610"/>
    <hyperlink r:id="rId4832" ref="B1611"/>
    <hyperlink r:id="rId4833" ref="E1611"/>
    <hyperlink r:id="rId4834" ref="O1611"/>
    <hyperlink r:id="rId4835" ref="B1612"/>
    <hyperlink r:id="rId4836" ref="E1612"/>
    <hyperlink r:id="rId4837" ref="O1612"/>
    <hyperlink r:id="rId4838" ref="B1613"/>
    <hyperlink r:id="rId4839" ref="E1613"/>
    <hyperlink r:id="rId4840" ref="O1613"/>
    <hyperlink r:id="rId4841" ref="B1614"/>
    <hyperlink r:id="rId4842" ref="E1614"/>
    <hyperlink r:id="rId4843" ref="O1614"/>
    <hyperlink r:id="rId4844" ref="B1615"/>
    <hyperlink r:id="rId4845" ref="E1615"/>
    <hyperlink r:id="rId4846" ref="O1615"/>
    <hyperlink r:id="rId4847" ref="B1616"/>
    <hyperlink r:id="rId4848" ref="E1616"/>
    <hyperlink r:id="rId4849" ref="O1616"/>
    <hyperlink r:id="rId4850" ref="B1617"/>
    <hyperlink r:id="rId4851" ref="E1617"/>
    <hyperlink r:id="rId4852" ref="O1617"/>
    <hyperlink r:id="rId4853" ref="B1618"/>
    <hyperlink r:id="rId4854" ref="E1618"/>
    <hyperlink r:id="rId4855" ref="O1618"/>
    <hyperlink r:id="rId4856" ref="B1619"/>
    <hyperlink r:id="rId4857" ref="E1619"/>
    <hyperlink r:id="rId4858" ref="O1619"/>
    <hyperlink r:id="rId4859" ref="B1620"/>
    <hyperlink r:id="rId4860" ref="E1620"/>
    <hyperlink r:id="rId4861" ref="O1620"/>
    <hyperlink r:id="rId4862" ref="B1621"/>
    <hyperlink r:id="rId4863" ref="E1621"/>
    <hyperlink r:id="rId4864" ref="O1621"/>
    <hyperlink r:id="rId4865" ref="B1622"/>
    <hyperlink r:id="rId4866" ref="E1622"/>
    <hyperlink r:id="rId4867" ref="O1622"/>
    <hyperlink r:id="rId4868" ref="B1623"/>
    <hyperlink r:id="rId4869" ref="E1623"/>
    <hyperlink r:id="rId4870" ref="O1623"/>
    <hyperlink r:id="rId4871" ref="B1624"/>
    <hyperlink r:id="rId4872" ref="E1624"/>
    <hyperlink r:id="rId4873" ref="O1624"/>
    <hyperlink r:id="rId4874" ref="B1625"/>
    <hyperlink r:id="rId4875" ref="E1625"/>
    <hyperlink r:id="rId4876" ref="O1625"/>
    <hyperlink r:id="rId4877" ref="B1626"/>
    <hyperlink r:id="rId4878" ref="E1626"/>
    <hyperlink r:id="rId4879" ref="O1626"/>
    <hyperlink r:id="rId4880" ref="B1627"/>
    <hyperlink r:id="rId4881" ref="E1627"/>
    <hyperlink r:id="rId4882" ref="O1627"/>
    <hyperlink r:id="rId4883" ref="B1628"/>
    <hyperlink r:id="rId4884" ref="E1628"/>
    <hyperlink r:id="rId4885" ref="O1628"/>
    <hyperlink r:id="rId4886" ref="B1629"/>
    <hyperlink r:id="rId4887" ref="E1629"/>
    <hyperlink r:id="rId4888" ref="O1629"/>
    <hyperlink r:id="rId4889" ref="B1630"/>
    <hyperlink r:id="rId4890" ref="E1630"/>
    <hyperlink r:id="rId4891" ref="O1630"/>
    <hyperlink r:id="rId4892" ref="B1631"/>
    <hyperlink r:id="rId4893" ref="E1631"/>
    <hyperlink r:id="rId4894" ref="O1631"/>
    <hyperlink r:id="rId4895" ref="B1632"/>
    <hyperlink r:id="rId4896" ref="E1632"/>
    <hyperlink r:id="rId4897" ref="O1632"/>
    <hyperlink r:id="rId4898" ref="B1633"/>
    <hyperlink r:id="rId4899" ref="E1633"/>
    <hyperlink r:id="rId4900" ref="O1633"/>
    <hyperlink r:id="rId4901" ref="B1634"/>
    <hyperlink r:id="rId4902" ref="E1634"/>
    <hyperlink r:id="rId4903" ref="O1634"/>
    <hyperlink r:id="rId4904" ref="B1635"/>
    <hyperlink r:id="rId4905" ref="E1635"/>
    <hyperlink r:id="rId4906" ref="O1635"/>
    <hyperlink r:id="rId4907" ref="B1636"/>
    <hyperlink r:id="rId4908" ref="E1636"/>
    <hyperlink r:id="rId4909" ref="O1636"/>
    <hyperlink r:id="rId4910" ref="B1637"/>
    <hyperlink r:id="rId4911" ref="E1637"/>
    <hyperlink r:id="rId4912" ref="O1637"/>
    <hyperlink r:id="rId4913" ref="B1638"/>
    <hyperlink r:id="rId4914" ref="E1638"/>
    <hyperlink r:id="rId4915" ref="O1638"/>
    <hyperlink r:id="rId4916" ref="B1639"/>
    <hyperlink r:id="rId4917" ref="E1639"/>
    <hyperlink r:id="rId4918" ref="O1639"/>
    <hyperlink r:id="rId4919" ref="B1640"/>
    <hyperlink r:id="rId4920" ref="E1640"/>
    <hyperlink r:id="rId4921" ref="O1640"/>
    <hyperlink r:id="rId4922" ref="B1641"/>
    <hyperlink r:id="rId4923" ref="E1641"/>
    <hyperlink r:id="rId4924" ref="O1641"/>
    <hyperlink r:id="rId4925" ref="B1642"/>
    <hyperlink r:id="rId4926" ref="E1642"/>
    <hyperlink r:id="rId4927" ref="O1642"/>
    <hyperlink r:id="rId4928" ref="B1643"/>
    <hyperlink r:id="rId4929" ref="E1643"/>
    <hyperlink r:id="rId4930" ref="O1643"/>
    <hyperlink r:id="rId4931" ref="B1644"/>
    <hyperlink r:id="rId4932" ref="E1644"/>
    <hyperlink r:id="rId4933" ref="O1644"/>
    <hyperlink r:id="rId4934" ref="B1645"/>
    <hyperlink r:id="rId4935" ref="E1645"/>
    <hyperlink r:id="rId4936" ref="O1645"/>
    <hyperlink r:id="rId4937" ref="B1646"/>
    <hyperlink r:id="rId4938" ref="E1646"/>
    <hyperlink r:id="rId4939" ref="O1646"/>
    <hyperlink r:id="rId4940" ref="B1647"/>
    <hyperlink r:id="rId4941" ref="E1647"/>
    <hyperlink r:id="rId4942" ref="O1647"/>
    <hyperlink r:id="rId4943" ref="B1648"/>
    <hyperlink r:id="rId4944" ref="E1648"/>
    <hyperlink r:id="rId4945" ref="O1648"/>
    <hyperlink r:id="rId4946" ref="B1649"/>
    <hyperlink r:id="rId4947" ref="E1649"/>
    <hyperlink r:id="rId4948" ref="O1649"/>
    <hyperlink r:id="rId4949" ref="B1650"/>
    <hyperlink r:id="rId4950" ref="E1650"/>
    <hyperlink r:id="rId4951" ref="O1650"/>
    <hyperlink r:id="rId4952" ref="B1651"/>
    <hyperlink r:id="rId4953" ref="E1651"/>
    <hyperlink r:id="rId4954" ref="O1651"/>
    <hyperlink r:id="rId4955" ref="B1652"/>
    <hyperlink r:id="rId4956" ref="E1652"/>
    <hyperlink r:id="rId4957" ref="O1652"/>
    <hyperlink r:id="rId4958" ref="B1653"/>
    <hyperlink r:id="rId4959" ref="E1653"/>
    <hyperlink r:id="rId4960" ref="O1653"/>
    <hyperlink r:id="rId4961" ref="B1654"/>
    <hyperlink r:id="rId4962" ref="E1654"/>
    <hyperlink r:id="rId4963" ref="O1654"/>
    <hyperlink r:id="rId4964" ref="B1655"/>
    <hyperlink r:id="rId4965" ref="E1655"/>
    <hyperlink r:id="rId4966" ref="O1655"/>
    <hyperlink r:id="rId4967" ref="B1656"/>
    <hyperlink r:id="rId4968" ref="E1656"/>
    <hyperlink r:id="rId4969" ref="O1656"/>
    <hyperlink r:id="rId4970" ref="B1657"/>
    <hyperlink r:id="rId4971" ref="E1657"/>
    <hyperlink r:id="rId4972" ref="O1657"/>
    <hyperlink r:id="rId4973" ref="B1658"/>
    <hyperlink r:id="rId4974" ref="E1658"/>
    <hyperlink r:id="rId4975" ref="O1658"/>
    <hyperlink r:id="rId4976" ref="B1659"/>
    <hyperlink r:id="rId4977" ref="E1659"/>
    <hyperlink r:id="rId4978" ref="O1659"/>
    <hyperlink r:id="rId4979" ref="B1660"/>
    <hyperlink r:id="rId4980" ref="E1660"/>
    <hyperlink r:id="rId4981" ref="O1660"/>
    <hyperlink r:id="rId4982" ref="B1661"/>
    <hyperlink r:id="rId4983" ref="E1661"/>
    <hyperlink r:id="rId4984" ref="O1661"/>
    <hyperlink r:id="rId4985" ref="B1662"/>
    <hyperlink r:id="rId4986" ref="E1662"/>
    <hyperlink r:id="rId4987" ref="O1662"/>
    <hyperlink r:id="rId4988" ref="B1663"/>
    <hyperlink r:id="rId4989" ref="E1663"/>
    <hyperlink r:id="rId4990" ref="O1663"/>
    <hyperlink r:id="rId4991" ref="B1664"/>
    <hyperlink r:id="rId4992" ref="E1664"/>
    <hyperlink r:id="rId4993" ref="O1664"/>
    <hyperlink r:id="rId4994" ref="B1665"/>
    <hyperlink r:id="rId4995" ref="E1665"/>
    <hyperlink r:id="rId4996" ref="O1665"/>
    <hyperlink r:id="rId4997" ref="B1666"/>
    <hyperlink r:id="rId4998" ref="E1666"/>
    <hyperlink r:id="rId4999" ref="O1666"/>
    <hyperlink r:id="rId5000" ref="B1667"/>
    <hyperlink r:id="rId5001" ref="E1667"/>
    <hyperlink r:id="rId5002" ref="O1667"/>
    <hyperlink r:id="rId5003" ref="B1668"/>
    <hyperlink r:id="rId5004" ref="E1668"/>
    <hyperlink r:id="rId5005" ref="O1668"/>
    <hyperlink r:id="rId5006" ref="B1669"/>
    <hyperlink r:id="rId5007" ref="E1669"/>
    <hyperlink r:id="rId5008" ref="O1669"/>
    <hyperlink r:id="rId5009" ref="B1670"/>
    <hyperlink r:id="rId5010" ref="E1670"/>
    <hyperlink r:id="rId5011" ref="O1670"/>
    <hyperlink r:id="rId5012" ref="B1671"/>
    <hyperlink r:id="rId5013" ref="E1671"/>
    <hyperlink r:id="rId5014" ref="O1671"/>
    <hyperlink r:id="rId5015" ref="B1672"/>
    <hyperlink r:id="rId5016" ref="E1672"/>
    <hyperlink r:id="rId5017" ref="O1672"/>
    <hyperlink r:id="rId5018" ref="B1673"/>
    <hyperlink r:id="rId5019" ref="E1673"/>
    <hyperlink r:id="rId5020" ref="O1673"/>
    <hyperlink r:id="rId5021" ref="B1674"/>
    <hyperlink r:id="rId5022" ref="E1674"/>
    <hyperlink r:id="rId5023" ref="O1674"/>
    <hyperlink r:id="rId5024" ref="B1675"/>
    <hyperlink r:id="rId5025" ref="E1675"/>
    <hyperlink r:id="rId5026" ref="O1675"/>
    <hyperlink r:id="rId5027" ref="B1676"/>
    <hyperlink r:id="rId5028" ref="E1676"/>
    <hyperlink r:id="rId5029" ref="O1676"/>
    <hyperlink r:id="rId5030" ref="B1677"/>
    <hyperlink r:id="rId5031" ref="E1677"/>
    <hyperlink r:id="rId5032" ref="O1677"/>
    <hyperlink r:id="rId5033" ref="B1678"/>
    <hyperlink r:id="rId5034" ref="E1678"/>
    <hyperlink r:id="rId5035" ref="O1678"/>
    <hyperlink r:id="rId5036" ref="B1679"/>
    <hyperlink r:id="rId5037" ref="E1679"/>
    <hyperlink r:id="rId5038" ref="O1679"/>
    <hyperlink r:id="rId5039" ref="B1680"/>
    <hyperlink r:id="rId5040" ref="E1680"/>
    <hyperlink r:id="rId5041" ref="O1680"/>
    <hyperlink r:id="rId5042" ref="B1681"/>
    <hyperlink r:id="rId5043" ref="E1681"/>
    <hyperlink r:id="rId5044" ref="O1681"/>
    <hyperlink r:id="rId5045" ref="B1682"/>
    <hyperlink r:id="rId5046" ref="E1682"/>
    <hyperlink r:id="rId5047" ref="O1682"/>
    <hyperlink r:id="rId5048" ref="B1683"/>
    <hyperlink r:id="rId5049" ref="E1683"/>
    <hyperlink r:id="rId5050" ref="O1683"/>
    <hyperlink r:id="rId5051" ref="B1684"/>
    <hyperlink r:id="rId5052" ref="E1684"/>
    <hyperlink r:id="rId5053" ref="O1684"/>
    <hyperlink r:id="rId5054" ref="B1685"/>
    <hyperlink r:id="rId5055" ref="E1685"/>
    <hyperlink r:id="rId5056" ref="O1685"/>
    <hyperlink r:id="rId5057" ref="B1686"/>
    <hyperlink r:id="rId5058" ref="E1686"/>
    <hyperlink r:id="rId5059" ref="O1686"/>
    <hyperlink r:id="rId5060" ref="B1687"/>
    <hyperlink r:id="rId5061" ref="E1687"/>
    <hyperlink r:id="rId5062" ref="O1687"/>
    <hyperlink r:id="rId5063" ref="B1688"/>
    <hyperlink r:id="rId5064" ref="E1688"/>
    <hyperlink r:id="rId5065" ref="O1688"/>
    <hyperlink r:id="rId5066" ref="B1689"/>
    <hyperlink r:id="rId5067" ref="E1689"/>
    <hyperlink r:id="rId5068" ref="O1689"/>
    <hyperlink r:id="rId5069" ref="B1690"/>
    <hyperlink r:id="rId5070" ref="E1690"/>
    <hyperlink r:id="rId5071" ref="O1690"/>
    <hyperlink r:id="rId5072" ref="B1691"/>
    <hyperlink r:id="rId5073" ref="E1691"/>
    <hyperlink r:id="rId5074" ref="O1691"/>
    <hyperlink r:id="rId5075" ref="B1692"/>
    <hyperlink r:id="rId5076" ref="E1692"/>
    <hyperlink r:id="rId5077" ref="O1692"/>
    <hyperlink r:id="rId5078" ref="B1693"/>
    <hyperlink r:id="rId5079" ref="E1693"/>
    <hyperlink r:id="rId5080" ref="O1693"/>
    <hyperlink r:id="rId5081" ref="B1694"/>
    <hyperlink r:id="rId5082" ref="E1694"/>
    <hyperlink r:id="rId5083" ref="O1694"/>
    <hyperlink r:id="rId5084" ref="B1695"/>
    <hyperlink r:id="rId5085" ref="E1695"/>
    <hyperlink r:id="rId5086" ref="O1695"/>
    <hyperlink r:id="rId5087" ref="B1696"/>
    <hyperlink r:id="rId5088" ref="E1696"/>
    <hyperlink r:id="rId5089" ref="O1696"/>
    <hyperlink r:id="rId5090" ref="B1697"/>
    <hyperlink r:id="rId5091" ref="E1697"/>
    <hyperlink r:id="rId5092" ref="O1697"/>
    <hyperlink r:id="rId5093" ref="B1698"/>
    <hyperlink r:id="rId5094" ref="E1698"/>
    <hyperlink r:id="rId5095" ref="O1698"/>
    <hyperlink r:id="rId5096" ref="B1699"/>
    <hyperlink r:id="rId5097" ref="E1699"/>
    <hyperlink r:id="rId5098" ref="O1699"/>
    <hyperlink r:id="rId5099" ref="B1700"/>
    <hyperlink r:id="rId5100" ref="E1700"/>
    <hyperlink r:id="rId5101" ref="O1700"/>
    <hyperlink r:id="rId5102" ref="B1701"/>
    <hyperlink r:id="rId5103" ref="E1701"/>
    <hyperlink r:id="rId5104" ref="O1701"/>
    <hyperlink r:id="rId5105" ref="B1702"/>
    <hyperlink r:id="rId5106" ref="E1702"/>
    <hyperlink r:id="rId5107" ref="O1702"/>
    <hyperlink r:id="rId5108" ref="B1703"/>
    <hyperlink r:id="rId5109" ref="E1703"/>
    <hyperlink r:id="rId5110" ref="O1703"/>
    <hyperlink r:id="rId5111" ref="B1704"/>
    <hyperlink r:id="rId5112" ref="E1704"/>
    <hyperlink r:id="rId5113" ref="O1704"/>
    <hyperlink r:id="rId5114" ref="B1705"/>
    <hyperlink r:id="rId5115" ref="E1705"/>
    <hyperlink r:id="rId5116" ref="O1705"/>
    <hyperlink r:id="rId5117" ref="B1706"/>
    <hyperlink r:id="rId5118" ref="E1706"/>
    <hyperlink r:id="rId5119" ref="O1706"/>
    <hyperlink r:id="rId5120" ref="B1707"/>
    <hyperlink r:id="rId5121" ref="E1707"/>
    <hyperlink r:id="rId5122" ref="O1707"/>
    <hyperlink r:id="rId5123" ref="B1708"/>
    <hyperlink r:id="rId5124" ref="E1708"/>
    <hyperlink r:id="rId5125" ref="O1708"/>
    <hyperlink r:id="rId5126" ref="B1709"/>
    <hyperlink r:id="rId5127" ref="E1709"/>
    <hyperlink r:id="rId5128" ref="O1709"/>
    <hyperlink r:id="rId5129" ref="B1710"/>
    <hyperlink r:id="rId5130" ref="E1710"/>
    <hyperlink r:id="rId5131" ref="O1710"/>
    <hyperlink r:id="rId5132" ref="B1711"/>
    <hyperlink r:id="rId5133" ref="E1711"/>
    <hyperlink r:id="rId5134" ref="O1711"/>
    <hyperlink r:id="rId5135" ref="B1712"/>
    <hyperlink r:id="rId5136" ref="E1712"/>
    <hyperlink r:id="rId5137" ref="O1712"/>
    <hyperlink r:id="rId5138" ref="B1713"/>
    <hyperlink r:id="rId5139" ref="E1713"/>
    <hyperlink r:id="rId5140" ref="O1713"/>
    <hyperlink r:id="rId5141" ref="B1714"/>
    <hyperlink r:id="rId5142" ref="E1714"/>
    <hyperlink r:id="rId5143" ref="O1714"/>
    <hyperlink r:id="rId5144" ref="B1715"/>
    <hyperlink r:id="rId5145" ref="E1715"/>
    <hyperlink r:id="rId5146" ref="O1715"/>
    <hyperlink r:id="rId5147" ref="B1716"/>
    <hyperlink r:id="rId5148" ref="E1716"/>
    <hyperlink r:id="rId5149" ref="O1716"/>
    <hyperlink r:id="rId5150" ref="B1717"/>
    <hyperlink r:id="rId5151" ref="E1717"/>
    <hyperlink r:id="rId5152" ref="O1717"/>
    <hyperlink r:id="rId5153" ref="B1718"/>
    <hyperlink r:id="rId5154" ref="E1718"/>
    <hyperlink r:id="rId5155" ref="O1718"/>
    <hyperlink r:id="rId5156" ref="B1719"/>
    <hyperlink r:id="rId5157" ref="E1719"/>
    <hyperlink r:id="rId5158" ref="O1719"/>
    <hyperlink r:id="rId5159" ref="B1720"/>
    <hyperlink r:id="rId5160" ref="E1720"/>
    <hyperlink r:id="rId5161" ref="O1720"/>
    <hyperlink r:id="rId5162" ref="B1721"/>
    <hyperlink r:id="rId5163" ref="E1721"/>
    <hyperlink r:id="rId5164" ref="O1721"/>
    <hyperlink r:id="rId5165" ref="B1722"/>
    <hyperlink r:id="rId5166" ref="E1722"/>
    <hyperlink r:id="rId5167" ref="O1722"/>
    <hyperlink r:id="rId5168" ref="B1723"/>
    <hyperlink r:id="rId5169" ref="E1723"/>
    <hyperlink r:id="rId5170" ref="O1723"/>
    <hyperlink r:id="rId5171" ref="B1724"/>
    <hyperlink r:id="rId5172" ref="E1724"/>
    <hyperlink r:id="rId5173" ref="O1724"/>
    <hyperlink r:id="rId5174" ref="B1725"/>
    <hyperlink r:id="rId5175" ref="E1725"/>
    <hyperlink r:id="rId5176" ref="O1725"/>
    <hyperlink r:id="rId5177" ref="B1726"/>
    <hyperlink r:id="rId5178" ref="E1726"/>
    <hyperlink r:id="rId5179" ref="O1726"/>
    <hyperlink r:id="rId5180" ref="B1727"/>
    <hyperlink r:id="rId5181" ref="E1727"/>
    <hyperlink r:id="rId5182" ref="O1727"/>
    <hyperlink r:id="rId5183" ref="B1728"/>
    <hyperlink r:id="rId5184" ref="E1728"/>
    <hyperlink r:id="rId5185" ref="O1728"/>
    <hyperlink r:id="rId5186" ref="B1729"/>
    <hyperlink r:id="rId5187" ref="E1729"/>
    <hyperlink r:id="rId5188" ref="O1729"/>
    <hyperlink r:id="rId5189" ref="B1730"/>
    <hyperlink r:id="rId5190" ref="E1730"/>
    <hyperlink r:id="rId5191" ref="O1730"/>
    <hyperlink r:id="rId5192" ref="B1731"/>
    <hyperlink r:id="rId5193" ref="E1731"/>
    <hyperlink r:id="rId5194" ref="O1731"/>
    <hyperlink r:id="rId5195" ref="B1732"/>
    <hyperlink r:id="rId5196" ref="E1732"/>
    <hyperlink r:id="rId5197" ref="O1732"/>
    <hyperlink r:id="rId5198" ref="B1733"/>
    <hyperlink r:id="rId5199" ref="E1733"/>
    <hyperlink r:id="rId5200" ref="O1733"/>
    <hyperlink r:id="rId5201" ref="B1734"/>
    <hyperlink r:id="rId5202" ref="E1734"/>
    <hyperlink r:id="rId5203" ref="O1734"/>
    <hyperlink r:id="rId5204" ref="B1735"/>
    <hyperlink r:id="rId5205" ref="E1735"/>
    <hyperlink r:id="rId5206" ref="O1735"/>
    <hyperlink r:id="rId5207" ref="B1736"/>
    <hyperlink r:id="rId5208" ref="E1736"/>
    <hyperlink r:id="rId5209" ref="O1736"/>
    <hyperlink r:id="rId5210" ref="B1737"/>
    <hyperlink r:id="rId5211" ref="E1737"/>
    <hyperlink r:id="rId5212" ref="O1737"/>
    <hyperlink r:id="rId5213" ref="B1738"/>
    <hyperlink r:id="rId5214" ref="E1738"/>
    <hyperlink r:id="rId5215" ref="O1738"/>
    <hyperlink r:id="rId5216" ref="B1739"/>
    <hyperlink r:id="rId5217" ref="E1739"/>
    <hyperlink r:id="rId5218" ref="O1739"/>
    <hyperlink r:id="rId5219" ref="B1740"/>
    <hyperlink r:id="rId5220" ref="E1740"/>
    <hyperlink r:id="rId5221" ref="O1740"/>
    <hyperlink r:id="rId5222" ref="B1741"/>
    <hyperlink r:id="rId5223" ref="E1741"/>
    <hyperlink r:id="rId5224" ref="O1741"/>
    <hyperlink r:id="rId5225" ref="B1742"/>
    <hyperlink r:id="rId5226" ref="E1742"/>
    <hyperlink r:id="rId5227" ref="O1742"/>
    <hyperlink r:id="rId5228" ref="B1743"/>
    <hyperlink r:id="rId5229" ref="E1743"/>
    <hyperlink r:id="rId5230" ref="O1743"/>
    <hyperlink r:id="rId5231" ref="B1744"/>
    <hyperlink r:id="rId5232" ref="E1744"/>
    <hyperlink r:id="rId5233" ref="O1744"/>
    <hyperlink r:id="rId5234" ref="B1745"/>
    <hyperlink r:id="rId5235" ref="E1745"/>
    <hyperlink r:id="rId5236" ref="O1745"/>
    <hyperlink r:id="rId5237" ref="B1746"/>
    <hyperlink r:id="rId5238" ref="E1746"/>
    <hyperlink r:id="rId5239" ref="O1746"/>
    <hyperlink r:id="rId5240" ref="B1747"/>
    <hyperlink r:id="rId5241" ref="E1747"/>
    <hyperlink r:id="rId5242" ref="O1747"/>
    <hyperlink r:id="rId5243" ref="B1748"/>
    <hyperlink r:id="rId5244" ref="E1748"/>
    <hyperlink r:id="rId5245" ref="O1748"/>
    <hyperlink r:id="rId5246" ref="B1749"/>
    <hyperlink r:id="rId5247" ref="E1749"/>
    <hyperlink r:id="rId5248" ref="O1749"/>
    <hyperlink r:id="rId5249" ref="B1750"/>
    <hyperlink r:id="rId5250" ref="E1750"/>
    <hyperlink r:id="rId5251" ref="O1750"/>
    <hyperlink r:id="rId5252" ref="B1751"/>
    <hyperlink r:id="rId5253" ref="E1751"/>
    <hyperlink r:id="rId5254" ref="O1751"/>
    <hyperlink r:id="rId5255" ref="B1752"/>
    <hyperlink r:id="rId5256" ref="E1752"/>
    <hyperlink r:id="rId5257" ref="O1752"/>
    <hyperlink r:id="rId5258" ref="B1753"/>
    <hyperlink r:id="rId5259" ref="E1753"/>
    <hyperlink r:id="rId5260" ref="O1753"/>
    <hyperlink r:id="rId5261" ref="B1754"/>
    <hyperlink r:id="rId5262" ref="E1754"/>
    <hyperlink r:id="rId5263" ref="O1754"/>
    <hyperlink r:id="rId5264" ref="B1755"/>
    <hyperlink r:id="rId5265" ref="E1755"/>
    <hyperlink r:id="rId5266" ref="O1755"/>
    <hyperlink r:id="rId5267" ref="B1756"/>
    <hyperlink r:id="rId5268" ref="E1756"/>
    <hyperlink r:id="rId5269" ref="O1756"/>
    <hyperlink r:id="rId5270" ref="B1757"/>
    <hyperlink r:id="rId5271" ref="E1757"/>
    <hyperlink r:id="rId5272" ref="O1757"/>
    <hyperlink r:id="rId5273" ref="B1758"/>
    <hyperlink r:id="rId5274" ref="E1758"/>
    <hyperlink r:id="rId5275" ref="O1758"/>
    <hyperlink r:id="rId5276" ref="B1759"/>
    <hyperlink r:id="rId5277" ref="E1759"/>
    <hyperlink r:id="rId5278" ref="O1759"/>
    <hyperlink r:id="rId5279" ref="B1760"/>
    <hyperlink r:id="rId5280" ref="E1760"/>
    <hyperlink r:id="rId5281" ref="O1760"/>
    <hyperlink r:id="rId5282" ref="B1761"/>
    <hyperlink r:id="rId5283" ref="E1761"/>
    <hyperlink r:id="rId5284" ref="O1761"/>
    <hyperlink r:id="rId5285" ref="B1762"/>
    <hyperlink r:id="rId5286" ref="E1762"/>
    <hyperlink r:id="rId5287" ref="O1762"/>
    <hyperlink r:id="rId5288" ref="B1763"/>
    <hyperlink r:id="rId5289" ref="E1763"/>
    <hyperlink r:id="rId5290" ref="O1763"/>
    <hyperlink r:id="rId5291" ref="B1764"/>
    <hyperlink r:id="rId5292" ref="E1764"/>
    <hyperlink r:id="rId5293" ref="O1764"/>
    <hyperlink r:id="rId5294" ref="B1765"/>
    <hyperlink r:id="rId5295" ref="E1765"/>
    <hyperlink r:id="rId5296" ref="O1765"/>
    <hyperlink r:id="rId5297" ref="B1766"/>
    <hyperlink r:id="rId5298" ref="E1766"/>
    <hyperlink r:id="rId5299" ref="O1766"/>
    <hyperlink r:id="rId5300" ref="B1767"/>
    <hyperlink r:id="rId5301" ref="E1767"/>
    <hyperlink r:id="rId5302" ref="O1767"/>
    <hyperlink r:id="rId5303" ref="B1768"/>
    <hyperlink r:id="rId5304" ref="E1768"/>
    <hyperlink r:id="rId5305" ref="O1768"/>
    <hyperlink r:id="rId5306" ref="B1769"/>
    <hyperlink r:id="rId5307" ref="E1769"/>
    <hyperlink r:id="rId5308" ref="O1769"/>
    <hyperlink r:id="rId5309" ref="B1770"/>
    <hyperlink r:id="rId5310" ref="E1770"/>
    <hyperlink r:id="rId5311" ref="O1770"/>
    <hyperlink r:id="rId5312" ref="B1771"/>
    <hyperlink r:id="rId5313" ref="E1771"/>
    <hyperlink r:id="rId5314" ref="O1771"/>
    <hyperlink r:id="rId5315" ref="B1772"/>
    <hyperlink r:id="rId5316" ref="E1772"/>
    <hyperlink r:id="rId5317" ref="O1772"/>
    <hyperlink r:id="rId5318" ref="B1773"/>
    <hyperlink r:id="rId5319" ref="E1773"/>
    <hyperlink r:id="rId5320" ref="O1773"/>
    <hyperlink r:id="rId5321" ref="B1774"/>
    <hyperlink r:id="rId5322" ref="E1774"/>
    <hyperlink r:id="rId5323" ref="O1774"/>
    <hyperlink r:id="rId5324" ref="B1775"/>
    <hyperlink r:id="rId5325" ref="E1775"/>
    <hyperlink r:id="rId5326" ref="O1775"/>
    <hyperlink r:id="rId5327" ref="B1776"/>
    <hyperlink r:id="rId5328" ref="E1776"/>
    <hyperlink r:id="rId5329" ref="O1776"/>
    <hyperlink r:id="rId5330" ref="B1777"/>
    <hyperlink r:id="rId5331" ref="E1777"/>
    <hyperlink r:id="rId5332" ref="O1777"/>
    <hyperlink r:id="rId5333" ref="B1778"/>
    <hyperlink r:id="rId5334" ref="E1778"/>
    <hyperlink r:id="rId5335" ref="O1778"/>
    <hyperlink r:id="rId5336" ref="B1779"/>
    <hyperlink r:id="rId5337" ref="E1779"/>
    <hyperlink r:id="rId5338" ref="O1779"/>
    <hyperlink r:id="rId5339" ref="B1780"/>
    <hyperlink r:id="rId5340" ref="E1780"/>
    <hyperlink r:id="rId5341" ref="O1780"/>
    <hyperlink r:id="rId5342" ref="B1781"/>
    <hyperlink r:id="rId5343" ref="E1781"/>
    <hyperlink r:id="rId5344" ref="O1781"/>
    <hyperlink r:id="rId5345" ref="B1782"/>
    <hyperlink r:id="rId5346" ref="E1782"/>
    <hyperlink r:id="rId5347" ref="O1782"/>
    <hyperlink r:id="rId5348" ref="B1783"/>
    <hyperlink r:id="rId5349" ref="E1783"/>
    <hyperlink r:id="rId5350" ref="O1783"/>
    <hyperlink r:id="rId5351" ref="B1784"/>
    <hyperlink r:id="rId5352" ref="E1784"/>
    <hyperlink r:id="rId5353" ref="O1784"/>
    <hyperlink r:id="rId5354" ref="B1785"/>
    <hyperlink r:id="rId5355" ref="E1785"/>
    <hyperlink r:id="rId5356" ref="O1785"/>
    <hyperlink r:id="rId5357" ref="B1786"/>
    <hyperlink r:id="rId5358" ref="E1786"/>
    <hyperlink r:id="rId5359" ref="O1786"/>
    <hyperlink r:id="rId5360" ref="B1787"/>
    <hyperlink r:id="rId5361" ref="E1787"/>
    <hyperlink r:id="rId5362" ref="O1787"/>
    <hyperlink r:id="rId5363" ref="B1788"/>
    <hyperlink r:id="rId5364" ref="E1788"/>
    <hyperlink r:id="rId5365" ref="O1788"/>
    <hyperlink r:id="rId5366" ref="B1789"/>
    <hyperlink r:id="rId5367" ref="E1789"/>
    <hyperlink r:id="rId5368" ref="O1789"/>
    <hyperlink r:id="rId5369" ref="B1790"/>
    <hyperlink r:id="rId5370" ref="E1790"/>
    <hyperlink r:id="rId5371" ref="O1790"/>
    <hyperlink r:id="rId5372" ref="B1791"/>
    <hyperlink r:id="rId5373" ref="E1791"/>
    <hyperlink r:id="rId5374" ref="O1791"/>
    <hyperlink r:id="rId5375" ref="B1792"/>
    <hyperlink r:id="rId5376" ref="E1792"/>
    <hyperlink r:id="rId5377" ref="O1792"/>
    <hyperlink r:id="rId5378" ref="B1793"/>
    <hyperlink r:id="rId5379" ref="E1793"/>
    <hyperlink r:id="rId5380" ref="O1793"/>
    <hyperlink r:id="rId5381" ref="B1794"/>
    <hyperlink r:id="rId5382" ref="E1794"/>
    <hyperlink r:id="rId5383" ref="O1794"/>
    <hyperlink r:id="rId5384" ref="B1795"/>
    <hyperlink r:id="rId5385" ref="E1795"/>
    <hyperlink r:id="rId5386" ref="O1795"/>
    <hyperlink r:id="rId5387" ref="B1796"/>
    <hyperlink r:id="rId5388" ref="E1796"/>
    <hyperlink r:id="rId5389" ref="O1796"/>
    <hyperlink r:id="rId5390" ref="B1797"/>
    <hyperlink r:id="rId5391" ref="E1797"/>
    <hyperlink r:id="rId5392" ref="O1797"/>
    <hyperlink r:id="rId5393" ref="B1798"/>
    <hyperlink r:id="rId5394" ref="E1798"/>
    <hyperlink r:id="rId5395" ref="O1798"/>
    <hyperlink r:id="rId5396" ref="B1799"/>
    <hyperlink r:id="rId5397" ref="E1799"/>
    <hyperlink r:id="rId5398" ref="O1799"/>
    <hyperlink r:id="rId5399" ref="B1800"/>
    <hyperlink r:id="rId5400" ref="E1800"/>
    <hyperlink r:id="rId5401" ref="O1800"/>
    <hyperlink r:id="rId5402" ref="B1801"/>
    <hyperlink r:id="rId5403" ref="E1801"/>
    <hyperlink r:id="rId5404" ref="O1801"/>
    <hyperlink r:id="rId5405" ref="B1802"/>
    <hyperlink r:id="rId5406" ref="E1802"/>
    <hyperlink r:id="rId5407" ref="O1802"/>
    <hyperlink r:id="rId5408" ref="B1803"/>
    <hyperlink r:id="rId5409" ref="E1803"/>
    <hyperlink r:id="rId5410" ref="O1803"/>
    <hyperlink r:id="rId5411" ref="B1804"/>
    <hyperlink r:id="rId5412" ref="E1804"/>
    <hyperlink r:id="rId5413" ref="O1804"/>
    <hyperlink r:id="rId5414" ref="B1805"/>
    <hyperlink r:id="rId5415" ref="E1805"/>
    <hyperlink r:id="rId5416" ref="O1805"/>
    <hyperlink r:id="rId5417" ref="B1806"/>
    <hyperlink r:id="rId5418" ref="E1806"/>
    <hyperlink r:id="rId5419" ref="O1806"/>
    <hyperlink r:id="rId5420" ref="B1807"/>
    <hyperlink r:id="rId5421" ref="E1807"/>
    <hyperlink r:id="rId5422" ref="O1807"/>
    <hyperlink r:id="rId5423" ref="B1808"/>
    <hyperlink r:id="rId5424" ref="E1808"/>
    <hyperlink r:id="rId5425" ref="O1808"/>
    <hyperlink r:id="rId5426" ref="B1809"/>
    <hyperlink r:id="rId5427" ref="E1809"/>
    <hyperlink r:id="rId5428" ref="O1809"/>
    <hyperlink r:id="rId5429" ref="B1810"/>
    <hyperlink r:id="rId5430" ref="E1810"/>
    <hyperlink r:id="rId5431" ref="O1810"/>
    <hyperlink r:id="rId5432" ref="B1811"/>
    <hyperlink r:id="rId5433" ref="E1811"/>
    <hyperlink r:id="rId5434" ref="O1811"/>
    <hyperlink r:id="rId5435" ref="B1812"/>
    <hyperlink r:id="rId5436" ref="E1812"/>
    <hyperlink r:id="rId5437" ref="O1812"/>
    <hyperlink r:id="rId5438" ref="B1813"/>
    <hyperlink r:id="rId5439" ref="E1813"/>
    <hyperlink r:id="rId5440" ref="O1813"/>
    <hyperlink r:id="rId5441" ref="B1814"/>
    <hyperlink r:id="rId5442" ref="E1814"/>
    <hyperlink r:id="rId5443" ref="O1814"/>
    <hyperlink r:id="rId5444" ref="B1815"/>
    <hyperlink r:id="rId5445" ref="E1815"/>
    <hyperlink r:id="rId5446" ref="O1815"/>
    <hyperlink r:id="rId5447" ref="B1816"/>
    <hyperlink r:id="rId5448" ref="E1816"/>
    <hyperlink r:id="rId5449" ref="O1816"/>
    <hyperlink r:id="rId5450" ref="B1817"/>
    <hyperlink r:id="rId5451" ref="E1817"/>
    <hyperlink r:id="rId5452" ref="O1817"/>
    <hyperlink r:id="rId5453" ref="B1818"/>
    <hyperlink r:id="rId5454" ref="E1818"/>
    <hyperlink r:id="rId5455" ref="O1818"/>
    <hyperlink r:id="rId5456" ref="B1819"/>
    <hyperlink r:id="rId5457" ref="E1819"/>
    <hyperlink r:id="rId5458" ref="O1819"/>
    <hyperlink r:id="rId5459" ref="B1820"/>
    <hyperlink r:id="rId5460" ref="E1820"/>
    <hyperlink r:id="rId5461" ref="O1820"/>
    <hyperlink r:id="rId5462" ref="B1821"/>
    <hyperlink r:id="rId5463" ref="E1821"/>
    <hyperlink r:id="rId5464" ref="O1821"/>
    <hyperlink r:id="rId5465" ref="B1822"/>
    <hyperlink r:id="rId5466" ref="E1822"/>
    <hyperlink r:id="rId5467" ref="O1822"/>
    <hyperlink r:id="rId5468" ref="B1823"/>
    <hyperlink r:id="rId5469" ref="E1823"/>
    <hyperlink r:id="rId5470" ref="O1823"/>
    <hyperlink r:id="rId5471" ref="B1824"/>
    <hyperlink r:id="rId5472" ref="E1824"/>
    <hyperlink r:id="rId5473" ref="O1824"/>
    <hyperlink r:id="rId5474" ref="B1825"/>
    <hyperlink r:id="rId5475" ref="E1825"/>
    <hyperlink r:id="rId5476" ref="O1825"/>
    <hyperlink r:id="rId5477" ref="B1826"/>
    <hyperlink r:id="rId5478" ref="E1826"/>
    <hyperlink r:id="rId5479" ref="O1826"/>
    <hyperlink r:id="rId5480" ref="B1827"/>
    <hyperlink r:id="rId5481" ref="E1827"/>
    <hyperlink r:id="rId5482" ref="O1827"/>
    <hyperlink r:id="rId5483" ref="B1828"/>
    <hyperlink r:id="rId5484" ref="E1828"/>
    <hyperlink r:id="rId5485" ref="O1828"/>
    <hyperlink r:id="rId5486" ref="B1829"/>
    <hyperlink r:id="rId5487" ref="E1829"/>
    <hyperlink r:id="rId5488" ref="O1829"/>
    <hyperlink r:id="rId5489" ref="B1830"/>
    <hyperlink r:id="rId5490" ref="E1830"/>
    <hyperlink r:id="rId5491" ref="O1830"/>
    <hyperlink r:id="rId5492" ref="B1831"/>
    <hyperlink r:id="rId5493" ref="E1831"/>
    <hyperlink r:id="rId5494" ref="O1831"/>
    <hyperlink r:id="rId5495" ref="B1832"/>
    <hyperlink r:id="rId5496" ref="E1832"/>
    <hyperlink r:id="rId5497" ref="O1832"/>
    <hyperlink r:id="rId5498" ref="B1833"/>
    <hyperlink r:id="rId5499" ref="E1833"/>
    <hyperlink r:id="rId5500" ref="O1833"/>
    <hyperlink r:id="rId5501" ref="B1834"/>
    <hyperlink r:id="rId5502" ref="E1834"/>
    <hyperlink r:id="rId5503" ref="O1834"/>
    <hyperlink r:id="rId5504" ref="B1835"/>
    <hyperlink r:id="rId5505" ref="E1835"/>
    <hyperlink r:id="rId5506" ref="O1835"/>
    <hyperlink r:id="rId5507" ref="B1836"/>
    <hyperlink r:id="rId5508" ref="E1836"/>
    <hyperlink r:id="rId5509" ref="O1836"/>
    <hyperlink r:id="rId5510" ref="B1837"/>
    <hyperlink r:id="rId5511" ref="E1837"/>
    <hyperlink r:id="rId5512" ref="O1837"/>
    <hyperlink r:id="rId5513" ref="B1838"/>
    <hyperlink r:id="rId5514" ref="E1838"/>
    <hyperlink r:id="rId5515" ref="O1838"/>
    <hyperlink r:id="rId5516" ref="B1839"/>
    <hyperlink r:id="rId5517" ref="E1839"/>
    <hyperlink r:id="rId5518" ref="O1839"/>
    <hyperlink r:id="rId5519" ref="B1840"/>
    <hyperlink r:id="rId5520" ref="E1840"/>
    <hyperlink r:id="rId5521" ref="O1840"/>
    <hyperlink r:id="rId5522" ref="B1841"/>
    <hyperlink r:id="rId5523" ref="E1841"/>
    <hyperlink r:id="rId5524" ref="O1841"/>
    <hyperlink r:id="rId5525" ref="B1842"/>
    <hyperlink r:id="rId5526" ref="E1842"/>
    <hyperlink r:id="rId5527" ref="O1842"/>
    <hyperlink r:id="rId5528" ref="B1843"/>
    <hyperlink r:id="rId5529" ref="E1843"/>
    <hyperlink r:id="rId5530" ref="O1843"/>
    <hyperlink r:id="rId5531" ref="B1844"/>
    <hyperlink r:id="rId5532" ref="E1844"/>
    <hyperlink r:id="rId5533" ref="O1844"/>
    <hyperlink r:id="rId5534" ref="B1845"/>
    <hyperlink r:id="rId5535" ref="E1845"/>
    <hyperlink r:id="rId5536" ref="O1845"/>
    <hyperlink r:id="rId5537" ref="B1846"/>
    <hyperlink r:id="rId5538" ref="E1846"/>
    <hyperlink r:id="rId5539" ref="O1846"/>
    <hyperlink r:id="rId5540" ref="B1847"/>
    <hyperlink r:id="rId5541" ref="E1847"/>
    <hyperlink r:id="rId5542" ref="O1847"/>
    <hyperlink r:id="rId5543" ref="B1848"/>
    <hyperlink r:id="rId5544" ref="E1848"/>
    <hyperlink r:id="rId5545" ref="O1848"/>
    <hyperlink r:id="rId5546" ref="B1849"/>
    <hyperlink r:id="rId5547" ref="E1849"/>
    <hyperlink r:id="rId5548" ref="O1849"/>
    <hyperlink r:id="rId5549" ref="B1850"/>
    <hyperlink r:id="rId5550" ref="E1850"/>
    <hyperlink r:id="rId5551" ref="O1850"/>
    <hyperlink r:id="rId5552" ref="B1851"/>
    <hyperlink r:id="rId5553" ref="E1851"/>
    <hyperlink r:id="rId5554" ref="O1851"/>
    <hyperlink r:id="rId5555" ref="B1852"/>
    <hyperlink r:id="rId5556" ref="E1852"/>
    <hyperlink r:id="rId5557" ref="O1852"/>
    <hyperlink r:id="rId5558" ref="B1853"/>
    <hyperlink r:id="rId5559" ref="E1853"/>
    <hyperlink r:id="rId5560" ref="O1853"/>
    <hyperlink r:id="rId5561" ref="B1854"/>
    <hyperlink r:id="rId5562" ref="E1854"/>
    <hyperlink r:id="rId5563" ref="O1854"/>
    <hyperlink r:id="rId5564" ref="B1855"/>
    <hyperlink r:id="rId5565" ref="E1855"/>
    <hyperlink r:id="rId5566" ref="O1855"/>
    <hyperlink r:id="rId5567" ref="B1856"/>
    <hyperlink r:id="rId5568" ref="E1856"/>
    <hyperlink r:id="rId5569" ref="O1856"/>
    <hyperlink r:id="rId5570" ref="B1857"/>
    <hyperlink r:id="rId5571" ref="E1857"/>
    <hyperlink r:id="rId5572" ref="O1857"/>
    <hyperlink r:id="rId5573" ref="B1858"/>
    <hyperlink r:id="rId5574" ref="E1858"/>
    <hyperlink r:id="rId5575" ref="O1858"/>
    <hyperlink r:id="rId5576" ref="B1859"/>
    <hyperlink r:id="rId5577" ref="E1859"/>
    <hyperlink r:id="rId5578" ref="O1859"/>
    <hyperlink r:id="rId5579" ref="B1860"/>
    <hyperlink r:id="rId5580" ref="E1860"/>
    <hyperlink r:id="rId5581" ref="O1860"/>
    <hyperlink r:id="rId5582" ref="B1861"/>
    <hyperlink r:id="rId5583" ref="E1861"/>
    <hyperlink r:id="rId5584" ref="O1861"/>
    <hyperlink r:id="rId5585" ref="B1862"/>
    <hyperlink r:id="rId5586" ref="E1862"/>
    <hyperlink r:id="rId5587" ref="O1862"/>
    <hyperlink r:id="rId5588" ref="B1863"/>
    <hyperlink r:id="rId5589" ref="E1863"/>
    <hyperlink r:id="rId5590" ref="O1863"/>
  </hyperlinks>
  <drawing r:id="rId559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2.71"/>
    <col customWidth="1" min="3" max="7" width="19.71"/>
  </cols>
  <sheetData>
    <row r="1" ht="24.0" customHeight="1">
      <c r="A1" s="19" t="s">
        <v>2</v>
      </c>
      <c r="B1" s="20" t="s">
        <v>1932</v>
      </c>
      <c r="C1" s="21" t="s">
        <v>1933</v>
      </c>
      <c r="D1" s="22"/>
      <c r="E1" s="22"/>
      <c r="F1" s="22"/>
      <c r="G1" s="23"/>
    </row>
    <row r="2">
      <c r="A2" s="24">
        <v>42434.47521641204</v>
      </c>
      <c r="B2" s="25" t="s">
        <v>1934</v>
      </c>
      <c r="C2" s="26"/>
      <c r="D2" s="26"/>
      <c r="E2" s="27"/>
      <c r="F2" s="26"/>
      <c r="G2" s="26"/>
    </row>
    <row r="3">
      <c r="A3" s="24">
        <v>42493.47521990741</v>
      </c>
      <c r="B3" s="25" t="s">
        <v>1935</v>
      </c>
      <c r="C3" s="26"/>
      <c r="D3" s="26"/>
      <c r="E3" s="27"/>
      <c r="F3" s="26"/>
      <c r="G3" s="26"/>
    </row>
    <row r="4">
      <c r="A4" s="24">
        <v>42493.47523148148</v>
      </c>
      <c r="B4" s="25" t="s">
        <v>1936</v>
      </c>
      <c r="C4" s="26"/>
      <c r="D4" s="26"/>
      <c r="E4" s="27"/>
      <c r="F4" s="26"/>
      <c r="G4" s="26"/>
    </row>
    <row r="5">
      <c r="A5" s="24">
        <v>42493.4762962963</v>
      </c>
      <c r="B5" s="25" t="s">
        <v>1937</v>
      </c>
      <c r="C5" s="26"/>
      <c r="D5" s="26"/>
      <c r="E5" s="27"/>
      <c r="F5" s="26"/>
      <c r="G5" s="26"/>
    </row>
    <row r="6">
      <c r="A6" s="24">
        <v>42493.49376157407</v>
      </c>
      <c r="B6" s="25" t="s">
        <v>1938</v>
      </c>
      <c r="C6" s="26"/>
      <c r="D6" s="26"/>
      <c r="E6" s="27"/>
      <c r="F6" s="26"/>
      <c r="G6" s="26"/>
    </row>
    <row r="7">
      <c r="A7" s="24">
        <v>42493.535416666666</v>
      </c>
      <c r="B7" s="25" t="s">
        <v>1939</v>
      </c>
      <c r="C7" s="26"/>
      <c r="D7" s="26"/>
      <c r="E7" s="27"/>
      <c r="F7" s="26"/>
      <c r="G7" s="26"/>
    </row>
    <row r="8">
      <c r="A8" s="24">
        <v>42493.57708333333</v>
      </c>
      <c r="B8" s="25" t="s">
        <v>1940</v>
      </c>
      <c r="C8" s="26"/>
      <c r="D8" s="26"/>
      <c r="E8" s="27"/>
      <c r="F8" s="26"/>
      <c r="G8" s="26"/>
    </row>
    <row r="9">
      <c r="A9" s="24">
        <v>42493.618738425925</v>
      </c>
      <c r="B9" s="25" t="s">
        <v>1941</v>
      </c>
      <c r="C9" s="26"/>
      <c r="D9" s="26"/>
      <c r="E9" s="27"/>
      <c r="F9" s="26"/>
      <c r="G9" s="26"/>
    </row>
    <row r="10">
      <c r="A10" s="24">
        <v>42493.660416666666</v>
      </c>
      <c r="B10" s="25" t="s">
        <v>1942</v>
      </c>
      <c r="C10" s="26"/>
      <c r="D10" s="26"/>
      <c r="E10" s="27"/>
      <c r="F10" s="26"/>
      <c r="G10" s="26"/>
    </row>
    <row r="11">
      <c r="A11" s="24">
        <v>42493.70207175926</v>
      </c>
      <c r="B11" s="25" t="s">
        <v>1943</v>
      </c>
      <c r="C11" s="26"/>
      <c r="D11" s="26"/>
      <c r="E11" s="27"/>
      <c r="F11" s="26"/>
      <c r="G11" s="26"/>
    </row>
    <row r="12">
      <c r="A12" s="24">
        <v>42493.743738425925</v>
      </c>
      <c r="B12" s="25" t="s">
        <v>1944</v>
      </c>
      <c r="C12" s="26"/>
      <c r="D12" s="26"/>
      <c r="E12" s="27"/>
      <c r="F12" s="26"/>
      <c r="G12" s="26"/>
    </row>
    <row r="13">
      <c r="A13" s="28"/>
      <c r="B13" s="29"/>
      <c r="C13" s="26"/>
      <c r="D13" s="26"/>
      <c r="E13" s="27"/>
      <c r="F13" s="26"/>
      <c r="G13" s="26"/>
    </row>
    <row r="14">
      <c r="A14" s="28"/>
      <c r="B14" s="29"/>
      <c r="C14" s="26"/>
      <c r="D14" s="26"/>
      <c r="E14" s="27"/>
      <c r="F14" s="26"/>
      <c r="G14" s="26"/>
    </row>
    <row r="15">
      <c r="A15" s="28"/>
      <c r="B15" s="29"/>
      <c r="C15" s="26"/>
      <c r="D15" s="26"/>
      <c r="E15" s="27"/>
      <c r="F15" s="26"/>
      <c r="G15" s="26"/>
    </row>
    <row r="16">
      <c r="A16" s="28"/>
      <c r="B16" s="29"/>
      <c r="C16" s="26"/>
      <c r="D16" s="26"/>
      <c r="E16" s="27"/>
      <c r="F16" s="26"/>
      <c r="G16" s="26"/>
    </row>
    <row r="17">
      <c r="A17" s="28"/>
      <c r="B17" s="29"/>
      <c r="C17" s="26"/>
      <c r="D17" s="26"/>
      <c r="E17" s="27"/>
      <c r="F17" s="26"/>
      <c r="G17" s="26"/>
    </row>
    <row r="18">
      <c r="A18" s="28"/>
      <c r="B18" s="29"/>
      <c r="C18" s="26"/>
      <c r="D18" s="26"/>
      <c r="E18" s="27"/>
      <c r="F18" s="26"/>
      <c r="G18" s="26"/>
    </row>
    <row r="19">
      <c r="A19" s="28"/>
      <c r="B19" s="29"/>
      <c r="C19" s="26"/>
      <c r="D19" s="26"/>
      <c r="E19" s="27"/>
      <c r="F19" s="26"/>
      <c r="G19" s="26"/>
    </row>
    <row r="20">
      <c r="A20" s="28"/>
      <c r="B20" s="29"/>
      <c r="C20" s="26"/>
      <c r="D20" s="26"/>
      <c r="E20" s="27"/>
      <c r="F20" s="26"/>
      <c r="G20" s="26"/>
    </row>
    <row r="21">
      <c r="A21" s="28"/>
      <c r="B21" s="29"/>
      <c r="C21" s="26"/>
      <c r="D21" s="26"/>
      <c r="E21" s="27"/>
      <c r="F21" s="26"/>
      <c r="G21" s="26"/>
    </row>
    <row r="22">
      <c r="A22" s="28"/>
      <c r="B22" s="29"/>
      <c r="C22" s="26"/>
      <c r="D22" s="26"/>
      <c r="E22" s="27"/>
      <c r="F22" s="26"/>
      <c r="G22" s="26"/>
    </row>
    <row r="23">
      <c r="A23" s="28"/>
      <c r="B23" s="29"/>
      <c r="C23" s="26"/>
      <c r="D23" s="26"/>
      <c r="E23" s="27"/>
      <c r="F23" s="26"/>
      <c r="G23" s="26"/>
    </row>
    <row r="24">
      <c r="A24" s="28"/>
      <c r="B24" s="29"/>
      <c r="C24" s="26"/>
      <c r="D24" s="26"/>
      <c r="E24" s="27"/>
      <c r="F24" s="26"/>
      <c r="G24" s="26"/>
    </row>
    <row r="25">
      <c r="A25" s="28"/>
      <c r="B25" s="29"/>
      <c r="C25" s="26"/>
      <c r="D25" s="26"/>
      <c r="E25" s="27"/>
      <c r="F25" s="26"/>
      <c r="G25" s="26"/>
    </row>
    <row r="26">
      <c r="A26" s="28"/>
      <c r="B26" s="29"/>
      <c r="C26" s="26"/>
      <c r="D26" s="26"/>
      <c r="E26" s="27"/>
      <c r="F26" s="26"/>
      <c r="G26" s="26"/>
    </row>
    <row r="27">
      <c r="A27" s="28"/>
      <c r="B27" s="29"/>
      <c r="C27" s="26"/>
      <c r="D27" s="26"/>
      <c r="E27" s="27"/>
      <c r="F27" s="26"/>
      <c r="G27" s="26"/>
    </row>
    <row r="28">
      <c r="A28" s="28"/>
      <c r="B28" s="29"/>
      <c r="C28" s="26"/>
      <c r="D28" s="26"/>
      <c r="E28" s="27"/>
      <c r="F28" s="26"/>
      <c r="G28" s="26"/>
    </row>
    <row r="29">
      <c r="A29" s="28"/>
      <c r="B29" s="29"/>
      <c r="C29" s="26"/>
      <c r="D29" s="26"/>
      <c r="E29" s="27"/>
      <c r="F29" s="26"/>
      <c r="G29" s="26"/>
    </row>
    <row r="30">
      <c r="A30" s="28"/>
      <c r="B30" s="29"/>
      <c r="C30" s="26"/>
      <c r="D30" s="26"/>
      <c r="E30" s="27"/>
      <c r="F30" s="26"/>
      <c r="G30" s="26"/>
    </row>
    <row r="31">
      <c r="A31" s="28"/>
      <c r="B31" s="29"/>
      <c r="C31" s="26"/>
      <c r="D31" s="26"/>
      <c r="E31" s="27"/>
      <c r="F31" s="26"/>
      <c r="G31" s="26"/>
    </row>
    <row r="32">
      <c r="A32" s="28"/>
      <c r="B32" s="29"/>
      <c r="C32" s="26"/>
      <c r="D32" s="26"/>
      <c r="E32" s="27"/>
      <c r="F32" s="26"/>
      <c r="G32" s="26"/>
    </row>
    <row r="33">
      <c r="A33" s="28"/>
      <c r="B33" s="29"/>
      <c r="C33" s="26"/>
      <c r="D33" s="26"/>
      <c r="E33" s="27"/>
      <c r="F33" s="26"/>
      <c r="G33" s="26"/>
    </row>
    <row r="34">
      <c r="A34" s="28"/>
      <c r="B34" s="29"/>
      <c r="C34" s="26"/>
      <c r="D34" s="26"/>
      <c r="E34" s="27"/>
      <c r="F34" s="26"/>
      <c r="G34" s="26"/>
    </row>
    <row r="35">
      <c r="A35" s="28"/>
      <c r="B35" s="29"/>
      <c r="C35" s="26"/>
      <c r="D35" s="26"/>
      <c r="E35" s="27"/>
      <c r="F35" s="26"/>
      <c r="G35" s="26"/>
    </row>
    <row r="36">
      <c r="A36" s="28"/>
      <c r="B36" s="29"/>
      <c r="C36" s="26"/>
      <c r="D36" s="26"/>
      <c r="E36" s="27"/>
      <c r="F36" s="26"/>
      <c r="G36" s="26"/>
    </row>
    <row r="37">
      <c r="A37" s="28"/>
      <c r="B37" s="29"/>
      <c r="C37" s="26"/>
      <c r="D37" s="26"/>
      <c r="E37" s="27"/>
      <c r="F37" s="26"/>
      <c r="G37" s="26"/>
    </row>
    <row r="38">
      <c r="A38" s="28"/>
      <c r="B38" s="29"/>
      <c r="C38" s="26"/>
      <c r="D38" s="26"/>
      <c r="E38" s="27"/>
      <c r="F38" s="26"/>
      <c r="G38" s="26"/>
    </row>
    <row r="39">
      <c r="A39" s="28"/>
      <c r="B39" s="29"/>
      <c r="C39" s="26"/>
      <c r="D39" s="26"/>
      <c r="E39" s="27"/>
      <c r="F39" s="26"/>
      <c r="G39" s="26"/>
    </row>
    <row r="40">
      <c r="A40" s="28"/>
      <c r="B40" s="29"/>
      <c r="C40" s="26"/>
      <c r="D40" s="26"/>
      <c r="E40" s="27"/>
      <c r="F40" s="26"/>
      <c r="G40" s="26"/>
    </row>
    <row r="41">
      <c r="A41" s="28"/>
      <c r="B41" s="29"/>
      <c r="C41" s="26"/>
      <c r="D41" s="26"/>
      <c r="E41" s="27"/>
      <c r="F41" s="26"/>
      <c r="G41" s="26"/>
    </row>
    <row r="42">
      <c r="A42" s="28"/>
      <c r="B42" s="29"/>
      <c r="C42" s="26"/>
      <c r="D42" s="26"/>
      <c r="E42" s="27"/>
      <c r="F42" s="26"/>
      <c r="G42" s="26"/>
    </row>
    <row r="43">
      <c r="A43" s="28"/>
      <c r="B43" s="29"/>
      <c r="C43" s="26"/>
      <c r="D43" s="26"/>
      <c r="E43" s="27"/>
      <c r="F43" s="26"/>
      <c r="G43" s="26"/>
    </row>
    <row r="44">
      <c r="A44" s="28"/>
      <c r="B44" s="29"/>
      <c r="C44" s="26"/>
      <c r="D44" s="26"/>
      <c r="E44" s="27"/>
      <c r="F44" s="26"/>
      <c r="G44" s="26"/>
    </row>
    <row r="45">
      <c r="A45" s="28"/>
      <c r="B45" s="29"/>
      <c r="C45" s="26"/>
      <c r="D45" s="26"/>
      <c r="E45" s="27"/>
      <c r="F45" s="26"/>
      <c r="G45" s="26"/>
    </row>
    <row r="46">
      <c r="A46" s="28"/>
      <c r="B46" s="29"/>
      <c r="C46" s="26"/>
      <c r="D46" s="26"/>
      <c r="E46" s="27"/>
      <c r="F46" s="26"/>
      <c r="G46" s="26"/>
    </row>
    <row r="47">
      <c r="A47" s="28"/>
      <c r="B47" s="29"/>
      <c r="C47" s="26"/>
      <c r="D47" s="26"/>
      <c r="E47" s="27"/>
      <c r="F47" s="26"/>
      <c r="G47" s="26"/>
    </row>
    <row r="48">
      <c r="A48" s="28"/>
      <c r="B48" s="29"/>
      <c r="C48" s="26"/>
      <c r="D48" s="26"/>
      <c r="E48" s="27"/>
      <c r="F48" s="26"/>
      <c r="G48" s="26"/>
    </row>
    <row r="49">
      <c r="A49" s="28"/>
      <c r="B49" s="29"/>
      <c r="C49" s="26"/>
      <c r="D49" s="26"/>
      <c r="E49" s="27"/>
      <c r="F49" s="26"/>
      <c r="G49" s="26"/>
    </row>
    <row r="50">
      <c r="A50" s="28"/>
      <c r="B50" s="29"/>
      <c r="C50" s="26"/>
      <c r="D50" s="26"/>
      <c r="E50" s="27"/>
      <c r="F50" s="26"/>
      <c r="G50" s="26"/>
    </row>
    <row r="51">
      <c r="A51" s="28"/>
      <c r="B51" s="29"/>
      <c r="C51" s="26"/>
      <c r="D51" s="26"/>
      <c r="E51" s="27"/>
      <c r="F51" s="26"/>
      <c r="G51" s="26"/>
    </row>
    <row r="52">
      <c r="A52" s="28"/>
      <c r="B52" s="29"/>
      <c r="C52" s="26"/>
      <c r="D52" s="26"/>
      <c r="E52" s="27"/>
      <c r="F52" s="26"/>
      <c r="G52" s="26"/>
    </row>
    <row r="53">
      <c r="A53" s="28"/>
      <c r="B53" s="29"/>
      <c r="C53" s="26"/>
      <c r="D53" s="26"/>
      <c r="E53" s="27"/>
      <c r="F53" s="26"/>
      <c r="G53" s="26"/>
    </row>
    <row r="54">
      <c r="A54" s="28"/>
      <c r="B54" s="29"/>
      <c r="C54" s="26"/>
      <c r="D54" s="26"/>
      <c r="E54" s="27"/>
      <c r="F54" s="26"/>
      <c r="G54" s="26"/>
    </row>
    <row r="55">
      <c r="A55" s="28"/>
      <c r="B55" s="29"/>
      <c r="C55" s="26"/>
      <c r="D55" s="26"/>
      <c r="E55" s="27"/>
      <c r="F55" s="26"/>
      <c r="G55" s="26"/>
    </row>
    <row r="56">
      <c r="A56" s="28"/>
      <c r="B56" s="29"/>
      <c r="C56" s="26"/>
      <c r="D56" s="26"/>
      <c r="E56" s="27"/>
      <c r="F56" s="26"/>
      <c r="G56" s="26"/>
    </row>
    <row r="57">
      <c r="A57" s="28"/>
      <c r="B57" s="29"/>
      <c r="C57" s="26"/>
      <c r="D57" s="26"/>
      <c r="E57" s="27"/>
      <c r="F57" s="26"/>
      <c r="G57" s="26"/>
    </row>
    <row r="58">
      <c r="A58" s="28"/>
      <c r="B58" s="29"/>
      <c r="C58" s="26"/>
      <c r="D58" s="26"/>
      <c r="E58" s="27"/>
      <c r="F58" s="26"/>
      <c r="G58" s="26"/>
    </row>
    <row r="59">
      <c r="A59" s="28"/>
      <c r="B59" s="29"/>
      <c r="C59" s="26"/>
      <c r="D59" s="26"/>
      <c r="E59" s="27"/>
      <c r="F59" s="26"/>
      <c r="G59" s="26"/>
    </row>
    <row r="60">
      <c r="A60" s="28"/>
      <c r="B60" s="29"/>
      <c r="C60" s="26"/>
      <c r="D60" s="26"/>
      <c r="E60" s="27"/>
      <c r="F60" s="26"/>
      <c r="G60" s="26"/>
    </row>
    <row r="61">
      <c r="A61" s="28"/>
      <c r="B61" s="29"/>
      <c r="C61" s="26"/>
      <c r="D61" s="26"/>
      <c r="E61" s="27"/>
      <c r="F61" s="26"/>
      <c r="G61" s="26"/>
    </row>
    <row r="62">
      <c r="A62" s="28"/>
      <c r="B62" s="29"/>
      <c r="C62" s="26"/>
      <c r="D62" s="26"/>
      <c r="E62" s="27"/>
      <c r="F62" s="26"/>
      <c r="G62" s="26"/>
    </row>
    <row r="63">
      <c r="A63" s="28"/>
      <c r="B63" s="29"/>
      <c r="C63" s="26"/>
      <c r="D63" s="26"/>
      <c r="E63" s="27"/>
      <c r="F63" s="26"/>
      <c r="G63" s="26"/>
    </row>
    <row r="64">
      <c r="A64" s="28"/>
      <c r="B64" s="29"/>
      <c r="C64" s="26"/>
      <c r="D64" s="26"/>
      <c r="E64" s="27"/>
      <c r="F64" s="26"/>
      <c r="G64" s="26"/>
    </row>
    <row r="65">
      <c r="A65" s="28"/>
      <c r="B65" s="29"/>
      <c r="C65" s="26"/>
      <c r="D65" s="26"/>
      <c r="E65" s="27"/>
      <c r="F65" s="26"/>
      <c r="G65" s="26"/>
    </row>
    <row r="66">
      <c r="A66" s="28"/>
      <c r="B66" s="29"/>
      <c r="C66" s="26"/>
      <c r="D66" s="26"/>
      <c r="E66" s="27"/>
      <c r="F66" s="26"/>
      <c r="G66" s="26"/>
    </row>
    <row r="67">
      <c r="A67" s="28"/>
      <c r="B67" s="29"/>
      <c r="C67" s="26"/>
      <c r="D67" s="26"/>
      <c r="E67" s="27"/>
      <c r="F67" s="26"/>
      <c r="G67" s="26"/>
    </row>
    <row r="68">
      <c r="A68" s="28"/>
      <c r="B68" s="29"/>
      <c r="C68" s="26"/>
      <c r="D68" s="26"/>
      <c r="E68" s="27"/>
      <c r="F68" s="26"/>
      <c r="G68" s="26"/>
    </row>
    <row r="69">
      <c r="A69" s="28"/>
      <c r="B69" s="29"/>
      <c r="C69" s="26"/>
      <c r="D69" s="26"/>
      <c r="E69" s="27"/>
      <c r="F69" s="26"/>
      <c r="G69" s="26"/>
    </row>
    <row r="70">
      <c r="A70" s="28"/>
      <c r="B70" s="29"/>
      <c r="C70" s="26"/>
      <c r="D70" s="26"/>
      <c r="E70" s="27"/>
      <c r="F70" s="26"/>
      <c r="G70" s="26"/>
    </row>
    <row r="71">
      <c r="A71" s="28"/>
      <c r="B71" s="29"/>
      <c r="C71" s="26"/>
      <c r="D71" s="26"/>
      <c r="E71" s="27"/>
      <c r="F71" s="26"/>
      <c r="G71" s="26"/>
    </row>
    <row r="72">
      <c r="A72" s="28"/>
      <c r="B72" s="29"/>
      <c r="C72" s="26"/>
      <c r="D72" s="26"/>
      <c r="E72" s="27"/>
      <c r="F72" s="26"/>
      <c r="G72" s="26"/>
    </row>
    <row r="73">
      <c r="A73" s="28"/>
      <c r="B73" s="29"/>
      <c r="C73" s="26"/>
      <c r="D73" s="26"/>
      <c r="E73" s="27"/>
      <c r="F73" s="26"/>
      <c r="G73" s="26"/>
    </row>
    <row r="74">
      <c r="A74" s="28"/>
      <c r="B74" s="29"/>
      <c r="C74" s="26"/>
      <c r="D74" s="26"/>
      <c r="E74" s="27"/>
      <c r="F74" s="26"/>
      <c r="G74" s="26"/>
    </row>
    <row r="75">
      <c r="A75" s="28"/>
      <c r="B75" s="29"/>
      <c r="C75" s="26"/>
      <c r="D75" s="26"/>
      <c r="E75" s="27"/>
      <c r="F75" s="26"/>
      <c r="G75" s="26"/>
    </row>
    <row r="76">
      <c r="A76" s="28"/>
      <c r="B76" s="29"/>
      <c r="C76" s="26"/>
      <c r="D76" s="26"/>
      <c r="E76" s="27"/>
      <c r="F76" s="26"/>
      <c r="G76" s="26"/>
    </row>
    <row r="77">
      <c r="A77" s="28"/>
      <c r="B77" s="29"/>
      <c r="C77" s="26"/>
      <c r="D77" s="26"/>
      <c r="E77" s="27"/>
      <c r="F77" s="26"/>
      <c r="G77" s="26"/>
    </row>
    <row r="78">
      <c r="A78" s="28"/>
      <c r="B78" s="29"/>
      <c r="C78" s="26"/>
      <c r="D78" s="26"/>
      <c r="E78" s="27"/>
      <c r="F78" s="26"/>
      <c r="G78" s="26"/>
    </row>
    <row r="79">
      <c r="A79" s="28"/>
      <c r="B79" s="29"/>
      <c r="C79" s="26"/>
      <c r="D79" s="26"/>
      <c r="E79" s="27"/>
      <c r="F79" s="26"/>
      <c r="G79" s="26"/>
    </row>
    <row r="80">
      <c r="A80" s="28"/>
      <c r="B80" s="29"/>
      <c r="C80" s="26"/>
      <c r="D80" s="26"/>
      <c r="E80" s="27"/>
      <c r="F80" s="26"/>
      <c r="G80" s="26"/>
    </row>
    <row r="81">
      <c r="A81" s="28"/>
      <c r="B81" s="29"/>
      <c r="C81" s="26"/>
      <c r="D81" s="26"/>
      <c r="E81" s="27"/>
      <c r="F81" s="26"/>
      <c r="G81" s="26"/>
    </row>
    <row r="82">
      <c r="A82" s="28"/>
      <c r="B82" s="29"/>
      <c r="C82" s="26"/>
      <c r="D82" s="26"/>
      <c r="E82" s="27"/>
      <c r="F82" s="26"/>
      <c r="G82" s="26"/>
    </row>
    <row r="83">
      <c r="A83" s="28"/>
      <c r="B83" s="29"/>
      <c r="C83" s="26"/>
      <c r="D83" s="26"/>
      <c r="E83" s="27"/>
      <c r="F83" s="26"/>
      <c r="G83" s="26"/>
    </row>
    <row r="84">
      <c r="A84" s="28"/>
      <c r="B84" s="29"/>
      <c r="C84" s="26"/>
      <c r="D84" s="26"/>
      <c r="E84" s="27"/>
      <c r="F84" s="26"/>
      <c r="G84" s="26"/>
    </row>
    <row r="85">
      <c r="A85" s="28"/>
      <c r="B85" s="29"/>
      <c r="C85" s="26"/>
      <c r="D85" s="26"/>
      <c r="E85" s="27"/>
      <c r="F85" s="26"/>
      <c r="G85" s="26"/>
    </row>
    <row r="86">
      <c r="A86" s="28"/>
      <c r="B86" s="29"/>
      <c r="C86" s="26"/>
      <c r="D86" s="26"/>
      <c r="E86" s="27"/>
      <c r="F86" s="26"/>
      <c r="G86" s="26"/>
    </row>
    <row r="87">
      <c r="A87" s="28"/>
      <c r="B87" s="29"/>
      <c r="C87" s="26"/>
      <c r="D87" s="26"/>
      <c r="E87" s="27"/>
      <c r="F87" s="26"/>
      <c r="G87" s="26"/>
    </row>
    <row r="88">
      <c r="A88" s="28"/>
      <c r="B88" s="29"/>
      <c r="C88" s="26"/>
      <c r="D88" s="26"/>
      <c r="E88" s="27"/>
      <c r="F88" s="26"/>
      <c r="G88" s="26"/>
    </row>
    <row r="89">
      <c r="A89" s="28"/>
      <c r="B89" s="29"/>
      <c r="C89" s="26"/>
      <c r="D89" s="26"/>
      <c r="E89" s="27"/>
      <c r="F89" s="26"/>
      <c r="G89" s="26"/>
    </row>
    <row r="90">
      <c r="A90" s="28"/>
      <c r="B90" s="29"/>
      <c r="C90" s="26"/>
      <c r="D90" s="26"/>
      <c r="E90" s="27"/>
      <c r="F90" s="26"/>
      <c r="G90" s="26"/>
    </row>
    <row r="91">
      <c r="A91" s="28"/>
      <c r="B91" s="29"/>
      <c r="C91" s="26"/>
      <c r="D91" s="26"/>
      <c r="E91" s="27"/>
      <c r="F91" s="26"/>
      <c r="G91" s="26"/>
    </row>
    <row r="92">
      <c r="A92" s="28"/>
      <c r="B92" s="29"/>
      <c r="C92" s="26"/>
      <c r="D92" s="26"/>
      <c r="E92" s="27"/>
      <c r="F92" s="26"/>
      <c r="G92" s="26"/>
    </row>
    <row r="93">
      <c r="A93" s="28"/>
      <c r="B93" s="29"/>
      <c r="C93" s="26"/>
      <c r="D93" s="26"/>
      <c r="E93" s="27"/>
      <c r="F93" s="26"/>
      <c r="G93" s="26"/>
    </row>
    <row r="94">
      <c r="A94" s="28"/>
      <c r="B94" s="29"/>
      <c r="C94" s="26"/>
      <c r="D94" s="26"/>
      <c r="E94" s="27"/>
      <c r="F94" s="26"/>
      <c r="G94" s="26"/>
    </row>
    <row r="95">
      <c r="A95" s="28"/>
      <c r="B95" s="29"/>
      <c r="C95" s="26"/>
      <c r="D95" s="26"/>
      <c r="E95" s="27"/>
      <c r="F95" s="26"/>
      <c r="G95" s="26"/>
    </row>
    <row r="96">
      <c r="A96" s="28"/>
      <c r="B96" s="29"/>
      <c r="C96" s="26"/>
      <c r="D96" s="26"/>
      <c r="E96" s="27"/>
      <c r="F96" s="26"/>
      <c r="G96" s="26"/>
    </row>
    <row r="97">
      <c r="A97" s="28"/>
      <c r="B97" s="29"/>
      <c r="C97" s="26"/>
      <c r="D97" s="26"/>
      <c r="E97" s="27"/>
      <c r="F97" s="26"/>
      <c r="G97" s="26"/>
    </row>
    <row r="98">
      <c r="A98" s="28"/>
      <c r="B98" s="29"/>
      <c r="C98" s="26"/>
      <c r="D98" s="26"/>
      <c r="E98" s="27"/>
      <c r="F98" s="26"/>
      <c r="G98" s="26"/>
    </row>
    <row r="99">
      <c r="A99" s="28"/>
      <c r="B99" s="29"/>
      <c r="C99" s="26"/>
      <c r="D99" s="26"/>
      <c r="E99" s="27"/>
      <c r="F99" s="26"/>
      <c r="G99" s="26"/>
    </row>
    <row r="100">
      <c r="A100" s="28"/>
      <c r="B100" s="29"/>
      <c r="C100" s="26"/>
      <c r="D100" s="26"/>
      <c r="E100" s="27"/>
      <c r="F100" s="26"/>
      <c r="G100" s="26"/>
    </row>
    <row r="101">
      <c r="A101" s="28"/>
      <c r="B101" s="29"/>
      <c r="C101" s="26"/>
      <c r="D101" s="26"/>
      <c r="E101" s="27"/>
      <c r="F101" s="26"/>
      <c r="G101" s="26"/>
    </row>
    <row r="102">
      <c r="A102" s="28"/>
      <c r="B102" s="29"/>
      <c r="C102" s="26"/>
      <c r="D102" s="26"/>
      <c r="E102" s="27"/>
      <c r="F102" s="26"/>
      <c r="G102" s="26"/>
    </row>
    <row r="103">
      <c r="A103" s="28"/>
      <c r="B103" s="29"/>
      <c r="C103" s="26"/>
      <c r="D103" s="26"/>
      <c r="E103" s="27"/>
      <c r="F103" s="26"/>
      <c r="G103" s="26"/>
    </row>
    <row r="104">
      <c r="A104" s="28"/>
      <c r="B104" s="29"/>
      <c r="C104" s="26"/>
      <c r="D104" s="26"/>
      <c r="E104" s="27"/>
      <c r="F104" s="26"/>
      <c r="G104" s="26"/>
    </row>
    <row r="105">
      <c r="A105" s="28"/>
      <c r="B105" s="29"/>
      <c r="C105" s="26"/>
      <c r="D105" s="26"/>
      <c r="E105" s="27"/>
      <c r="F105" s="26"/>
      <c r="G105" s="26"/>
    </row>
    <row r="106">
      <c r="A106" s="28"/>
      <c r="B106" s="29"/>
      <c r="C106" s="26"/>
      <c r="D106" s="26"/>
      <c r="E106" s="27"/>
      <c r="F106" s="26"/>
      <c r="G106" s="26"/>
    </row>
    <row r="107">
      <c r="A107" s="28"/>
      <c r="B107" s="29"/>
      <c r="C107" s="26"/>
      <c r="D107" s="26"/>
      <c r="E107" s="27"/>
      <c r="F107" s="26"/>
      <c r="G107" s="26"/>
    </row>
    <row r="108">
      <c r="A108" s="28"/>
      <c r="B108" s="29"/>
      <c r="C108" s="26"/>
      <c r="D108" s="26"/>
      <c r="E108" s="27"/>
      <c r="F108" s="26"/>
      <c r="G108" s="26"/>
    </row>
    <row r="109">
      <c r="A109" s="28"/>
      <c r="B109" s="29"/>
      <c r="C109" s="26"/>
      <c r="D109" s="26"/>
      <c r="E109" s="27"/>
      <c r="F109" s="26"/>
      <c r="G109" s="26"/>
    </row>
    <row r="110">
      <c r="A110" s="28"/>
      <c r="B110" s="29"/>
      <c r="C110" s="26"/>
      <c r="D110" s="26"/>
      <c r="E110" s="27"/>
      <c r="F110" s="26"/>
      <c r="G110" s="26"/>
    </row>
    <row r="111">
      <c r="A111" s="28"/>
      <c r="B111" s="29"/>
      <c r="C111" s="26"/>
      <c r="D111" s="26"/>
      <c r="E111" s="27"/>
      <c r="F111" s="26"/>
      <c r="G111" s="26"/>
    </row>
    <row r="112">
      <c r="A112" s="28"/>
      <c r="B112" s="29"/>
      <c r="C112" s="26"/>
      <c r="D112" s="26"/>
      <c r="E112" s="27"/>
      <c r="F112" s="26"/>
      <c r="G112" s="26"/>
    </row>
    <row r="113">
      <c r="A113" s="28"/>
      <c r="B113" s="29"/>
      <c r="C113" s="26"/>
      <c r="D113" s="26"/>
      <c r="E113" s="27"/>
      <c r="F113" s="26"/>
      <c r="G113" s="26"/>
    </row>
    <row r="114">
      <c r="A114" s="28"/>
      <c r="B114" s="29"/>
      <c r="C114" s="26"/>
      <c r="D114" s="26"/>
      <c r="E114" s="27"/>
      <c r="F114" s="26"/>
      <c r="G114" s="26"/>
    </row>
    <row r="115">
      <c r="A115" s="28"/>
      <c r="B115" s="29"/>
      <c r="C115" s="26"/>
      <c r="D115" s="26"/>
      <c r="E115" s="27"/>
      <c r="F115" s="26"/>
      <c r="G115" s="26"/>
    </row>
    <row r="116">
      <c r="A116" s="28"/>
      <c r="B116" s="29"/>
      <c r="C116" s="26"/>
      <c r="D116" s="26"/>
      <c r="E116" s="27"/>
      <c r="F116" s="26"/>
      <c r="G116" s="26"/>
    </row>
    <row r="117">
      <c r="A117" s="28"/>
      <c r="B117" s="29"/>
      <c r="C117" s="26"/>
      <c r="D117" s="26"/>
      <c r="E117" s="27"/>
      <c r="F117" s="26"/>
      <c r="G117" s="26"/>
    </row>
    <row r="118">
      <c r="A118" s="28"/>
      <c r="B118" s="29"/>
      <c r="C118" s="26"/>
      <c r="D118" s="26"/>
      <c r="E118" s="27"/>
      <c r="F118" s="26"/>
      <c r="G118" s="26"/>
    </row>
    <row r="119">
      <c r="A119" s="28"/>
      <c r="B119" s="29"/>
      <c r="C119" s="26"/>
      <c r="D119" s="26"/>
      <c r="E119" s="27"/>
      <c r="F119" s="26"/>
      <c r="G119" s="26"/>
    </row>
    <row r="120">
      <c r="A120" s="28"/>
      <c r="B120" s="29"/>
      <c r="C120" s="26"/>
      <c r="D120" s="26"/>
      <c r="E120" s="27"/>
      <c r="F120" s="26"/>
      <c r="G120" s="26"/>
    </row>
    <row r="121">
      <c r="A121" s="28"/>
      <c r="B121" s="29"/>
      <c r="C121" s="26"/>
      <c r="D121" s="26"/>
      <c r="E121" s="27"/>
      <c r="F121" s="26"/>
      <c r="G121" s="26"/>
    </row>
    <row r="122">
      <c r="A122" s="28"/>
      <c r="B122" s="29"/>
      <c r="C122" s="26"/>
      <c r="D122" s="26"/>
      <c r="E122" s="27"/>
      <c r="F122" s="26"/>
      <c r="G122" s="26"/>
    </row>
    <row r="123">
      <c r="A123" s="28"/>
      <c r="B123" s="29"/>
      <c r="C123" s="26"/>
      <c r="D123" s="26"/>
      <c r="E123" s="27"/>
      <c r="F123" s="26"/>
      <c r="G123" s="26"/>
    </row>
    <row r="124">
      <c r="A124" s="28"/>
      <c r="B124" s="29"/>
      <c r="C124" s="26"/>
      <c r="D124" s="26"/>
      <c r="E124" s="27"/>
      <c r="F124" s="26"/>
      <c r="G124" s="26"/>
    </row>
    <row r="125">
      <c r="A125" s="28"/>
      <c r="B125" s="29"/>
      <c r="C125" s="26"/>
      <c r="D125" s="26"/>
      <c r="E125" s="27"/>
      <c r="F125" s="26"/>
      <c r="G125" s="26"/>
    </row>
    <row r="126">
      <c r="A126" s="28"/>
      <c r="B126" s="29"/>
      <c r="C126" s="26"/>
      <c r="D126" s="26"/>
      <c r="E126" s="27"/>
      <c r="F126" s="26"/>
      <c r="G126" s="26"/>
    </row>
    <row r="127">
      <c r="A127" s="28"/>
      <c r="B127" s="29"/>
      <c r="C127" s="26"/>
      <c r="D127" s="26"/>
      <c r="E127" s="27"/>
      <c r="F127" s="26"/>
      <c r="G127" s="26"/>
    </row>
    <row r="128">
      <c r="A128" s="28"/>
      <c r="B128" s="29"/>
      <c r="C128" s="26"/>
      <c r="D128" s="26"/>
      <c r="E128" s="27"/>
      <c r="F128" s="26"/>
      <c r="G128" s="26"/>
    </row>
    <row r="129">
      <c r="A129" s="28"/>
      <c r="B129" s="29"/>
      <c r="C129" s="26"/>
      <c r="D129" s="26"/>
      <c r="E129" s="27"/>
      <c r="F129" s="26"/>
      <c r="G129" s="26"/>
    </row>
    <row r="130">
      <c r="A130" s="28"/>
      <c r="B130" s="29"/>
      <c r="C130" s="26"/>
      <c r="D130" s="26"/>
      <c r="E130" s="27"/>
      <c r="F130" s="26"/>
      <c r="G130" s="26"/>
    </row>
    <row r="131">
      <c r="A131" s="28"/>
      <c r="B131" s="29"/>
      <c r="C131" s="26"/>
      <c r="D131" s="26"/>
      <c r="E131" s="27"/>
      <c r="F131" s="26"/>
      <c r="G131" s="26"/>
    </row>
    <row r="132">
      <c r="A132" s="28"/>
      <c r="B132" s="29"/>
      <c r="C132" s="26"/>
      <c r="D132" s="26"/>
      <c r="E132" s="27"/>
      <c r="F132" s="26"/>
      <c r="G132" s="26"/>
    </row>
    <row r="133">
      <c r="A133" s="28"/>
      <c r="B133" s="29"/>
      <c r="C133" s="26"/>
      <c r="D133" s="26"/>
      <c r="E133" s="27"/>
      <c r="F133" s="26"/>
      <c r="G133" s="26"/>
    </row>
    <row r="134">
      <c r="A134" s="28"/>
      <c r="B134" s="29"/>
      <c r="C134" s="26"/>
      <c r="D134" s="26"/>
      <c r="E134" s="27"/>
      <c r="F134" s="26"/>
      <c r="G134" s="26"/>
    </row>
    <row r="135">
      <c r="A135" s="28"/>
      <c r="B135" s="29"/>
      <c r="C135" s="26"/>
      <c r="D135" s="26"/>
      <c r="E135" s="27"/>
      <c r="F135" s="26"/>
      <c r="G135" s="26"/>
    </row>
    <row r="136">
      <c r="A136" s="28"/>
      <c r="B136" s="29"/>
      <c r="C136" s="26"/>
      <c r="D136" s="26"/>
      <c r="E136" s="27"/>
      <c r="F136" s="26"/>
      <c r="G136" s="26"/>
    </row>
    <row r="137">
      <c r="A137" s="28"/>
      <c r="B137" s="29"/>
      <c r="C137" s="26"/>
      <c r="D137" s="26"/>
      <c r="E137" s="27"/>
      <c r="F137" s="26"/>
      <c r="G137" s="26"/>
    </row>
    <row r="138">
      <c r="A138" s="28"/>
      <c r="B138" s="29"/>
      <c r="C138" s="26"/>
      <c r="D138" s="26"/>
      <c r="E138" s="27"/>
      <c r="F138" s="26"/>
      <c r="G138" s="26"/>
    </row>
    <row r="139">
      <c r="A139" s="28"/>
      <c r="B139" s="29"/>
      <c r="C139" s="26"/>
      <c r="D139" s="26"/>
      <c r="E139" s="27"/>
      <c r="F139" s="26"/>
      <c r="G139" s="26"/>
    </row>
    <row r="140">
      <c r="A140" s="28"/>
      <c r="B140" s="29"/>
      <c r="C140" s="26"/>
      <c r="D140" s="26"/>
      <c r="E140" s="27"/>
      <c r="F140" s="26"/>
      <c r="G140" s="26"/>
    </row>
    <row r="141">
      <c r="A141" s="28"/>
      <c r="B141" s="29"/>
      <c r="C141" s="26"/>
      <c r="D141" s="26"/>
      <c r="E141" s="27"/>
      <c r="F141" s="26"/>
      <c r="G141" s="26"/>
    </row>
    <row r="142">
      <c r="A142" s="28"/>
      <c r="B142" s="29"/>
      <c r="C142" s="26"/>
      <c r="D142" s="26"/>
      <c r="E142" s="27"/>
      <c r="F142" s="26"/>
      <c r="G142" s="26"/>
    </row>
    <row r="143">
      <c r="A143" s="28"/>
      <c r="B143" s="29"/>
      <c r="C143" s="26"/>
      <c r="D143" s="26"/>
      <c r="E143" s="27"/>
      <c r="F143" s="26"/>
      <c r="G143" s="26"/>
    </row>
    <row r="144">
      <c r="A144" s="28"/>
      <c r="B144" s="29"/>
      <c r="C144" s="26"/>
      <c r="D144" s="26"/>
      <c r="E144" s="27"/>
      <c r="F144" s="26"/>
      <c r="G144" s="26"/>
    </row>
    <row r="145">
      <c r="A145" s="28"/>
      <c r="B145" s="29"/>
      <c r="C145" s="26"/>
      <c r="D145" s="26"/>
      <c r="E145" s="27"/>
      <c r="F145" s="26"/>
      <c r="G145" s="26"/>
    </row>
    <row r="146">
      <c r="A146" s="28"/>
      <c r="B146" s="29"/>
      <c r="C146" s="26"/>
      <c r="D146" s="26"/>
      <c r="E146" s="27"/>
      <c r="F146" s="26"/>
      <c r="G146" s="26"/>
    </row>
    <row r="147">
      <c r="A147" s="28"/>
      <c r="B147" s="29"/>
      <c r="C147" s="26"/>
      <c r="D147" s="26"/>
      <c r="E147" s="27"/>
      <c r="F147" s="26"/>
      <c r="G147" s="26"/>
    </row>
    <row r="148">
      <c r="A148" s="28"/>
      <c r="B148" s="29"/>
      <c r="C148" s="26"/>
      <c r="D148" s="26"/>
      <c r="E148" s="27"/>
      <c r="F148" s="26"/>
      <c r="G148" s="26"/>
    </row>
    <row r="149">
      <c r="A149" s="28"/>
      <c r="B149" s="29"/>
      <c r="C149" s="26"/>
      <c r="D149" s="26"/>
      <c r="E149" s="27"/>
      <c r="F149" s="26"/>
      <c r="G149" s="26"/>
    </row>
    <row r="150">
      <c r="A150" s="28"/>
      <c r="B150" s="29"/>
      <c r="C150" s="26"/>
      <c r="D150" s="26"/>
      <c r="E150" s="27"/>
      <c r="F150" s="26"/>
      <c r="G150" s="26"/>
    </row>
    <row r="151">
      <c r="A151" s="28"/>
      <c r="B151" s="29"/>
      <c r="C151" s="26"/>
      <c r="D151" s="26"/>
      <c r="E151" s="27"/>
      <c r="F151" s="26"/>
      <c r="G151" s="26"/>
    </row>
    <row r="152">
      <c r="A152" s="28"/>
      <c r="B152" s="29"/>
      <c r="C152" s="26"/>
      <c r="D152" s="26"/>
      <c r="E152" s="27"/>
      <c r="F152" s="26"/>
      <c r="G152" s="26"/>
    </row>
    <row r="153">
      <c r="A153" s="28"/>
      <c r="B153" s="29"/>
      <c r="C153" s="26"/>
      <c r="D153" s="26"/>
      <c r="E153" s="27"/>
      <c r="F153" s="26"/>
      <c r="G153" s="26"/>
    </row>
    <row r="154">
      <c r="A154" s="28"/>
      <c r="B154" s="29"/>
      <c r="C154" s="26"/>
      <c r="D154" s="26"/>
      <c r="E154" s="27"/>
      <c r="F154" s="26"/>
      <c r="G154" s="26"/>
    </row>
    <row r="155">
      <c r="A155" s="28"/>
      <c r="B155" s="29"/>
      <c r="C155" s="26"/>
      <c r="D155" s="26"/>
      <c r="E155" s="27"/>
      <c r="F155" s="26"/>
      <c r="G155" s="26"/>
    </row>
    <row r="156">
      <c r="A156" s="28"/>
      <c r="B156" s="29"/>
      <c r="C156" s="26"/>
      <c r="D156" s="26"/>
      <c r="E156" s="27"/>
      <c r="F156" s="26"/>
      <c r="G156" s="26"/>
    </row>
    <row r="157">
      <c r="A157" s="28"/>
      <c r="B157" s="29"/>
      <c r="C157" s="26"/>
      <c r="D157" s="26"/>
      <c r="E157" s="27"/>
      <c r="F157" s="26"/>
      <c r="G157" s="26"/>
    </row>
    <row r="158">
      <c r="A158" s="28"/>
      <c r="B158" s="29"/>
      <c r="C158" s="26"/>
      <c r="D158" s="26"/>
      <c r="E158" s="27"/>
      <c r="F158" s="26"/>
      <c r="G158" s="26"/>
    </row>
    <row r="159">
      <c r="A159" s="28"/>
      <c r="B159" s="29"/>
      <c r="C159" s="26"/>
      <c r="D159" s="26"/>
      <c r="E159" s="27"/>
      <c r="F159" s="26"/>
      <c r="G159" s="26"/>
    </row>
    <row r="160">
      <c r="A160" s="28"/>
      <c r="B160" s="29"/>
      <c r="C160" s="26"/>
      <c r="D160" s="26"/>
      <c r="E160" s="27"/>
      <c r="F160" s="26"/>
      <c r="G160" s="26"/>
    </row>
    <row r="161">
      <c r="A161" s="28"/>
      <c r="B161" s="29"/>
      <c r="C161" s="26"/>
      <c r="D161" s="26"/>
      <c r="E161" s="27"/>
      <c r="F161" s="26"/>
      <c r="G161" s="26"/>
    </row>
    <row r="162">
      <c r="A162" s="28"/>
      <c r="B162" s="29"/>
      <c r="C162" s="26"/>
      <c r="D162" s="26"/>
      <c r="E162" s="27"/>
      <c r="F162" s="26"/>
      <c r="G162" s="26"/>
    </row>
    <row r="163">
      <c r="A163" s="28"/>
      <c r="B163" s="29"/>
      <c r="C163" s="26"/>
      <c r="D163" s="26"/>
      <c r="E163" s="27"/>
      <c r="F163" s="26"/>
      <c r="G163" s="26"/>
    </row>
    <row r="164">
      <c r="A164" s="28"/>
      <c r="B164" s="29"/>
      <c r="C164" s="26"/>
      <c r="D164" s="26"/>
      <c r="E164" s="27"/>
      <c r="F164" s="26"/>
      <c r="G164" s="26"/>
    </row>
    <row r="165">
      <c r="A165" s="28"/>
      <c r="B165" s="29"/>
      <c r="C165" s="26"/>
      <c r="D165" s="26"/>
      <c r="E165" s="27"/>
      <c r="F165" s="26"/>
      <c r="G165" s="26"/>
    </row>
    <row r="166">
      <c r="A166" s="28"/>
      <c r="B166" s="29"/>
      <c r="C166" s="26"/>
      <c r="D166" s="26"/>
      <c r="E166" s="27"/>
      <c r="F166" s="26"/>
      <c r="G166" s="26"/>
    </row>
    <row r="167">
      <c r="A167" s="28"/>
      <c r="B167" s="29"/>
      <c r="C167" s="26"/>
      <c r="D167" s="26"/>
      <c r="E167" s="27"/>
      <c r="F167" s="26"/>
      <c r="G167" s="26"/>
    </row>
    <row r="168">
      <c r="A168" s="28"/>
      <c r="B168" s="29"/>
      <c r="C168" s="26"/>
      <c r="D168" s="26"/>
      <c r="E168" s="27"/>
      <c r="F168" s="26"/>
      <c r="G168" s="26"/>
    </row>
    <row r="169">
      <c r="A169" s="28"/>
      <c r="B169" s="29"/>
      <c r="C169" s="26"/>
      <c r="D169" s="26"/>
      <c r="E169" s="27"/>
      <c r="F169" s="26"/>
      <c r="G169" s="26"/>
    </row>
    <row r="170">
      <c r="A170" s="28"/>
      <c r="B170" s="29"/>
      <c r="C170" s="26"/>
      <c r="D170" s="26"/>
      <c r="E170" s="27"/>
      <c r="F170" s="26"/>
      <c r="G170" s="26"/>
    </row>
    <row r="171">
      <c r="A171" s="28"/>
      <c r="B171" s="29"/>
      <c r="C171" s="26"/>
      <c r="D171" s="26"/>
      <c r="E171" s="27"/>
      <c r="F171" s="26"/>
      <c r="G171" s="26"/>
    </row>
    <row r="172">
      <c r="A172" s="28"/>
      <c r="B172" s="29"/>
      <c r="C172" s="26"/>
      <c r="D172" s="26"/>
      <c r="E172" s="27"/>
      <c r="F172" s="26"/>
      <c r="G172" s="26"/>
    </row>
    <row r="173">
      <c r="A173" s="28"/>
      <c r="B173" s="29"/>
      <c r="C173" s="26"/>
      <c r="D173" s="26"/>
      <c r="E173" s="27"/>
      <c r="F173" s="26"/>
      <c r="G173" s="26"/>
    </row>
    <row r="174">
      <c r="A174" s="28"/>
      <c r="B174" s="29"/>
      <c r="C174" s="26"/>
      <c r="D174" s="26"/>
      <c r="E174" s="27"/>
      <c r="F174" s="26"/>
      <c r="G174" s="26"/>
    </row>
    <row r="175">
      <c r="A175" s="28"/>
      <c r="B175" s="29"/>
      <c r="C175" s="26"/>
      <c r="D175" s="26"/>
      <c r="E175" s="27"/>
      <c r="F175" s="26"/>
      <c r="G175" s="26"/>
    </row>
    <row r="176">
      <c r="A176" s="28"/>
      <c r="B176" s="29"/>
      <c r="C176" s="26"/>
      <c r="D176" s="26"/>
      <c r="E176" s="27"/>
      <c r="F176" s="26"/>
      <c r="G176" s="26"/>
    </row>
    <row r="177">
      <c r="A177" s="28"/>
      <c r="B177" s="29"/>
      <c r="C177" s="26"/>
      <c r="D177" s="26"/>
      <c r="E177" s="27"/>
      <c r="F177" s="26"/>
      <c r="G177" s="26"/>
    </row>
    <row r="178">
      <c r="A178" s="28"/>
      <c r="B178" s="29"/>
      <c r="C178" s="26"/>
      <c r="D178" s="26"/>
      <c r="E178" s="27"/>
      <c r="F178" s="26"/>
      <c r="G178" s="26"/>
    </row>
    <row r="179">
      <c r="A179" s="28"/>
      <c r="B179" s="29"/>
      <c r="C179" s="26"/>
      <c r="D179" s="26"/>
      <c r="E179" s="27"/>
      <c r="F179" s="26"/>
      <c r="G179" s="26"/>
    </row>
    <row r="180">
      <c r="A180" s="28"/>
      <c r="B180" s="29"/>
      <c r="C180" s="26"/>
      <c r="D180" s="26"/>
      <c r="E180" s="27"/>
      <c r="F180" s="26"/>
      <c r="G180" s="26"/>
    </row>
    <row r="181">
      <c r="A181" s="28"/>
      <c r="B181" s="29"/>
      <c r="C181" s="26"/>
      <c r="D181" s="26"/>
      <c r="E181" s="27"/>
      <c r="F181" s="26"/>
      <c r="G181" s="26"/>
    </row>
    <row r="182">
      <c r="A182" s="28"/>
      <c r="B182" s="29"/>
      <c r="C182" s="26"/>
      <c r="D182" s="26"/>
      <c r="E182" s="27"/>
      <c r="F182" s="26"/>
      <c r="G182" s="26"/>
    </row>
    <row r="183">
      <c r="A183" s="28"/>
      <c r="B183" s="29"/>
      <c r="C183" s="26"/>
      <c r="D183" s="26"/>
      <c r="E183" s="27"/>
      <c r="F183" s="26"/>
      <c r="G183" s="26"/>
    </row>
    <row r="184">
      <c r="A184" s="28"/>
      <c r="B184" s="29"/>
      <c r="C184" s="26"/>
      <c r="D184" s="26"/>
      <c r="E184" s="27"/>
      <c r="F184" s="26"/>
      <c r="G184" s="26"/>
    </row>
    <row r="185">
      <c r="A185" s="28"/>
      <c r="B185" s="29"/>
      <c r="C185" s="26"/>
      <c r="D185" s="26"/>
      <c r="E185" s="27"/>
      <c r="F185" s="26"/>
      <c r="G185" s="26"/>
    </row>
    <row r="186">
      <c r="A186" s="28"/>
      <c r="B186" s="29"/>
      <c r="C186" s="26"/>
      <c r="D186" s="26"/>
      <c r="E186" s="27"/>
      <c r="F186" s="26"/>
      <c r="G186" s="26"/>
    </row>
    <row r="187">
      <c r="A187" s="28"/>
      <c r="B187" s="29"/>
      <c r="C187" s="26"/>
      <c r="D187" s="26"/>
      <c r="E187" s="27"/>
      <c r="F187" s="26"/>
      <c r="G187" s="26"/>
    </row>
    <row r="188">
      <c r="A188" s="28"/>
      <c r="B188" s="29"/>
      <c r="C188" s="26"/>
      <c r="D188" s="26"/>
      <c r="E188" s="27"/>
      <c r="F188" s="26"/>
      <c r="G188" s="26"/>
    </row>
    <row r="189">
      <c r="A189" s="28"/>
      <c r="B189" s="29"/>
      <c r="C189" s="26"/>
      <c r="D189" s="26"/>
      <c r="E189" s="27"/>
      <c r="F189" s="26"/>
      <c r="G189" s="26"/>
    </row>
    <row r="190">
      <c r="A190" s="28"/>
      <c r="B190" s="29"/>
      <c r="C190" s="26"/>
      <c r="D190" s="26"/>
      <c r="E190" s="27"/>
      <c r="F190" s="26"/>
      <c r="G190" s="26"/>
    </row>
    <row r="191">
      <c r="A191" s="28"/>
      <c r="B191" s="29"/>
      <c r="C191" s="26"/>
      <c r="D191" s="26"/>
      <c r="E191" s="27"/>
      <c r="F191" s="26"/>
      <c r="G191" s="26"/>
    </row>
    <row r="192">
      <c r="A192" s="28"/>
      <c r="B192" s="29"/>
      <c r="C192" s="26"/>
      <c r="D192" s="26"/>
      <c r="E192" s="27"/>
      <c r="F192" s="26"/>
      <c r="G192" s="26"/>
    </row>
    <row r="193">
      <c r="A193" s="28"/>
      <c r="B193" s="29"/>
      <c r="C193" s="26"/>
      <c r="D193" s="26"/>
      <c r="E193" s="27"/>
      <c r="F193" s="26"/>
      <c r="G193" s="26"/>
    </row>
    <row r="194">
      <c r="A194" s="28"/>
      <c r="B194" s="29"/>
      <c r="C194" s="26"/>
      <c r="D194" s="26"/>
      <c r="E194" s="27"/>
      <c r="F194" s="26"/>
      <c r="G194" s="26"/>
    </row>
    <row r="195">
      <c r="A195" s="28"/>
      <c r="B195" s="29"/>
      <c r="C195" s="26"/>
      <c r="D195" s="26"/>
      <c r="E195" s="27"/>
      <c r="F195" s="26"/>
      <c r="G195" s="26"/>
    </row>
    <row r="196">
      <c r="A196" s="28"/>
      <c r="B196" s="29"/>
      <c r="C196" s="26"/>
      <c r="D196" s="26"/>
      <c r="E196" s="27"/>
      <c r="F196" s="26"/>
      <c r="G196" s="26"/>
    </row>
    <row r="197">
      <c r="A197" s="28"/>
      <c r="B197" s="29"/>
      <c r="C197" s="26"/>
      <c r="D197" s="26"/>
      <c r="E197" s="27"/>
      <c r="F197" s="26"/>
      <c r="G197" s="26"/>
    </row>
    <row r="198">
      <c r="A198" s="28"/>
      <c r="B198" s="29"/>
      <c r="C198" s="26"/>
      <c r="D198" s="26"/>
      <c r="E198" s="27"/>
      <c r="F198" s="26"/>
      <c r="G198" s="26"/>
    </row>
    <row r="199">
      <c r="A199" s="28"/>
      <c r="B199" s="29"/>
      <c r="C199" s="26"/>
      <c r="D199" s="26"/>
      <c r="E199" s="27"/>
      <c r="F199" s="26"/>
      <c r="G199" s="26"/>
    </row>
    <row r="200">
      <c r="A200" s="28"/>
      <c r="B200" s="29"/>
      <c r="C200" s="26"/>
      <c r="D200" s="26"/>
      <c r="E200" s="27"/>
      <c r="F200" s="26"/>
      <c r="G200" s="26"/>
    </row>
    <row r="201">
      <c r="A201" s="28"/>
      <c r="B201" s="29"/>
      <c r="C201" s="26"/>
      <c r="D201" s="26"/>
      <c r="E201" s="27"/>
      <c r="F201" s="26"/>
      <c r="G201" s="26"/>
    </row>
    <row r="202">
      <c r="A202" s="28"/>
      <c r="B202" s="29"/>
      <c r="C202" s="26"/>
      <c r="D202" s="26"/>
      <c r="E202" s="27"/>
      <c r="F202" s="26"/>
      <c r="G202" s="26"/>
    </row>
    <row r="203">
      <c r="A203" s="28"/>
      <c r="B203" s="29"/>
      <c r="C203" s="26"/>
      <c r="D203" s="26"/>
      <c r="E203" s="27"/>
      <c r="F203" s="26"/>
      <c r="G203" s="26"/>
    </row>
    <row r="204">
      <c r="A204" s="28"/>
      <c r="B204" s="29"/>
      <c r="C204" s="26"/>
      <c r="D204" s="26"/>
      <c r="E204" s="27"/>
      <c r="F204" s="26"/>
      <c r="G204" s="26"/>
    </row>
    <row r="205">
      <c r="A205" s="28"/>
      <c r="B205" s="29"/>
      <c r="C205" s="26"/>
      <c r="D205" s="26"/>
      <c r="E205" s="27"/>
      <c r="F205" s="26"/>
      <c r="G205" s="26"/>
    </row>
    <row r="206">
      <c r="A206" s="28"/>
      <c r="B206" s="29"/>
      <c r="C206" s="26"/>
      <c r="D206" s="26"/>
      <c r="E206" s="27"/>
      <c r="F206" s="26"/>
      <c r="G206" s="26"/>
    </row>
    <row r="207">
      <c r="A207" s="28"/>
      <c r="B207" s="29"/>
      <c r="C207" s="26"/>
      <c r="D207" s="26"/>
      <c r="E207" s="27"/>
      <c r="F207" s="26"/>
      <c r="G207" s="26"/>
    </row>
    <row r="208">
      <c r="A208" s="28"/>
      <c r="B208" s="29"/>
      <c r="C208" s="26"/>
      <c r="D208" s="26"/>
      <c r="E208" s="27"/>
      <c r="F208" s="26"/>
      <c r="G208" s="26"/>
    </row>
    <row r="209">
      <c r="A209" s="28"/>
      <c r="B209" s="29"/>
      <c r="C209" s="26"/>
      <c r="D209" s="26"/>
      <c r="E209" s="27"/>
      <c r="F209" s="26"/>
      <c r="G209" s="26"/>
    </row>
    <row r="210">
      <c r="A210" s="28"/>
      <c r="B210" s="29"/>
      <c r="C210" s="26"/>
      <c r="D210" s="26"/>
      <c r="E210" s="27"/>
      <c r="F210" s="26"/>
      <c r="G210" s="26"/>
    </row>
    <row r="211">
      <c r="A211" s="28"/>
      <c r="B211" s="29"/>
      <c r="C211" s="26"/>
      <c r="D211" s="26"/>
      <c r="E211" s="27"/>
      <c r="F211" s="26"/>
      <c r="G211" s="26"/>
    </row>
    <row r="212">
      <c r="A212" s="28"/>
      <c r="B212" s="29"/>
      <c r="C212" s="26"/>
      <c r="D212" s="26"/>
      <c r="E212" s="27"/>
      <c r="F212" s="26"/>
      <c r="G212" s="26"/>
    </row>
    <row r="213">
      <c r="A213" s="28"/>
      <c r="B213" s="29"/>
      <c r="C213" s="26"/>
      <c r="D213" s="26"/>
      <c r="E213" s="27"/>
      <c r="F213" s="26"/>
      <c r="G213" s="26"/>
    </row>
    <row r="214">
      <c r="A214" s="28"/>
      <c r="B214" s="29"/>
      <c r="C214" s="26"/>
      <c r="D214" s="26"/>
      <c r="E214" s="27"/>
      <c r="F214" s="26"/>
      <c r="G214" s="26"/>
    </row>
    <row r="215">
      <c r="A215" s="28"/>
      <c r="B215" s="29"/>
      <c r="C215" s="26"/>
      <c r="D215" s="26"/>
      <c r="E215" s="27"/>
      <c r="F215" s="26"/>
      <c r="G215" s="26"/>
    </row>
    <row r="216">
      <c r="A216" s="28"/>
      <c r="B216" s="29"/>
      <c r="C216" s="26"/>
      <c r="D216" s="26"/>
      <c r="E216" s="27"/>
      <c r="F216" s="26"/>
      <c r="G216" s="26"/>
    </row>
    <row r="217">
      <c r="A217" s="28"/>
      <c r="B217" s="29"/>
      <c r="C217" s="26"/>
      <c r="D217" s="26"/>
      <c r="E217" s="27"/>
      <c r="F217" s="26"/>
      <c r="G217" s="26"/>
    </row>
    <row r="218">
      <c r="A218" s="28"/>
      <c r="B218" s="29"/>
      <c r="C218" s="26"/>
      <c r="D218" s="26"/>
      <c r="E218" s="27"/>
      <c r="F218" s="26"/>
      <c r="G218" s="26"/>
    </row>
    <row r="219">
      <c r="A219" s="28"/>
      <c r="B219" s="29"/>
      <c r="C219" s="26"/>
      <c r="D219" s="26"/>
      <c r="E219" s="27"/>
      <c r="F219" s="26"/>
      <c r="G219" s="26"/>
    </row>
    <row r="220">
      <c r="A220" s="28"/>
      <c r="B220" s="29"/>
      <c r="C220" s="26"/>
      <c r="D220" s="26"/>
      <c r="E220" s="27"/>
      <c r="F220" s="26"/>
      <c r="G220" s="26"/>
    </row>
    <row r="221">
      <c r="A221" s="28"/>
      <c r="B221" s="29"/>
      <c r="C221" s="26"/>
      <c r="D221" s="26"/>
      <c r="E221" s="27"/>
      <c r="F221" s="26"/>
      <c r="G221" s="26"/>
    </row>
    <row r="222">
      <c r="A222" s="28"/>
      <c r="B222" s="29"/>
      <c r="C222" s="26"/>
      <c r="D222" s="26"/>
      <c r="E222" s="27"/>
      <c r="F222" s="26"/>
      <c r="G222" s="26"/>
    </row>
    <row r="223">
      <c r="A223" s="28"/>
      <c r="B223" s="29"/>
      <c r="C223" s="26"/>
      <c r="D223" s="26"/>
      <c r="E223" s="27"/>
      <c r="F223" s="26"/>
      <c r="G223" s="26"/>
    </row>
    <row r="224">
      <c r="A224" s="28"/>
      <c r="B224" s="29"/>
      <c r="C224" s="26"/>
      <c r="D224" s="26"/>
      <c r="E224" s="27"/>
      <c r="F224" s="26"/>
      <c r="G224" s="26"/>
    </row>
    <row r="225">
      <c r="A225" s="28"/>
      <c r="B225" s="29"/>
      <c r="C225" s="26"/>
      <c r="D225" s="26"/>
      <c r="E225" s="27"/>
      <c r="F225" s="26"/>
      <c r="G225" s="26"/>
    </row>
    <row r="226">
      <c r="A226" s="28"/>
      <c r="B226" s="29"/>
      <c r="C226" s="26"/>
      <c r="D226" s="26"/>
      <c r="E226" s="27"/>
      <c r="F226" s="26"/>
      <c r="G226" s="26"/>
    </row>
    <row r="227">
      <c r="A227" s="28"/>
      <c r="B227" s="29"/>
      <c r="C227" s="26"/>
      <c r="D227" s="26"/>
      <c r="E227" s="27"/>
      <c r="F227" s="26"/>
      <c r="G227" s="26"/>
    </row>
    <row r="228">
      <c r="A228" s="28"/>
      <c r="B228" s="29"/>
      <c r="C228" s="26"/>
      <c r="D228" s="26"/>
      <c r="E228" s="27"/>
      <c r="F228" s="26"/>
      <c r="G228" s="26"/>
    </row>
    <row r="229">
      <c r="A229" s="28"/>
      <c r="B229" s="29"/>
      <c r="C229" s="26"/>
      <c r="D229" s="26"/>
      <c r="E229" s="27"/>
      <c r="F229" s="26"/>
      <c r="G229" s="26"/>
    </row>
    <row r="230">
      <c r="A230" s="28"/>
      <c r="B230" s="29"/>
      <c r="C230" s="26"/>
      <c r="D230" s="26"/>
      <c r="E230" s="27"/>
      <c r="F230" s="26"/>
      <c r="G230" s="26"/>
    </row>
    <row r="231">
      <c r="A231" s="28"/>
      <c r="B231" s="29"/>
      <c r="C231" s="26"/>
      <c r="D231" s="26"/>
      <c r="E231" s="27"/>
      <c r="F231" s="26"/>
      <c r="G231" s="26"/>
    </row>
    <row r="232">
      <c r="A232" s="28"/>
      <c r="B232" s="29"/>
      <c r="C232" s="26"/>
      <c r="D232" s="26"/>
      <c r="E232" s="27"/>
      <c r="F232" s="26"/>
      <c r="G232" s="26"/>
    </row>
    <row r="233">
      <c r="A233" s="28"/>
      <c r="B233" s="29"/>
      <c r="C233" s="26"/>
      <c r="D233" s="26"/>
      <c r="E233" s="27"/>
      <c r="F233" s="26"/>
      <c r="G233" s="26"/>
    </row>
    <row r="234">
      <c r="A234" s="28"/>
      <c r="B234" s="29"/>
      <c r="C234" s="26"/>
      <c r="D234" s="26"/>
      <c r="E234" s="27"/>
      <c r="F234" s="26"/>
      <c r="G234" s="26"/>
    </row>
    <row r="235">
      <c r="A235" s="28"/>
      <c r="B235" s="29"/>
      <c r="C235" s="26"/>
      <c r="D235" s="26"/>
      <c r="E235" s="27"/>
      <c r="F235" s="26"/>
      <c r="G235" s="26"/>
    </row>
    <row r="236">
      <c r="A236" s="28"/>
      <c r="B236" s="29"/>
      <c r="C236" s="26"/>
      <c r="D236" s="26"/>
      <c r="E236" s="27"/>
      <c r="F236" s="26"/>
      <c r="G236" s="26"/>
    </row>
    <row r="237">
      <c r="A237" s="28"/>
      <c r="B237" s="29"/>
      <c r="C237" s="26"/>
      <c r="D237" s="26"/>
      <c r="E237" s="27"/>
      <c r="F237" s="26"/>
      <c r="G237" s="26"/>
    </row>
    <row r="238">
      <c r="A238" s="28"/>
      <c r="B238" s="29"/>
      <c r="C238" s="26"/>
      <c r="D238" s="26"/>
      <c r="E238" s="27"/>
      <c r="F238" s="26"/>
      <c r="G238" s="26"/>
    </row>
    <row r="239">
      <c r="A239" s="28"/>
      <c r="B239" s="29"/>
      <c r="C239" s="26"/>
      <c r="D239" s="26"/>
      <c r="E239" s="27"/>
      <c r="F239" s="26"/>
      <c r="G239" s="26"/>
    </row>
    <row r="240">
      <c r="A240" s="28"/>
      <c r="B240" s="29"/>
      <c r="C240" s="26"/>
      <c r="D240" s="26"/>
      <c r="E240" s="27"/>
      <c r="F240" s="26"/>
      <c r="G240" s="26"/>
    </row>
    <row r="241">
      <c r="A241" s="28"/>
      <c r="B241" s="29"/>
      <c r="C241" s="26"/>
      <c r="D241" s="26"/>
      <c r="E241" s="27"/>
      <c r="F241" s="26"/>
      <c r="G241" s="26"/>
    </row>
    <row r="242">
      <c r="A242" s="28"/>
      <c r="B242" s="29"/>
      <c r="C242" s="26"/>
      <c r="D242" s="26"/>
      <c r="E242" s="27"/>
      <c r="F242" s="26"/>
      <c r="G242" s="26"/>
    </row>
    <row r="243">
      <c r="A243" s="28"/>
      <c r="B243" s="29"/>
      <c r="C243" s="26"/>
      <c r="D243" s="26"/>
      <c r="E243" s="27"/>
      <c r="F243" s="26"/>
      <c r="G243" s="26"/>
    </row>
    <row r="244">
      <c r="A244" s="28"/>
      <c r="B244" s="29"/>
      <c r="C244" s="26"/>
      <c r="D244" s="26"/>
      <c r="E244" s="27"/>
      <c r="F244" s="26"/>
      <c r="G244" s="26"/>
    </row>
    <row r="245">
      <c r="A245" s="28"/>
      <c r="B245" s="29"/>
      <c r="C245" s="26"/>
      <c r="D245" s="26"/>
      <c r="E245" s="27"/>
      <c r="F245" s="26"/>
      <c r="G245" s="26"/>
    </row>
    <row r="246">
      <c r="A246" s="28"/>
      <c r="B246" s="29"/>
      <c r="C246" s="26"/>
      <c r="D246" s="26"/>
      <c r="E246" s="27"/>
      <c r="F246" s="26"/>
      <c r="G246" s="26"/>
    </row>
    <row r="247">
      <c r="A247" s="28"/>
      <c r="B247" s="29"/>
      <c r="C247" s="26"/>
      <c r="D247" s="26"/>
      <c r="E247" s="27"/>
      <c r="F247" s="26"/>
      <c r="G247" s="26"/>
    </row>
    <row r="248">
      <c r="A248" s="28"/>
      <c r="B248" s="29"/>
      <c r="C248" s="26"/>
      <c r="D248" s="26"/>
      <c r="E248" s="27"/>
      <c r="F248" s="26"/>
      <c r="G248" s="26"/>
    </row>
    <row r="249">
      <c r="A249" s="28"/>
      <c r="B249" s="29"/>
      <c r="C249" s="26"/>
      <c r="D249" s="26"/>
      <c r="E249" s="27"/>
      <c r="F249" s="26"/>
      <c r="G249" s="26"/>
    </row>
    <row r="250">
      <c r="A250" s="28"/>
      <c r="B250" s="29"/>
      <c r="C250" s="26"/>
      <c r="D250" s="26"/>
      <c r="E250" s="27"/>
      <c r="F250" s="26"/>
      <c r="G250" s="26"/>
    </row>
    <row r="251">
      <c r="A251" s="28"/>
      <c r="B251" s="29"/>
      <c r="C251" s="26"/>
      <c r="D251" s="26"/>
      <c r="E251" s="27"/>
      <c r="F251" s="26"/>
      <c r="G251" s="26"/>
    </row>
    <row r="252">
      <c r="A252" s="28"/>
      <c r="B252" s="29"/>
      <c r="C252" s="26"/>
      <c r="D252" s="26"/>
      <c r="E252" s="27"/>
      <c r="F252" s="26"/>
      <c r="G252" s="26"/>
    </row>
    <row r="253">
      <c r="A253" s="28"/>
      <c r="B253" s="29"/>
      <c r="C253" s="26"/>
      <c r="D253" s="26"/>
      <c r="E253" s="27"/>
      <c r="F253" s="26"/>
      <c r="G253" s="26"/>
    </row>
    <row r="254">
      <c r="A254" s="28"/>
      <c r="B254" s="29"/>
      <c r="C254" s="26"/>
      <c r="D254" s="26"/>
      <c r="E254" s="27"/>
      <c r="F254" s="26"/>
      <c r="G254" s="26"/>
    </row>
    <row r="255">
      <c r="A255" s="28"/>
      <c r="B255" s="29"/>
      <c r="C255" s="26"/>
      <c r="D255" s="26"/>
      <c r="E255" s="27"/>
      <c r="F255" s="26"/>
      <c r="G255" s="26"/>
    </row>
    <row r="256">
      <c r="A256" s="28"/>
      <c r="B256" s="29"/>
      <c r="C256" s="26"/>
      <c r="D256" s="26"/>
      <c r="E256" s="27"/>
      <c r="F256" s="26"/>
      <c r="G256" s="26"/>
    </row>
    <row r="257">
      <c r="A257" s="28"/>
      <c r="B257" s="29"/>
      <c r="C257" s="26"/>
      <c r="D257" s="26"/>
      <c r="E257" s="27"/>
      <c r="F257" s="26"/>
      <c r="G257" s="26"/>
    </row>
    <row r="258">
      <c r="A258" s="28"/>
      <c r="B258" s="29"/>
      <c r="C258" s="26"/>
      <c r="D258" s="26"/>
      <c r="E258" s="27"/>
      <c r="F258" s="26"/>
      <c r="G258" s="26"/>
    </row>
    <row r="259">
      <c r="A259" s="28"/>
      <c r="B259" s="29"/>
      <c r="C259" s="26"/>
      <c r="D259" s="26"/>
      <c r="E259" s="27"/>
      <c r="F259" s="26"/>
      <c r="G259" s="26"/>
    </row>
    <row r="260">
      <c r="A260" s="28"/>
      <c r="B260" s="29"/>
      <c r="C260" s="26"/>
      <c r="D260" s="26"/>
      <c r="E260" s="27"/>
      <c r="F260" s="26"/>
      <c r="G260" s="26"/>
    </row>
    <row r="261">
      <c r="A261" s="28"/>
      <c r="B261" s="29"/>
      <c r="C261" s="26"/>
      <c r="D261" s="26"/>
      <c r="E261" s="27"/>
      <c r="F261" s="26"/>
      <c r="G261" s="26"/>
    </row>
    <row r="262">
      <c r="A262" s="28"/>
      <c r="B262" s="29"/>
      <c r="C262" s="26"/>
      <c r="D262" s="26"/>
      <c r="E262" s="27"/>
      <c r="F262" s="26"/>
      <c r="G262" s="26"/>
    </row>
    <row r="263">
      <c r="A263" s="28"/>
      <c r="B263" s="29"/>
      <c r="C263" s="26"/>
      <c r="D263" s="26"/>
      <c r="E263" s="27"/>
      <c r="F263" s="26"/>
      <c r="G263" s="26"/>
    </row>
    <row r="264">
      <c r="A264" s="28"/>
      <c r="B264" s="29"/>
      <c r="C264" s="26"/>
      <c r="D264" s="26"/>
      <c r="E264" s="27"/>
      <c r="F264" s="26"/>
      <c r="G264" s="26"/>
    </row>
    <row r="265">
      <c r="A265" s="28"/>
      <c r="B265" s="29"/>
      <c r="C265" s="26"/>
      <c r="D265" s="26"/>
      <c r="E265" s="27"/>
      <c r="F265" s="26"/>
      <c r="G265" s="26"/>
    </row>
    <row r="266">
      <c r="A266" s="28"/>
      <c r="B266" s="29"/>
      <c r="C266" s="26"/>
      <c r="D266" s="26"/>
      <c r="E266" s="27"/>
      <c r="F266" s="26"/>
      <c r="G266" s="26"/>
    </row>
    <row r="267">
      <c r="A267" s="28"/>
      <c r="B267" s="29"/>
      <c r="C267" s="26"/>
      <c r="D267" s="26"/>
      <c r="E267" s="27"/>
      <c r="F267" s="26"/>
      <c r="G267" s="26"/>
    </row>
    <row r="268">
      <c r="A268" s="28"/>
      <c r="B268" s="29"/>
      <c r="C268" s="26"/>
      <c r="D268" s="26"/>
      <c r="E268" s="27"/>
      <c r="F268" s="26"/>
      <c r="G268" s="26"/>
    </row>
    <row r="269">
      <c r="A269" s="28"/>
      <c r="B269" s="29"/>
      <c r="C269" s="26"/>
      <c r="D269" s="26"/>
      <c r="E269" s="27"/>
      <c r="F269" s="26"/>
      <c r="G269" s="26"/>
    </row>
    <row r="270">
      <c r="A270" s="28"/>
      <c r="B270" s="29"/>
      <c r="C270" s="26"/>
      <c r="D270" s="26"/>
      <c r="E270" s="27"/>
      <c r="F270" s="26"/>
      <c r="G270" s="26"/>
    </row>
    <row r="271">
      <c r="A271" s="28"/>
      <c r="B271" s="29"/>
      <c r="C271" s="26"/>
      <c r="D271" s="26"/>
      <c r="E271" s="27"/>
      <c r="F271" s="26"/>
      <c r="G271" s="26"/>
    </row>
    <row r="272">
      <c r="A272" s="28"/>
      <c r="B272" s="29"/>
      <c r="C272" s="26"/>
      <c r="D272" s="26"/>
      <c r="E272" s="27"/>
      <c r="F272" s="26"/>
      <c r="G272" s="26"/>
    </row>
    <row r="273">
      <c r="A273" s="28"/>
      <c r="B273" s="29"/>
      <c r="C273" s="26"/>
      <c r="D273" s="26"/>
      <c r="E273" s="27"/>
      <c r="F273" s="26"/>
      <c r="G273" s="26"/>
    </row>
    <row r="274">
      <c r="A274" s="28"/>
      <c r="B274" s="29"/>
      <c r="C274" s="26"/>
      <c r="D274" s="26"/>
      <c r="E274" s="27"/>
      <c r="F274" s="26"/>
      <c r="G274" s="26"/>
    </row>
    <row r="275">
      <c r="A275" s="28"/>
      <c r="B275" s="29"/>
      <c r="C275" s="26"/>
      <c r="D275" s="26"/>
      <c r="E275" s="27"/>
      <c r="F275" s="26"/>
      <c r="G275" s="26"/>
    </row>
    <row r="276">
      <c r="A276" s="28"/>
      <c r="B276" s="29"/>
      <c r="C276" s="26"/>
      <c r="D276" s="26"/>
      <c r="E276" s="27"/>
      <c r="F276" s="26"/>
      <c r="G276" s="26"/>
    </row>
    <row r="277">
      <c r="A277" s="28"/>
      <c r="B277" s="29"/>
      <c r="C277" s="26"/>
      <c r="D277" s="26"/>
      <c r="E277" s="27"/>
      <c r="F277" s="26"/>
      <c r="G277" s="26"/>
    </row>
    <row r="278">
      <c r="A278" s="28"/>
      <c r="B278" s="29"/>
      <c r="C278" s="26"/>
      <c r="D278" s="26"/>
      <c r="E278" s="27"/>
      <c r="F278" s="26"/>
      <c r="G278" s="26"/>
    </row>
    <row r="279">
      <c r="A279" s="28"/>
      <c r="B279" s="29"/>
      <c r="C279" s="26"/>
      <c r="D279" s="26"/>
      <c r="E279" s="27"/>
      <c r="F279" s="26"/>
      <c r="G279" s="26"/>
    </row>
    <row r="280">
      <c r="A280" s="28"/>
      <c r="B280" s="29"/>
      <c r="C280" s="26"/>
      <c r="D280" s="26"/>
      <c r="E280" s="27"/>
      <c r="F280" s="26"/>
      <c r="G280" s="26"/>
    </row>
    <row r="281">
      <c r="A281" s="28"/>
      <c r="B281" s="29"/>
      <c r="C281" s="26"/>
      <c r="D281" s="26"/>
      <c r="E281" s="27"/>
      <c r="F281" s="26"/>
      <c r="G281" s="26"/>
    </row>
    <row r="282">
      <c r="A282" s="28"/>
      <c r="B282" s="29"/>
      <c r="C282" s="26"/>
      <c r="D282" s="26"/>
      <c r="E282" s="27"/>
      <c r="F282" s="26"/>
      <c r="G282" s="26"/>
    </row>
    <row r="283">
      <c r="A283" s="28"/>
      <c r="B283" s="29"/>
      <c r="C283" s="26"/>
      <c r="D283" s="26"/>
      <c r="E283" s="27"/>
      <c r="F283" s="26"/>
      <c r="G283" s="26"/>
    </row>
    <row r="284">
      <c r="A284" s="28"/>
      <c r="B284" s="29"/>
      <c r="C284" s="26"/>
      <c r="D284" s="26"/>
      <c r="E284" s="27"/>
      <c r="F284" s="26"/>
      <c r="G284" s="26"/>
    </row>
    <row r="285">
      <c r="A285" s="28"/>
      <c r="B285" s="29"/>
      <c r="C285" s="26"/>
      <c r="D285" s="26"/>
      <c r="E285" s="27"/>
      <c r="F285" s="26"/>
      <c r="G285" s="26"/>
    </row>
    <row r="286">
      <c r="A286" s="28"/>
      <c r="B286" s="29"/>
      <c r="C286" s="26"/>
      <c r="D286" s="26"/>
      <c r="E286" s="27"/>
      <c r="F286" s="26"/>
      <c r="G286" s="26"/>
    </row>
    <row r="287">
      <c r="A287" s="28"/>
      <c r="B287" s="29"/>
      <c r="C287" s="26"/>
      <c r="D287" s="26"/>
      <c r="E287" s="27"/>
      <c r="F287" s="26"/>
      <c r="G287" s="26"/>
    </row>
    <row r="288">
      <c r="A288" s="28"/>
      <c r="B288" s="29"/>
      <c r="C288" s="26"/>
      <c r="D288" s="26"/>
      <c r="E288" s="27"/>
      <c r="F288" s="26"/>
      <c r="G288" s="26"/>
    </row>
    <row r="289">
      <c r="A289" s="28"/>
      <c r="B289" s="29"/>
      <c r="C289" s="26"/>
      <c r="D289" s="26"/>
      <c r="E289" s="27"/>
      <c r="F289" s="26"/>
      <c r="G289" s="26"/>
    </row>
    <row r="290">
      <c r="A290" s="28"/>
      <c r="B290" s="29"/>
      <c r="C290" s="26"/>
      <c r="D290" s="26"/>
      <c r="E290" s="27"/>
      <c r="F290" s="26"/>
      <c r="G290" s="26"/>
    </row>
    <row r="291">
      <c r="A291" s="28"/>
      <c r="B291" s="29"/>
      <c r="C291" s="26"/>
      <c r="D291" s="26"/>
      <c r="E291" s="27"/>
      <c r="F291" s="26"/>
      <c r="G291" s="26"/>
    </row>
    <row r="292">
      <c r="A292" s="28"/>
      <c r="B292" s="29"/>
      <c r="C292" s="26"/>
      <c r="D292" s="26"/>
      <c r="E292" s="27"/>
      <c r="F292" s="26"/>
      <c r="G292" s="26"/>
    </row>
    <row r="293">
      <c r="A293" s="28"/>
      <c r="B293" s="29"/>
      <c r="C293" s="26"/>
      <c r="D293" s="26"/>
      <c r="E293" s="27"/>
      <c r="F293" s="26"/>
      <c r="G293" s="26"/>
    </row>
    <row r="294">
      <c r="A294" s="28"/>
      <c r="B294" s="29"/>
      <c r="C294" s="26"/>
      <c r="D294" s="26"/>
      <c r="E294" s="27"/>
      <c r="F294" s="26"/>
      <c r="G294" s="26"/>
    </row>
    <row r="295">
      <c r="A295" s="28"/>
      <c r="B295" s="29"/>
      <c r="C295" s="26"/>
      <c r="D295" s="26"/>
      <c r="E295" s="27"/>
      <c r="F295" s="26"/>
      <c r="G295" s="26"/>
    </row>
    <row r="296">
      <c r="A296" s="28"/>
      <c r="B296" s="29"/>
      <c r="C296" s="26"/>
      <c r="D296" s="26"/>
      <c r="E296" s="27"/>
      <c r="F296" s="26"/>
      <c r="G296" s="26"/>
    </row>
    <row r="297">
      <c r="A297" s="28"/>
      <c r="B297" s="29"/>
      <c r="C297" s="26"/>
      <c r="D297" s="26"/>
      <c r="E297" s="27"/>
      <c r="F297" s="26"/>
      <c r="G297" s="26"/>
    </row>
    <row r="298">
      <c r="A298" s="28"/>
      <c r="B298" s="29"/>
      <c r="C298" s="26"/>
      <c r="D298" s="26"/>
      <c r="E298" s="27"/>
      <c r="F298" s="26"/>
      <c r="G298" s="26"/>
    </row>
    <row r="299">
      <c r="A299" s="28"/>
      <c r="B299" s="29"/>
      <c r="C299" s="26"/>
      <c r="D299" s="26"/>
      <c r="E299" s="27"/>
      <c r="F299" s="26"/>
      <c r="G299" s="26"/>
    </row>
    <row r="300">
      <c r="A300" s="28"/>
      <c r="B300" s="29"/>
      <c r="C300" s="26"/>
      <c r="D300" s="26"/>
      <c r="E300" s="27"/>
      <c r="F300" s="26"/>
      <c r="G300" s="26"/>
    </row>
    <row r="301">
      <c r="A301" s="28"/>
      <c r="B301" s="29"/>
      <c r="C301" s="26"/>
      <c r="D301" s="26"/>
      <c r="E301" s="27"/>
      <c r="F301" s="26"/>
      <c r="G301" s="26"/>
    </row>
    <row r="302">
      <c r="A302" s="28"/>
      <c r="B302" s="29"/>
      <c r="C302" s="26"/>
      <c r="D302" s="26"/>
      <c r="E302" s="27"/>
      <c r="F302" s="26"/>
      <c r="G302" s="26"/>
    </row>
    <row r="303">
      <c r="A303" s="28"/>
      <c r="B303" s="29"/>
      <c r="C303" s="26"/>
      <c r="D303" s="26"/>
      <c r="E303" s="27"/>
      <c r="F303" s="26"/>
      <c r="G303" s="26"/>
    </row>
    <row r="304">
      <c r="A304" s="28"/>
      <c r="B304" s="29"/>
      <c r="C304" s="26"/>
      <c r="D304" s="26"/>
      <c r="E304" s="27"/>
      <c r="F304" s="26"/>
      <c r="G304" s="26"/>
    </row>
    <row r="305">
      <c r="A305" s="28"/>
      <c r="B305" s="29"/>
      <c r="C305" s="26"/>
      <c r="D305" s="26"/>
      <c r="E305" s="27"/>
      <c r="F305" s="26"/>
      <c r="G305" s="26"/>
    </row>
    <row r="306">
      <c r="A306" s="28"/>
      <c r="B306" s="29"/>
      <c r="C306" s="26"/>
      <c r="D306" s="26"/>
      <c r="E306" s="27"/>
      <c r="F306" s="26"/>
      <c r="G306" s="26"/>
    </row>
    <row r="307">
      <c r="A307" s="28"/>
      <c r="B307" s="29"/>
      <c r="C307" s="26"/>
      <c r="D307" s="26"/>
      <c r="E307" s="27"/>
      <c r="F307" s="26"/>
      <c r="G307" s="26"/>
    </row>
    <row r="308">
      <c r="A308" s="28"/>
      <c r="B308" s="29"/>
      <c r="C308" s="26"/>
      <c r="D308" s="26"/>
      <c r="E308" s="27"/>
      <c r="F308" s="26"/>
      <c r="G308" s="26"/>
    </row>
    <row r="309">
      <c r="A309" s="28"/>
      <c r="B309" s="29"/>
      <c r="C309" s="26"/>
      <c r="D309" s="26"/>
      <c r="E309" s="27"/>
      <c r="F309" s="26"/>
      <c r="G309" s="26"/>
    </row>
    <row r="310">
      <c r="A310" s="28"/>
      <c r="B310" s="29"/>
      <c r="C310" s="26"/>
      <c r="D310" s="26"/>
      <c r="E310" s="27"/>
      <c r="F310" s="26"/>
      <c r="G310" s="26"/>
    </row>
    <row r="311">
      <c r="A311" s="28"/>
      <c r="B311" s="29"/>
      <c r="C311" s="26"/>
      <c r="D311" s="26"/>
      <c r="E311" s="27"/>
      <c r="F311" s="26"/>
      <c r="G311" s="26"/>
    </row>
    <row r="312">
      <c r="A312" s="28"/>
      <c r="B312" s="29"/>
      <c r="C312" s="26"/>
      <c r="D312" s="26"/>
      <c r="E312" s="27"/>
      <c r="F312" s="26"/>
      <c r="G312" s="26"/>
    </row>
    <row r="313">
      <c r="A313" s="28"/>
      <c r="B313" s="29"/>
      <c r="C313" s="26"/>
      <c r="D313" s="26"/>
      <c r="E313" s="27"/>
      <c r="F313" s="26"/>
      <c r="G313" s="26"/>
    </row>
    <row r="314">
      <c r="A314" s="28"/>
      <c r="B314" s="29"/>
      <c r="C314" s="26"/>
      <c r="D314" s="26"/>
      <c r="E314" s="27"/>
      <c r="F314" s="26"/>
      <c r="G314" s="26"/>
    </row>
    <row r="315">
      <c r="A315" s="28"/>
      <c r="B315" s="29"/>
      <c r="C315" s="26"/>
      <c r="D315" s="26"/>
      <c r="E315" s="27"/>
      <c r="F315" s="26"/>
      <c r="G315" s="26"/>
    </row>
    <row r="316">
      <c r="A316" s="28"/>
      <c r="B316" s="29"/>
      <c r="C316" s="26"/>
      <c r="D316" s="26"/>
      <c r="E316" s="27"/>
      <c r="F316" s="26"/>
      <c r="G316" s="26"/>
    </row>
    <row r="317">
      <c r="A317" s="28"/>
      <c r="B317" s="29"/>
      <c r="C317" s="26"/>
      <c r="D317" s="26"/>
      <c r="E317" s="27"/>
      <c r="F317" s="26"/>
      <c r="G317" s="26"/>
    </row>
    <row r="318">
      <c r="A318" s="28"/>
      <c r="B318" s="29"/>
      <c r="C318" s="26"/>
      <c r="D318" s="26"/>
      <c r="E318" s="27"/>
      <c r="F318" s="26"/>
      <c r="G318" s="26"/>
    </row>
    <row r="319">
      <c r="A319" s="28"/>
      <c r="B319" s="29"/>
      <c r="C319" s="26"/>
      <c r="D319" s="26"/>
      <c r="E319" s="27"/>
      <c r="F319" s="26"/>
      <c r="G319" s="26"/>
    </row>
    <row r="320">
      <c r="A320" s="28"/>
      <c r="B320" s="29"/>
      <c r="C320" s="26"/>
      <c r="D320" s="26"/>
      <c r="E320" s="27"/>
      <c r="F320" s="26"/>
      <c r="G320" s="26"/>
    </row>
    <row r="321">
      <c r="A321" s="28"/>
      <c r="B321" s="29"/>
      <c r="C321" s="26"/>
      <c r="D321" s="26"/>
      <c r="E321" s="27"/>
      <c r="F321" s="26"/>
      <c r="G321" s="26"/>
    </row>
    <row r="322">
      <c r="A322" s="28"/>
      <c r="B322" s="29"/>
      <c r="C322" s="26"/>
      <c r="D322" s="26"/>
      <c r="E322" s="27"/>
      <c r="F322" s="26"/>
      <c r="G322" s="26"/>
    </row>
    <row r="323">
      <c r="A323" s="28"/>
      <c r="B323" s="29"/>
      <c r="C323" s="26"/>
      <c r="D323" s="26"/>
      <c r="E323" s="27"/>
      <c r="F323" s="26"/>
      <c r="G323" s="26"/>
    </row>
    <row r="324">
      <c r="A324" s="28"/>
      <c r="B324" s="29"/>
      <c r="C324" s="26"/>
      <c r="D324" s="26"/>
      <c r="E324" s="27"/>
      <c r="F324" s="26"/>
      <c r="G324" s="26"/>
    </row>
    <row r="325">
      <c r="A325" s="28"/>
      <c r="B325" s="29"/>
      <c r="C325" s="26"/>
      <c r="D325" s="26"/>
      <c r="E325" s="27"/>
      <c r="F325" s="26"/>
      <c r="G325" s="26"/>
    </row>
    <row r="326">
      <c r="A326" s="28"/>
      <c r="B326" s="29"/>
      <c r="C326" s="26"/>
      <c r="D326" s="26"/>
      <c r="E326" s="27"/>
      <c r="F326" s="26"/>
      <c r="G326" s="26"/>
    </row>
    <row r="327">
      <c r="A327" s="28"/>
      <c r="B327" s="29"/>
      <c r="C327" s="26"/>
      <c r="D327" s="26"/>
      <c r="E327" s="27"/>
      <c r="F327" s="26"/>
      <c r="G327" s="26"/>
    </row>
    <row r="328">
      <c r="A328" s="28"/>
      <c r="B328" s="29"/>
      <c r="C328" s="26"/>
      <c r="D328" s="26"/>
      <c r="E328" s="27"/>
      <c r="F328" s="26"/>
      <c r="G328" s="26"/>
    </row>
    <row r="329">
      <c r="A329" s="28"/>
      <c r="B329" s="29"/>
      <c r="C329" s="26"/>
      <c r="D329" s="26"/>
      <c r="E329" s="27"/>
      <c r="F329" s="26"/>
      <c r="G329" s="26"/>
    </row>
    <row r="330">
      <c r="A330" s="28"/>
      <c r="B330" s="29"/>
      <c r="C330" s="26"/>
      <c r="D330" s="26"/>
      <c r="E330" s="27"/>
      <c r="F330" s="26"/>
      <c r="G330" s="26"/>
    </row>
    <row r="331">
      <c r="A331" s="28"/>
      <c r="B331" s="29"/>
      <c r="C331" s="26"/>
      <c r="D331" s="26"/>
      <c r="E331" s="27"/>
      <c r="F331" s="26"/>
      <c r="G331" s="26"/>
    </row>
    <row r="332">
      <c r="A332" s="28"/>
      <c r="B332" s="29"/>
      <c r="C332" s="26"/>
      <c r="D332" s="26"/>
      <c r="E332" s="27"/>
      <c r="F332" s="26"/>
      <c r="G332" s="26"/>
    </row>
    <row r="333">
      <c r="A333" s="28"/>
      <c r="B333" s="29"/>
      <c r="C333" s="26"/>
      <c r="D333" s="26"/>
      <c r="E333" s="27"/>
      <c r="F333" s="26"/>
      <c r="G333" s="26"/>
    </row>
    <row r="334">
      <c r="A334" s="28"/>
      <c r="B334" s="29"/>
      <c r="C334" s="26"/>
      <c r="D334" s="26"/>
      <c r="E334" s="27"/>
      <c r="F334" s="26"/>
      <c r="G334" s="26"/>
    </row>
    <row r="335">
      <c r="A335" s="28"/>
      <c r="B335" s="29"/>
      <c r="C335" s="26"/>
      <c r="D335" s="26"/>
      <c r="E335" s="27"/>
      <c r="F335" s="26"/>
      <c r="G335" s="26"/>
    </row>
    <row r="336">
      <c r="A336" s="28"/>
      <c r="B336" s="29"/>
      <c r="C336" s="26"/>
      <c r="D336" s="26"/>
      <c r="E336" s="27"/>
      <c r="F336" s="26"/>
      <c r="G336" s="26"/>
    </row>
    <row r="337">
      <c r="A337" s="28"/>
      <c r="B337" s="29"/>
      <c r="C337" s="26"/>
      <c r="D337" s="26"/>
      <c r="E337" s="27"/>
      <c r="F337" s="26"/>
      <c r="G337" s="26"/>
    </row>
    <row r="338">
      <c r="A338" s="28"/>
      <c r="B338" s="29"/>
      <c r="C338" s="26"/>
      <c r="D338" s="26"/>
      <c r="E338" s="27"/>
      <c r="F338" s="26"/>
      <c r="G338" s="26"/>
    </row>
    <row r="339">
      <c r="A339" s="28"/>
      <c r="B339" s="29"/>
      <c r="C339" s="26"/>
      <c r="D339" s="26"/>
      <c r="E339" s="27"/>
      <c r="F339" s="26"/>
      <c r="G339" s="26"/>
    </row>
    <row r="340">
      <c r="A340" s="28"/>
      <c r="B340" s="29"/>
      <c r="C340" s="26"/>
      <c r="D340" s="26"/>
      <c r="E340" s="27"/>
      <c r="F340" s="26"/>
      <c r="G340" s="26"/>
    </row>
    <row r="341">
      <c r="A341" s="28"/>
      <c r="B341" s="29"/>
      <c r="C341" s="26"/>
      <c r="D341" s="26"/>
      <c r="E341" s="27"/>
      <c r="F341" s="26"/>
      <c r="G341" s="26"/>
    </row>
    <row r="342">
      <c r="A342" s="28"/>
      <c r="B342" s="29"/>
      <c r="C342" s="26"/>
      <c r="D342" s="26"/>
      <c r="E342" s="27"/>
      <c r="F342" s="26"/>
      <c r="G342" s="26"/>
    </row>
    <row r="343">
      <c r="A343" s="28"/>
      <c r="B343" s="29"/>
      <c r="C343" s="26"/>
      <c r="D343" s="26"/>
      <c r="E343" s="27"/>
      <c r="F343" s="26"/>
      <c r="G343" s="26"/>
    </row>
    <row r="344">
      <c r="A344" s="28"/>
      <c r="B344" s="29"/>
      <c r="C344" s="26"/>
      <c r="D344" s="26"/>
      <c r="E344" s="27"/>
      <c r="F344" s="26"/>
      <c r="G344" s="26"/>
    </row>
    <row r="345">
      <c r="A345" s="28"/>
      <c r="B345" s="29"/>
      <c r="C345" s="26"/>
      <c r="D345" s="26"/>
      <c r="E345" s="27"/>
      <c r="F345" s="26"/>
      <c r="G345" s="26"/>
    </row>
    <row r="346">
      <c r="A346" s="28"/>
      <c r="B346" s="29"/>
      <c r="C346" s="26"/>
      <c r="D346" s="26"/>
      <c r="E346" s="27"/>
      <c r="F346" s="26"/>
      <c r="G346" s="26"/>
    </row>
    <row r="347">
      <c r="A347" s="28"/>
      <c r="B347" s="29"/>
      <c r="C347" s="26"/>
      <c r="D347" s="26"/>
      <c r="E347" s="27"/>
      <c r="F347" s="26"/>
      <c r="G347" s="26"/>
    </row>
    <row r="348">
      <c r="A348" s="28"/>
      <c r="B348" s="29"/>
      <c r="C348" s="26"/>
      <c r="D348" s="26"/>
      <c r="E348" s="27"/>
      <c r="F348" s="26"/>
      <c r="G348" s="26"/>
    </row>
    <row r="349">
      <c r="A349" s="28"/>
      <c r="B349" s="29"/>
      <c r="C349" s="26"/>
      <c r="D349" s="26"/>
      <c r="E349" s="27"/>
      <c r="F349" s="26"/>
      <c r="G349" s="26"/>
    </row>
    <row r="350">
      <c r="A350" s="28"/>
      <c r="B350" s="29"/>
      <c r="C350" s="26"/>
      <c r="D350" s="26"/>
      <c r="E350" s="27"/>
      <c r="F350" s="26"/>
      <c r="G350" s="26"/>
    </row>
    <row r="351">
      <c r="A351" s="28"/>
      <c r="B351" s="29"/>
      <c r="C351" s="26"/>
      <c r="D351" s="26"/>
      <c r="E351" s="27"/>
      <c r="F351" s="26"/>
      <c r="G351" s="26"/>
    </row>
    <row r="352">
      <c r="A352" s="28"/>
      <c r="B352" s="29"/>
      <c r="C352" s="26"/>
      <c r="D352" s="26"/>
      <c r="E352" s="27"/>
      <c r="F352" s="26"/>
      <c r="G352" s="26"/>
    </row>
    <row r="353">
      <c r="A353" s="28"/>
      <c r="B353" s="29"/>
      <c r="C353" s="26"/>
      <c r="D353" s="26"/>
      <c r="E353" s="27"/>
      <c r="F353" s="26"/>
      <c r="G353" s="26"/>
    </row>
    <row r="354">
      <c r="A354" s="28"/>
      <c r="B354" s="29"/>
      <c r="C354" s="26"/>
      <c r="D354" s="26"/>
      <c r="E354" s="27"/>
      <c r="F354" s="26"/>
      <c r="G354" s="26"/>
    </row>
    <row r="355">
      <c r="A355" s="28"/>
      <c r="B355" s="29"/>
      <c r="C355" s="26"/>
      <c r="D355" s="26"/>
      <c r="E355" s="27"/>
      <c r="F355" s="26"/>
      <c r="G355" s="26"/>
    </row>
    <row r="356">
      <c r="A356" s="28"/>
      <c r="B356" s="29"/>
      <c r="C356" s="26"/>
      <c r="D356" s="26"/>
      <c r="E356" s="27"/>
      <c r="F356" s="26"/>
      <c r="G356" s="26"/>
    </row>
    <row r="357">
      <c r="A357" s="28"/>
      <c r="B357" s="29"/>
      <c r="C357" s="26"/>
      <c r="D357" s="26"/>
      <c r="E357" s="27"/>
      <c r="F357" s="26"/>
      <c r="G357" s="26"/>
    </row>
    <row r="358">
      <c r="A358" s="28"/>
      <c r="B358" s="29"/>
      <c r="C358" s="26"/>
      <c r="D358" s="26"/>
      <c r="E358" s="27"/>
      <c r="F358" s="26"/>
      <c r="G358" s="26"/>
    </row>
    <row r="359">
      <c r="A359" s="28"/>
      <c r="B359" s="29"/>
      <c r="C359" s="26"/>
      <c r="D359" s="26"/>
      <c r="E359" s="27"/>
      <c r="F359" s="26"/>
      <c r="G359" s="26"/>
    </row>
    <row r="360">
      <c r="A360" s="28"/>
      <c r="B360" s="29"/>
      <c r="C360" s="26"/>
      <c r="D360" s="26"/>
      <c r="E360" s="27"/>
      <c r="F360" s="26"/>
      <c r="G360" s="26"/>
    </row>
    <row r="361">
      <c r="A361" s="28"/>
      <c r="B361" s="29"/>
      <c r="C361" s="26"/>
      <c r="D361" s="26"/>
      <c r="E361" s="27"/>
      <c r="F361" s="26"/>
      <c r="G361" s="26"/>
    </row>
    <row r="362">
      <c r="A362" s="28"/>
      <c r="B362" s="29"/>
      <c r="C362" s="26"/>
      <c r="D362" s="26"/>
      <c r="E362" s="27"/>
      <c r="F362" s="26"/>
      <c r="G362" s="26"/>
    </row>
    <row r="363">
      <c r="A363" s="28"/>
      <c r="B363" s="29"/>
      <c r="C363" s="26"/>
      <c r="D363" s="26"/>
      <c r="E363" s="27"/>
      <c r="F363" s="26"/>
      <c r="G363" s="26"/>
    </row>
    <row r="364">
      <c r="A364" s="28"/>
      <c r="B364" s="29"/>
      <c r="C364" s="26"/>
      <c r="D364" s="26"/>
      <c r="E364" s="27"/>
      <c r="F364" s="26"/>
      <c r="G364" s="26"/>
    </row>
    <row r="365">
      <c r="A365" s="28"/>
      <c r="B365" s="29"/>
      <c r="C365" s="26"/>
      <c r="D365" s="26"/>
      <c r="E365" s="27"/>
      <c r="F365" s="26"/>
      <c r="G365" s="26"/>
    </row>
    <row r="366">
      <c r="A366" s="28"/>
      <c r="B366" s="29"/>
      <c r="C366" s="26"/>
      <c r="D366" s="26"/>
      <c r="E366" s="27"/>
      <c r="F366" s="26"/>
      <c r="G366" s="26"/>
    </row>
    <row r="367">
      <c r="A367" s="28"/>
      <c r="B367" s="29"/>
      <c r="C367" s="26"/>
      <c r="D367" s="26"/>
      <c r="E367" s="27"/>
      <c r="F367" s="26"/>
      <c r="G367" s="26"/>
    </row>
    <row r="368">
      <c r="A368" s="28"/>
      <c r="B368" s="29"/>
      <c r="C368" s="26"/>
      <c r="D368" s="26"/>
      <c r="E368" s="27"/>
      <c r="F368" s="26"/>
      <c r="G368" s="26"/>
    </row>
    <row r="369">
      <c r="A369" s="28"/>
      <c r="B369" s="29"/>
      <c r="C369" s="26"/>
      <c r="D369" s="26"/>
      <c r="E369" s="27"/>
      <c r="F369" s="26"/>
      <c r="G369" s="26"/>
    </row>
    <row r="370">
      <c r="A370" s="28"/>
      <c r="B370" s="29"/>
      <c r="C370" s="26"/>
      <c r="D370" s="26"/>
      <c r="E370" s="27"/>
      <c r="F370" s="26"/>
      <c r="G370" s="26"/>
    </row>
    <row r="371">
      <c r="A371" s="28"/>
      <c r="B371" s="29"/>
      <c r="C371" s="26"/>
      <c r="D371" s="26"/>
      <c r="E371" s="27"/>
      <c r="F371" s="26"/>
      <c r="G371" s="26"/>
    </row>
    <row r="372">
      <c r="A372" s="28"/>
      <c r="B372" s="29"/>
      <c r="C372" s="26"/>
      <c r="D372" s="26"/>
      <c r="E372" s="27"/>
      <c r="F372" s="26"/>
      <c r="G372" s="26"/>
    </row>
    <row r="373">
      <c r="A373" s="28"/>
      <c r="B373" s="29"/>
      <c r="C373" s="26"/>
      <c r="D373" s="26"/>
      <c r="E373" s="27"/>
      <c r="F373" s="26"/>
      <c r="G373" s="26"/>
    </row>
    <row r="374">
      <c r="A374" s="28"/>
      <c r="B374" s="29"/>
      <c r="C374" s="26"/>
      <c r="D374" s="26"/>
      <c r="E374" s="27"/>
      <c r="F374" s="26"/>
      <c r="G374" s="26"/>
    </row>
    <row r="375">
      <c r="A375" s="28"/>
      <c r="B375" s="29"/>
      <c r="C375" s="26"/>
      <c r="D375" s="26"/>
      <c r="E375" s="27"/>
      <c r="F375" s="26"/>
      <c r="G375" s="26"/>
    </row>
    <row r="376">
      <c r="A376" s="28"/>
      <c r="B376" s="29"/>
      <c r="C376" s="26"/>
      <c r="D376" s="26"/>
      <c r="E376" s="27"/>
      <c r="F376" s="26"/>
      <c r="G376" s="26"/>
    </row>
    <row r="377">
      <c r="A377" s="28"/>
      <c r="B377" s="29"/>
      <c r="C377" s="26"/>
      <c r="D377" s="26"/>
      <c r="E377" s="27"/>
      <c r="F377" s="26"/>
      <c r="G377" s="26"/>
    </row>
    <row r="378">
      <c r="A378" s="28"/>
      <c r="B378" s="29"/>
      <c r="C378" s="26"/>
      <c r="D378" s="26"/>
      <c r="E378" s="27"/>
      <c r="F378" s="26"/>
      <c r="G378" s="26"/>
    </row>
    <row r="379">
      <c r="A379" s="28"/>
      <c r="B379" s="29"/>
      <c r="C379" s="26"/>
      <c r="D379" s="26"/>
      <c r="E379" s="27"/>
      <c r="F379" s="26"/>
      <c r="G379" s="26"/>
    </row>
    <row r="380">
      <c r="A380" s="28"/>
      <c r="B380" s="29"/>
      <c r="C380" s="26"/>
      <c r="D380" s="26"/>
      <c r="E380" s="27"/>
      <c r="F380" s="26"/>
      <c r="G380" s="26"/>
    </row>
    <row r="381">
      <c r="A381" s="28"/>
      <c r="B381" s="29"/>
      <c r="C381" s="26"/>
      <c r="D381" s="26"/>
      <c r="E381" s="27"/>
      <c r="F381" s="26"/>
      <c r="G381" s="26"/>
    </row>
    <row r="382">
      <c r="A382" s="28"/>
      <c r="B382" s="29"/>
      <c r="C382" s="26"/>
      <c r="D382" s="26"/>
      <c r="E382" s="27"/>
      <c r="F382" s="26"/>
      <c r="G382" s="26"/>
    </row>
    <row r="383">
      <c r="A383" s="28"/>
      <c r="B383" s="29"/>
      <c r="C383" s="26"/>
      <c r="D383" s="26"/>
      <c r="E383" s="27"/>
      <c r="F383" s="26"/>
      <c r="G383" s="26"/>
    </row>
    <row r="384">
      <c r="A384" s="28"/>
      <c r="B384" s="29"/>
      <c r="C384" s="26"/>
      <c r="D384" s="26"/>
      <c r="E384" s="27"/>
      <c r="F384" s="26"/>
      <c r="G384" s="26"/>
    </row>
    <row r="385">
      <c r="A385" s="28"/>
      <c r="B385" s="29"/>
      <c r="C385" s="26"/>
      <c r="D385" s="26"/>
      <c r="E385" s="27"/>
      <c r="F385" s="26"/>
      <c r="G385" s="26"/>
    </row>
    <row r="386">
      <c r="A386" s="28"/>
      <c r="B386" s="29"/>
      <c r="C386" s="26"/>
      <c r="D386" s="26"/>
      <c r="E386" s="27"/>
      <c r="F386" s="26"/>
      <c r="G386" s="26"/>
    </row>
    <row r="387">
      <c r="A387" s="28"/>
      <c r="B387" s="29"/>
      <c r="C387" s="26"/>
      <c r="D387" s="26"/>
      <c r="E387" s="27"/>
      <c r="F387" s="26"/>
      <c r="G387" s="26"/>
    </row>
    <row r="388">
      <c r="A388" s="28"/>
      <c r="B388" s="29"/>
      <c r="C388" s="26"/>
      <c r="D388" s="26"/>
      <c r="E388" s="27"/>
      <c r="F388" s="26"/>
      <c r="G388" s="26"/>
    </row>
    <row r="389">
      <c r="A389" s="28"/>
      <c r="B389" s="29"/>
      <c r="C389" s="26"/>
      <c r="D389" s="26"/>
      <c r="E389" s="27"/>
      <c r="F389" s="26"/>
      <c r="G389" s="26"/>
    </row>
    <row r="390">
      <c r="A390" s="28"/>
      <c r="B390" s="29"/>
      <c r="C390" s="26"/>
      <c r="D390" s="26"/>
      <c r="E390" s="27"/>
      <c r="F390" s="26"/>
      <c r="G390" s="26"/>
    </row>
    <row r="391">
      <c r="A391" s="28"/>
      <c r="B391" s="29"/>
      <c r="C391" s="26"/>
      <c r="D391" s="26"/>
      <c r="E391" s="27"/>
      <c r="F391" s="26"/>
      <c r="G391" s="26"/>
    </row>
    <row r="392">
      <c r="A392" s="28"/>
      <c r="B392" s="29"/>
      <c r="C392" s="26"/>
      <c r="D392" s="26"/>
      <c r="E392" s="27"/>
      <c r="F392" s="26"/>
      <c r="G392" s="26"/>
    </row>
    <row r="393">
      <c r="A393" s="28"/>
      <c r="B393" s="29"/>
      <c r="C393" s="26"/>
      <c r="D393" s="26"/>
      <c r="E393" s="27"/>
      <c r="F393" s="26"/>
      <c r="G393" s="26"/>
    </row>
    <row r="394">
      <c r="A394" s="28"/>
      <c r="B394" s="29"/>
      <c r="C394" s="26"/>
      <c r="D394" s="26"/>
      <c r="E394" s="27"/>
      <c r="F394" s="26"/>
      <c r="G394" s="26"/>
    </row>
    <row r="395">
      <c r="A395" s="28"/>
      <c r="B395" s="29"/>
      <c r="C395" s="26"/>
      <c r="D395" s="26"/>
      <c r="E395" s="27"/>
      <c r="F395" s="26"/>
      <c r="G395" s="26"/>
    </row>
    <row r="396">
      <c r="A396" s="28"/>
      <c r="B396" s="29"/>
      <c r="C396" s="26"/>
      <c r="D396" s="26"/>
      <c r="E396" s="27"/>
      <c r="F396" s="26"/>
      <c r="G396" s="26"/>
    </row>
    <row r="397">
      <c r="A397" s="28"/>
      <c r="B397" s="29"/>
      <c r="C397" s="26"/>
      <c r="D397" s="26"/>
      <c r="E397" s="27"/>
      <c r="F397" s="26"/>
      <c r="G397" s="26"/>
    </row>
    <row r="398">
      <c r="A398" s="28"/>
      <c r="B398" s="29"/>
      <c r="C398" s="26"/>
      <c r="D398" s="26"/>
      <c r="E398" s="27"/>
      <c r="F398" s="26"/>
      <c r="G398" s="26"/>
    </row>
    <row r="399">
      <c r="A399" s="28"/>
      <c r="B399" s="29"/>
      <c r="C399" s="26"/>
      <c r="D399" s="26"/>
      <c r="E399" s="27"/>
      <c r="F399" s="26"/>
      <c r="G399" s="26"/>
    </row>
    <row r="400">
      <c r="A400" s="28"/>
      <c r="B400" s="29"/>
      <c r="C400" s="26"/>
      <c r="D400" s="26"/>
      <c r="E400" s="27"/>
      <c r="F400" s="26"/>
      <c r="G400" s="26"/>
    </row>
    <row r="401">
      <c r="A401" s="28"/>
      <c r="B401" s="29"/>
      <c r="C401" s="26"/>
      <c r="D401" s="26"/>
      <c r="E401" s="27"/>
      <c r="F401" s="26"/>
      <c r="G401" s="26"/>
    </row>
    <row r="402">
      <c r="A402" s="28"/>
      <c r="B402" s="29"/>
      <c r="C402" s="26"/>
      <c r="D402" s="26"/>
      <c r="E402" s="27"/>
      <c r="F402" s="26"/>
      <c r="G402" s="26"/>
    </row>
    <row r="403">
      <c r="A403" s="28"/>
      <c r="B403" s="29"/>
      <c r="C403" s="26"/>
      <c r="D403" s="26"/>
      <c r="E403" s="27"/>
      <c r="F403" s="26"/>
      <c r="G403" s="26"/>
    </row>
    <row r="404">
      <c r="A404" s="28"/>
      <c r="B404" s="29"/>
      <c r="C404" s="26"/>
      <c r="D404" s="26"/>
      <c r="E404" s="27"/>
      <c r="F404" s="26"/>
      <c r="G404" s="26"/>
    </row>
    <row r="405">
      <c r="A405" s="28"/>
      <c r="B405" s="29"/>
      <c r="C405" s="26"/>
      <c r="D405" s="26"/>
      <c r="E405" s="27"/>
      <c r="F405" s="26"/>
      <c r="G405" s="26"/>
    </row>
    <row r="406">
      <c r="A406" s="28"/>
      <c r="B406" s="29"/>
      <c r="C406" s="26"/>
      <c r="D406" s="26"/>
      <c r="E406" s="27"/>
      <c r="F406" s="26"/>
      <c r="G406" s="26"/>
    </row>
    <row r="407">
      <c r="A407" s="28"/>
      <c r="B407" s="29"/>
      <c r="C407" s="26"/>
      <c r="D407" s="26"/>
      <c r="E407" s="27"/>
      <c r="F407" s="26"/>
      <c r="G407" s="26"/>
    </row>
    <row r="408">
      <c r="A408" s="28"/>
      <c r="B408" s="29"/>
      <c r="C408" s="26"/>
      <c r="D408" s="26"/>
      <c r="E408" s="27"/>
      <c r="F408" s="26"/>
      <c r="G408" s="26"/>
    </row>
    <row r="409">
      <c r="A409" s="28"/>
      <c r="B409" s="29"/>
      <c r="C409" s="26"/>
      <c r="D409" s="26"/>
      <c r="E409" s="27"/>
      <c r="F409" s="26"/>
      <c r="G409" s="26"/>
    </row>
    <row r="410">
      <c r="A410" s="28"/>
      <c r="B410" s="29"/>
      <c r="C410" s="26"/>
      <c r="D410" s="26"/>
      <c r="E410" s="27"/>
      <c r="F410" s="26"/>
      <c r="G410" s="26"/>
    </row>
    <row r="411">
      <c r="A411" s="28"/>
      <c r="B411" s="29"/>
      <c r="C411" s="26"/>
      <c r="D411" s="26"/>
      <c r="E411" s="27"/>
      <c r="F411" s="26"/>
      <c r="G411" s="26"/>
    </row>
    <row r="412">
      <c r="A412" s="28"/>
      <c r="B412" s="29"/>
      <c r="C412" s="26"/>
      <c r="D412" s="26"/>
      <c r="E412" s="27"/>
      <c r="F412" s="26"/>
      <c r="G412" s="26"/>
    </row>
    <row r="413">
      <c r="A413" s="28"/>
      <c r="B413" s="29"/>
      <c r="C413" s="26"/>
      <c r="D413" s="26"/>
      <c r="E413" s="27"/>
      <c r="F413" s="26"/>
      <c r="G413" s="26"/>
    </row>
    <row r="414">
      <c r="A414" s="28"/>
      <c r="B414" s="29"/>
      <c r="C414" s="26"/>
      <c r="D414" s="26"/>
      <c r="E414" s="27"/>
      <c r="F414" s="26"/>
      <c r="G414" s="26"/>
    </row>
    <row r="415">
      <c r="A415" s="28"/>
      <c r="B415" s="29"/>
      <c r="C415" s="26"/>
      <c r="D415" s="26"/>
      <c r="E415" s="27"/>
      <c r="F415" s="26"/>
      <c r="G415" s="26"/>
    </row>
    <row r="416">
      <c r="A416" s="28"/>
      <c r="B416" s="29"/>
      <c r="C416" s="26"/>
      <c r="D416" s="26"/>
      <c r="E416" s="27"/>
      <c r="F416" s="26"/>
      <c r="G416" s="26"/>
    </row>
    <row r="417">
      <c r="A417" s="28"/>
      <c r="B417" s="29"/>
      <c r="C417" s="26"/>
      <c r="D417" s="26"/>
      <c r="E417" s="27"/>
      <c r="F417" s="26"/>
      <c r="G417" s="26"/>
    </row>
    <row r="418">
      <c r="A418" s="28"/>
      <c r="B418" s="29"/>
      <c r="C418" s="26"/>
      <c r="D418" s="26"/>
      <c r="E418" s="27"/>
      <c r="F418" s="26"/>
      <c r="G418" s="26"/>
    </row>
    <row r="419">
      <c r="A419" s="28"/>
      <c r="B419" s="29"/>
      <c r="C419" s="26"/>
      <c r="D419" s="26"/>
      <c r="E419" s="27"/>
      <c r="F419" s="26"/>
      <c r="G419" s="26"/>
    </row>
    <row r="420">
      <c r="A420" s="28"/>
      <c r="B420" s="29"/>
      <c r="C420" s="26"/>
      <c r="D420" s="26"/>
      <c r="E420" s="27"/>
      <c r="F420" s="26"/>
      <c r="G420" s="26"/>
    </row>
    <row r="421">
      <c r="A421" s="28"/>
      <c r="B421" s="29"/>
      <c r="C421" s="26"/>
      <c r="D421" s="26"/>
      <c r="E421" s="27"/>
      <c r="F421" s="26"/>
      <c r="G421" s="26"/>
    </row>
    <row r="422">
      <c r="A422" s="28"/>
      <c r="B422" s="29"/>
      <c r="C422" s="26"/>
      <c r="D422" s="26"/>
      <c r="E422" s="27"/>
      <c r="F422" s="26"/>
      <c r="G422" s="26"/>
    </row>
    <row r="423">
      <c r="A423" s="28"/>
      <c r="B423" s="29"/>
      <c r="C423" s="26"/>
      <c r="D423" s="26"/>
      <c r="E423" s="27"/>
      <c r="F423" s="26"/>
      <c r="G423" s="26"/>
    </row>
    <row r="424">
      <c r="A424" s="28"/>
      <c r="B424" s="29"/>
      <c r="C424" s="26"/>
      <c r="D424" s="26"/>
      <c r="E424" s="27"/>
      <c r="F424" s="26"/>
      <c r="G424" s="26"/>
    </row>
    <row r="425">
      <c r="A425" s="28"/>
      <c r="B425" s="29"/>
      <c r="C425" s="26"/>
      <c r="D425" s="26"/>
      <c r="E425" s="27"/>
      <c r="F425" s="26"/>
      <c r="G425" s="26"/>
    </row>
    <row r="426">
      <c r="A426" s="28"/>
      <c r="B426" s="29"/>
      <c r="C426" s="26"/>
      <c r="D426" s="26"/>
      <c r="E426" s="27"/>
      <c r="F426" s="26"/>
      <c r="G426" s="26"/>
    </row>
    <row r="427">
      <c r="A427" s="28"/>
      <c r="B427" s="29"/>
      <c r="C427" s="26"/>
      <c r="D427" s="26"/>
      <c r="E427" s="27"/>
      <c r="F427" s="26"/>
      <c r="G427" s="26"/>
    </row>
    <row r="428">
      <c r="A428" s="28"/>
      <c r="B428" s="29"/>
      <c r="C428" s="26"/>
      <c r="D428" s="26"/>
      <c r="E428" s="27"/>
      <c r="F428" s="26"/>
      <c r="G428" s="26"/>
    </row>
    <row r="429">
      <c r="A429" s="28"/>
      <c r="B429" s="29"/>
      <c r="C429" s="26"/>
      <c r="D429" s="26"/>
      <c r="E429" s="27"/>
      <c r="F429" s="26"/>
      <c r="G429" s="26"/>
    </row>
    <row r="430">
      <c r="A430" s="28"/>
      <c r="B430" s="29"/>
      <c r="C430" s="26"/>
      <c r="D430" s="26"/>
      <c r="E430" s="27"/>
      <c r="F430" s="26"/>
      <c r="G430" s="26"/>
    </row>
    <row r="431">
      <c r="A431" s="28"/>
      <c r="B431" s="29"/>
      <c r="C431" s="26"/>
      <c r="D431" s="26"/>
      <c r="E431" s="27"/>
      <c r="F431" s="26"/>
      <c r="G431" s="26"/>
    </row>
    <row r="432">
      <c r="A432" s="28"/>
      <c r="B432" s="29"/>
      <c r="C432" s="26"/>
      <c r="D432" s="26"/>
      <c r="E432" s="27"/>
      <c r="F432" s="26"/>
      <c r="G432" s="26"/>
    </row>
    <row r="433">
      <c r="A433" s="28"/>
      <c r="B433" s="29"/>
      <c r="C433" s="26"/>
      <c r="D433" s="26"/>
      <c r="E433" s="27"/>
      <c r="F433" s="26"/>
      <c r="G433" s="26"/>
    </row>
    <row r="434">
      <c r="A434" s="28"/>
      <c r="B434" s="29"/>
      <c r="C434" s="26"/>
      <c r="D434" s="26"/>
      <c r="E434" s="27"/>
      <c r="F434" s="26"/>
      <c r="G434" s="26"/>
    </row>
    <row r="435">
      <c r="A435" s="28"/>
      <c r="B435" s="29"/>
      <c r="C435" s="26"/>
      <c r="D435" s="26"/>
      <c r="E435" s="27"/>
      <c r="F435" s="26"/>
      <c r="G435" s="26"/>
    </row>
    <row r="436">
      <c r="A436" s="28"/>
      <c r="B436" s="29"/>
      <c r="C436" s="26"/>
      <c r="D436" s="26"/>
      <c r="E436" s="27"/>
      <c r="F436" s="26"/>
      <c r="G436" s="26"/>
    </row>
    <row r="437">
      <c r="A437" s="28"/>
      <c r="B437" s="29"/>
      <c r="C437" s="26"/>
      <c r="D437" s="26"/>
      <c r="E437" s="27"/>
      <c r="F437" s="26"/>
      <c r="G437" s="26"/>
    </row>
    <row r="438">
      <c r="A438" s="28"/>
      <c r="B438" s="29"/>
      <c r="C438" s="26"/>
      <c r="D438" s="26"/>
      <c r="E438" s="27"/>
      <c r="F438" s="26"/>
      <c r="G438" s="26"/>
    </row>
    <row r="439">
      <c r="A439" s="28"/>
      <c r="B439" s="29"/>
      <c r="C439" s="26"/>
      <c r="D439" s="26"/>
      <c r="E439" s="27"/>
      <c r="F439" s="26"/>
      <c r="G439" s="26"/>
    </row>
    <row r="440">
      <c r="A440" s="28"/>
      <c r="B440" s="29"/>
      <c r="C440" s="26"/>
      <c r="D440" s="26"/>
      <c r="E440" s="27"/>
      <c r="F440" s="26"/>
      <c r="G440" s="26"/>
    </row>
    <row r="441">
      <c r="A441" s="28"/>
      <c r="B441" s="29"/>
      <c r="C441" s="26"/>
      <c r="D441" s="26"/>
      <c r="E441" s="27"/>
      <c r="F441" s="26"/>
      <c r="G441" s="26"/>
    </row>
    <row r="442">
      <c r="A442" s="28"/>
      <c r="B442" s="29"/>
      <c r="C442" s="26"/>
      <c r="D442" s="26"/>
      <c r="E442" s="27"/>
      <c r="F442" s="26"/>
      <c r="G442" s="26"/>
    </row>
    <row r="443">
      <c r="A443" s="28"/>
      <c r="B443" s="29"/>
      <c r="C443" s="26"/>
      <c r="D443" s="26"/>
      <c r="E443" s="27"/>
      <c r="F443" s="26"/>
      <c r="G443" s="26"/>
    </row>
    <row r="444">
      <c r="A444" s="28"/>
      <c r="B444" s="29"/>
      <c r="C444" s="26"/>
      <c r="D444" s="26"/>
      <c r="E444" s="27"/>
      <c r="F444" s="26"/>
      <c r="G444" s="26"/>
    </row>
    <row r="445">
      <c r="A445" s="28"/>
      <c r="B445" s="29"/>
      <c r="C445" s="26"/>
      <c r="D445" s="26"/>
      <c r="E445" s="27"/>
      <c r="F445" s="26"/>
      <c r="G445" s="26"/>
    </row>
    <row r="446">
      <c r="A446" s="28"/>
      <c r="B446" s="29"/>
      <c r="C446" s="26"/>
      <c r="D446" s="26"/>
      <c r="E446" s="27"/>
      <c r="F446" s="26"/>
      <c r="G446" s="26"/>
    </row>
    <row r="447">
      <c r="A447" s="28"/>
      <c r="B447" s="29"/>
      <c r="C447" s="26"/>
      <c r="D447" s="26"/>
      <c r="E447" s="27"/>
      <c r="F447" s="26"/>
      <c r="G447" s="26"/>
    </row>
    <row r="448">
      <c r="A448" s="28"/>
      <c r="B448" s="29"/>
      <c r="C448" s="26"/>
      <c r="D448" s="26"/>
      <c r="E448" s="27"/>
      <c r="F448" s="26"/>
      <c r="G448" s="26"/>
    </row>
    <row r="449">
      <c r="A449" s="28"/>
      <c r="B449" s="29"/>
      <c r="C449" s="26"/>
      <c r="D449" s="26"/>
      <c r="E449" s="27"/>
      <c r="F449" s="26"/>
      <c r="G449" s="26"/>
    </row>
    <row r="450">
      <c r="A450" s="28"/>
      <c r="B450" s="29"/>
      <c r="C450" s="26"/>
      <c r="D450" s="26"/>
      <c r="E450" s="27"/>
      <c r="F450" s="26"/>
      <c r="G450" s="26"/>
    </row>
    <row r="451">
      <c r="A451" s="28"/>
      <c r="B451" s="29"/>
      <c r="C451" s="26"/>
      <c r="D451" s="26"/>
      <c r="E451" s="27"/>
      <c r="F451" s="26"/>
      <c r="G451" s="26"/>
    </row>
    <row r="452">
      <c r="A452" s="28"/>
      <c r="B452" s="29"/>
      <c r="C452" s="26"/>
      <c r="D452" s="26"/>
      <c r="E452" s="27"/>
      <c r="F452" s="26"/>
      <c r="G452" s="26"/>
    </row>
    <row r="453">
      <c r="A453" s="28"/>
      <c r="B453" s="29"/>
      <c r="C453" s="26"/>
      <c r="D453" s="26"/>
      <c r="E453" s="27"/>
      <c r="F453" s="26"/>
      <c r="G453" s="26"/>
    </row>
    <row r="454">
      <c r="A454" s="28"/>
      <c r="B454" s="29"/>
      <c r="C454" s="26"/>
      <c r="D454" s="26"/>
      <c r="E454" s="27"/>
      <c r="F454" s="26"/>
      <c r="G454" s="26"/>
    </row>
    <row r="455">
      <c r="A455" s="28"/>
      <c r="B455" s="29"/>
      <c r="C455" s="26"/>
      <c r="D455" s="26"/>
      <c r="E455" s="27"/>
      <c r="F455" s="26"/>
      <c r="G455" s="26"/>
    </row>
    <row r="456">
      <c r="A456" s="28"/>
      <c r="B456" s="29"/>
      <c r="C456" s="26"/>
      <c r="D456" s="26"/>
      <c r="E456" s="27"/>
      <c r="F456" s="26"/>
      <c r="G456" s="26"/>
    </row>
    <row r="457">
      <c r="A457" s="28"/>
      <c r="B457" s="29"/>
      <c r="C457" s="26"/>
      <c r="D457" s="26"/>
      <c r="E457" s="27"/>
      <c r="F457" s="26"/>
      <c r="G457" s="26"/>
    </row>
    <row r="458">
      <c r="A458" s="28"/>
      <c r="B458" s="29"/>
      <c r="C458" s="26"/>
      <c r="D458" s="26"/>
      <c r="E458" s="27"/>
      <c r="F458" s="26"/>
      <c r="G458" s="26"/>
    </row>
    <row r="459">
      <c r="A459" s="28"/>
      <c r="B459" s="29"/>
      <c r="C459" s="26"/>
      <c r="D459" s="26"/>
      <c r="E459" s="27"/>
      <c r="F459" s="26"/>
      <c r="G459" s="26"/>
    </row>
    <row r="460">
      <c r="A460" s="28"/>
      <c r="B460" s="29"/>
      <c r="C460" s="26"/>
      <c r="D460" s="26"/>
      <c r="E460" s="27"/>
      <c r="F460" s="26"/>
      <c r="G460" s="26"/>
    </row>
    <row r="461">
      <c r="A461" s="28"/>
      <c r="B461" s="29"/>
      <c r="C461" s="26"/>
      <c r="D461" s="26"/>
      <c r="E461" s="27"/>
      <c r="F461" s="26"/>
      <c r="G461" s="26"/>
    </row>
    <row r="462">
      <c r="A462" s="28"/>
      <c r="B462" s="29"/>
      <c r="C462" s="26"/>
      <c r="D462" s="26"/>
      <c r="E462" s="27"/>
      <c r="F462" s="26"/>
      <c r="G462" s="26"/>
    </row>
    <row r="463">
      <c r="A463" s="28"/>
      <c r="B463" s="29"/>
      <c r="C463" s="26"/>
      <c r="D463" s="26"/>
      <c r="E463" s="27"/>
      <c r="F463" s="26"/>
      <c r="G463" s="26"/>
    </row>
    <row r="464">
      <c r="A464" s="28"/>
      <c r="B464" s="29"/>
      <c r="C464" s="26"/>
      <c r="D464" s="26"/>
      <c r="E464" s="27"/>
      <c r="F464" s="26"/>
      <c r="G464" s="26"/>
    </row>
    <row r="465">
      <c r="A465" s="28"/>
      <c r="B465" s="29"/>
      <c r="C465" s="26"/>
      <c r="D465" s="26"/>
      <c r="E465" s="27"/>
      <c r="F465" s="26"/>
      <c r="G465" s="26"/>
    </row>
    <row r="466">
      <c r="A466" s="28"/>
      <c r="B466" s="29"/>
      <c r="C466" s="26"/>
      <c r="D466" s="26"/>
      <c r="E466" s="27"/>
      <c r="F466" s="26"/>
      <c r="G466" s="26"/>
    </row>
    <row r="467">
      <c r="A467" s="28"/>
      <c r="B467" s="29"/>
      <c r="C467" s="26"/>
      <c r="D467" s="26"/>
      <c r="E467" s="27"/>
      <c r="F467" s="26"/>
      <c r="G467" s="26"/>
    </row>
    <row r="468">
      <c r="A468" s="28"/>
      <c r="B468" s="29"/>
      <c r="C468" s="26"/>
      <c r="D468" s="26"/>
      <c r="E468" s="27"/>
      <c r="F468" s="26"/>
      <c r="G468" s="26"/>
    </row>
    <row r="469">
      <c r="A469" s="28"/>
      <c r="B469" s="29"/>
      <c r="C469" s="26"/>
      <c r="D469" s="26"/>
      <c r="E469" s="27"/>
      <c r="F469" s="26"/>
      <c r="G469" s="26"/>
    </row>
    <row r="470">
      <c r="A470" s="28"/>
      <c r="B470" s="29"/>
      <c r="C470" s="26"/>
      <c r="D470" s="26"/>
      <c r="E470" s="27"/>
      <c r="F470" s="26"/>
      <c r="G470" s="26"/>
    </row>
    <row r="471">
      <c r="A471" s="28"/>
      <c r="B471" s="29"/>
      <c r="C471" s="26"/>
      <c r="D471" s="26"/>
      <c r="E471" s="27"/>
      <c r="F471" s="26"/>
      <c r="G471" s="26"/>
    </row>
    <row r="472">
      <c r="A472" s="28"/>
      <c r="B472" s="29"/>
      <c r="C472" s="26"/>
      <c r="D472" s="26"/>
      <c r="E472" s="27"/>
      <c r="F472" s="26"/>
      <c r="G472" s="26"/>
    </row>
    <row r="473">
      <c r="A473" s="28"/>
      <c r="B473" s="29"/>
      <c r="C473" s="26"/>
      <c r="D473" s="26"/>
      <c r="E473" s="27"/>
      <c r="F473" s="26"/>
      <c r="G473" s="26"/>
    </row>
    <row r="474">
      <c r="A474" s="28"/>
      <c r="B474" s="29"/>
      <c r="C474" s="26"/>
      <c r="D474" s="26"/>
      <c r="E474" s="27"/>
      <c r="F474" s="26"/>
      <c r="G474" s="26"/>
    </row>
    <row r="475">
      <c r="A475" s="28"/>
      <c r="B475" s="29"/>
      <c r="C475" s="26"/>
      <c r="D475" s="26"/>
      <c r="E475" s="27"/>
      <c r="F475" s="26"/>
      <c r="G475" s="26"/>
    </row>
    <row r="476">
      <c r="A476" s="28"/>
      <c r="B476" s="29"/>
      <c r="C476" s="26"/>
      <c r="D476" s="26"/>
      <c r="E476" s="27"/>
      <c r="F476" s="26"/>
      <c r="G476" s="26"/>
    </row>
    <row r="477">
      <c r="A477" s="28"/>
      <c r="B477" s="29"/>
      <c r="C477" s="26"/>
      <c r="D477" s="26"/>
      <c r="E477" s="27"/>
      <c r="F477" s="26"/>
      <c r="G477" s="26"/>
    </row>
    <row r="478">
      <c r="A478" s="28"/>
      <c r="B478" s="29"/>
      <c r="C478" s="26"/>
      <c r="D478" s="26"/>
      <c r="E478" s="27"/>
      <c r="F478" s="26"/>
      <c r="G478" s="26"/>
    </row>
    <row r="479">
      <c r="A479" s="28"/>
      <c r="B479" s="29"/>
      <c r="C479" s="26"/>
      <c r="D479" s="26"/>
      <c r="E479" s="27"/>
      <c r="F479" s="26"/>
      <c r="G479" s="26"/>
    </row>
    <row r="480">
      <c r="A480" s="28"/>
      <c r="B480" s="29"/>
      <c r="C480" s="26"/>
      <c r="D480" s="26"/>
      <c r="E480" s="27"/>
      <c r="F480" s="26"/>
      <c r="G480" s="26"/>
    </row>
    <row r="481">
      <c r="A481" s="28"/>
      <c r="B481" s="29"/>
      <c r="C481" s="26"/>
      <c r="D481" s="26"/>
      <c r="E481" s="27"/>
      <c r="F481" s="26"/>
      <c r="G481" s="26"/>
    </row>
    <row r="482">
      <c r="A482" s="28"/>
      <c r="B482" s="29"/>
      <c r="C482" s="26"/>
      <c r="D482" s="26"/>
      <c r="E482" s="27"/>
      <c r="F482" s="26"/>
      <c r="G482" s="26"/>
    </row>
    <row r="483">
      <c r="A483" s="28"/>
      <c r="B483" s="29"/>
      <c r="C483" s="26"/>
      <c r="D483" s="26"/>
      <c r="E483" s="27"/>
      <c r="F483" s="26"/>
      <c r="G483" s="26"/>
    </row>
    <row r="484">
      <c r="A484" s="28"/>
      <c r="B484" s="29"/>
      <c r="C484" s="26"/>
      <c r="D484" s="26"/>
      <c r="E484" s="27"/>
      <c r="F484" s="26"/>
      <c r="G484" s="26"/>
    </row>
    <row r="485">
      <c r="A485" s="28"/>
      <c r="B485" s="29"/>
      <c r="C485" s="26"/>
      <c r="D485" s="26"/>
      <c r="E485" s="27"/>
      <c r="F485" s="26"/>
      <c r="G485" s="26"/>
    </row>
    <row r="486">
      <c r="A486" s="28"/>
      <c r="B486" s="29"/>
      <c r="C486" s="26"/>
      <c r="D486" s="26"/>
      <c r="E486" s="27"/>
      <c r="F486" s="26"/>
      <c r="G486" s="26"/>
    </row>
    <row r="487">
      <c r="A487" s="28"/>
      <c r="B487" s="29"/>
      <c r="C487" s="26"/>
      <c r="D487" s="26"/>
      <c r="E487" s="27"/>
      <c r="F487" s="26"/>
      <c r="G487" s="26"/>
    </row>
    <row r="488">
      <c r="A488" s="28"/>
      <c r="B488" s="29"/>
      <c r="C488" s="26"/>
      <c r="D488" s="26"/>
      <c r="E488" s="27"/>
      <c r="F488" s="26"/>
      <c r="G488" s="26"/>
    </row>
    <row r="489">
      <c r="A489" s="28"/>
      <c r="B489" s="29"/>
      <c r="C489" s="26"/>
      <c r="D489" s="26"/>
      <c r="E489" s="27"/>
      <c r="F489" s="26"/>
      <c r="G489" s="26"/>
    </row>
    <row r="490">
      <c r="A490" s="28"/>
      <c r="B490" s="29"/>
      <c r="C490" s="26"/>
      <c r="D490" s="26"/>
      <c r="E490" s="27"/>
      <c r="F490" s="26"/>
      <c r="G490" s="26"/>
    </row>
    <row r="491">
      <c r="A491" s="28"/>
      <c r="B491" s="29"/>
      <c r="C491" s="26"/>
      <c r="D491" s="26"/>
      <c r="E491" s="27"/>
      <c r="F491" s="26"/>
      <c r="G491" s="26"/>
    </row>
    <row r="492">
      <c r="A492" s="28"/>
      <c r="B492" s="29"/>
      <c r="C492" s="26"/>
      <c r="D492" s="26"/>
      <c r="E492" s="27"/>
      <c r="F492" s="26"/>
      <c r="G492" s="26"/>
    </row>
    <row r="493">
      <c r="A493" s="28"/>
      <c r="B493" s="29"/>
      <c r="C493" s="26"/>
      <c r="D493" s="26"/>
      <c r="E493" s="27"/>
      <c r="F493" s="26"/>
      <c r="G493" s="26"/>
    </row>
    <row r="494">
      <c r="A494" s="28"/>
      <c r="B494" s="29"/>
      <c r="C494" s="26"/>
      <c r="D494" s="26"/>
      <c r="E494" s="27"/>
      <c r="F494" s="26"/>
      <c r="G494" s="26"/>
    </row>
    <row r="495">
      <c r="A495" s="28"/>
      <c r="B495" s="29"/>
      <c r="C495" s="26"/>
      <c r="D495" s="26"/>
      <c r="E495" s="27"/>
      <c r="F495" s="26"/>
      <c r="G495" s="26"/>
    </row>
    <row r="496">
      <c r="A496" s="28"/>
      <c r="B496" s="29"/>
      <c r="C496" s="26"/>
      <c r="D496" s="26"/>
      <c r="E496" s="27"/>
      <c r="F496" s="26"/>
      <c r="G496" s="26"/>
    </row>
    <row r="497">
      <c r="A497" s="28"/>
      <c r="B497" s="29"/>
      <c r="C497" s="26"/>
      <c r="D497" s="26"/>
      <c r="E497" s="27"/>
      <c r="F497" s="26"/>
      <c r="G497" s="26"/>
    </row>
    <row r="498">
      <c r="A498" s="28"/>
      <c r="B498" s="29"/>
      <c r="C498" s="26"/>
      <c r="D498" s="26"/>
      <c r="E498" s="27"/>
      <c r="F498" s="26"/>
      <c r="G498" s="26"/>
    </row>
    <row r="499">
      <c r="A499" s="28"/>
      <c r="B499" s="29"/>
      <c r="C499" s="26"/>
      <c r="D499" s="26"/>
      <c r="E499" s="27"/>
      <c r="F499" s="26"/>
      <c r="G499" s="26"/>
    </row>
    <row r="500">
      <c r="A500" s="28"/>
      <c r="B500" s="29"/>
      <c r="C500" s="26"/>
      <c r="D500" s="26"/>
      <c r="E500" s="27"/>
      <c r="F500" s="26"/>
      <c r="G500" s="26"/>
    </row>
  </sheetData>
  <mergeCells count="1">
    <mergeCell ref="C1:G1"/>
  </mergeCells>
  <drawing r:id="rId1"/>
</worksheet>
</file>