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ctrlProps/ctrlProp3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 13-W010ND\Documents\Corporate Finance docs\CFI course\LBO\"/>
    </mc:Choice>
  </mc:AlternateContent>
  <xr:revisionPtr revIDLastSave="0" documentId="13_ncr:1_{0B8CF895-C027-4DE4-AFA2-2CE4F91D25DA}" xr6:coauthVersionLast="47" xr6:coauthVersionMax="47" xr10:uidLastSave="{00000000-0000-0000-0000-000000000000}"/>
  <bookViews>
    <workbookView xWindow="-120" yWindow="-120" windowWidth="29040" windowHeight="15840" tabRatio="936" activeTab="4" xr2:uid="{B9684782-ACF5-4C3A-AD30-71EEDF59B98A}"/>
  </bookViews>
  <sheets>
    <sheet name="Cover" sheetId="7" r:id="rId1"/>
    <sheet name="Outputs" sheetId="3" r:id="rId2"/>
    <sheet name="Transaction" sheetId="5" r:id="rId3"/>
    <sheet name="Inputs" sheetId="4" r:id="rId4"/>
    <sheet name="Model" sheetId="1" r:id="rId5"/>
  </sheets>
  <definedNames>
    <definedName name="_xlnm.Print_Area" localSheetId="0">Cover!$B$2:$Q$39</definedName>
    <definedName name="_xlnm.Print_Area" localSheetId="3">Inputs!$B$3:$L$36,Inputs!$B$39:$L$65,Inputs!$B$68:$L$101</definedName>
    <definedName name="_xlnm.Print_Area" localSheetId="4">Model!$B$3:$O$44,Model!$B$47:$O$90,Model!$B$93:$O$124,Model!$B$127:$O$160,Model!$B$163:$O$192,Model!$B$195:$O$238,Model!$B$241:$O$269,Model!$B$272:$O$311,Model!$B$314:$O$356,Model!$B$359:$O$396,Model!$B$399:$O$432,Model!$B$435:$O$471,Model!$B$474:$O$492,Model!$B$495:$O$538,Model!$B$541:$O$576</definedName>
    <definedName name="_xlnm.Print_Area" localSheetId="1">Outputs!$C$3:$R$47,Outputs!$C$50:$R$92</definedName>
    <definedName name="_xlnm.Print_Area" localSheetId="2">Transaction!$B$3:$N$47,Transaction!$B$50:$N$94</definedName>
  </definedName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78" i="3" l="1"/>
  <c r="W77" i="3"/>
  <c r="W80" i="3"/>
  <c r="W79" i="3"/>
  <c r="C14" i="5" l="1"/>
  <c r="F8" i="3"/>
  <c r="H10" i="4" a="1"/>
  <c r="H10" i="4" s="1"/>
  <c r="Y58" i="3"/>
  <c r="G56" i="5"/>
  <c r="N24" i="5"/>
  <c r="J8" i="5"/>
  <c r="N9" i="5"/>
  <c r="B110" i="3"/>
  <c r="I110" i="3"/>
  <c r="I111" i="3" s="1"/>
  <c r="I112" i="3" s="1"/>
  <c r="I113" i="3" s="1"/>
  <c r="I114" i="3" s="1"/>
  <c r="B111" i="3"/>
  <c r="B112" i="3"/>
  <c r="B113" i="3"/>
  <c r="B114" i="3"/>
  <c r="B115" i="3"/>
  <c r="G115" i="3"/>
  <c r="H115" i="3"/>
  <c r="I115" i="3"/>
  <c r="E9" i="1" l="1"/>
  <c r="K17" i="1" s="1"/>
  <c r="H526" i="1" l="1"/>
  <c r="N524" i="1" s="1"/>
  <c r="K524" i="1" l="1"/>
  <c r="L524" i="1"/>
  <c r="O524" i="1"/>
  <c r="M524" i="1"/>
  <c r="H431" i="1"/>
  <c r="H420" i="1"/>
  <c r="H395" i="1"/>
  <c r="H379" i="1"/>
  <c r="H349" i="1"/>
  <c r="H340" i="1"/>
  <c r="H329" i="1"/>
  <c r="L329" i="1" s="1"/>
  <c r="K157" i="1"/>
  <c r="K323" i="1" s="1"/>
  <c r="K329" i="1" l="1"/>
  <c r="N329" i="1"/>
  <c r="O329" i="1"/>
  <c r="M329" i="1"/>
  <c r="J428" i="1"/>
  <c r="J263" i="1" l="1"/>
  <c r="F205" i="1"/>
  <c r="J256" i="1" l="1"/>
  <c r="C23" i="5"/>
  <c r="F7" i="3" s="1"/>
  <c r="I24" i="5"/>
  <c r="N10" i="5" l="1"/>
  <c r="F548" i="1"/>
  <c r="K548" i="1" s="1"/>
  <c r="L548" i="1" s="1"/>
  <c r="I25" i="5"/>
  <c r="K35" i="5" l="1"/>
  <c r="E35" i="5"/>
  <c r="K36" i="5"/>
  <c r="H527" i="1"/>
  <c r="K70" i="5" l="1"/>
  <c r="K69" i="5"/>
  <c r="K68" i="5"/>
  <c r="P16" i="7" l="1"/>
  <c r="K393" i="1"/>
  <c r="K348" i="1"/>
  <c r="L348" i="1" s="1"/>
  <c r="M348" i="1" s="1"/>
  <c r="N348" i="1" s="1"/>
  <c r="O348" i="1" s="1"/>
  <c r="K338" i="1"/>
  <c r="L338" i="1" s="1"/>
  <c r="M338" i="1" s="1"/>
  <c r="N338" i="1" s="1"/>
  <c r="O338" i="1" s="1"/>
  <c r="H346" i="1"/>
  <c r="G65" i="5"/>
  <c r="H65" i="5" s="1"/>
  <c r="I65" i="5" s="1"/>
  <c r="J65" i="5" s="1"/>
  <c r="L393" i="1" l="1"/>
  <c r="C27" i="7"/>
  <c r="M393" i="1" l="1"/>
  <c r="N393" i="1" l="1"/>
  <c r="O393" i="1" s="1"/>
  <c r="T70" i="3" l="1"/>
  <c r="K416" i="1" l="1"/>
  <c r="J17" i="5"/>
  <c r="W59" i="3"/>
  <c r="V59" i="3"/>
  <c r="X59" i="3" l="1"/>
  <c r="K415" i="1"/>
  <c r="L416" i="1"/>
  <c r="M416" i="1" s="1"/>
  <c r="N416" i="1" s="1"/>
  <c r="O416" i="1" s="1"/>
  <c r="L415" i="1" l="1"/>
  <c r="K417" i="1"/>
  <c r="M415" i="1" l="1"/>
  <c r="L417" i="1"/>
  <c r="N415" i="1" l="1"/>
  <c r="M417" i="1"/>
  <c r="O415" i="1" l="1"/>
  <c r="O417" i="1" s="1"/>
  <c r="N417" i="1"/>
  <c r="H115" i="1" l="1"/>
  <c r="J115" i="1"/>
  <c r="I115" i="1"/>
  <c r="G85" i="3"/>
  <c r="O85" i="3" s="1"/>
  <c r="D88" i="3"/>
  <c r="L88" i="3" s="1"/>
  <c r="G75" i="3"/>
  <c r="O75" i="3" s="1"/>
  <c r="D78" i="3"/>
  <c r="L78" i="3" s="1"/>
  <c r="D28" i="7"/>
  <c r="C29" i="7"/>
  <c r="C28" i="7"/>
  <c r="D29" i="7"/>
  <c r="D548" i="1" l="1"/>
  <c r="J548" i="1" s="1"/>
  <c r="K413" i="1"/>
  <c r="L413" i="1" s="1"/>
  <c r="M413" i="1" s="1"/>
  <c r="N413" i="1" s="1"/>
  <c r="O413" i="1" s="1"/>
  <c r="K377" i="1"/>
  <c r="B79" i="4"/>
  <c r="B78" i="4"/>
  <c r="B77" i="4"/>
  <c r="L377" i="1" l="1"/>
  <c r="F211" i="1"/>
  <c r="M377" i="1" l="1"/>
  <c r="H513" i="1"/>
  <c r="H512" i="1"/>
  <c r="H511" i="1"/>
  <c r="K509" i="1" s="1"/>
  <c r="H528" i="1"/>
  <c r="H529" i="1" s="1"/>
  <c r="H514" i="1" l="1"/>
  <c r="K517" i="1" s="1"/>
  <c r="N531" i="1"/>
  <c r="M531" i="1"/>
  <c r="L531" i="1"/>
  <c r="O531" i="1"/>
  <c r="N509" i="1"/>
  <c r="N377" i="1"/>
  <c r="O509" i="1"/>
  <c r="L509" i="1"/>
  <c r="L516" i="1" s="1"/>
  <c r="M509" i="1"/>
  <c r="M516" i="1" s="1"/>
  <c r="K532" i="1"/>
  <c r="N516" i="1" l="1"/>
  <c r="O377" i="1"/>
  <c r="L532" i="1"/>
  <c r="L517" i="1"/>
  <c r="O516" i="1"/>
  <c r="M517" i="1" l="1"/>
  <c r="M532" i="1"/>
  <c r="J299" i="1"/>
  <c r="F249" i="1"/>
  <c r="F248" i="1"/>
  <c r="F210" i="1"/>
  <c r="F204" i="1"/>
  <c r="N532" i="1" l="1"/>
  <c r="N517" i="1"/>
  <c r="O532" i="1" l="1"/>
  <c r="O517" i="1"/>
  <c r="K368" i="1"/>
  <c r="I168" i="1" l="1"/>
  <c r="J168" i="1"/>
  <c r="H168" i="1"/>
  <c r="I98" i="1"/>
  <c r="J98" i="1"/>
  <c r="B6" i="1" a="1"/>
  <c r="B6" i="1" s="1"/>
  <c r="E8" i="1"/>
  <c r="O8" i="1" s="1"/>
  <c r="O168" i="1" s="1"/>
  <c r="B402" i="1" l="1"/>
  <c r="C18" i="3"/>
  <c r="C51" i="3" s="1"/>
  <c r="B96" i="1"/>
  <c r="B498" i="1"/>
  <c r="K8" i="1"/>
  <c r="K168" i="1" s="1"/>
  <c r="B477" i="1"/>
  <c r="B544" i="1"/>
  <c r="B438" i="1"/>
  <c r="B362" i="1"/>
  <c r="B317" i="1"/>
  <c r="B130" i="1"/>
  <c r="B275" i="1"/>
  <c r="B244" i="1"/>
  <c r="B50" i="1"/>
  <c r="B198" i="1"/>
  <c r="B166" i="1"/>
  <c r="L17" i="1"/>
  <c r="M17" i="1"/>
  <c r="N17" i="1"/>
  <c r="O17" i="1"/>
  <c r="L8" i="1"/>
  <c r="L168" i="1" s="1"/>
  <c r="N8" i="1"/>
  <c r="N168" i="1" s="1"/>
  <c r="M8" i="1"/>
  <c r="M168" i="1" s="1"/>
  <c r="K553" i="1"/>
  <c r="F280" i="1"/>
  <c r="K205" i="1" l="1"/>
  <c r="K219" i="1"/>
  <c r="K218" i="1"/>
  <c r="L219" i="1" s="1"/>
  <c r="K217" i="1"/>
  <c r="L218" i="1" s="1"/>
  <c r="K216" i="1"/>
  <c r="L217" i="1" s="1"/>
  <c r="K211" i="1"/>
  <c r="K215" i="1" s="1"/>
  <c r="L216" i="1" s="1"/>
  <c r="M217" i="1" s="1"/>
  <c r="N218" i="1" s="1"/>
  <c r="O219" i="1" s="1"/>
  <c r="J24" i="4" a="1"/>
  <c r="J24" i="4" s="1"/>
  <c r="I24" i="4" a="1"/>
  <c r="I24" i="4" s="1"/>
  <c r="H24" i="4" a="1"/>
  <c r="H24" i="4" s="1"/>
  <c r="B28" i="4"/>
  <c r="B27" i="4"/>
  <c r="B26" i="4"/>
  <c r="L24" i="4" a="1"/>
  <c r="L24" i="4" s="1"/>
  <c r="K24" i="4" a="1"/>
  <c r="K24" i="4" s="1"/>
  <c r="M219" i="1" l="1"/>
  <c r="M218" i="1"/>
  <c r="N219" i="1" s="1"/>
  <c r="L211" i="1"/>
  <c r="L205" i="1"/>
  <c r="M53" i="1"/>
  <c r="M98" i="1" s="1"/>
  <c r="M205" i="1" l="1"/>
  <c r="L215" i="1"/>
  <c r="M216" i="1" s="1"/>
  <c r="N217" i="1" s="1"/>
  <c r="O218" i="1" s="1"/>
  <c r="M211" i="1"/>
  <c r="M215" i="1" l="1"/>
  <c r="N216" i="1" s="1"/>
  <c r="O217" i="1" s="1"/>
  <c r="N211" i="1"/>
  <c r="N205" i="1"/>
  <c r="O205" i="1" s="1"/>
  <c r="N215" i="1" l="1"/>
  <c r="O216" i="1" s="1"/>
  <c r="O211" i="1"/>
  <c r="O215" i="1" s="1"/>
  <c r="D572" i="1" l="1"/>
  <c r="T69" i="3" s="1"/>
  <c r="D573" i="1" l="1"/>
  <c r="B86" i="4"/>
  <c r="B85" i="4"/>
  <c r="B84" i="4"/>
  <c r="B100" i="4"/>
  <c r="B99" i="4"/>
  <c r="B98" i="4"/>
  <c r="B93" i="4"/>
  <c r="B92" i="4"/>
  <c r="B91" i="4"/>
  <c r="E72" i="4"/>
  <c r="H75" i="4" s="1" a="1"/>
  <c r="H75" i="4" s="1"/>
  <c r="K319" i="1" l="1"/>
  <c r="K364" i="1"/>
  <c r="D574" i="1"/>
  <c r="T67" i="3" s="1"/>
  <c r="T68" i="3"/>
  <c r="H96" i="4" a="1"/>
  <c r="H96" i="4" s="1"/>
  <c r="L75" i="4" a="1"/>
  <c r="L75" i="4" s="1"/>
  <c r="K75" i="4" a="1"/>
  <c r="K75" i="4" s="1"/>
  <c r="J75" i="4" a="1"/>
  <c r="J75" i="4" s="1"/>
  <c r="I75" i="4" a="1"/>
  <c r="I75" i="4" s="1"/>
  <c r="I96" i="4" a="1"/>
  <c r="I96" i="4" s="1"/>
  <c r="K96" i="4" a="1"/>
  <c r="K96" i="4" s="1"/>
  <c r="L96" i="4" a="1"/>
  <c r="L96" i="4" s="1"/>
  <c r="H82" i="4" a="1"/>
  <c r="H82" i="4" s="1"/>
  <c r="I82" i="4" a="1"/>
  <c r="I82" i="4" s="1"/>
  <c r="H89" i="4" a="1"/>
  <c r="H89" i="4" s="1"/>
  <c r="J82" i="4" a="1"/>
  <c r="J82" i="4" s="1"/>
  <c r="I89" i="4" a="1"/>
  <c r="I89" i="4" s="1"/>
  <c r="K82" i="4" a="1"/>
  <c r="K82" i="4" s="1"/>
  <c r="J96" i="4" a="1"/>
  <c r="J96" i="4" s="1"/>
  <c r="J89" i="4" a="1"/>
  <c r="J89" i="4" s="1"/>
  <c r="L82" i="4" a="1"/>
  <c r="L82" i="4" s="1"/>
  <c r="K89" i="4" a="1"/>
  <c r="K89" i="4" s="1"/>
  <c r="L89" i="4" a="1"/>
  <c r="L89" i="4" s="1"/>
  <c r="N364" i="1" l="1"/>
  <c r="N319" i="1"/>
  <c r="N339" i="1" s="1"/>
  <c r="M364" i="1"/>
  <c r="M319" i="1"/>
  <c r="M339" i="1" s="1"/>
  <c r="K394" i="1"/>
  <c r="K378" i="1"/>
  <c r="L364" i="1"/>
  <c r="L319" i="1"/>
  <c r="L339" i="1" s="1"/>
  <c r="O364" i="1"/>
  <c r="O319" i="1"/>
  <c r="O339" i="1" s="1"/>
  <c r="K339" i="1"/>
  <c r="D575" i="1"/>
  <c r="T66" i="3" s="1"/>
  <c r="O483" i="1"/>
  <c r="L483" i="1"/>
  <c r="O482" i="1"/>
  <c r="N482" i="1"/>
  <c r="N490" i="1"/>
  <c r="N328" i="1" s="1"/>
  <c r="K483" i="1"/>
  <c r="L490" i="1"/>
  <c r="L328" i="1" s="1"/>
  <c r="N483" i="1"/>
  <c r="O490" i="1"/>
  <c r="M482" i="1"/>
  <c r="M483" i="1"/>
  <c r="L482" i="1"/>
  <c r="M490" i="1"/>
  <c r="M328" i="1" s="1"/>
  <c r="K482" i="1"/>
  <c r="K490" i="1"/>
  <c r="K328" i="1" s="1"/>
  <c r="N553" i="1"/>
  <c r="K5" i="1"/>
  <c r="H5" i="4"/>
  <c r="E43" i="4"/>
  <c r="K327" i="1" l="1"/>
  <c r="L327" i="1"/>
  <c r="M327" i="1"/>
  <c r="O327" i="1"/>
  <c r="N327" i="1"/>
  <c r="O566" i="1"/>
  <c r="O328" i="1"/>
  <c r="O394" i="1"/>
  <c r="O378" i="1"/>
  <c r="M394" i="1"/>
  <c r="M378" i="1"/>
  <c r="L394" i="1"/>
  <c r="L378" i="1"/>
  <c r="N394" i="1"/>
  <c r="N378" i="1"/>
  <c r="K497" i="1"/>
  <c r="L497" i="1" s="1"/>
  <c r="M497" i="1" s="1"/>
  <c r="N497" i="1" s="1"/>
  <c r="O497" i="1" s="1"/>
  <c r="K401" i="1"/>
  <c r="L401" i="1" s="1"/>
  <c r="M401" i="1" s="1"/>
  <c r="N401" i="1" s="1"/>
  <c r="O401" i="1" s="1"/>
  <c r="K152" i="1"/>
  <c r="L152" i="1"/>
  <c r="M566" i="1"/>
  <c r="M571" i="1" s="1"/>
  <c r="M152" i="1"/>
  <c r="O152" i="1"/>
  <c r="L566" i="1"/>
  <c r="L572" i="1" s="1"/>
  <c r="K566" i="1"/>
  <c r="K574" i="1" s="1"/>
  <c r="N152" i="1"/>
  <c r="N566" i="1"/>
  <c r="N571" i="1" s="1"/>
  <c r="H70" i="4"/>
  <c r="H41" i="4"/>
  <c r="L5" i="1"/>
  <c r="M5" i="1" s="1"/>
  <c r="K361" i="1"/>
  <c r="K437" i="1"/>
  <c r="K316" i="1"/>
  <c r="K129" i="1"/>
  <c r="K274" i="1"/>
  <c r="J274" i="1" s="1"/>
  <c r="K243" i="1"/>
  <c r="J243" i="1" s="1"/>
  <c r="K197" i="1"/>
  <c r="K49" i="1"/>
  <c r="K543" i="1"/>
  <c r="L543" i="1" s="1"/>
  <c r="M543" i="1" s="1"/>
  <c r="N543" i="1" s="1"/>
  <c r="O543" i="1" s="1"/>
  <c r="K165" i="1"/>
  <c r="K95" i="1"/>
  <c r="J95" i="1" s="1"/>
  <c r="K476" i="1"/>
  <c r="L31" i="4" a="1"/>
  <c r="L31" i="4" s="1"/>
  <c r="K53" i="4" a="1"/>
  <c r="K53" i="4" s="1"/>
  <c r="I53" i="4" a="1"/>
  <c r="I53" i="4" s="1"/>
  <c r="K31" i="4" a="1"/>
  <c r="K31" i="4" s="1"/>
  <c r="L53" i="4" a="1"/>
  <c r="L53" i="4" s="1"/>
  <c r="J31" i="4" a="1"/>
  <c r="J31" i="4" s="1"/>
  <c r="H53" i="4" a="1"/>
  <c r="H53" i="4" s="1"/>
  <c r="I31" i="4" a="1"/>
  <c r="I31" i="4" s="1"/>
  <c r="I46" i="4" a="1"/>
  <c r="I46" i="4" s="1"/>
  <c r="H31" i="4" a="1"/>
  <c r="H31" i="4" s="1"/>
  <c r="J46" i="4" a="1"/>
  <c r="J46" i="4" s="1"/>
  <c r="L60" i="4" a="1"/>
  <c r="L60" i="4" s="1"/>
  <c r="K46" i="4" a="1"/>
  <c r="K46" i="4" s="1"/>
  <c r="K60" i="4" a="1"/>
  <c r="K60" i="4" s="1"/>
  <c r="L46" i="4" a="1"/>
  <c r="L46" i="4" s="1"/>
  <c r="J60" i="4" a="1"/>
  <c r="J60" i="4" s="1"/>
  <c r="H46" i="4" a="1"/>
  <c r="H46" i="4" s="1"/>
  <c r="I60" i="4" a="1"/>
  <c r="I60" i="4" s="1"/>
  <c r="H60" i="4" a="1"/>
  <c r="H60" i="4" s="1"/>
  <c r="J53" i="4" a="1"/>
  <c r="J53" i="4" s="1"/>
  <c r="J5" i="1"/>
  <c r="I5" i="1" s="1"/>
  <c r="H5" i="1" s="1"/>
  <c r="O553" i="1"/>
  <c r="L553" i="1"/>
  <c r="M553" i="1"/>
  <c r="J49" i="1" l="1"/>
  <c r="I49" i="1" s="1"/>
  <c r="H49" i="1" s="1"/>
  <c r="J197" i="1"/>
  <c r="B205" i="1" s="1"/>
  <c r="J165" i="1"/>
  <c r="I165" i="1" s="1"/>
  <c r="H165" i="1" s="1"/>
  <c r="L571" i="1"/>
  <c r="M572" i="1"/>
  <c r="K572" i="1"/>
  <c r="L573" i="1"/>
  <c r="K573" i="1"/>
  <c r="K571" i="1"/>
  <c r="K200" i="1"/>
  <c r="I95" i="1"/>
  <c r="H95" i="1" s="1"/>
  <c r="W25" i="3"/>
  <c r="L274" i="1"/>
  <c r="M274" i="1" s="1"/>
  <c r="L151" i="1"/>
  <c r="M151" i="1"/>
  <c r="N151" i="1"/>
  <c r="O151" i="1"/>
  <c r="K151" i="1"/>
  <c r="I197" i="1" l="1"/>
  <c r="H197" i="1" s="1"/>
  <c r="M548" i="1"/>
  <c r="K176" i="1"/>
  <c r="O176" i="1"/>
  <c r="N176" i="1"/>
  <c r="M176" i="1"/>
  <c r="L176" i="1"/>
  <c r="O175" i="1"/>
  <c r="N175" i="1"/>
  <c r="M175" i="1"/>
  <c r="L175" i="1"/>
  <c r="K175" i="1"/>
  <c r="O174" i="1"/>
  <c r="N174" i="1"/>
  <c r="M174" i="1"/>
  <c r="L174" i="1"/>
  <c r="B64" i="4"/>
  <c r="B63" i="4"/>
  <c r="B62" i="4"/>
  <c r="B57" i="4"/>
  <c r="B56" i="4"/>
  <c r="B55" i="4"/>
  <c r="B50" i="4"/>
  <c r="B49" i="4"/>
  <c r="B48" i="4"/>
  <c r="K430" i="1"/>
  <c r="L430" i="1" s="1"/>
  <c r="M430" i="1" s="1"/>
  <c r="N430" i="1" s="1"/>
  <c r="O430" i="1" s="1"/>
  <c r="N548" i="1" l="1"/>
  <c r="K174" i="1"/>
  <c r="L437" i="1"/>
  <c r="M437" i="1" s="1"/>
  <c r="N437" i="1" s="1"/>
  <c r="O437" i="1" s="1"/>
  <c r="B20" i="4"/>
  <c r="B19" i="4"/>
  <c r="O405" i="1"/>
  <c r="N405" i="1"/>
  <c r="M405" i="1"/>
  <c r="L405" i="1"/>
  <c r="K405" i="1"/>
  <c r="H390" i="1"/>
  <c r="O384" i="1"/>
  <c r="N384" i="1"/>
  <c r="M384" i="1"/>
  <c r="L384" i="1"/>
  <c r="K384" i="1"/>
  <c r="H374" i="1"/>
  <c r="O368" i="1"/>
  <c r="N368" i="1"/>
  <c r="M368" i="1"/>
  <c r="L368" i="1"/>
  <c r="L129" i="1"/>
  <c r="M129" i="1" s="1"/>
  <c r="N129" i="1" s="1"/>
  <c r="O129" i="1" s="1"/>
  <c r="K296" i="1"/>
  <c r="N274" i="1"/>
  <c r="O274" i="1" s="1"/>
  <c r="J246" i="1"/>
  <c r="L243" i="1"/>
  <c r="M243" i="1" s="1"/>
  <c r="N243" i="1" s="1"/>
  <c r="O243" i="1" s="1"/>
  <c r="I215" i="1"/>
  <c r="I216" i="1" s="1"/>
  <c r="I217" i="1" s="1"/>
  <c r="I218" i="1" s="1"/>
  <c r="I219" i="1" s="1"/>
  <c r="L210" i="1"/>
  <c r="M210" i="1" s="1"/>
  <c r="N210" i="1" s="1"/>
  <c r="O210" i="1" s="1"/>
  <c r="L204" i="1"/>
  <c r="M204" i="1" s="1"/>
  <c r="N204" i="1" s="1"/>
  <c r="O204" i="1" s="1"/>
  <c r="I187" i="1"/>
  <c r="H187" i="1"/>
  <c r="I186" i="1"/>
  <c r="H186" i="1"/>
  <c r="L165" i="1"/>
  <c r="M165" i="1" s="1"/>
  <c r="N165" i="1" s="1"/>
  <c r="O165" i="1" s="1"/>
  <c r="J121" i="1"/>
  <c r="I121" i="1"/>
  <c r="H121" i="1"/>
  <c r="H98" i="1"/>
  <c r="L95" i="1"/>
  <c r="J78" i="1"/>
  <c r="J88" i="1" s="1"/>
  <c r="I78" i="1"/>
  <c r="I88" i="1" s="1"/>
  <c r="H78" i="1"/>
  <c r="H88" i="1" s="1"/>
  <c r="J60" i="1"/>
  <c r="J83" i="1" s="1"/>
  <c r="I60" i="1"/>
  <c r="I83" i="1" s="1"/>
  <c r="H60" i="1"/>
  <c r="H83" i="1" s="1"/>
  <c r="L49" i="1"/>
  <c r="M49" i="1" s="1"/>
  <c r="N49" i="1" s="1"/>
  <c r="O49" i="1" s="1"/>
  <c r="J39" i="1"/>
  <c r="I39" i="1"/>
  <c r="H39" i="1"/>
  <c r="J32" i="1"/>
  <c r="I32" i="1"/>
  <c r="J26" i="1"/>
  <c r="I26" i="1"/>
  <c r="H26" i="1"/>
  <c r="O25" i="1"/>
  <c r="N25" i="1"/>
  <c r="M25" i="1"/>
  <c r="L25" i="1"/>
  <c r="K25" i="1"/>
  <c r="J25" i="1"/>
  <c r="I25" i="1"/>
  <c r="H25" i="1"/>
  <c r="J18" i="1"/>
  <c r="J43" i="1" s="1"/>
  <c r="I18" i="1"/>
  <c r="I43" i="1" s="1"/>
  <c r="H18" i="1"/>
  <c r="H43" i="1" s="1"/>
  <c r="J14" i="1"/>
  <c r="I14" i="1"/>
  <c r="B35" i="4"/>
  <c r="B34" i="4"/>
  <c r="B33" i="4"/>
  <c r="O200" i="1"/>
  <c r="N246" i="1"/>
  <c r="M246" i="1"/>
  <c r="L246" i="1"/>
  <c r="B21" i="4"/>
  <c r="L17" i="4" a="1"/>
  <c r="L17" i="4" s="1"/>
  <c r="K17" i="4" a="1"/>
  <c r="K17" i="4" s="1"/>
  <c r="J17" i="4" a="1"/>
  <c r="J17" i="4" s="1"/>
  <c r="I17" i="4" a="1"/>
  <c r="I17" i="4" s="1"/>
  <c r="H17" i="4" a="1"/>
  <c r="H17" i="4" s="1"/>
  <c r="L10" i="4" a="1"/>
  <c r="L10" i="4" s="1"/>
  <c r="K10" i="4" a="1"/>
  <c r="K10" i="4" s="1"/>
  <c r="J10" i="4" a="1"/>
  <c r="J10" i="4" s="1"/>
  <c r="I10" i="4" a="1"/>
  <c r="I10" i="4" s="1"/>
  <c r="I5" i="4"/>
  <c r="C55" i="5" l="1"/>
  <c r="L32" i="1"/>
  <c r="K32" i="1"/>
  <c r="K33" i="1" s="1"/>
  <c r="K39" i="1" s="1"/>
  <c r="M32" i="1"/>
  <c r="M14" i="1"/>
  <c r="N32" i="1"/>
  <c r="L14" i="1"/>
  <c r="N14" i="1"/>
  <c r="O32" i="1"/>
  <c r="O14" i="1"/>
  <c r="K14" i="1"/>
  <c r="K16" i="1" s="1"/>
  <c r="K18" i="1" s="1"/>
  <c r="K43" i="1" s="1"/>
  <c r="J5" i="4"/>
  <c r="I41" i="4"/>
  <c r="I70" i="4"/>
  <c r="O548" i="1"/>
  <c r="D89" i="3"/>
  <c r="D87" i="3"/>
  <c r="M95" i="1"/>
  <c r="X25" i="3"/>
  <c r="N142" i="1"/>
  <c r="L316" i="1"/>
  <c r="K53" i="1"/>
  <c r="K98" i="1" s="1"/>
  <c r="K106" i="1" s="1"/>
  <c r="K246" i="1"/>
  <c r="O246" i="1"/>
  <c r="B15" i="5"/>
  <c r="N53" i="1"/>
  <c r="N98" i="1" s="1"/>
  <c r="O53" i="1"/>
  <c r="O98" i="1" s="1"/>
  <c r="L53" i="1"/>
  <c r="L98" i="1" s="1"/>
  <c r="L200" i="1"/>
  <c r="M200" i="1"/>
  <c r="N200" i="1"/>
  <c r="L361" i="1"/>
  <c r="M361" i="1" s="1"/>
  <c r="N361" i="1" s="1"/>
  <c r="O361" i="1" s="1"/>
  <c r="L476" i="1"/>
  <c r="M476" i="1" s="1"/>
  <c r="N476" i="1" s="1"/>
  <c r="O476" i="1" s="1"/>
  <c r="I188" i="1"/>
  <c r="I27" i="1"/>
  <c r="I38" i="1" s="1"/>
  <c r="I40" i="1" s="1"/>
  <c r="J27" i="1"/>
  <c r="J52" i="1" s="1"/>
  <c r="J71" i="1" s="1"/>
  <c r="H188" i="1"/>
  <c r="H27" i="1"/>
  <c r="Q8" i="3"/>
  <c r="N5" i="1"/>
  <c r="O5" i="1" s="1"/>
  <c r="H215" i="1"/>
  <c r="L197" i="1"/>
  <c r="K214" i="1"/>
  <c r="K222" i="1"/>
  <c r="L254" i="1"/>
  <c r="L142" i="1"/>
  <c r="L143" i="1" s="1"/>
  <c r="M254" i="1"/>
  <c r="M142" i="1"/>
  <c r="N254" i="1"/>
  <c r="F75" i="3"/>
  <c r="H75" i="3"/>
  <c r="D77" i="3"/>
  <c r="D79" i="3"/>
  <c r="L261" i="1" l="1"/>
  <c r="L503" i="1"/>
  <c r="N261" i="1"/>
  <c r="N503" i="1"/>
  <c r="M261" i="1"/>
  <c r="M503" i="1"/>
  <c r="L16" i="1"/>
  <c r="L18" i="1" s="1"/>
  <c r="L43" i="1" s="1"/>
  <c r="K26" i="1"/>
  <c r="K27" i="1" s="1"/>
  <c r="K38" i="1" s="1"/>
  <c r="K40" i="1" s="1"/>
  <c r="L33" i="1"/>
  <c r="M33" i="1" s="1"/>
  <c r="N33" i="1" s="1"/>
  <c r="K260" i="1"/>
  <c r="J187" i="1"/>
  <c r="Q7" i="3"/>
  <c r="D76" i="3"/>
  <c r="L76" i="3" s="1"/>
  <c r="L77" i="3"/>
  <c r="D90" i="3"/>
  <c r="L90" i="3" s="1"/>
  <c r="L89" i="3"/>
  <c r="D86" i="3"/>
  <c r="L86" i="3" s="1"/>
  <c r="L87" i="3"/>
  <c r="D80" i="3"/>
  <c r="L80" i="3" s="1"/>
  <c r="L79" i="3"/>
  <c r="I75" i="3"/>
  <c r="Q75" i="3" s="1"/>
  <c r="P75" i="3"/>
  <c r="E75" i="3"/>
  <c r="M75" i="3" s="1"/>
  <c r="N75" i="3"/>
  <c r="L6" i="3"/>
  <c r="K5" i="4"/>
  <c r="J41" i="4"/>
  <c r="J70" i="4"/>
  <c r="K105" i="1"/>
  <c r="L105" i="1" s="1"/>
  <c r="M105" i="1" s="1"/>
  <c r="N105" i="1" s="1"/>
  <c r="O105" i="1" s="1"/>
  <c r="K59" i="1"/>
  <c r="L59" i="1" s="1"/>
  <c r="M59" i="1" s="1"/>
  <c r="K58" i="1"/>
  <c r="L58" i="1" s="1"/>
  <c r="M58" i="1" s="1"/>
  <c r="K57" i="1"/>
  <c r="N95" i="1"/>
  <c r="Y25" i="3"/>
  <c r="N143" i="1"/>
  <c r="N325" i="1" s="1"/>
  <c r="K142" i="1"/>
  <c r="K143" i="1" s="1"/>
  <c r="O254" i="1"/>
  <c r="K77" i="1"/>
  <c r="L77" i="1" s="1"/>
  <c r="K75" i="1"/>
  <c r="L75" i="1" s="1"/>
  <c r="K254" i="1"/>
  <c r="H38" i="1"/>
  <c r="H40" i="1" s="1"/>
  <c r="H52" i="1"/>
  <c r="H72" i="1" s="1"/>
  <c r="M316" i="1"/>
  <c r="K76" i="1"/>
  <c r="L76" i="1" s="1"/>
  <c r="O142" i="1"/>
  <c r="J38" i="1"/>
  <c r="J40" i="1" s="1"/>
  <c r="J169" i="1" s="1"/>
  <c r="L106" i="1"/>
  <c r="M106" i="1" s="1"/>
  <c r="N106" i="1" s="1"/>
  <c r="O106" i="1" s="1"/>
  <c r="I52" i="1"/>
  <c r="I63" i="1" s="1"/>
  <c r="J62" i="1"/>
  <c r="J63" i="1"/>
  <c r="J70" i="1"/>
  <c r="J72" i="1"/>
  <c r="J64" i="1"/>
  <c r="L325" i="1"/>
  <c r="M197" i="1"/>
  <c r="L222" i="1"/>
  <c r="L214" i="1"/>
  <c r="I169" i="1"/>
  <c r="I174" i="1" s="1"/>
  <c r="H223" i="1"/>
  <c r="H216" i="1"/>
  <c r="M143" i="1"/>
  <c r="M325" i="1" s="1"/>
  <c r="K261" i="1" l="1"/>
  <c r="K262" i="1" s="1"/>
  <c r="K263" i="1" s="1"/>
  <c r="L260" i="1" s="1"/>
  <c r="L262" i="1" s="1"/>
  <c r="K503" i="1"/>
  <c r="O261" i="1"/>
  <c r="O503" i="1"/>
  <c r="K52" i="1"/>
  <c r="K72" i="1" s="1"/>
  <c r="L26" i="1"/>
  <c r="L27" i="1" s="1"/>
  <c r="L52" i="1" s="1"/>
  <c r="L63" i="1" s="1"/>
  <c r="M16" i="1"/>
  <c r="M18" i="1" s="1"/>
  <c r="M43" i="1" s="1"/>
  <c r="M39" i="1"/>
  <c r="L39" i="1"/>
  <c r="K253" i="1"/>
  <c r="J174" i="1"/>
  <c r="L5" i="4"/>
  <c r="K41" i="4"/>
  <c r="K70" i="4"/>
  <c r="K60" i="1"/>
  <c r="K83" i="1" s="1"/>
  <c r="L57" i="1"/>
  <c r="M57" i="1" s="1"/>
  <c r="N57" i="1" s="1"/>
  <c r="O95" i="1"/>
  <c r="AA25" i="3" s="1"/>
  <c r="Z25" i="3"/>
  <c r="K325" i="1"/>
  <c r="H70" i="1"/>
  <c r="H62" i="1"/>
  <c r="H169" i="1"/>
  <c r="H174" i="1" s="1"/>
  <c r="H63" i="1"/>
  <c r="H64" i="1"/>
  <c r="H71" i="1"/>
  <c r="K78" i="1"/>
  <c r="K88" i="1" s="1"/>
  <c r="N316" i="1"/>
  <c r="O143" i="1"/>
  <c r="O325" i="1" s="1"/>
  <c r="I72" i="1"/>
  <c r="I64" i="1"/>
  <c r="I71" i="1"/>
  <c r="I62" i="1"/>
  <c r="I70" i="1"/>
  <c r="J65" i="1"/>
  <c r="J87" i="1" s="1"/>
  <c r="J89" i="1" s="1"/>
  <c r="J73" i="1"/>
  <c r="J84" i="1" s="1"/>
  <c r="J85" i="1" s="1"/>
  <c r="M76" i="1"/>
  <c r="N76" i="1" s="1"/>
  <c r="O33" i="1"/>
  <c r="O39" i="1" s="1"/>
  <c r="N39" i="1"/>
  <c r="L78" i="1"/>
  <c r="L88" i="1" s="1"/>
  <c r="M75" i="1"/>
  <c r="N75" i="1" s="1"/>
  <c r="K100" i="1"/>
  <c r="K169" i="1" s="1"/>
  <c r="K180" i="1" s="1"/>
  <c r="H224" i="1"/>
  <c r="H217" i="1"/>
  <c r="M77" i="1"/>
  <c r="N77" i="1" s="1"/>
  <c r="N58" i="1"/>
  <c r="N197" i="1"/>
  <c r="M222" i="1"/>
  <c r="M214" i="1"/>
  <c r="K71" i="1" l="1"/>
  <c r="K62" i="1"/>
  <c r="K64" i="1"/>
  <c r="K70" i="1"/>
  <c r="K63" i="1"/>
  <c r="M26" i="1"/>
  <c r="M27" i="1" s="1"/>
  <c r="M52" i="1" s="1"/>
  <c r="M63" i="1" s="1"/>
  <c r="L70" i="1"/>
  <c r="N16" i="1"/>
  <c r="N26" i="1" s="1"/>
  <c r="N27" i="1" s="1"/>
  <c r="N38" i="1" s="1"/>
  <c r="N40" i="1" s="1"/>
  <c r="L38" i="1"/>
  <c r="L40" i="1" s="1"/>
  <c r="L100" i="1" s="1"/>
  <c r="L169" i="1" s="1"/>
  <c r="L180" i="1" s="1"/>
  <c r="L72" i="1"/>
  <c r="L71" i="1"/>
  <c r="L64" i="1"/>
  <c r="K231" i="1"/>
  <c r="K287" i="1"/>
  <c r="J186" i="1"/>
  <c r="J188" i="1" s="1"/>
  <c r="N78" i="1"/>
  <c r="M60" i="1"/>
  <c r="M83" i="1" s="1"/>
  <c r="L60" i="1"/>
  <c r="L83" i="1" s="1"/>
  <c r="L70" i="4"/>
  <c r="L41" i="4"/>
  <c r="L287" i="1"/>
  <c r="L62" i="1"/>
  <c r="H73" i="1"/>
  <c r="H84" i="1" s="1"/>
  <c r="H85" i="1" s="1"/>
  <c r="H65" i="1"/>
  <c r="H87" i="1" s="1"/>
  <c r="H89" i="1" s="1"/>
  <c r="I65" i="1"/>
  <c r="I87" i="1" s="1"/>
  <c r="I89" i="1" s="1"/>
  <c r="I170" i="1" s="1"/>
  <c r="O316" i="1"/>
  <c r="I73" i="1"/>
  <c r="I84" i="1" s="1"/>
  <c r="I85" i="1" s="1"/>
  <c r="L263" i="1"/>
  <c r="M260" i="1" s="1"/>
  <c r="M262" i="1" s="1"/>
  <c r="O58" i="1"/>
  <c r="M78" i="1"/>
  <c r="M88" i="1" s="1"/>
  <c r="H225" i="1"/>
  <c r="H218" i="1"/>
  <c r="O57" i="1"/>
  <c r="O197" i="1"/>
  <c r="I224" i="1" s="1"/>
  <c r="J224" i="1" s="1"/>
  <c r="N222" i="1"/>
  <c r="N214" i="1"/>
  <c r="N59" i="1"/>
  <c r="N60" i="1" s="1"/>
  <c r="N83" i="1" s="1"/>
  <c r="M38" i="1" l="1"/>
  <c r="M40" i="1" s="1"/>
  <c r="M100" i="1" s="1"/>
  <c r="M169" i="1" s="1"/>
  <c r="M180" i="1" s="1"/>
  <c r="N18" i="1"/>
  <c r="N43" i="1" s="1"/>
  <c r="K73" i="1"/>
  <c r="K84" i="1" s="1"/>
  <c r="K85" i="1" s="1"/>
  <c r="N52" i="1"/>
  <c r="N63" i="1" s="1"/>
  <c r="M70" i="1"/>
  <c r="M62" i="1"/>
  <c r="L73" i="1"/>
  <c r="L84" i="1" s="1"/>
  <c r="L85" i="1" s="1"/>
  <c r="K65" i="1"/>
  <c r="K87" i="1" s="1"/>
  <c r="K89" i="1" s="1"/>
  <c r="K101" i="1" s="1"/>
  <c r="O16" i="1"/>
  <c r="O26" i="1" s="1"/>
  <c r="O27" i="1" s="1"/>
  <c r="O38" i="1" s="1"/>
  <c r="O40" i="1" s="1"/>
  <c r="M64" i="1"/>
  <c r="M72" i="1"/>
  <c r="M71" i="1"/>
  <c r="L65" i="1"/>
  <c r="L87" i="1" s="1"/>
  <c r="L89" i="1" s="1"/>
  <c r="L101" i="1" s="1"/>
  <c r="M231" i="1"/>
  <c r="L231" i="1"/>
  <c r="O231" i="1"/>
  <c r="N231" i="1"/>
  <c r="M287" i="1"/>
  <c r="J102" i="1"/>
  <c r="J107" i="1" s="1"/>
  <c r="J170" i="1"/>
  <c r="I102" i="1"/>
  <c r="I107" i="1" s="1"/>
  <c r="I111" i="1" s="1"/>
  <c r="I117" i="1" s="1"/>
  <c r="I123" i="1" s="1"/>
  <c r="I176" i="1"/>
  <c r="I223" i="1"/>
  <c r="J223" i="1" s="1"/>
  <c r="N224" i="1"/>
  <c r="K224" i="1"/>
  <c r="M224" i="1"/>
  <c r="O224" i="1"/>
  <c r="L224" i="1"/>
  <c r="N100" i="1"/>
  <c r="N169" i="1" s="1"/>
  <c r="N180" i="1" s="1"/>
  <c r="N88" i="1"/>
  <c r="O75" i="1"/>
  <c r="O222" i="1"/>
  <c r="O214" i="1"/>
  <c r="O59" i="1"/>
  <c r="I225" i="1"/>
  <c r="J225" i="1" s="1"/>
  <c r="O77" i="1"/>
  <c r="O76" i="1"/>
  <c r="H219" i="1"/>
  <c r="H227" i="1" s="1"/>
  <c r="I227" i="1" s="1"/>
  <c r="J227" i="1" s="1"/>
  <c r="H226" i="1"/>
  <c r="I226" i="1" s="1"/>
  <c r="J226" i="1" s="1"/>
  <c r="L226" i="1" s="1"/>
  <c r="V58" i="3" l="1"/>
  <c r="C15" i="5"/>
  <c r="N71" i="1"/>
  <c r="N62" i="1"/>
  <c r="M65" i="1"/>
  <c r="M87" i="1" s="1"/>
  <c r="M89" i="1" s="1"/>
  <c r="M101" i="1" s="1"/>
  <c r="N72" i="1"/>
  <c r="O52" i="1"/>
  <c r="O62" i="1" s="1"/>
  <c r="N64" i="1"/>
  <c r="N70" i="1"/>
  <c r="M73" i="1"/>
  <c r="M84" i="1" s="1"/>
  <c r="M85" i="1" s="1"/>
  <c r="O18" i="1"/>
  <c r="O43" i="1" s="1"/>
  <c r="P17" i="7" s="1"/>
  <c r="J111" i="1"/>
  <c r="J117" i="1" s="1"/>
  <c r="J123" i="1" s="1"/>
  <c r="M263" i="1"/>
  <c r="N260" i="1" s="1"/>
  <c r="N262" i="1" s="1"/>
  <c r="H102" i="1"/>
  <c r="H107" i="1" s="1"/>
  <c r="H111" i="1" s="1"/>
  <c r="H117" i="1" s="1"/>
  <c r="H170" i="1"/>
  <c r="J176" i="1"/>
  <c r="J175" i="1"/>
  <c r="K102" i="1"/>
  <c r="K107" i="1" s="1"/>
  <c r="K552" i="1" s="1"/>
  <c r="K554" i="1" s="1"/>
  <c r="K562" i="1" s="1"/>
  <c r="K170" i="1"/>
  <c r="L102" i="1"/>
  <c r="L107" i="1" s="1"/>
  <c r="L170" i="1"/>
  <c r="L182" i="1" s="1"/>
  <c r="I175" i="1"/>
  <c r="O100" i="1"/>
  <c r="O169" i="1" s="1"/>
  <c r="O180" i="1" s="1"/>
  <c r="O223" i="1"/>
  <c r="N223" i="1"/>
  <c r="L223" i="1"/>
  <c r="K223" i="1"/>
  <c r="M223" i="1"/>
  <c r="O60" i="1"/>
  <c r="O83" i="1" s="1"/>
  <c r="N225" i="1"/>
  <c r="L225" i="1"/>
  <c r="K225" i="1"/>
  <c r="O225" i="1"/>
  <c r="M225" i="1"/>
  <c r="N226" i="1"/>
  <c r="K226" i="1"/>
  <c r="O226" i="1"/>
  <c r="M226" i="1"/>
  <c r="O78" i="1"/>
  <c r="O88" i="1" s="1"/>
  <c r="N227" i="1"/>
  <c r="L227" i="1"/>
  <c r="K227" i="1"/>
  <c r="O227" i="1"/>
  <c r="M227" i="1"/>
  <c r="J12" i="5" l="1"/>
  <c r="I8" i="5"/>
  <c r="C16" i="5"/>
  <c r="J11" i="5"/>
  <c r="J9" i="5"/>
  <c r="J10" i="5"/>
  <c r="N65" i="1"/>
  <c r="N87" i="1" s="1"/>
  <c r="N89" i="1" s="1"/>
  <c r="N101" i="1" s="1"/>
  <c r="N73" i="1"/>
  <c r="N84" i="1" s="1"/>
  <c r="N85" i="1" s="1"/>
  <c r="O64" i="1"/>
  <c r="O72" i="1"/>
  <c r="O63" i="1"/>
  <c r="O71" i="1"/>
  <c r="O70" i="1"/>
  <c r="H123" i="1"/>
  <c r="L181" i="1"/>
  <c r="L186" i="1" s="1"/>
  <c r="N263" i="1"/>
  <c r="O260" i="1" s="1"/>
  <c r="O262" i="1" s="1"/>
  <c r="H175" i="1"/>
  <c r="H176" i="1"/>
  <c r="M102" i="1"/>
  <c r="M107" i="1" s="1"/>
  <c r="M552" i="1" s="1"/>
  <c r="M554" i="1" s="1"/>
  <c r="M562" i="1" s="1"/>
  <c r="M170" i="1"/>
  <c r="K181" i="1"/>
  <c r="K182" i="1"/>
  <c r="L552" i="1"/>
  <c r="L554" i="1" s="1"/>
  <c r="L562" i="1" s="1"/>
  <c r="K232" i="1"/>
  <c r="K233" i="1" s="1"/>
  <c r="W27" i="3"/>
  <c r="L501" i="1"/>
  <c r="X27" i="3"/>
  <c r="K501" i="1"/>
  <c r="M232" i="1"/>
  <c r="M233" i="1" s="1"/>
  <c r="M255" i="1" s="1"/>
  <c r="M286" i="1" s="1"/>
  <c r="L232" i="1"/>
  <c r="L233" i="1" s="1"/>
  <c r="N232" i="1"/>
  <c r="N233" i="1" s="1"/>
  <c r="O232" i="1"/>
  <c r="O233" i="1" s="1"/>
  <c r="L187" i="1"/>
  <c r="C21" i="5" l="1"/>
  <c r="C25" i="5" s="1"/>
  <c r="F6" i="3"/>
  <c r="F9" i="3" s="1"/>
  <c r="V60" i="3"/>
  <c r="L10" i="3"/>
  <c r="O65" i="1"/>
  <c r="O87" i="1" s="1"/>
  <c r="O89" i="1" s="1"/>
  <c r="O101" i="1" s="1"/>
  <c r="O102" i="1" s="1"/>
  <c r="O107" i="1" s="1"/>
  <c r="O73" i="1"/>
  <c r="O84" i="1" s="1"/>
  <c r="O85" i="1" s="1"/>
  <c r="C59" i="5"/>
  <c r="L7" i="3"/>
  <c r="C56" i="5"/>
  <c r="J336" i="1" s="1"/>
  <c r="J346" i="1" s="1"/>
  <c r="L9" i="3"/>
  <c r="C58" i="5"/>
  <c r="O263" i="1"/>
  <c r="N287" i="1"/>
  <c r="N102" i="1"/>
  <c r="N107" i="1" s="1"/>
  <c r="N552" i="1" s="1"/>
  <c r="N554" i="1" s="1"/>
  <c r="N562" i="1" s="1"/>
  <c r="N170" i="1"/>
  <c r="K187" i="1"/>
  <c r="K186" i="1"/>
  <c r="M182" i="1"/>
  <c r="M181" i="1"/>
  <c r="Y27" i="3"/>
  <c r="M501" i="1"/>
  <c r="M110" i="1"/>
  <c r="M134" i="1" s="1"/>
  <c r="L188" i="1"/>
  <c r="L255" i="1"/>
  <c r="L286" i="1" s="1"/>
  <c r="L110" i="1"/>
  <c r="K255" i="1"/>
  <c r="K110" i="1"/>
  <c r="N255" i="1"/>
  <c r="N286" i="1" s="1"/>
  <c r="N110" i="1"/>
  <c r="O255" i="1"/>
  <c r="O286" i="1" s="1"/>
  <c r="O110" i="1"/>
  <c r="G58" i="5" l="1"/>
  <c r="J13" i="5"/>
  <c r="N8" i="5"/>
  <c r="C28" i="5"/>
  <c r="J410" i="1"/>
  <c r="G59" i="5"/>
  <c r="J391" i="1"/>
  <c r="O170" i="1"/>
  <c r="O181" i="1" s="1"/>
  <c r="O552" i="1"/>
  <c r="O554" i="1" s="1"/>
  <c r="O562" i="1" s="1"/>
  <c r="W58" i="3"/>
  <c r="O287" i="1"/>
  <c r="K188" i="1"/>
  <c r="M186" i="1"/>
  <c r="N181" i="1"/>
  <c r="N182" i="1"/>
  <c r="M187" i="1"/>
  <c r="Z27" i="3"/>
  <c r="O111" i="1"/>
  <c r="N501" i="1"/>
  <c r="O501" i="1"/>
  <c r="M111" i="1"/>
  <c r="K286" i="1"/>
  <c r="K256" i="1"/>
  <c r="K134" i="1"/>
  <c r="K111" i="1"/>
  <c r="O134" i="1"/>
  <c r="L134" i="1"/>
  <c r="L111" i="1"/>
  <c r="N134" i="1"/>
  <c r="N111" i="1"/>
  <c r="AA27" i="3"/>
  <c r="C35" i="5" l="1"/>
  <c r="I13" i="5"/>
  <c r="Y59" i="3"/>
  <c r="U59" i="3" s="1"/>
  <c r="E113" i="3" s="1"/>
  <c r="X58" i="3"/>
  <c r="U58" i="3" s="1"/>
  <c r="E112" i="3" s="1"/>
  <c r="Q6" i="3"/>
  <c r="L11" i="3"/>
  <c r="O182" i="1"/>
  <c r="O186" i="1"/>
  <c r="L191" i="1"/>
  <c r="L137" i="1" s="1"/>
  <c r="K191" i="1"/>
  <c r="K137" i="1" s="1"/>
  <c r="N187" i="1"/>
  <c r="N186" i="1"/>
  <c r="M188" i="1"/>
  <c r="L253" i="1"/>
  <c r="L256" i="1" s="1"/>
  <c r="F113" i="3" l="1"/>
  <c r="M113" i="3" s="1"/>
  <c r="N113" i="3"/>
  <c r="N112" i="3"/>
  <c r="F112" i="3"/>
  <c r="M112" i="3" s="1"/>
  <c r="F12" i="3"/>
  <c r="F13" i="3"/>
  <c r="O187" i="1"/>
  <c r="O188" i="1" s="1"/>
  <c r="K388" i="1"/>
  <c r="K389" i="1" s="1"/>
  <c r="K407" i="1"/>
  <c r="K408" i="1" s="1"/>
  <c r="K444" i="1" s="1"/>
  <c r="M191" i="1"/>
  <c r="M137" i="1" s="1"/>
  <c r="N188" i="1"/>
  <c r="M253" i="1"/>
  <c r="M256" i="1" s="1"/>
  <c r="K150" i="1" l="1"/>
  <c r="O191" i="1"/>
  <c r="O137" i="1" s="1"/>
  <c r="N191" i="1"/>
  <c r="N137" i="1" s="1"/>
  <c r="N253" i="1"/>
  <c r="N256" i="1" s="1"/>
  <c r="O253" i="1" l="1"/>
  <c r="O256" i="1" s="1"/>
  <c r="K344" i="1" l="1"/>
  <c r="K334" i="1"/>
  <c r="F85" i="3" l="1"/>
  <c r="P15" i="7"/>
  <c r="C57" i="5" l="1"/>
  <c r="E85" i="3"/>
  <c r="M85" i="3" s="1"/>
  <c r="N85" i="3"/>
  <c r="L8" i="3"/>
  <c r="H85" i="3"/>
  <c r="G57" i="5" l="1"/>
  <c r="N23" i="5" s="1"/>
  <c r="N27" i="5" s="1"/>
  <c r="J375" i="1"/>
  <c r="I85" i="3"/>
  <c r="Q85" i="3" s="1"/>
  <c r="P85" i="3"/>
  <c r="K372" i="1" l="1"/>
  <c r="K373" i="1" l="1"/>
  <c r="K326" i="1" l="1"/>
  <c r="K505" i="1" s="1"/>
  <c r="K426" i="1"/>
  <c r="N11" i="5"/>
  <c r="N12" i="5" l="1"/>
  <c r="J15" i="5" s="1"/>
  <c r="I15" i="5" s="1"/>
  <c r="Q9" i="3"/>
  <c r="Q10" i="3" s="1"/>
  <c r="U57" i="3"/>
  <c r="E111" i="3" s="1"/>
  <c r="J491" i="1"/>
  <c r="K488" i="1" s="1"/>
  <c r="F111" i="3" l="1"/>
  <c r="N111" i="3"/>
  <c r="J14" i="5"/>
  <c r="I14" i="5" l="1"/>
  <c r="C60" i="5"/>
  <c r="L12" i="3"/>
  <c r="D22" i="3" l="1"/>
  <c r="L13" i="3"/>
  <c r="C61" i="5"/>
  <c r="D56" i="5" s="1"/>
  <c r="J571" i="1"/>
  <c r="J573" i="1"/>
  <c r="J575" i="1"/>
  <c r="U56" i="3"/>
  <c r="E110" i="3" s="1"/>
  <c r="J572" i="1"/>
  <c r="J574" i="1"/>
  <c r="J484" i="1"/>
  <c r="K481" i="1" s="1"/>
  <c r="K484" i="1" s="1"/>
  <c r="L481" i="1" s="1"/>
  <c r="L484" i="1" s="1"/>
  <c r="M481" i="1" s="1"/>
  <c r="M484" i="1" s="1"/>
  <c r="N481" i="1" s="1"/>
  <c r="N484" i="1" s="1"/>
  <c r="O481" i="1" s="1"/>
  <c r="O484" i="1" s="1"/>
  <c r="D60" i="5" l="1"/>
  <c r="D55" i="5"/>
  <c r="J110" i="3"/>
  <c r="J111" i="3" s="1"/>
  <c r="N110" i="3"/>
  <c r="G110" i="3"/>
  <c r="D57" i="5"/>
  <c r="D58" i="5"/>
  <c r="D59" i="5"/>
  <c r="H110" i="3" l="1"/>
  <c r="D61" i="5"/>
  <c r="F110" i="3"/>
  <c r="J112" i="3"/>
  <c r="H111" i="3"/>
  <c r="G111" i="3"/>
  <c r="L111" i="3" l="1"/>
  <c r="K111" i="3"/>
  <c r="M110" i="3"/>
  <c r="K110" i="3"/>
  <c r="L110" i="3"/>
  <c r="M111" i="3"/>
  <c r="H112" i="3"/>
  <c r="J113" i="3"/>
  <c r="G112" i="3"/>
  <c r="K112" i="3" l="1"/>
  <c r="L112" i="3"/>
  <c r="G113" i="3"/>
  <c r="H113" i="3"/>
  <c r="L113" i="3" l="1"/>
  <c r="K113" i="3"/>
  <c r="K114" i="3" l="1"/>
  <c r="K115" i="3"/>
  <c r="P18" i="7" l="1"/>
  <c r="P19" i="7"/>
  <c r="P20" i="7"/>
  <c r="P21" i="7"/>
  <c r="P22" i="7"/>
  <c r="K113" i="1"/>
  <c r="L113" i="1"/>
  <c r="M113" i="1"/>
  <c r="N113" i="1"/>
  <c r="O113" i="1"/>
  <c r="K114" i="1"/>
  <c r="L114" i="1"/>
  <c r="M114" i="1"/>
  <c r="N114" i="1"/>
  <c r="O114" i="1"/>
  <c r="K115" i="1"/>
  <c r="L115" i="1"/>
  <c r="M115" i="1"/>
  <c r="N115" i="1"/>
  <c r="O115" i="1"/>
  <c r="K117" i="1"/>
  <c r="L117" i="1"/>
  <c r="M117" i="1"/>
  <c r="N117" i="1"/>
  <c r="O117" i="1"/>
  <c r="K119" i="1"/>
  <c r="L119" i="1"/>
  <c r="M119" i="1"/>
  <c r="N119" i="1"/>
  <c r="O119" i="1"/>
  <c r="K120" i="1"/>
  <c r="L120" i="1"/>
  <c r="M120" i="1"/>
  <c r="N120" i="1"/>
  <c r="O120" i="1"/>
  <c r="K121" i="1"/>
  <c r="L121" i="1"/>
  <c r="M121" i="1"/>
  <c r="N121" i="1"/>
  <c r="O121" i="1"/>
  <c r="K123" i="1"/>
  <c r="L123" i="1"/>
  <c r="M123" i="1"/>
  <c r="N123" i="1"/>
  <c r="O123" i="1"/>
  <c r="K133" i="1"/>
  <c r="L133" i="1"/>
  <c r="M133" i="1"/>
  <c r="N133" i="1"/>
  <c r="O133" i="1"/>
  <c r="K135" i="1"/>
  <c r="L135" i="1"/>
  <c r="M135" i="1"/>
  <c r="N135" i="1"/>
  <c r="O135" i="1"/>
  <c r="K136" i="1"/>
  <c r="L136" i="1"/>
  <c r="M136" i="1"/>
  <c r="N136" i="1"/>
  <c r="O136" i="1"/>
  <c r="K138" i="1"/>
  <c r="L138" i="1"/>
  <c r="M138" i="1"/>
  <c r="N138" i="1"/>
  <c r="O138" i="1"/>
  <c r="K147" i="1"/>
  <c r="L147" i="1"/>
  <c r="M147" i="1"/>
  <c r="N147" i="1"/>
  <c r="O147" i="1"/>
  <c r="K148" i="1"/>
  <c r="L148" i="1"/>
  <c r="M148" i="1"/>
  <c r="N148" i="1"/>
  <c r="O148" i="1"/>
  <c r="K149" i="1"/>
  <c r="L149" i="1"/>
  <c r="M149" i="1"/>
  <c r="N149" i="1"/>
  <c r="O149" i="1"/>
  <c r="L150" i="1"/>
  <c r="M150" i="1"/>
  <c r="N150" i="1"/>
  <c r="O150" i="1"/>
  <c r="K153" i="1"/>
  <c r="L153" i="1"/>
  <c r="M153" i="1"/>
  <c r="N153" i="1"/>
  <c r="O153" i="1"/>
  <c r="L157" i="1"/>
  <c r="M157" i="1"/>
  <c r="N157" i="1"/>
  <c r="O157" i="1"/>
  <c r="K158" i="1"/>
  <c r="L158" i="1"/>
  <c r="M158" i="1"/>
  <c r="N158" i="1"/>
  <c r="O158" i="1"/>
  <c r="K159" i="1"/>
  <c r="L159" i="1"/>
  <c r="M159" i="1"/>
  <c r="N159" i="1"/>
  <c r="O159" i="1"/>
  <c r="K277" i="1"/>
  <c r="L277" i="1"/>
  <c r="M277" i="1"/>
  <c r="N277" i="1"/>
  <c r="O277" i="1"/>
  <c r="K278" i="1"/>
  <c r="L278" i="1"/>
  <c r="M278" i="1"/>
  <c r="N278" i="1"/>
  <c r="O278" i="1"/>
  <c r="F281" i="1"/>
  <c r="K285" i="1"/>
  <c r="L285" i="1"/>
  <c r="M285" i="1"/>
  <c r="N285" i="1"/>
  <c r="O285" i="1"/>
  <c r="K288" i="1"/>
  <c r="L288" i="1"/>
  <c r="M288" i="1"/>
  <c r="N288" i="1"/>
  <c r="O288" i="1"/>
  <c r="K291" i="1"/>
  <c r="L291" i="1"/>
  <c r="M291" i="1"/>
  <c r="N291" i="1"/>
  <c r="O291" i="1"/>
  <c r="K292" i="1"/>
  <c r="L292" i="1"/>
  <c r="M292" i="1"/>
  <c r="N292" i="1"/>
  <c r="O292" i="1"/>
  <c r="K293" i="1"/>
  <c r="L293" i="1"/>
  <c r="M293" i="1"/>
  <c r="N293" i="1"/>
  <c r="O293" i="1"/>
  <c r="L296" i="1"/>
  <c r="M296" i="1"/>
  <c r="N296" i="1"/>
  <c r="O296" i="1"/>
  <c r="K297" i="1"/>
  <c r="L297" i="1"/>
  <c r="M297" i="1"/>
  <c r="N297" i="1"/>
  <c r="O297" i="1"/>
  <c r="K298" i="1"/>
  <c r="L298" i="1"/>
  <c r="M298" i="1"/>
  <c r="N298" i="1"/>
  <c r="O298" i="1"/>
  <c r="K299" i="1"/>
  <c r="L299" i="1"/>
  <c r="M299" i="1"/>
  <c r="N299" i="1"/>
  <c r="O299" i="1"/>
  <c r="K304" i="1"/>
  <c r="L304" i="1"/>
  <c r="M304" i="1"/>
  <c r="N304" i="1"/>
  <c r="O304" i="1"/>
  <c r="K305" i="1"/>
  <c r="L305" i="1"/>
  <c r="M305" i="1"/>
  <c r="N305" i="1"/>
  <c r="O305" i="1"/>
  <c r="K306" i="1"/>
  <c r="L306" i="1"/>
  <c r="M306" i="1"/>
  <c r="N306" i="1"/>
  <c r="O306" i="1"/>
  <c r="L323" i="1"/>
  <c r="M323" i="1"/>
  <c r="N323" i="1"/>
  <c r="O323" i="1"/>
  <c r="K324" i="1"/>
  <c r="L324" i="1"/>
  <c r="M324" i="1"/>
  <c r="N324" i="1"/>
  <c r="O324" i="1"/>
  <c r="L326" i="1"/>
  <c r="M326" i="1"/>
  <c r="N326" i="1"/>
  <c r="O326" i="1"/>
  <c r="K330" i="1"/>
  <c r="L330" i="1"/>
  <c r="M330" i="1"/>
  <c r="N330" i="1"/>
  <c r="O330" i="1"/>
  <c r="L334" i="1"/>
  <c r="M334" i="1"/>
  <c r="N334" i="1"/>
  <c r="O334" i="1"/>
  <c r="K335" i="1"/>
  <c r="L335" i="1"/>
  <c r="M335" i="1"/>
  <c r="N335" i="1"/>
  <c r="O335" i="1"/>
  <c r="K336" i="1"/>
  <c r="L336" i="1"/>
  <c r="M336" i="1"/>
  <c r="N336" i="1"/>
  <c r="O336" i="1"/>
  <c r="K340" i="1"/>
  <c r="L340" i="1"/>
  <c r="M340" i="1"/>
  <c r="N340" i="1"/>
  <c r="O340" i="1"/>
  <c r="L344" i="1"/>
  <c r="M344" i="1"/>
  <c r="N344" i="1"/>
  <c r="O344" i="1"/>
  <c r="K345" i="1"/>
  <c r="L345" i="1"/>
  <c r="M345" i="1"/>
  <c r="N345" i="1"/>
  <c r="O345" i="1"/>
  <c r="K346" i="1"/>
  <c r="L346" i="1"/>
  <c r="M346" i="1"/>
  <c r="N346" i="1"/>
  <c r="O346" i="1"/>
  <c r="K349" i="1"/>
  <c r="L349" i="1"/>
  <c r="M349" i="1"/>
  <c r="N349" i="1"/>
  <c r="O349" i="1"/>
  <c r="K353" i="1"/>
  <c r="L353" i="1"/>
  <c r="M353" i="1"/>
  <c r="N353" i="1"/>
  <c r="O353" i="1"/>
  <c r="K355" i="1"/>
  <c r="L355" i="1"/>
  <c r="M355" i="1"/>
  <c r="N355" i="1"/>
  <c r="O355" i="1"/>
  <c r="K369" i="1"/>
  <c r="L369" i="1"/>
  <c r="M369" i="1"/>
  <c r="N369" i="1"/>
  <c r="O369" i="1"/>
  <c r="K370" i="1"/>
  <c r="L370" i="1"/>
  <c r="M370" i="1"/>
  <c r="N370" i="1"/>
  <c r="O370" i="1"/>
  <c r="L372" i="1"/>
  <c r="M372" i="1"/>
  <c r="N372" i="1"/>
  <c r="O372" i="1"/>
  <c r="L373" i="1"/>
  <c r="M373" i="1"/>
  <c r="N373" i="1"/>
  <c r="O373" i="1"/>
  <c r="K374" i="1"/>
  <c r="L374" i="1"/>
  <c r="M374" i="1"/>
  <c r="N374" i="1"/>
  <c r="O374" i="1"/>
  <c r="K375" i="1"/>
  <c r="L375" i="1"/>
  <c r="M375" i="1"/>
  <c r="N375" i="1"/>
  <c r="O375" i="1"/>
  <c r="K379" i="1"/>
  <c r="L379" i="1"/>
  <c r="M379" i="1"/>
  <c r="N379" i="1"/>
  <c r="O379" i="1"/>
  <c r="K385" i="1"/>
  <c r="L385" i="1"/>
  <c r="M385" i="1"/>
  <c r="N385" i="1"/>
  <c r="O385" i="1"/>
  <c r="K386" i="1"/>
  <c r="L386" i="1"/>
  <c r="M386" i="1"/>
  <c r="N386" i="1"/>
  <c r="O386" i="1"/>
  <c r="L388" i="1"/>
  <c r="M388" i="1"/>
  <c r="N388" i="1"/>
  <c r="O388" i="1"/>
  <c r="L389" i="1"/>
  <c r="M389" i="1"/>
  <c r="N389" i="1"/>
  <c r="O389" i="1"/>
  <c r="K390" i="1"/>
  <c r="L390" i="1"/>
  <c r="M390" i="1"/>
  <c r="N390" i="1"/>
  <c r="O390" i="1"/>
  <c r="K391" i="1"/>
  <c r="L391" i="1"/>
  <c r="M391" i="1"/>
  <c r="N391" i="1"/>
  <c r="O391" i="1"/>
  <c r="K395" i="1"/>
  <c r="L395" i="1"/>
  <c r="M395" i="1"/>
  <c r="N395" i="1"/>
  <c r="O395" i="1"/>
  <c r="L407" i="1"/>
  <c r="M407" i="1"/>
  <c r="N407" i="1"/>
  <c r="O407" i="1"/>
  <c r="L408" i="1"/>
  <c r="M408" i="1"/>
  <c r="N408" i="1"/>
  <c r="O408" i="1"/>
  <c r="K409" i="1"/>
  <c r="L409" i="1"/>
  <c r="M409" i="1"/>
  <c r="N409" i="1"/>
  <c r="O409" i="1"/>
  <c r="K410" i="1"/>
  <c r="L410" i="1"/>
  <c r="M410" i="1"/>
  <c r="N410" i="1"/>
  <c r="O410" i="1"/>
  <c r="K419" i="1"/>
  <c r="L419" i="1"/>
  <c r="M419" i="1"/>
  <c r="N419" i="1"/>
  <c r="O419" i="1"/>
  <c r="K420" i="1"/>
  <c r="L420" i="1"/>
  <c r="M420" i="1"/>
  <c r="N420" i="1"/>
  <c r="O420" i="1"/>
  <c r="K421" i="1"/>
  <c r="L421" i="1"/>
  <c r="M421" i="1"/>
  <c r="N421" i="1"/>
  <c r="O421" i="1"/>
  <c r="L426" i="1"/>
  <c r="M426" i="1"/>
  <c r="N426" i="1"/>
  <c r="O426" i="1"/>
  <c r="K427" i="1"/>
  <c r="L427" i="1"/>
  <c r="M427" i="1"/>
  <c r="N427" i="1"/>
  <c r="O427" i="1"/>
  <c r="K428" i="1"/>
  <c r="L428" i="1"/>
  <c r="M428" i="1"/>
  <c r="N428" i="1"/>
  <c r="O428" i="1"/>
  <c r="K431" i="1"/>
  <c r="L431" i="1"/>
  <c r="M431" i="1"/>
  <c r="N431" i="1"/>
  <c r="O431" i="1"/>
  <c r="K441" i="1"/>
  <c r="L441" i="1"/>
  <c r="M441" i="1"/>
  <c r="N441" i="1"/>
  <c r="O441" i="1"/>
  <c r="K442" i="1"/>
  <c r="L442" i="1"/>
  <c r="M442" i="1"/>
  <c r="N442" i="1"/>
  <c r="O442" i="1"/>
  <c r="K443" i="1"/>
  <c r="L443" i="1"/>
  <c r="M443" i="1"/>
  <c r="N443" i="1"/>
  <c r="O443" i="1"/>
  <c r="L444" i="1"/>
  <c r="M444" i="1"/>
  <c r="N444" i="1"/>
  <c r="O444" i="1"/>
  <c r="K445" i="1"/>
  <c r="L445" i="1"/>
  <c r="M445" i="1"/>
  <c r="N445" i="1"/>
  <c r="O445" i="1"/>
  <c r="K449" i="1"/>
  <c r="L449" i="1"/>
  <c r="M449" i="1"/>
  <c r="N449" i="1"/>
  <c r="O449" i="1"/>
  <c r="K450" i="1"/>
  <c r="L450" i="1"/>
  <c r="M450" i="1"/>
  <c r="N450" i="1"/>
  <c r="O450" i="1"/>
  <c r="K451" i="1"/>
  <c r="L451" i="1"/>
  <c r="M451" i="1"/>
  <c r="N451" i="1"/>
  <c r="O451" i="1"/>
  <c r="K452" i="1"/>
  <c r="L452" i="1"/>
  <c r="M452" i="1"/>
  <c r="N452" i="1"/>
  <c r="O452" i="1"/>
  <c r="K453" i="1"/>
  <c r="L453" i="1"/>
  <c r="M453" i="1"/>
  <c r="N453" i="1"/>
  <c r="O453" i="1"/>
  <c r="K457" i="1"/>
  <c r="L457" i="1"/>
  <c r="M457" i="1"/>
  <c r="N457" i="1"/>
  <c r="O457" i="1"/>
  <c r="K458" i="1"/>
  <c r="L458" i="1"/>
  <c r="M458" i="1"/>
  <c r="N458" i="1"/>
  <c r="O458" i="1"/>
  <c r="K459" i="1"/>
  <c r="L459" i="1"/>
  <c r="M459" i="1"/>
  <c r="N459" i="1"/>
  <c r="O459" i="1"/>
  <c r="K460" i="1"/>
  <c r="L460" i="1"/>
  <c r="M460" i="1"/>
  <c r="N460" i="1"/>
  <c r="O460" i="1"/>
  <c r="K461" i="1"/>
  <c r="L461" i="1"/>
  <c r="M461" i="1"/>
  <c r="N461" i="1"/>
  <c r="O461" i="1"/>
  <c r="K463" i="1"/>
  <c r="L463" i="1"/>
  <c r="M463" i="1"/>
  <c r="N463" i="1"/>
  <c r="O463" i="1"/>
  <c r="K464" i="1"/>
  <c r="L464" i="1"/>
  <c r="M464" i="1"/>
  <c r="N464" i="1"/>
  <c r="O464" i="1"/>
  <c r="K468" i="1"/>
  <c r="L468" i="1"/>
  <c r="M468" i="1"/>
  <c r="N468" i="1"/>
  <c r="O468" i="1"/>
  <c r="K469" i="1"/>
  <c r="L469" i="1"/>
  <c r="M469" i="1"/>
  <c r="N469" i="1"/>
  <c r="O469" i="1"/>
  <c r="K470" i="1"/>
  <c r="L470" i="1"/>
  <c r="M470" i="1"/>
  <c r="N470" i="1"/>
  <c r="O470" i="1"/>
  <c r="L488" i="1"/>
  <c r="M488" i="1"/>
  <c r="N488" i="1"/>
  <c r="O488" i="1"/>
  <c r="K489" i="1"/>
  <c r="L489" i="1"/>
  <c r="M489" i="1"/>
  <c r="N489" i="1"/>
  <c r="O489" i="1"/>
  <c r="K491" i="1"/>
  <c r="L491" i="1"/>
  <c r="M491" i="1"/>
  <c r="N491" i="1"/>
  <c r="O491" i="1"/>
  <c r="K502" i="1"/>
  <c r="L502" i="1"/>
  <c r="M502" i="1"/>
  <c r="N502" i="1"/>
  <c r="O502" i="1"/>
  <c r="K504" i="1"/>
  <c r="L504" i="1"/>
  <c r="M504" i="1"/>
  <c r="N504" i="1"/>
  <c r="O504" i="1"/>
  <c r="L505" i="1"/>
  <c r="M505" i="1"/>
  <c r="N505" i="1"/>
  <c r="O505" i="1"/>
  <c r="K506" i="1"/>
  <c r="L506" i="1"/>
  <c r="M506" i="1"/>
  <c r="N506" i="1"/>
  <c r="O506" i="1"/>
  <c r="K518" i="1"/>
  <c r="L518" i="1"/>
  <c r="M518" i="1"/>
  <c r="N518" i="1"/>
  <c r="O518" i="1"/>
  <c r="K520" i="1"/>
  <c r="L520" i="1"/>
  <c r="M520" i="1"/>
  <c r="N520" i="1"/>
  <c r="O520" i="1"/>
  <c r="K521" i="1"/>
  <c r="L521" i="1"/>
  <c r="M521" i="1"/>
  <c r="N521" i="1"/>
  <c r="O521" i="1"/>
  <c r="K533" i="1"/>
  <c r="L533" i="1"/>
  <c r="M533" i="1"/>
  <c r="N533" i="1"/>
  <c r="O533" i="1"/>
  <c r="K535" i="1"/>
  <c r="L535" i="1"/>
  <c r="M535" i="1"/>
  <c r="N535" i="1"/>
  <c r="O535" i="1"/>
  <c r="K536" i="1"/>
  <c r="L536" i="1"/>
  <c r="M536" i="1"/>
  <c r="N536" i="1"/>
  <c r="O536" i="1"/>
  <c r="K557" i="1"/>
  <c r="L557" i="1"/>
  <c r="M557" i="1"/>
  <c r="N557" i="1"/>
  <c r="O557" i="1"/>
  <c r="K558" i="1"/>
  <c r="L558" i="1"/>
  <c r="M558" i="1"/>
  <c r="N558" i="1"/>
  <c r="O558" i="1"/>
  <c r="K559" i="1"/>
  <c r="L559" i="1"/>
  <c r="M559" i="1"/>
  <c r="N559" i="1"/>
  <c r="O559" i="1"/>
  <c r="K563" i="1"/>
  <c r="L563" i="1"/>
  <c r="M563" i="1"/>
  <c r="N563" i="1"/>
  <c r="O563" i="1"/>
  <c r="K564" i="1"/>
  <c r="L564" i="1"/>
  <c r="M564" i="1"/>
  <c r="N564" i="1"/>
  <c r="O564" i="1"/>
  <c r="E571" i="1"/>
  <c r="F571" i="1"/>
  <c r="O571" i="1"/>
  <c r="E572" i="1"/>
  <c r="F572" i="1"/>
  <c r="N572" i="1"/>
  <c r="E573" i="1"/>
  <c r="F573" i="1"/>
  <c r="M573" i="1"/>
  <c r="E574" i="1"/>
  <c r="F574" i="1"/>
  <c r="L574" i="1"/>
  <c r="E575" i="1"/>
  <c r="F575" i="1"/>
  <c r="K575" i="1"/>
  <c r="I22" i="3"/>
  <c r="O22" i="3"/>
  <c r="W28" i="3"/>
  <c r="X28" i="3"/>
  <c r="Y28" i="3"/>
  <c r="Z28" i="3"/>
  <c r="AA28" i="3"/>
  <c r="W30" i="3"/>
  <c r="X30" i="3"/>
  <c r="Y30" i="3"/>
  <c r="Z30" i="3"/>
  <c r="AA30" i="3"/>
  <c r="W31" i="3"/>
  <c r="X31" i="3"/>
  <c r="Y31" i="3"/>
  <c r="Z31" i="3"/>
  <c r="AA31" i="3"/>
  <c r="U60" i="3"/>
  <c r="W60" i="3"/>
  <c r="X60" i="3"/>
  <c r="U61" i="3"/>
  <c r="U63" i="3"/>
  <c r="U66" i="3"/>
  <c r="V66" i="3"/>
  <c r="U67" i="3"/>
  <c r="V67" i="3"/>
  <c r="U68" i="3"/>
  <c r="V68" i="3"/>
  <c r="U69" i="3"/>
  <c r="V69" i="3"/>
  <c r="U70" i="3"/>
  <c r="V70" i="3"/>
  <c r="D75" i="3"/>
  <c r="L75" i="3"/>
  <c r="D85" i="3"/>
  <c r="L85" i="3"/>
  <c r="E114" i="3"/>
  <c r="F114" i="3"/>
  <c r="G114" i="3"/>
  <c r="H114" i="3"/>
  <c r="J114" i="3"/>
  <c r="L114" i="3"/>
  <c r="M114" i="3"/>
  <c r="N114" i="3"/>
  <c r="F115" i="3"/>
  <c r="J115" i="3"/>
  <c r="L115" i="3"/>
  <c r="M115" i="3"/>
  <c r="N115" i="3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<sst xmlns="http://schemas.openxmlformats.org/spreadsheetml/2006/main" count="769" uniqueCount="416">
  <si>
    <t>Revenue</t>
  </si>
  <si>
    <t>Days in Period</t>
  </si>
  <si>
    <t>Accounts Receivable</t>
  </si>
  <si>
    <t>(Days)</t>
  </si>
  <si>
    <t>Inventory</t>
  </si>
  <si>
    <t>Accounts Payable</t>
  </si>
  <si>
    <t>Net Working Capital</t>
  </si>
  <si>
    <t>Beginning</t>
  </si>
  <si>
    <t>Ending</t>
  </si>
  <si>
    <t>Plant Capacity</t>
  </si>
  <si>
    <t>(Units/Day)</t>
  </si>
  <si>
    <t>Sales Volume Growth</t>
  </si>
  <si>
    <t>Sales Volume</t>
  </si>
  <si>
    <t>Operational Efficiency</t>
  </si>
  <si>
    <t>(Units)</t>
  </si>
  <si>
    <t>Unit Price</t>
  </si>
  <si>
    <t>(USD/Unit)</t>
  </si>
  <si>
    <t>Pricing Increases</t>
  </si>
  <si>
    <t>Revenue Schedule</t>
  </si>
  <si>
    <t>All figures in USD thousands unless stated</t>
  </si>
  <si>
    <t>Cost Schedule</t>
  </si>
  <si>
    <t>Variable Costs</t>
  </si>
  <si>
    <t>Packaging</t>
  </si>
  <si>
    <t>Fixed Costs</t>
  </si>
  <si>
    <t>Insurance</t>
  </si>
  <si>
    <t>Utilities</t>
  </si>
  <si>
    <t>Labour</t>
  </si>
  <si>
    <t>Inflation</t>
  </si>
  <si>
    <t>Transportation</t>
  </si>
  <si>
    <t>Subtotal</t>
  </si>
  <si>
    <t>Total Costs</t>
  </si>
  <si>
    <t>EBT</t>
  </si>
  <si>
    <t>Add: Accounting Depreciation</t>
  </si>
  <si>
    <t>Taxable Income</t>
  </si>
  <si>
    <t>Income Statement</t>
  </si>
  <si>
    <t>Gross Profit</t>
  </si>
  <si>
    <t>EBITDA</t>
  </si>
  <si>
    <t>Depreciation</t>
  </si>
  <si>
    <t>EBIT</t>
  </si>
  <si>
    <t>Current Tax</t>
  </si>
  <si>
    <t>Deferred Tax</t>
  </si>
  <si>
    <t>Total Tax</t>
  </si>
  <si>
    <t>Net Income</t>
  </si>
  <si>
    <t>Other</t>
  </si>
  <si>
    <t>Add: New Losses</t>
  </si>
  <si>
    <t>Current Taxes</t>
  </si>
  <si>
    <t>Deferred Taxes</t>
  </si>
  <si>
    <t>Total Taxes</t>
  </si>
  <si>
    <t>Tax Rate</t>
  </si>
  <si>
    <t>Profitable Before Taxes?</t>
  </si>
  <si>
    <t>Asset Schedule</t>
  </si>
  <si>
    <t>Capital Expenditure</t>
  </si>
  <si>
    <t>Accounting Depreciation</t>
  </si>
  <si>
    <t>Blended Tax Depreciation Rate</t>
  </si>
  <si>
    <t>EBT After Adjustment</t>
  </si>
  <si>
    <t>Less: Use of Tax Losses</t>
  </si>
  <si>
    <t>Earnings Before Tax (EBT)</t>
  </si>
  <si>
    <t>Existing Assets</t>
  </si>
  <si>
    <t>New Assets</t>
  </si>
  <si>
    <t>Year</t>
  </si>
  <si>
    <t>Capex</t>
  </si>
  <si>
    <t>Life</t>
  </si>
  <si>
    <t>Amounts for Depreciation</t>
  </si>
  <si>
    <t>Total Depreciation</t>
  </si>
  <si>
    <t>Per Yr</t>
  </si>
  <si>
    <t>Years</t>
  </si>
  <si>
    <t>Income Tax Schedule</t>
  </si>
  <si>
    <t>First Year Accounting Depreciation</t>
  </si>
  <si>
    <t>First Year Tax Depreciation</t>
  </si>
  <si>
    <t>Percent of Full Year</t>
  </si>
  <si>
    <t>Useful Life: Existing Assets</t>
  </si>
  <si>
    <t>Useful Life: New Assets</t>
  </si>
  <si>
    <t>Sales Price</t>
  </si>
  <si>
    <t>REVENUE</t>
  </si>
  <si>
    <t>PRICING</t>
  </si>
  <si>
    <t>VOLUME</t>
  </si>
  <si>
    <t>SG&amp;A</t>
  </si>
  <si>
    <t>Materials</t>
  </si>
  <si>
    <t>TOTAL AMOUNTS</t>
  </si>
  <si>
    <t>COGS</t>
  </si>
  <si>
    <t>OPERATIONS</t>
  </si>
  <si>
    <t>FIXED COSTS</t>
  </si>
  <si>
    <t>VARIABLE COSTS</t>
  </si>
  <si>
    <t>SUMMARY</t>
  </si>
  <si>
    <t>Current Assets</t>
  </si>
  <si>
    <t>Current Liabilities</t>
  </si>
  <si>
    <t>Cash from Working Capital Items</t>
  </si>
  <si>
    <t>NET WORKING CAPITAL</t>
  </si>
  <si>
    <t>AMOUNTS PER DAY</t>
  </si>
  <si>
    <t>Working Capital Schedule</t>
  </si>
  <si>
    <t>Depreciation Schedule</t>
  </si>
  <si>
    <t xml:space="preserve"> </t>
  </si>
  <si>
    <t>Strictly Confidential</t>
  </si>
  <si>
    <t>Table of Contents</t>
  </si>
  <si>
    <t>© 2015 to 2022 CFI Education Inc.</t>
  </si>
  <si>
    <t>This Excel model is for educational purposes only and should not be used for any other reason. All content is Copyright material of CFI Education Inc.</t>
  </si>
  <si>
    <t>https://corporatefinanceinstitute.com/</t>
  </si>
  <si>
    <t>All figures in USD thousands</t>
  </si>
  <si>
    <t>Purchase Price</t>
  </si>
  <si>
    <t>Sources and Uses of Cash</t>
  </si>
  <si>
    <t>Enterprise Value</t>
  </si>
  <si>
    <t>Sources of Cash</t>
  </si>
  <si>
    <t>Uses of Cash</t>
  </si>
  <si>
    <t>Cash (Target)</t>
  </si>
  <si>
    <t>Cash Consideration</t>
  </si>
  <si>
    <t>Total Debt</t>
  </si>
  <si>
    <t>Plus: Cash Balance</t>
  </si>
  <si>
    <t>Equity Offer Value</t>
  </si>
  <si>
    <t>Debt Service Coverage Ratio</t>
  </si>
  <si>
    <t>Equity Financing Fees</t>
  </si>
  <si>
    <t>Premium (Discount)</t>
  </si>
  <si>
    <t>Sponsor Equity</t>
  </si>
  <si>
    <t>Other Closing Costs</t>
  </si>
  <si>
    <t>Total Sources of Cash</t>
  </si>
  <si>
    <t>Total Uses of Cash</t>
  </si>
  <si>
    <t>IRR</t>
  </si>
  <si>
    <t>Sensitivity Inputs</t>
  </si>
  <si>
    <t>Sponsor IRR (Entry vs Exit Multiple)</t>
  </si>
  <si>
    <t>Sponsor Cash-on-Cash (Entry vs Exit Multiple)</t>
  </si>
  <si>
    <t>Entry EV/EBITDA</t>
  </si>
  <si>
    <t>Exit EV/EBITDA</t>
  </si>
  <si>
    <t>Base Case</t>
  </si>
  <si>
    <t>Financing Assumptions</t>
  </si>
  <si>
    <t>Type</t>
  </si>
  <si>
    <t>Coupon</t>
  </si>
  <si>
    <t>N/A</t>
  </si>
  <si>
    <t xml:space="preserve">Total </t>
  </si>
  <si>
    <t>Total Sources</t>
  </si>
  <si>
    <t>Total Uses</t>
  </si>
  <si>
    <t>Transaction</t>
  </si>
  <si>
    <t>Fees</t>
  </si>
  <si>
    <t>Cash Flow Statement</t>
  </si>
  <si>
    <t>Cash from Operations</t>
  </si>
  <si>
    <t>Plus: Depreciation &amp; Amortization</t>
  </si>
  <si>
    <t>Less: Change in Net Working Capital</t>
  </si>
  <si>
    <t>Cash from Investing</t>
  </si>
  <si>
    <t>Investments in Property Plant &amp; Equipment</t>
  </si>
  <si>
    <t>Equity Issuance / (Repurchase)</t>
  </si>
  <si>
    <t>Payment of Dividends</t>
  </si>
  <si>
    <t>Change in Cash</t>
  </si>
  <si>
    <t>Opening Cash Balance</t>
  </si>
  <si>
    <t>Additions (Repayments)</t>
  </si>
  <si>
    <t>Loan Amortization</t>
  </si>
  <si>
    <t>Less: Required Repayments</t>
  </si>
  <si>
    <t>Less: Discretionary Repayments</t>
  </si>
  <si>
    <t>Plus: Issuance of Equity</t>
  </si>
  <si>
    <t>Less: Repurchase of Equity</t>
  </si>
  <si>
    <t>Less: Dividends</t>
  </si>
  <si>
    <t>Close</t>
  </si>
  <si>
    <t>Interest Expense</t>
  </si>
  <si>
    <t>Equity Value</t>
  </si>
  <si>
    <t>Exit Multiple</t>
  </si>
  <si>
    <t>Less: Short-term Debt</t>
  </si>
  <si>
    <t>Less: Long-term Debt</t>
  </si>
  <si>
    <t>Total Ending Balance</t>
  </si>
  <si>
    <t>CASH FROM OPERATIONS</t>
  </si>
  <si>
    <t>CASH FROM INVESTING</t>
  </si>
  <si>
    <t>CASH FROM FINANCING</t>
  </si>
  <si>
    <t>CASH BALANCE</t>
  </si>
  <si>
    <t>EQUITY CAPITAL</t>
  </si>
  <si>
    <t>RETAINED EARNINGS</t>
  </si>
  <si>
    <t>Total Fees</t>
  </si>
  <si>
    <t>Other Inputs</t>
  </si>
  <si>
    <t>Model</t>
  </si>
  <si>
    <t>Inflation Rate</t>
  </si>
  <si>
    <t>Worst Case</t>
  </si>
  <si>
    <t>Best Case</t>
  </si>
  <si>
    <t>Driver Switch</t>
  </si>
  <si>
    <t>Net Cash Flow Summary</t>
  </si>
  <si>
    <t>FD Shares Outstanding (000s)</t>
  </si>
  <si>
    <t>LBO Model</t>
  </si>
  <si>
    <t>Mandatory Principal Repayment</t>
  </si>
  <si>
    <t>Multiple</t>
  </si>
  <si>
    <t>Amount</t>
  </si>
  <si>
    <t>Sources &amp; Uses</t>
  </si>
  <si>
    <t>Percent</t>
  </si>
  <si>
    <t>Model Circularity</t>
  </si>
  <si>
    <t>On</t>
  </si>
  <si>
    <t>Off</t>
  </si>
  <si>
    <t>Share Price</t>
  </si>
  <si>
    <t>EBITDA Multiples</t>
  </si>
  <si>
    <t>General Inputs</t>
  </si>
  <si>
    <t>CASH DEPOSITS</t>
  </si>
  <si>
    <t>Interest Rate on Deposits</t>
  </si>
  <si>
    <t>Interest Income</t>
  </si>
  <si>
    <t>Cash Available For Discretionary Payments?</t>
  </si>
  <si>
    <t>ENDING BALANCES</t>
  </si>
  <si>
    <t>PRINCIPAL REPAYMENTS</t>
  </si>
  <si>
    <t>Total Principal Repayments</t>
  </si>
  <si>
    <t>(YY-MM-DD)</t>
  </si>
  <si>
    <t>(Year)</t>
  </si>
  <si>
    <t>First Cash Flow</t>
  </si>
  <si>
    <t>Transaction Date</t>
  </si>
  <si>
    <t>Equity Investor</t>
  </si>
  <si>
    <t>Cash-on-Cash</t>
  </si>
  <si>
    <t>Less: Net Debt</t>
  </si>
  <si>
    <t>Less: Cash</t>
  </si>
  <si>
    <t>Cash Flows for Dividends</t>
  </si>
  <si>
    <t>Dividends to Equity Investors</t>
  </si>
  <si>
    <t>Total Debt / EBITDA</t>
  </si>
  <si>
    <t>NET DEBT</t>
  </si>
  <si>
    <t>Total Net Debt</t>
  </si>
  <si>
    <t>ADJUSTMENT FOR DEPRECIATION</t>
  </si>
  <si>
    <t>TAX LOSSES</t>
  </si>
  <si>
    <t>TAXES</t>
  </si>
  <si>
    <t>ENTERPRISE VALUE</t>
  </si>
  <si>
    <t>EQUITY VALUE</t>
  </si>
  <si>
    <t xml:space="preserve">All PP&amp;E and capital expenditure is assumed depreciable (i.e. no land balance). </t>
  </si>
  <si>
    <r>
      <t xml:space="preserve">EXISTING ASSET DEPRECIATION </t>
    </r>
    <r>
      <rPr>
        <b/>
        <vertAlign val="superscript"/>
        <sz val="10"/>
        <rFont val="Open Sans"/>
        <family val="2"/>
      </rPr>
      <t>1</t>
    </r>
  </si>
  <si>
    <r>
      <t xml:space="preserve">NEW ASSET DEPRECIATION </t>
    </r>
    <r>
      <rPr>
        <b/>
        <vertAlign val="superscript"/>
        <sz val="10"/>
        <rFont val="Open Sans"/>
        <family val="2"/>
      </rPr>
      <t>1</t>
    </r>
  </si>
  <si>
    <r>
      <t xml:space="preserve">TOTAL ASSET DEPRECIATION </t>
    </r>
    <r>
      <rPr>
        <b/>
        <vertAlign val="superscript"/>
        <sz val="10"/>
        <rFont val="Open Sans"/>
        <family val="2"/>
      </rPr>
      <t>2</t>
    </r>
  </si>
  <si>
    <t xml:space="preserve">Model assumes no dispositions that would impact the PP&amp;E or the Tax Basis. </t>
  </si>
  <si>
    <r>
      <t xml:space="preserve">PROPERTY PLANT &amp; EQUIPMENT </t>
    </r>
    <r>
      <rPr>
        <b/>
        <vertAlign val="superscript"/>
        <sz val="10"/>
        <color rgb="FF000000"/>
        <rFont val="Open Sans"/>
        <family val="2"/>
      </rPr>
      <t>1</t>
    </r>
  </si>
  <si>
    <r>
      <t xml:space="preserve">TAX BASIS </t>
    </r>
    <r>
      <rPr>
        <b/>
        <vertAlign val="superscript"/>
        <sz val="10"/>
        <rFont val="Open Sans"/>
        <family val="2"/>
      </rPr>
      <t>1</t>
    </r>
  </si>
  <si>
    <t>Unused Tax Losses Remaining?</t>
  </si>
  <si>
    <r>
      <t xml:space="preserve">Debt Service Coverage </t>
    </r>
    <r>
      <rPr>
        <vertAlign val="superscript"/>
        <sz val="10"/>
        <color rgb="FF000000"/>
        <rFont val="Open Sans"/>
        <family val="2"/>
      </rPr>
      <t>1</t>
    </r>
  </si>
  <si>
    <t>US$/Share</t>
  </si>
  <si>
    <t>(Years)</t>
  </si>
  <si>
    <t>Fixed Assets</t>
  </si>
  <si>
    <t>Income Tax Assets</t>
  </si>
  <si>
    <t>Model Exceeding Operational Capacity?</t>
  </si>
  <si>
    <t>Operational Capacity Exceeded?</t>
  </si>
  <si>
    <t>Model Checks</t>
  </si>
  <si>
    <t>Leverage Multiples &gt; Entry Multiple?</t>
  </si>
  <si>
    <t>Circularity</t>
  </si>
  <si>
    <t>Do Not</t>
  </si>
  <si>
    <t>Delete</t>
  </si>
  <si>
    <t>Min. Debt Service Coverage</t>
  </si>
  <si>
    <t>Max. Total Debt / EBITDA</t>
  </si>
  <si>
    <t>Debt Covenants</t>
  </si>
  <si>
    <t>All rights reserved.  The contents of this publication, including but not limited to all written material, content layout, images, formulas, and code, are</t>
  </si>
  <si>
    <t xml:space="preserve">protected under international copyright and trademark laws.  No part of this publication may be modified, manipulated, reproduced, distributed, or </t>
  </si>
  <si>
    <t>transmitted in any form by any means, including photocopying, recording, or other electronic or mechanical methods, without prior written</t>
  </si>
  <si>
    <t>permission of the publisher, except in the case of certain noncommercial uses permitted by copyright law.</t>
  </si>
  <si>
    <t>TOTAL DEBT / EBITDA</t>
  </si>
  <si>
    <t>Target Covenant</t>
  </si>
  <si>
    <t>First Year Covenant</t>
  </si>
  <si>
    <t>Covenant</t>
  </si>
  <si>
    <t>Within Target Period?</t>
  </si>
  <si>
    <t>DEBT SERVICE COVERAGE RATIO</t>
  </si>
  <si>
    <t>Target Year</t>
  </si>
  <si>
    <t>Less: Debt</t>
  </si>
  <si>
    <r>
      <t xml:space="preserve">Tax Depreciation </t>
    </r>
    <r>
      <rPr>
        <vertAlign val="superscript"/>
        <sz val="10"/>
        <rFont val="Open Sans"/>
        <family val="2"/>
      </rPr>
      <t>2</t>
    </r>
  </si>
  <si>
    <r>
      <t xml:space="preserve">Less: Tax Depreciation </t>
    </r>
    <r>
      <rPr>
        <vertAlign val="superscript"/>
        <sz val="10"/>
        <rFont val="Open Sans"/>
        <family val="2"/>
      </rPr>
      <t>1</t>
    </r>
  </si>
  <si>
    <r>
      <t xml:space="preserve">Less: Use of Tax Losses </t>
    </r>
    <r>
      <rPr>
        <vertAlign val="superscript"/>
        <sz val="10"/>
        <rFont val="Open Sans"/>
        <family val="2"/>
      </rPr>
      <t>3</t>
    </r>
  </si>
  <si>
    <r>
      <t xml:space="preserve">ADJUSTMENT FOR TAX LOSSES </t>
    </r>
    <r>
      <rPr>
        <b/>
        <vertAlign val="superscript"/>
        <sz val="10"/>
        <rFont val="Open Sans"/>
        <family val="2"/>
      </rPr>
      <t>2</t>
    </r>
  </si>
  <si>
    <t>Plus: PIK Interest</t>
  </si>
  <si>
    <t>PIK</t>
  </si>
  <si>
    <t>Plus: PIK Accrual</t>
  </si>
  <si>
    <t>Floating</t>
  </si>
  <si>
    <t>Fixed</t>
  </si>
  <si>
    <t>Return Attribution</t>
  </si>
  <si>
    <t>Ending Equity</t>
  </si>
  <si>
    <t>Entry</t>
  </si>
  <si>
    <t>Exit</t>
  </si>
  <si>
    <t>Change</t>
  </si>
  <si>
    <t>Multiplier</t>
  </si>
  <si>
    <t>Check</t>
  </si>
  <si>
    <t>Fee</t>
  </si>
  <si>
    <t>Interest Rate</t>
  </si>
  <si>
    <t>(bps)</t>
  </si>
  <si>
    <t>Floating-Rate Benchmark</t>
  </si>
  <si>
    <t>Plus: Deferred Tax</t>
  </si>
  <si>
    <t>Cash Amount</t>
  </si>
  <si>
    <t>PIK Amount</t>
  </si>
  <si>
    <t>Less: Minimum Cash Balance</t>
  </si>
  <si>
    <t>Interest Rate Spread</t>
  </si>
  <si>
    <t>CASH INTEREST EXPENSE</t>
  </si>
  <si>
    <t>TOTAL INTEREST EXPENSE</t>
  </si>
  <si>
    <r>
      <t xml:space="preserve">Targeted Year </t>
    </r>
    <r>
      <rPr>
        <vertAlign val="superscript"/>
        <sz val="10"/>
        <rFont val="Open Sans"/>
        <family val="2"/>
      </rPr>
      <t>5</t>
    </r>
  </si>
  <si>
    <t>Management Rollover</t>
  </si>
  <si>
    <t>Excess</t>
  </si>
  <si>
    <t>Cash Flow</t>
  </si>
  <si>
    <t>Equity Investor Returns by Investment Horizon</t>
  </si>
  <si>
    <t>Ending Equity  ≠ Model?</t>
  </si>
  <si>
    <t>Maximum</t>
  </si>
  <si>
    <t>Limit</t>
  </si>
  <si>
    <t>Standby</t>
  </si>
  <si>
    <t>Issuance</t>
  </si>
  <si>
    <t>Cash Sweep</t>
  </si>
  <si>
    <t>Fee %</t>
  </si>
  <si>
    <t>Mandatory Repayment &gt; 100%?</t>
  </si>
  <si>
    <t>Mandatory Repayment Entry &gt; 100%?</t>
  </si>
  <si>
    <t>After</t>
  </si>
  <si>
    <t>Before</t>
  </si>
  <si>
    <t>Cash Percent</t>
  </si>
  <si>
    <t>PIK Percent</t>
  </si>
  <si>
    <t>Total Percent</t>
  </si>
  <si>
    <t>Total Interest Expense</t>
  </si>
  <si>
    <t>Mandatory Principal Repayments</t>
  </si>
  <si>
    <t>Cash Net Interest Expense</t>
  </si>
  <si>
    <t>Sponsor + Mgmt. Equity</t>
  </si>
  <si>
    <r>
      <t xml:space="preserve">Sponsor + Mgmt. Equity </t>
    </r>
    <r>
      <rPr>
        <vertAlign val="superscript"/>
        <sz val="10"/>
        <color rgb="FF000000"/>
        <rFont val="Open Sans"/>
        <family val="2"/>
      </rPr>
      <t>2</t>
    </r>
  </si>
  <si>
    <r>
      <t xml:space="preserve">Rate </t>
    </r>
    <r>
      <rPr>
        <b/>
        <vertAlign val="superscript"/>
        <sz val="10"/>
        <color rgb="FF000000"/>
        <rFont val="Open Sans"/>
        <family val="2"/>
      </rPr>
      <t>3</t>
    </r>
  </si>
  <si>
    <r>
      <t xml:space="preserve">Sweep </t>
    </r>
    <r>
      <rPr>
        <b/>
        <vertAlign val="superscript"/>
        <sz val="10"/>
        <color rgb="FF000000"/>
        <rFont val="Open Sans"/>
        <family val="2"/>
      </rPr>
      <t>4</t>
    </r>
  </si>
  <si>
    <t xml:space="preserve">IRR and Cash-on-Cash returns assume a 5-year horizon. </t>
  </si>
  <si>
    <t xml:space="preserve">Restructuring and severance fees as well as target debt prepayment fees. </t>
  </si>
  <si>
    <t xml:space="preserve">All IRR and NPV analyses will be calculated to this date. </t>
  </si>
  <si>
    <t xml:space="preserve">This year drives the headings on the financial statements. </t>
  </si>
  <si>
    <t xml:space="preserve">Financing fees related to the sponsor equity are nil, as this capital is assumed to have been raised prior and committed by the sponsor. </t>
  </si>
  <si>
    <t xml:space="preserve">The Excess Cash Flow sweep represents the percentage of excess cash that can be allocated to discretionary debt paydowns;    </t>
  </si>
  <si>
    <t xml:space="preserve"> The discretionary paydown of each debt tranche must be net of the 'higher' tranche's discretionary paydown;    </t>
  </si>
  <si>
    <t xml:space="preserve">The targeted year represents the years until the targeted threshold is expected to apply. </t>
  </si>
  <si>
    <t xml:space="preserve">The step factor represents the annual tightening of the covenant until the targeted threshold is reached. </t>
  </si>
  <si>
    <t xml:space="preserve">This schedule calculates depreciation on a straight-line basis. </t>
  </si>
  <si>
    <t xml:space="preserve">Model assumes that tax depreciation cannot be used to create or increase a loss. </t>
  </si>
  <si>
    <t xml:space="preserve">This schedule assumes that tax losses can be carried forward indefinitely into the future. </t>
  </si>
  <si>
    <t xml:space="preserve">This schedule assumes losses do not carry back to previous periods to reduce taxable income. </t>
  </si>
  <si>
    <t xml:space="preserve">Debt Service Coverage Ratio = (EBITDA - Current Tax - Capex) / (Total Interest + Mandatory Principal Paydown) </t>
  </si>
  <si>
    <t>Cash flows assumed to be received at the end of the fiscal year.</t>
  </si>
  <si>
    <t>Minimum Cash Balance</t>
  </si>
  <si>
    <t>PIK Interest Expense</t>
  </si>
  <si>
    <t>Enter as Negative</t>
  </si>
  <si>
    <t>Enter as Positive</t>
  </si>
  <si>
    <t>Minimum</t>
  </si>
  <si>
    <t>Cash Balance</t>
  </si>
  <si>
    <t>Mandatory Debt Issuance / ( Repayment)</t>
  </si>
  <si>
    <t>Cash from Issuance of Equity</t>
  </si>
  <si>
    <t>Cash Used to Repurchase Equity</t>
  </si>
  <si>
    <t>Main Model Drivers</t>
  </si>
  <si>
    <t>Working Capital Drivers</t>
  </si>
  <si>
    <t>Financing &amp; Investing Drivers</t>
  </si>
  <si>
    <r>
      <t xml:space="preserve">Sponsor Equity IRR </t>
    </r>
    <r>
      <rPr>
        <b/>
        <vertAlign val="superscript"/>
        <sz val="11"/>
        <rFont val="Open Sans"/>
        <family val="2"/>
      </rPr>
      <t>1</t>
    </r>
  </si>
  <si>
    <r>
      <t xml:space="preserve">Sponsor Cash-on-Cash </t>
    </r>
    <r>
      <rPr>
        <b/>
        <vertAlign val="superscript"/>
        <sz val="11"/>
        <rFont val="Open Sans"/>
        <family val="2"/>
      </rPr>
      <t>1</t>
    </r>
  </si>
  <si>
    <t>TERM LOAN A</t>
  </si>
  <si>
    <t>TERM LOAN B</t>
  </si>
  <si>
    <t>Term Loan A</t>
  </si>
  <si>
    <t>Term Loan B</t>
  </si>
  <si>
    <t>Subordinated Debt</t>
  </si>
  <si>
    <t xml:space="preserve">Represents the percentage of the Subordinated Debt Coupon that is paid-in-kind. </t>
  </si>
  <si>
    <t xml:space="preserve">For example, the Term Loan B discretionary paydown must take into account the Term Loan A discretionary paydown. </t>
  </si>
  <si>
    <t>Term Loan A Issuance / (Repayment)</t>
  </si>
  <si>
    <t>Term Loan B Issuance / (Repayment)</t>
  </si>
  <si>
    <t>Subordinated Debt Issuance / (Repayment)</t>
  </si>
  <si>
    <t>Cash Available After Discretionary Term Loan A Pay Down</t>
  </si>
  <si>
    <t>SUBORDINATED DEBT</t>
  </si>
  <si>
    <t>Debt/EBITDA (Term Loan A)</t>
  </si>
  <si>
    <t>Debt/EBITDA (Term Loan B)</t>
  </si>
  <si>
    <t>Debt Schedule: Part 1</t>
  </si>
  <si>
    <t>Debt Schedule: Part 2</t>
  </si>
  <si>
    <t>Debt Schedule: Part 3</t>
  </si>
  <si>
    <t>Debt Schedule: Summary</t>
  </si>
  <si>
    <t>Equity Schedule</t>
  </si>
  <si>
    <t>Credit Metrics Schedule</t>
  </si>
  <si>
    <t>Equity Returns Schedule</t>
  </si>
  <si>
    <t>EBITDA Growth &amp; Debt Paydown</t>
  </si>
  <si>
    <t>Credit Metrics &amp; Debt Covenants</t>
  </si>
  <si>
    <t>Outputs</t>
  </si>
  <si>
    <t>Inputs</t>
  </si>
  <si>
    <t>FINANCIAL METRICS</t>
  </si>
  <si>
    <t>Debt Service Coverage Ratio Covenant Tripped?</t>
  </si>
  <si>
    <t>Total Debt / EBITDA Covenant Tripped?</t>
  </si>
  <si>
    <t>Covenant Reduction</t>
  </si>
  <si>
    <t>Total Debt / EBITDA Reduction</t>
  </si>
  <si>
    <t>Covenant Increase</t>
  </si>
  <si>
    <t>Debt Service Coverage Increase</t>
  </si>
  <si>
    <t>EBITDA Cushion</t>
  </si>
  <si>
    <r>
      <t xml:space="preserve">Total Debt / EBITDA Reduction </t>
    </r>
    <r>
      <rPr>
        <vertAlign val="superscript"/>
        <sz val="10"/>
        <color rgb="FF000000"/>
        <rFont val="Open Sans"/>
        <family val="2"/>
      </rPr>
      <t>6</t>
    </r>
  </si>
  <si>
    <r>
      <t xml:space="preserve">Debt Service Coverage Increase </t>
    </r>
    <r>
      <rPr>
        <vertAlign val="superscript"/>
        <sz val="10"/>
        <rFont val="Open Sans"/>
        <family val="2"/>
      </rPr>
      <t>6</t>
    </r>
  </si>
  <si>
    <t>Sponsor Investment</t>
  </si>
  <si>
    <t>Jeff: I added Sponsor Invesment here. Please check.</t>
  </si>
  <si>
    <t>So they can see how much of their capital is earning the IRR shown.</t>
  </si>
  <si>
    <t>Entry
EV / EBITDA</t>
  </si>
  <si>
    <t>Exit EV / EBITDA</t>
  </si>
  <si>
    <t>Debt / EBITDA 
(Term Loan A)</t>
  </si>
  <si>
    <t>Debt / EBITDA (Term Loan B)</t>
  </si>
  <si>
    <t>Sponsor IRR (Senior Debt / EBITDA)</t>
  </si>
  <si>
    <t>Sponsor Cash-on-Cash (Senior Debt / EBITDA)</t>
  </si>
  <si>
    <t>Beginning 
Equity</t>
  </si>
  <si>
    <t>EBITDA 
Growth</t>
  </si>
  <si>
    <t>Multiple 
Expansion</t>
  </si>
  <si>
    <t>Net Debt 
Paydown</t>
  </si>
  <si>
    <t>(Nominal)</t>
  </si>
  <si>
    <t>(Percent)</t>
  </si>
  <si>
    <t>Does Ending Credit Line balance exceed Maximum?</t>
  </si>
  <si>
    <t>Revolving Credit Line</t>
  </si>
  <si>
    <t xml:space="preserve">Refinance ST-Debt </t>
  </si>
  <si>
    <t xml:space="preserve">Refinance LT-Debt </t>
  </si>
  <si>
    <r>
      <t xml:space="preserve">Revolving Credit Line </t>
    </r>
    <r>
      <rPr>
        <vertAlign val="superscript"/>
        <sz val="10"/>
        <color rgb="FF000000"/>
        <rFont val="Open Sans"/>
        <family val="2"/>
      </rPr>
      <t>1</t>
    </r>
  </si>
  <si>
    <t xml:space="preserve">Revolving credit line fees based on maximum availability. </t>
  </si>
  <si>
    <t>Revolving Credit Line Issuance / (Repayment)</t>
  </si>
  <si>
    <t>REVOLVING CREDIT LINE</t>
  </si>
  <si>
    <t>REVOLVING CREDIT LINE (DRAWN)</t>
  </si>
  <si>
    <t>REVOLVING CREDIT LINE (UNDRAWN)</t>
  </si>
  <si>
    <t>Revolving Credit Line Standby Fee Rate</t>
  </si>
  <si>
    <t>Revolving Credit Line Standby Fees</t>
  </si>
  <si>
    <t>Does Ending Revolving Credit Line balance exceed Maximum?</t>
  </si>
  <si>
    <t>Cash Available After Revolving Credit Line Pay Down</t>
  </si>
  <si>
    <t>Revolving Credit Line (Including Standby Fees)</t>
  </si>
  <si>
    <t>Forecast Financial Performance</t>
  </si>
  <si>
    <t>Returns Analysis</t>
  </si>
  <si>
    <t>Sensitivity Analysis</t>
  </si>
  <si>
    <t>Other Closing &amp; Advisory Costs</t>
  </si>
  <si>
    <t>Cash Available / (Required) For Revolving Credit Line</t>
  </si>
  <si>
    <t xml:space="preserve"> Chart Options</t>
  </si>
  <si>
    <t>Label Position</t>
  </si>
  <si>
    <t>Base</t>
  </si>
  <si>
    <t>Elev X</t>
  </si>
  <si>
    <t>Elev Y</t>
  </si>
  <si>
    <t>Middle Y</t>
  </si>
  <si>
    <t>Above Y</t>
  </si>
  <si>
    <t>Below Y</t>
  </si>
  <si>
    <t>Label</t>
  </si>
  <si>
    <t>Return Attribution ($ millions)</t>
  </si>
  <si>
    <t>Management rollover is a percentage of equity offer value.</t>
  </si>
  <si>
    <r>
      <t xml:space="preserve">Management Rollover </t>
    </r>
    <r>
      <rPr>
        <vertAlign val="superscript"/>
        <sz val="10"/>
        <rFont val="Open Sans"/>
        <family val="2"/>
      </rPr>
      <t>1</t>
    </r>
  </si>
  <si>
    <r>
      <t xml:space="preserve">First Forecast Fiscal Year </t>
    </r>
    <r>
      <rPr>
        <vertAlign val="superscript"/>
        <sz val="10"/>
        <color rgb="FF000000"/>
        <rFont val="Open Sans"/>
        <family val="2"/>
      </rPr>
      <t>2</t>
    </r>
  </si>
  <si>
    <r>
      <t xml:space="preserve">Transaction Close Date </t>
    </r>
    <r>
      <rPr>
        <vertAlign val="superscript"/>
        <sz val="10"/>
        <color rgb="FF000000"/>
        <rFont val="Open Sans"/>
        <family val="2"/>
      </rPr>
      <t>3</t>
    </r>
  </si>
  <si>
    <r>
      <t xml:space="preserve">First Year of Forecast </t>
    </r>
    <r>
      <rPr>
        <vertAlign val="superscript"/>
        <sz val="10"/>
        <color rgb="FF000000"/>
        <rFont val="Open Sans"/>
        <family val="2"/>
      </rPr>
      <t>4</t>
    </r>
  </si>
  <si>
    <t>(Additions) Repayments</t>
  </si>
  <si>
    <t>Less: Interest Income</t>
  </si>
  <si>
    <t>Plus: Net Income</t>
  </si>
  <si>
    <r>
      <t xml:space="preserve">Restructuring Fees </t>
    </r>
    <r>
      <rPr>
        <vertAlign val="superscript"/>
        <sz val="10"/>
        <rFont val="Open Sans"/>
        <family val="2"/>
      </rPr>
      <t>6</t>
    </r>
  </si>
  <si>
    <r>
      <t xml:space="preserve">Debt Financing Fees </t>
    </r>
    <r>
      <rPr>
        <vertAlign val="superscript"/>
        <sz val="10"/>
        <rFont val="Open Sans"/>
        <family val="2"/>
      </rPr>
      <t>5</t>
    </r>
  </si>
  <si>
    <t>Debt financing fees are amortized over the life of the debt; for the purposes of this model, we are not including that amortization.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</si>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</sst>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4">
    <numFmt numFmtId="5" formatCode="&quot;$&quot;#,##0_);\(&quot;$&quot;#,##0\)"/>
    <numFmt numFmtId="43" formatCode="_(* #,##0.00_);_(* \(#,##0.00\);_(* &quot;-&quot;??_);_(@_)"/>
    <numFmt numFmtId="164" formatCode="_-&quot;$&quot;* #,##0_-;\-&quot;$&quot;* #,##0_-;_-&quot;$&quot;* &quot;-&quot;_-;_-@_-"/>
    <numFmt numFmtId="165" formatCode="_-* #,##0.00_-;\-* #,##0.00_-;_-* &quot;-&quot;??_-;_-@_-"/>
    <numFmt numFmtId="166" formatCode="_(#,##0_)_%;\(#,##0\)_%;_(&quot;–&quot;_)_%;_(@_)_%"/>
    <numFmt numFmtId="167" formatCode="_-* #,##0_-;\(#,##0\)_-;_-* &quot;-&quot;_-;_-@_-"/>
    <numFmt numFmtId="168" formatCode="0&quot;A&quot;"/>
    <numFmt numFmtId="169" formatCode="0&quot;F&quot;"/>
    <numFmt numFmtId="170" formatCode="_(#,##0_);\(#,##0\);_(&quot;–&quot;_);_(@_)"/>
    <numFmt numFmtId="171" formatCode="#,##0_);[Red]\(#,##0\);\-"/>
    <numFmt numFmtId="172" formatCode="#,##0_);\(#,##0\);\-"/>
    <numFmt numFmtId="173" formatCode="_(#,##0.0%_);\(#,##0.0%\);_(&quot;–&quot;_)_%;_(@_)_%"/>
    <numFmt numFmtId="174" formatCode="0&quot;E&quot;"/>
    <numFmt numFmtId="175" formatCode="0.0%"/>
    <numFmt numFmtId="176" formatCode="_(#,##0.00_);\(#,##0.00\);_(&quot;–&quot;_);_(@_)"/>
    <numFmt numFmtId="177" formatCode="#,##0.0_);\(#,##0.0\);\-"/>
    <numFmt numFmtId="178" formatCode="#,##0.00_);\(#,##0.00\);\-"/>
    <numFmt numFmtId="179" formatCode="&quot;Yr&quot;\ 0"/>
    <numFmt numFmtId="180" formatCode="_(#,##0%_);\(#,##0%\);_(&quot;–&quot;_)_%;_(@_)_%"/>
    <numFmt numFmtId="181" formatCode="0&quot;F&quot;\ "/>
    <numFmt numFmtId="182" formatCode="_(#,##0.0_);\(#,##0.0\);_(&quot;–&quot;_);_(@_)"/>
    <numFmt numFmtId="183" formatCode="[=1]&quot;Yes&quot;_);[=0]&quot;No&quot;_)"/>
    <numFmt numFmtId="184" formatCode="@\⁽\¹\⁾"/>
    <numFmt numFmtId="185" formatCode="@\⁽\²\⁾"/>
    <numFmt numFmtId="186" formatCode="0.0\x"/>
    <numFmt numFmtId="187" formatCode="&quot;$&quot;#,##0.00"/>
    <numFmt numFmtId="188" formatCode="0\F"/>
    <numFmt numFmtId="189" formatCode="0.00\x"/>
    <numFmt numFmtId="190" formatCode="&quot;Year &quot;0"/>
    <numFmt numFmtId="191" formatCode="yyyy/mm/dd;@"/>
    <numFmt numFmtId="192" formatCode="_-* #,##0.00_-;\(#,##0.00\)_-;_-* &quot;-&quot;_-;_-@_-"/>
    <numFmt numFmtId="193" formatCode="_-* #,##0_-;\-* #,##0_-;_-* &quot;-&quot;??_-;_-@_-"/>
    <numFmt numFmtId="194" formatCode="_(0.00\x_);\(0.00\x\);_(&quot;–&quot;_);_(@_)"/>
    <numFmt numFmtId="195" formatCode="_(0.0\x_);\(0.0\x\);_(&quot;–&quot;_);_(@_)"/>
    <numFmt numFmtId="196" formatCode="[=1]&quot;On&quot;;[=2]&quot;Off&quot;"/>
    <numFmt numFmtId="197" formatCode="&quot;Yes&quot;;&quot;ERROR&quot;;&quot;No&quot;;&quot;ERROR&quot;"/>
    <numFmt numFmtId="198" formatCode="yy/mm/dd"/>
    <numFmt numFmtId="199" formatCode="&quot;Year&quot;\ 0"/>
    <numFmt numFmtId="200" formatCode="0&quot;-Year Horizon&quot;"/>
    <numFmt numFmtId="201" formatCode="[=0]&quot;No&quot;_);[=1]&quot;Yes&quot;_)"/>
    <numFmt numFmtId="202" formatCode="_-* #,##0.0000_-;\(#,##0.0000\)_-;_-* &quot;-&quot;_-;_-@_-"/>
    <numFmt numFmtId="203" formatCode="@\⁽\³\⁾"/>
    <numFmt numFmtId="204" formatCode="@\⁽\⁴\⁾"/>
    <numFmt numFmtId="205" formatCode="&quot;Year&quot;\ 0_)"/>
    <numFmt numFmtId="206" formatCode="@\⁽\⁵\⁾"/>
    <numFmt numFmtId="207" formatCode="_(#,##0.00%_);\(#,##0.00%\);_(&quot;–&quot;_)_%;_(@_)_%"/>
    <numFmt numFmtId="208" formatCode="@\⁽\⁶\⁾"/>
    <numFmt numFmtId="209" formatCode="&quot;B&quot;\+0&quot;bps&quot;_);&quot;B&quot;\-0&quot;bps&quot;_);&quot;B&quot;\+0&quot;bps&quot;_)"/>
    <numFmt numFmtId="210" formatCode="0.00000"/>
    <numFmt numFmtId="211" formatCode="&quot;Yes&quot;_);&quot;ERROR&quot;_);&quot;No&quot;_);&quot;ERROR&quot;_)"/>
    <numFmt numFmtId="212" formatCode="0000\F"/>
    <numFmt numFmtId="213" formatCode="_([$$]#,##0.0_);\([$$]#,##0.0\);_(&quot;–&quot;_);_(@_)"/>
    <numFmt numFmtId="214" formatCode=";;;"/>
    <numFmt numFmtId="215" formatCode="_(&quot;$&quot;#,##0.0&quot;mm&quot;_);_(&quot;$&quot;* \(#,##0\);_(&quot;$&quot;* &quot;-&quot;_);_(@_)"/>
  </numFmts>
  <fonts count="91">
    <font>
      <sz val="11"/>
      <color theme="1"/>
      <name val="Calibri"/>
      <family val="2"/>
      <scheme val="minor"/>
    </font>
    <font>
      <sz val="10"/>
      <color theme="1"/>
      <name val="Open Sans"/>
      <family val="2"/>
    </font>
    <font>
      <sz val="10"/>
      <color theme="1"/>
      <name val="Open Sans"/>
      <family val="2"/>
    </font>
    <font>
      <sz val="10"/>
      <color theme="1"/>
      <name val="Open Sans"/>
      <family val="2"/>
    </font>
    <font>
      <sz val="10"/>
      <color theme="1"/>
      <name val="Open Sans"/>
      <family val="2"/>
    </font>
    <font>
      <sz val="10"/>
      <color theme="1"/>
      <name val="Open Sans"/>
      <family val="2"/>
    </font>
    <font>
      <sz val="10"/>
      <color theme="1"/>
      <name val="Open Sans"/>
      <family val="2"/>
    </font>
    <font>
      <sz val="10"/>
      <color theme="1"/>
      <name val="Open Sans"/>
      <family val="2"/>
    </font>
    <font>
      <sz val="11"/>
      <color theme="1"/>
      <name val="Calibri"/>
      <family val="2"/>
      <scheme val="minor"/>
    </font>
    <font>
      <b/>
      <sz val="10"/>
      <color theme="0"/>
      <name val="Open Sans"/>
      <family val="2"/>
    </font>
    <font>
      <sz val="10"/>
      <color theme="0"/>
      <name val="Open Sans"/>
      <family val="2"/>
    </font>
    <font>
      <u/>
      <sz val="10"/>
      <color theme="10"/>
      <name val="Arial"/>
      <family val="2"/>
    </font>
    <font>
      <b/>
      <sz val="16"/>
      <color theme="0"/>
      <name val="Open Sans"/>
      <family val="2"/>
    </font>
    <font>
      <sz val="10"/>
      <name val="Bookman"/>
      <family val="1"/>
    </font>
    <font>
      <sz val="11"/>
      <color theme="1"/>
      <name val="Open Sans"/>
      <family val="2"/>
    </font>
    <font>
      <i/>
      <sz val="11"/>
      <color theme="1"/>
      <name val="Open Sans"/>
      <family val="2"/>
    </font>
    <font>
      <sz val="14"/>
      <color theme="1"/>
      <name val="Open Sans"/>
      <family val="2"/>
    </font>
    <font>
      <b/>
      <sz val="14"/>
      <color rgb="FF3271D2"/>
      <name val="Open Sans"/>
      <family val="2"/>
    </font>
    <font>
      <b/>
      <sz val="14"/>
      <color rgb="FF0000FF"/>
      <name val="Open Sans"/>
      <family val="2"/>
    </font>
    <font>
      <i/>
      <sz val="9"/>
      <name val="Open Sans"/>
      <family val="2"/>
    </font>
    <font>
      <b/>
      <sz val="10"/>
      <name val="Open Sans"/>
      <family val="2"/>
    </font>
    <font>
      <sz val="11"/>
      <name val="Open Sans"/>
      <family val="2"/>
    </font>
    <font>
      <sz val="10"/>
      <color rgb="FF000000"/>
      <name val="Open Sans"/>
      <family val="2"/>
    </font>
    <font>
      <sz val="10"/>
      <name val="Open Sans"/>
      <family val="2"/>
    </font>
    <font>
      <sz val="10"/>
      <color rgb="FF3271D2"/>
      <name val="Open Sans"/>
      <family val="2"/>
    </font>
    <font>
      <b/>
      <sz val="10"/>
      <color rgb="FF000000"/>
      <name val="Open Sans"/>
      <family val="2"/>
    </font>
    <font>
      <i/>
      <sz val="8"/>
      <name val="Open Sans"/>
      <family val="2"/>
    </font>
    <font>
      <sz val="10"/>
      <color rgb="FF0000FF"/>
      <name val="Open Sans"/>
      <family val="2"/>
    </font>
    <font>
      <i/>
      <sz val="10"/>
      <color rgb="FF3271D2"/>
      <name val="Open Sans"/>
      <family val="2"/>
    </font>
    <font>
      <sz val="10"/>
      <color rgb="FFFF0000"/>
      <name val="Open Sans"/>
      <family val="2"/>
    </font>
    <font>
      <b/>
      <sz val="10"/>
      <color rgb="FF0000FF"/>
      <name val="Open Sans"/>
      <family val="2"/>
    </font>
    <font>
      <i/>
      <sz val="10"/>
      <color rgb="FF000000"/>
      <name val="Open Sans"/>
      <family val="2"/>
    </font>
    <font>
      <i/>
      <sz val="9"/>
      <color rgb="FF000000"/>
      <name val="Open Sans"/>
      <family val="2"/>
    </font>
    <font>
      <b/>
      <sz val="10"/>
      <color rgb="FFFFFFFF"/>
      <name val="Open Sans"/>
      <family val="2"/>
    </font>
    <font>
      <sz val="10"/>
      <color theme="9" tint="-0.249977111117893"/>
      <name val="Open Sans"/>
      <family val="2"/>
    </font>
    <font>
      <b/>
      <sz val="10"/>
      <color rgb="FF3271D2"/>
      <name val="Open Sans"/>
      <family val="2"/>
    </font>
    <font>
      <b/>
      <sz val="10"/>
      <color rgb="FFFF0000"/>
      <name val="Open Sans"/>
      <family val="2"/>
    </font>
    <font>
      <i/>
      <sz val="8"/>
      <color rgb="FFFF0000"/>
      <name val="Open Sans"/>
      <family val="2"/>
    </font>
    <font>
      <i/>
      <sz val="10"/>
      <color rgb="FFFF0000"/>
      <name val="Open Sans"/>
      <family val="2"/>
    </font>
    <font>
      <b/>
      <sz val="20"/>
      <color rgb="FF4472C4"/>
      <name val="Open Sans"/>
      <family val="2"/>
    </font>
    <font>
      <b/>
      <sz val="14"/>
      <color rgb="FF132E57"/>
      <name val="Open Sans"/>
      <family val="2"/>
    </font>
    <font>
      <b/>
      <sz val="11"/>
      <color theme="1"/>
      <name val="Open Sans"/>
      <family val="2"/>
    </font>
    <font>
      <sz val="10"/>
      <color rgb="FF002060"/>
      <name val="Open Sans"/>
      <family val="2"/>
    </font>
    <font>
      <sz val="12"/>
      <color theme="1"/>
      <name val="Open Sans"/>
      <family val="2"/>
    </font>
    <font>
      <b/>
      <sz val="12"/>
      <color theme="0"/>
      <name val="Open Sans"/>
      <family val="2"/>
    </font>
    <font>
      <sz val="11"/>
      <color theme="0"/>
      <name val="Open Sans"/>
      <family val="2"/>
    </font>
    <font>
      <b/>
      <sz val="10"/>
      <color theme="1"/>
      <name val="Open Sans"/>
      <family val="2"/>
    </font>
    <font>
      <b/>
      <sz val="13"/>
      <color indexed="8"/>
      <name val="Verdana"/>
      <family val="2"/>
    </font>
    <font>
      <sz val="10"/>
      <name val="Arial"/>
      <family val="2"/>
    </font>
    <font>
      <b/>
      <sz val="14"/>
      <color theme="2"/>
      <name val="Open Sans"/>
      <family val="2"/>
    </font>
    <font>
      <sz val="11"/>
      <color theme="1"/>
      <name val="Arial Narrow"/>
      <family val="2"/>
    </font>
    <font>
      <sz val="10"/>
      <color theme="2"/>
      <name val="Open Sans"/>
      <family val="2"/>
    </font>
    <font>
      <i/>
      <sz val="10"/>
      <color theme="1"/>
      <name val="Open Sans"/>
      <family val="2"/>
    </font>
    <font>
      <sz val="9"/>
      <name val="Open Sans"/>
      <family val="2"/>
    </font>
    <font>
      <i/>
      <sz val="10"/>
      <name val="Open Sans"/>
      <family val="2"/>
    </font>
    <font>
      <u/>
      <sz val="12"/>
      <color rgb="FF4472C4"/>
      <name val="Open Sans"/>
      <family val="2"/>
    </font>
    <font>
      <b/>
      <sz val="10"/>
      <color theme="7" tint="-0.249977111117893"/>
      <name val="Open Sans"/>
      <family val="2"/>
    </font>
    <font>
      <b/>
      <sz val="14"/>
      <color theme="0"/>
      <name val="Open Sans"/>
      <family val="2"/>
    </font>
    <font>
      <sz val="10"/>
      <color rgb="FFFFFFFF"/>
      <name val="Open Sans"/>
      <family val="2"/>
    </font>
    <font>
      <sz val="10"/>
      <color rgb="FF57595D"/>
      <name val="Open Sans"/>
      <family val="2"/>
    </font>
    <font>
      <b/>
      <sz val="13"/>
      <color indexed="8"/>
      <name val="Open Sans"/>
      <family val="2"/>
    </font>
    <font>
      <sz val="12"/>
      <color theme="2"/>
      <name val="Open Sans"/>
      <family val="2"/>
    </font>
    <font>
      <sz val="14"/>
      <name val="Open Sans"/>
      <family val="2"/>
    </font>
    <font>
      <sz val="8"/>
      <name val="Open Sans"/>
      <family val="2"/>
    </font>
    <font>
      <b/>
      <sz val="8"/>
      <name val="Open Sans"/>
      <family val="2"/>
    </font>
    <font>
      <sz val="11"/>
      <color rgb="FFFA621C"/>
      <name val="Open Sans"/>
      <family val="2"/>
    </font>
    <font>
      <sz val="14"/>
      <color rgb="FF000000"/>
      <name val="Open Sans"/>
      <family val="2"/>
    </font>
    <font>
      <sz val="11"/>
      <color rgb="FF000000"/>
      <name val="Open Sans"/>
      <family val="2"/>
    </font>
    <font>
      <vertAlign val="superscript"/>
      <sz val="10"/>
      <color rgb="FF000000"/>
      <name val="Open Sans"/>
      <family val="2"/>
    </font>
    <font>
      <b/>
      <vertAlign val="superscript"/>
      <sz val="10"/>
      <name val="Open Sans"/>
      <family val="2"/>
    </font>
    <font>
      <b/>
      <vertAlign val="superscript"/>
      <sz val="10"/>
      <color rgb="FF000000"/>
      <name val="Open Sans"/>
      <family val="2"/>
    </font>
    <font>
      <vertAlign val="superscript"/>
      <sz val="10"/>
      <name val="Open Sans"/>
      <family val="2"/>
    </font>
    <font>
      <sz val="9"/>
      <color theme="1"/>
      <name val="Open Sans"/>
      <family val="2"/>
    </font>
    <font>
      <sz val="10"/>
      <color rgb="FFC32838"/>
      <name val="Open Sans"/>
      <family val="2"/>
    </font>
    <font>
      <sz val="10"/>
      <color rgb="FF289A72"/>
      <name val="Open Sans"/>
      <family val="2"/>
    </font>
    <font>
      <sz val="11"/>
      <color rgb="FF3271D2"/>
      <name val="Open Sans"/>
      <family val="2"/>
    </font>
    <font>
      <u/>
      <sz val="11"/>
      <color rgb="FFFA621C"/>
      <name val="Open Sans"/>
      <family val="2"/>
    </font>
    <font>
      <sz val="10"/>
      <color rgb="FFFA621C"/>
      <name val="Open Sans"/>
      <family val="2"/>
    </font>
    <font>
      <b/>
      <sz val="11"/>
      <color rgb="FFFA621C"/>
      <name val="Open Sans"/>
      <family val="2"/>
    </font>
    <font>
      <sz val="11"/>
      <color rgb="FFC32838"/>
      <name val="Open Sans"/>
      <family val="2"/>
    </font>
    <font>
      <b/>
      <sz val="14"/>
      <name val="Open Sans"/>
      <family val="2"/>
    </font>
    <font>
      <b/>
      <sz val="11"/>
      <name val="Open Sans"/>
      <family val="2"/>
    </font>
    <font>
      <b/>
      <vertAlign val="superscript"/>
      <sz val="11"/>
      <name val="Open Sans"/>
      <family val="2"/>
    </font>
    <font>
      <b/>
      <i/>
      <sz val="10"/>
      <name val="Open Sans"/>
      <family val="2"/>
    </font>
    <font>
      <b/>
      <i/>
      <sz val="11"/>
      <color theme="1"/>
      <name val="Open Sans"/>
      <family val="2"/>
    </font>
    <font>
      <sz val="14"/>
      <color rgb="FFFFFFFF"/>
      <name val="Calibri"/>
      <family val="2"/>
      <scheme val="minor"/>
    </font>
    <font>
      <sz val="11"/>
      <color rgb="FF289A72"/>
      <name val="Calibri"/>
      <family val="2"/>
      <scheme val="minor"/>
    </font>
    <font>
      <sz val="8"/>
      <color rgb="FF000000"/>
      <name val="Segoe U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name val="Open Sans"/>
      <family val="2"/>
    </font>
  </fonts>
  <fills count="11">
    <fill>
      <patternFill patternType="none"/>
    </fill>
    <fill>
      <patternFill patternType="gray125"/>
    </fill>
    <fill>
      <patternFill patternType="solid">
        <fgColor rgb="FF132E57"/>
        <bgColor indexed="64"/>
      </patternFill>
    </fill>
    <fill>
      <patternFill patternType="solid">
        <fgColor rgb="FFD9E5F7"/>
        <bgColor rgb="FF000000"/>
      </patternFill>
    </fill>
    <fill>
      <patternFill patternType="solid">
        <fgColor rgb="FF4472C4"/>
        <bgColor indexed="64"/>
      </patternFill>
    </fill>
    <fill>
      <patternFill patternType="solid">
        <fgColor theme="2" tint="0.79998168889431442"/>
        <bgColor rgb="FF000000"/>
      </patternFill>
    </fill>
    <fill>
      <patternFill patternType="solid">
        <fgColor theme="2" tint="0.79998168889431442"/>
        <bgColor indexed="64"/>
      </patternFill>
    </fill>
    <fill>
      <patternFill patternType="solid">
        <fgColor rgb="FFDAE3F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132E57"/>
        <bgColor rgb="FF000000"/>
      </patternFill>
    </fill>
  </fills>
  <borders count="5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rgb="FF3271D2"/>
      </bottom>
      <diagonal/>
    </border>
    <border>
      <left/>
      <right/>
      <top style="thin">
        <color rgb="FF3271D2"/>
      </top>
      <bottom style="medium">
        <color rgb="FF3271D2"/>
      </bottom>
      <diagonal/>
    </border>
    <border>
      <left/>
      <right/>
      <top/>
      <bottom style="hair">
        <color rgb="FF000000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/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ck">
        <color rgb="FF132E57"/>
      </left>
      <right/>
      <top style="thick">
        <color rgb="FF132E57"/>
      </top>
      <bottom/>
      <diagonal/>
    </border>
    <border>
      <left/>
      <right/>
      <top style="thick">
        <color rgb="FF132E57"/>
      </top>
      <bottom/>
      <diagonal/>
    </border>
    <border>
      <left/>
      <right style="thick">
        <color rgb="FF132E57"/>
      </right>
      <top style="thick">
        <color rgb="FF132E57"/>
      </top>
      <bottom/>
      <diagonal/>
    </border>
    <border>
      <left style="thick">
        <color rgb="FF132E57"/>
      </left>
      <right/>
      <top/>
      <bottom/>
      <diagonal/>
    </border>
    <border>
      <left/>
      <right style="thick">
        <color rgb="FF132E57"/>
      </right>
      <top/>
      <bottom/>
      <diagonal/>
    </border>
    <border>
      <left style="thick">
        <color rgb="FF132E57"/>
      </left>
      <right/>
      <top/>
      <bottom style="thick">
        <color rgb="FF132E57"/>
      </bottom>
      <diagonal/>
    </border>
    <border>
      <left/>
      <right/>
      <top/>
      <bottom style="thick">
        <color rgb="FF132E57"/>
      </bottom>
      <diagonal/>
    </border>
    <border>
      <left/>
      <right style="thick">
        <color rgb="FF132E57"/>
      </right>
      <top/>
      <bottom style="thick">
        <color rgb="FF132E57"/>
      </bottom>
      <diagonal/>
    </border>
    <border>
      <left/>
      <right/>
      <top/>
      <bottom style="medium">
        <color theme="2"/>
      </bottom>
      <diagonal/>
    </border>
    <border>
      <left/>
      <right/>
      <top style="medium">
        <color rgb="FF3271D2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thin">
        <color rgb="FFFA621C"/>
      </left>
      <right/>
      <top style="thin">
        <color rgb="FFFA621C"/>
      </top>
      <bottom style="thin">
        <color rgb="FFFA621C"/>
      </bottom>
      <diagonal/>
    </border>
    <border>
      <left/>
      <right/>
      <top style="thin">
        <color rgb="FFFA621C"/>
      </top>
      <bottom style="thin">
        <color rgb="FFFA621C"/>
      </bottom>
      <diagonal/>
    </border>
    <border>
      <left/>
      <right style="thin">
        <color rgb="FFFA621C"/>
      </right>
      <top style="thin">
        <color rgb="FFFA621C"/>
      </top>
      <bottom style="thin">
        <color rgb="FFFA621C"/>
      </bottom>
      <diagonal/>
    </border>
    <border>
      <left style="thin">
        <color rgb="FFFA621C"/>
      </left>
      <right style="thin">
        <color rgb="FFFA621C"/>
      </right>
      <top style="thin">
        <color rgb="FFFA621C"/>
      </top>
      <bottom style="thin">
        <color rgb="FFFA621C"/>
      </bottom>
      <diagonal/>
    </border>
    <border>
      <left/>
      <right/>
      <top/>
      <bottom style="thin">
        <color rgb="FF3271D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3271D2"/>
      </top>
      <bottom/>
      <diagonal/>
    </border>
    <border>
      <left style="thin">
        <color rgb="FFFA621C"/>
      </left>
      <right/>
      <top/>
      <bottom/>
      <diagonal/>
    </border>
    <border>
      <left style="thin">
        <color rgb="FFFA621C"/>
      </left>
      <right/>
      <top style="thin">
        <color rgb="FFFA621C"/>
      </top>
      <bottom/>
      <diagonal/>
    </border>
    <border>
      <left/>
      <right/>
      <top style="thin">
        <color rgb="FFFA621C"/>
      </top>
      <bottom/>
      <diagonal/>
    </border>
    <border>
      <left style="thin">
        <color rgb="FF3271D2"/>
      </left>
      <right style="thin">
        <color rgb="FF3271D2"/>
      </right>
      <top style="thin">
        <color rgb="FF3271D2"/>
      </top>
      <bottom style="thin">
        <color rgb="FF3271D2"/>
      </bottom>
      <diagonal/>
    </border>
    <border>
      <left/>
      <right/>
      <top/>
      <bottom style="medium">
        <color rgb="FF000000"/>
      </bottom>
      <diagonal/>
    </border>
  </borders>
  <cellStyleXfs count="22">
    <xf numFmtId="0" fontId="0" fillId="0" borderId="0"/>
    <xf numFmtId="9" fontId="8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8" fillId="0" borderId="0"/>
    <xf numFmtId="165" fontId="13" fillId="0" borderId="0" applyFont="0" applyFill="0" applyBorder="0" applyAlignment="0" applyProtection="0"/>
    <xf numFmtId="0" fontId="47" fillId="0" borderId="0" applyAlignment="0"/>
    <xf numFmtId="0" fontId="48" fillId="0" borderId="0"/>
    <xf numFmtId="165" fontId="13" fillId="0" borderId="0" applyFont="0" applyFill="0" applyBorder="0" applyAlignment="0" applyProtection="0"/>
    <xf numFmtId="43" fontId="50" fillId="0" borderId="0" applyFont="0" applyFill="0" applyBorder="0" applyAlignment="0" applyProtection="0"/>
    <xf numFmtId="9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0" fontId="50" fillId="0" borderId="0"/>
    <xf numFmtId="165" fontId="8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2" fillId="0" borderId="0"/>
  </cellStyleXfs>
  <cellXfs count="828">
    <xf numFmtId="0" fontId="0" fillId="0" borderId="0" xfId="0"/>
    <xf numFmtId="167" fontId="14" fillId="0" borderId="0" xfId="5" applyNumberFormat="1" applyFont="1" applyProtection="1">
      <protection locked="0"/>
    </xf>
    <xf numFmtId="167" fontId="15" fillId="0" borderId="0" xfId="5" applyNumberFormat="1" applyFont="1" applyProtection="1">
      <protection locked="0"/>
    </xf>
    <xf numFmtId="167" fontId="15" fillId="0" borderId="0" xfId="5" applyNumberFormat="1" applyFont="1" applyAlignment="1" applyProtection="1">
      <alignment horizontal="center"/>
      <protection locked="0"/>
    </xf>
    <xf numFmtId="167" fontId="15" fillId="0" borderId="0" xfId="5" applyNumberFormat="1" applyFont="1" applyAlignment="1">
      <alignment horizontal="right"/>
    </xf>
    <xf numFmtId="37" fontId="16" fillId="0" borderId="0" xfId="0" applyNumberFormat="1" applyFont="1" applyAlignment="1">
      <alignment vertical="center"/>
    </xf>
    <xf numFmtId="37" fontId="18" fillId="0" borderId="0" xfId="0" applyNumberFormat="1" applyFont="1" applyAlignment="1">
      <alignment vertical="center"/>
    </xf>
    <xf numFmtId="37" fontId="9" fillId="0" borderId="0" xfId="0" applyNumberFormat="1" applyFont="1" applyAlignment="1">
      <alignment vertical="center"/>
    </xf>
    <xf numFmtId="37" fontId="10" fillId="0" borderId="0" xfId="0" applyNumberFormat="1" applyFont="1" applyAlignment="1">
      <alignment vertical="center"/>
    </xf>
    <xf numFmtId="168" fontId="9" fillId="0" borderId="0" xfId="0" applyNumberFormat="1" applyFont="1" applyAlignment="1">
      <alignment horizontal="right"/>
    </xf>
    <xf numFmtId="166" fontId="19" fillId="0" borderId="0" xfId="0" applyNumberFormat="1" applyFont="1" applyAlignment="1">
      <alignment vertical="center"/>
    </xf>
    <xf numFmtId="168" fontId="20" fillId="0" borderId="0" xfId="0" applyNumberFormat="1" applyFont="1" applyAlignment="1">
      <alignment horizontal="right"/>
    </xf>
    <xf numFmtId="0" fontId="21" fillId="0" borderId="0" xfId="0" applyFont="1"/>
    <xf numFmtId="0" fontId="22" fillId="0" borderId="0" xfId="0" applyFont="1" applyAlignment="1">
      <alignment horizontal="left"/>
    </xf>
    <xf numFmtId="0" fontId="23" fillId="0" borderId="0" xfId="0" applyFont="1"/>
    <xf numFmtId="170" fontId="24" fillId="0" borderId="4" xfId="0" applyNumberFormat="1" applyFont="1" applyBorder="1"/>
    <xf numFmtId="0" fontId="25" fillId="0" borderId="0" xfId="0" applyFont="1" applyAlignment="1">
      <alignment horizontal="left"/>
    </xf>
    <xf numFmtId="0" fontId="20" fillId="0" borderId="0" xfId="0" applyFont="1"/>
    <xf numFmtId="171" fontId="20" fillId="0" borderId="0" xfId="0" applyNumberFormat="1" applyFont="1"/>
    <xf numFmtId="172" fontId="23" fillId="0" borderId="0" xfId="0" applyNumberFormat="1" applyFont="1"/>
    <xf numFmtId="172" fontId="22" fillId="0" borderId="0" xfId="0" applyNumberFormat="1" applyFont="1"/>
    <xf numFmtId="0" fontId="22" fillId="0" borderId="0" xfId="0" applyFont="1"/>
    <xf numFmtId="0" fontId="26" fillId="0" borderId="0" xfId="0" applyFont="1" applyAlignment="1">
      <alignment horizontal="center"/>
    </xf>
    <xf numFmtId="0" fontId="23" fillId="0" borderId="0" xfId="0" applyFont="1" applyAlignment="1">
      <alignment horizontal="left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left"/>
    </xf>
    <xf numFmtId="0" fontId="23" fillId="0" borderId="4" xfId="0" applyFont="1" applyBorder="1"/>
    <xf numFmtId="166" fontId="19" fillId="0" borderId="4" xfId="0" applyNumberFormat="1" applyFont="1" applyBorder="1" applyAlignment="1">
      <alignment vertical="center"/>
    </xf>
    <xf numFmtId="37" fontId="9" fillId="0" borderId="4" xfId="0" applyNumberFormat="1" applyFont="1" applyBorder="1" applyAlignment="1">
      <alignment vertical="center"/>
    </xf>
    <xf numFmtId="168" fontId="20" fillId="0" borderId="4" xfId="0" applyNumberFormat="1" applyFont="1" applyBorder="1" applyAlignment="1">
      <alignment horizontal="right"/>
    </xf>
    <xf numFmtId="0" fontId="22" fillId="0" borderId="4" xfId="0" applyFont="1" applyBorder="1" applyAlignment="1">
      <alignment horizontal="left"/>
    </xf>
    <xf numFmtId="0" fontId="26" fillId="0" borderId="4" xfId="0" applyFont="1" applyBorder="1" applyAlignment="1">
      <alignment horizontal="center"/>
    </xf>
    <xf numFmtId="0" fontId="22" fillId="0" borderId="4" xfId="0" applyFont="1" applyBorder="1"/>
    <xf numFmtId="169" fontId="20" fillId="0" borderId="0" xfId="0" applyNumberFormat="1" applyFont="1" applyAlignment="1">
      <alignment horizontal="right"/>
    </xf>
    <xf numFmtId="170" fontId="24" fillId="0" borderId="0" xfId="0" applyNumberFormat="1" applyFont="1"/>
    <xf numFmtId="170" fontId="23" fillId="0" borderId="0" xfId="0" applyNumberFormat="1" applyFont="1"/>
    <xf numFmtId="0" fontId="29" fillId="0" borderId="0" xfId="0" applyFont="1" applyAlignment="1">
      <alignment horizontal="left"/>
    </xf>
    <xf numFmtId="0" fontId="20" fillId="0" borderId="4" xfId="0" applyFont="1" applyBorder="1"/>
    <xf numFmtId="171" fontId="20" fillId="0" borderId="4" xfId="0" applyNumberFormat="1" applyFont="1" applyBorder="1"/>
    <xf numFmtId="171" fontId="23" fillId="0" borderId="0" xfId="0" applyNumberFormat="1" applyFont="1"/>
    <xf numFmtId="172" fontId="24" fillId="0" borderId="0" xfId="0" applyNumberFormat="1" applyFont="1"/>
    <xf numFmtId="175" fontId="28" fillId="0" borderId="0" xfId="1" applyNumberFormat="1" applyFont="1" applyBorder="1"/>
    <xf numFmtId="169" fontId="20" fillId="0" borderId="4" xfId="0" applyNumberFormat="1" applyFont="1" applyBorder="1" applyAlignment="1">
      <alignment horizontal="right"/>
    </xf>
    <xf numFmtId="0" fontId="23" fillId="0" borderId="10" xfId="0" applyFont="1" applyBorder="1" applyAlignment="1">
      <alignment horizontal="left"/>
    </xf>
    <xf numFmtId="0" fontId="23" fillId="0" borderId="9" xfId="0" applyFont="1" applyBorder="1" applyAlignment="1">
      <alignment horizontal="left"/>
    </xf>
    <xf numFmtId="0" fontId="23" fillId="0" borderId="14" xfId="0" applyFont="1" applyBorder="1" applyAlignment="1">
      <alignment horizontal="left"/>
    </xf>
    <xf numFmtId="166" fontId="32" fillId="0" borderId="4" xfId="0" applyNumberFormat="1" applyFont="1" applyBorder="1" applyAlignment="1">
      <alignment vertical="center"/>
    </xf>
    <xf numFmtId="37" fontId="33" fillId="0" borderId="4" xfId="0" applyNumberFormat="1" applyFont="1" applyBorder="1" applyAlignment="1">
      <alignment vertical="center"/>
    </xf>
    <xf numFmtId="168" fontId="25" fillId="0" borderId="4" xfId="0" applyNumberFormat="1" applyFont="1" applyBorder="1" applyAlignment="1">
      <alignment horizontal="right"/>
    </xf>
    <xf numFmtId="169" fontId="25" fillId="0" borderId="4" xfId="0" applyNumberFormat="1" applyFont="1" applyBorder="1" applyAlignment="1">
      <alignment horizontal="right"/>
    </xf>
    <xf numFmtId="169" fontId="23" fillId="0" borderId="0" xfId="0" applyNumberFormat="1" applyFont="1" applyAlignment="1">
      <alignment horizontal="left"/>
    </xf>
    <xf numFmtId="177" fontId="22" fillId="0" borderId="0" xfId="0" applyNumberFormat="1" applyFont="1" applyAlignment="1">
      <alignment horizontal="left"/>
    </xf>
    <xf numFmtId="0" fontId="20" fillId="0" borderId="0" xfId="0" applyFont="1" applyAlignment="1">
      <alignment horizontal="centerContinuous"/>
    </xf>
    <xf numFmtId="169" fontId="20" fillId="0" borderId="0" xfId="0" applyNumberFormat="1" applyFont="1" applyAlignment="1">
      <alignment horizontal="centerContinuous"/>
    </xf>
    <xf numFmtId="169" fontId="23" fillId="0" borderId="4" xfId="0" applyNumberFormat="1" applyFont="1" applyBorder="1" applyAlignment="1">
      <alignment horizontal="left"/>
    </xf>
    <xf numFmtId="0" fontId="20" fillId="0" borderId="0" xfId="0" applyFont="1" applyAlignment="1">
      <alignment horizontal="right"/>
    </xf>
    <xf numFmtId="168" fontId="20" fillId="0" borderId="0" xfId="0" applyNumberFormat="1" applyFont="1" applyAlignment="1">
      <alignment horizontal="left"/>
    </xf>
    <xf numFmtId="176" fontId="28" fillId="0" borderId="0" xfId="1" applyNumberFormat="1" applyFont="1" applyBorder="1" applyAlignment="1">
      <alignment horizontal="right"/>
    </xf>
    <xf numFmtId="180" fontId="22" fillId="0" borderId="0" xfId="0" applyNumberFormat="1" applyFont="1" applyAlignment="1">
      <alignment horizontal="right"/>
    </xf>
    <xf numFmtId="171" fontId="34" fillId="0" borderId="0" xfId="0" applyNumberFormat="1" applyFont="1"/>
    <xf numFmtId="0" fontId="12" fillId="2" borderId="0" xfId="2" applyFont="1" applyFill="1" applyAlignment="1">
      <alignment horizontal="center" vertical="center"/>
    </xf>
    <xf numFmtId="0" fontId="22" fillId="0" borderId="14" xfId="0" applyFont="1" applyBorder="1" applyAlignment="1">
      <alignment horizontal="left"/>
    </xf>
    <xf numFmtId="173" fontId="24" fillId="0" borderId="0" xfId="0" applyNumberFormat="1" applyFont="1" applyAlignment="1">
      <alignment horizontal="right"/>
    </xf>
    <xf numFmtId="176" fontId="24" fillId="0" borderId="0" xfId="1" applyNumberFormat="1" applyFont="1" applyBorder="1" applyAlignment="1">
      <alignment horizontal="right"/>
    </xf>
    <xf numFmtId="179" fontId="20" fillId="0" borderId="0" xfId="0" applyNumberFormat="1" applyFont="1" applyAlignment="1">
      <alignment horizontal="right"/>
    </xf>
    <xf numFmtId="178" fontId="22" fillId="0" borderId="0" xfId="0" applyNumberFormat="1" applyFont="1" applyAlignment="1">
      <alignment horizontal="left"/>
    </xf>
    <xf numFmtId="169" fontId="20" fillId="0" borderId="9" xfId="0" applyNumberFormat="1" applyFont="1" applyBorder="1" applyAlignment="1">
      <alignment horizontal="left"/>
    </xf>
    <xf numFmtId="178" fontId="22" fillId="0" borderId="10" xfId="0" applyNumberFormat="1" applyFont="1" applyBorder="1" applyAlignment="1">
      <alignment horizontal="left"/>
    </xf>
    <xf numFmtId="169" fontId="20" fillId="0" borderId="12" xfId="0" applyNumberFormat="1" applyFont="1" applyBorder="1" applyAlignment="1">
      <alignment horizontal="left"/>
    </xf>
    <xf numFmtId="169" fontId="20" fillId="0" borderId="14" xfId="0" applyNumberFormat="1" applyFont="1" applyBorder="1" applyAlignment="1">
      <alignment horizontal="left"/>
    </xf>
    <xf numFmtId="178" fontId="22" fillId="0" borderId="4" xfId="0" applyNumberFormat="1" applyFont="1" applyBorder="1" applyAlignment="1">
      <alignment horizontal="left"/>
    </xf>
    <xf numFmtId="172" fontId="22" fillId="0" borderId="4" xfId="0" applyNumberFormat="1" applyFont="1" applyBorder="1"/>
    <xf numFmtId="172" fontId="24" fillId="0" borderId="7" xfId="0" applyNumberFormat="1" applyFont="1" applyBorder="1"/>
    <xf numFmtId="173" fontId="22" fillId="0" borderId="0" xfId="0" applyNumberFormat="1" applyFont="1"/>
    <xf numFmtId="0" fontId="19" fillId="0" borderId="0" xfId="0" applyFont="1" applyAlignment="1">
      <alignment horizontal="right" vertical="center"/>
    </xf>
    <xf numFmtId="169" fontId="20" fillId="0" borderId="3" xfId="0" applyNumberFormat="1" applyFont="1" applyBorder="1" applyAlignment="1">
      <alignment horizontal="right"/>
    </xf>
    <xf numFmtId="37" fontId="17" fillId="3" borderId="0" xfId="0" applyNumberFormat="1" applyFont="1" applyFill="1" applyAlignment="1">
      <alignment vertical="center"/>
    </xf>
    <xf numFmtId="37" fontId="9" fillId="3" borderId="0" xfId="0" applyNumberFormat="1" applyFont="1" applyFill="1" applyAlignment="1">
      <alignment vertical="center"/>
    </xf>
    <xf numFmtId="37" fontId="10" fillId="3" borderId="0" xfId="0" applyNumberFormat="1" applyFont="1" applyFill="1" applyAlignment="1">
      <alignment vertical="center"/>
    </xf>
    <xf numFmtId="168" fontId="9" fillId="3" borderId="0" xfId="0" applyNumberFormat="1" applyFont="1" applyFill="1" applyAlignment="1">
      <alignment horizontal="right"/>
    </xf>
    <xf numFmtId="174" fontId="19" fillId="3" borderId="0" xfId="0" applyNumberFormat="1" applyFont="1" applyFill="1" applyAlignment="1">
      <alignment horizontal="centerContinuous"/>
    </xf>
    <xf numFmtId="174" fontId="20" fillId="3" borderId="0" xfId="0" applyNumberFormat="1" applyFont="1" applyFill="1" applyAlignment="1">
      <alignment horizontal="centerContinuous"/>
    </xf>
    <xf numFmtId="170" fontId="22" fillId="0" borderId="4" xfId="0" applyNumberFormat="1" applyFont="1" applyBorder="1"/>
    <xf numFmtId="168" fontId="20" fillId="0" borderId="2" xfId="0" applyNumberFormat="1" applyFont="1" applyBorder="1" applyAlignment="1">
      <alignment horizontal="right"/>
    </xf>
    <xf numFmtId="176" fontId="24" fillId="0" borderId="0" xfId="0" applyNumberFormat="1" applyFont="1"/>
    <xf numFmtId="170" fontId="22" fillId="0" borderId="0" xfId="0" applyNumberFormat="1" applyFont="1"/>
    <xf numFmtId="173" fontId="23" fillId="0" borderId="0" xfId="0" applyNumberFormat="1" applyFont="1"/>
    <xf numFmtId="172" fontId="24" fillId="0" borderId="6" xfId="0" applyNumberFormat="1" applyFont="1" applyBorder="1"/>
    <xf numFmtId="176" fontId="23" fillId="0" borderId="0" xfId="0" applyNumberFormat="1" applyFont="1"/>
    <xf numFmtId="173" fontId="24" fillId="0" borderId="0" xfId="0" applyNumberFormat="1" applyFont="1"/>
    <xf numFmtId="173" fontId="24" fillId="0" borderId="4" xfId="0" applyNumberFormat="1" applyFont="1" applyBorder="1"/>
    <xf numFmtId="176" fontId="24" fillId="0" borderId="4" xfId="0" applyNumberFormat="1" applyFont="1" applyBorder="1"/>
    <xf numFmtId="176" fontId="22" fillId="0" borderId="0" xfId="0" applyNumberFormat="1" applyFont="1"/>
    <xf numFmtId="170" fontId="24" fillId="0" borderId="0" xfId="0" applyNumberFormat="1" applyFont="1" applyAlignment="1">
      <alignment horizontal="right"/>
    </xf>
    <xf numFmtId="182" fontId="24" fillId="0" borderId="0" xfId="0" applyNumberFormat="1" applyFont="1"/>
    <xf numFmtId="173" fontId="24" fillId="0" borderId="14" xfId="0" applyNumberFormat="1" applyFont="1" applyBorder="1"/>
    <xf numFmtId="178" fontId="22" fillId="0" borderId="0" xfId="0" applyNumberFormat="1" applyFont="1"/>
    <xf numFmtId="0" fontId="31" fillId="0" borderId="0" xfId="0" applyFont="1" applyAlignment="1">
      <alignment horizontal="left"/>
    </xf>
    <xf numFmtId="172" fontId="38" fillId="0" borderId="0" xfId="0" applyNumberFormat="1" applyFont="1" applyAlignment="1">
      <alignment horizontal="centerContinuous"/>
    </xf>
    <xf numFmtId="0" fontId="37" fillId="0" borderId="0" xfId="0" applyFont="1" applyAlignment="1">
      <alignment horizontal="center"/>
    </xf>
    <xf numFmtId="0" fontId="29" fillId="0" borderId="0" xfId="0" applyFont="1"/>
    <xf numFmtId="175" fontId="38" fillId="0" borderId="0" xfId="1" applyNumberFormat="1" applyFont="1" applyFill="1" applyBorder="1"/>
    <xf numFmtId="175" fontId="29" fillId="0" borderId="0" xfId="0" applyNumberFormat="1" applyFont="1"/>
    <xf numFmtId="175" fontId="22" fillId="0" borderId="0" xfId="1" applyNumberFormat="1" applyFont="1" applyFill="1" applyBorder="1"/>
    <xf numFmtId="175" fontId="22" fillId="0" borderId="4" xfId="1" applyNumberFormat="1" applyFont="1" applyFill="1" applyBorder="1"/>
    <xf numFmtId="175" fontId="24" fillId="0" borderId="4" xfId="1" applyNumberFormat="1" applyFont="1" applyFill="1" applyBorder="1"/>
    <xf numFmtId="184" fontId="23" fillId="0" borderId="0" xfId="0" quotePrefix="1" applyNumberFormat="1" applyFont="1" applyAlignment="1">
      <alignment horizontal="left"/>
    </xf>
    <xf numFmtId="185" fontId="23" fillId="0" borderId="0" xfId="0" quotePrefix="1" applyNumberFormat="1" applyFont="1" applyAlignment="1">
      <alignment horizontal="left"/>
    </xf>
    <xf numFmtId="170" fontId="24" fillId="0" borderId="4" xfId="0" applyNumberFormat="1" applyFont="1" applyBorder="1" applyAlignment="1">
      <alignment horizontal="right"/>
    </xf>
    <xf numFmtId="168" fontId="36" fillId="0" borderId="0" xfId="0" applyNumberFormat="1" applyFont="1"/>
    <xf numFmtId="166" fontId="32" fillId="0" borderId="0" xfId="0" applyNumberFormat="1" applyFont="1" applyAlignment="1">
      <alignment vertical="center"/>
    </xf>
    <xf numFmtId="37" fontId="33" fillId="0" borderId="0" xfId="0" applyNumberFormat="1" applyFont="1" applyAlignment="1">
      <alignment vertical="center"/>
    </xf>
    <xf numFmtId="175" fontId="24" fillId="0" borderId="0" xfId="1" applyNumberFormat="1" applyFont="1" applyFill="1" applyBorder="1" applyAlignment="1"/>
    <xf numFmtId="166" fontId="32" fillId="0" borderId="10" xfId="0" applyNumberFormat="1" applyFont="1" applyBorder="1" applyAlignment="1">
      <alignment vertical="center"/>
    </xf>
    <xf numFmtId="37" fontId="33" fillId="0" borderId="10" xfId="0" applyNumberFormat="1" applyFont="1" applyBorder="1" applyAlignment="1">
      <alignment vertical="center"/>
    </xf>
    <xf numFmtId="0" fontId="22" fillId="0" borderId="9" xfId="0" applyFont="1" applyBorder="1" applyAlignment="1">
      <alignment horizontal="left"/>
    </xf>
    <xf numFmtId="0" fontId="14" fillId="0" borderId="0" xfId="4" applyFont="1"/>
    <xf numFmtId="0" fontId="14" fillId="2" borderId="17" xfId="4" applyFont="1" applyFill="1" applyBorder="1"/>
    <xf numFmtId="0" fontId="14" fillId="2" borderId="18" xfId="4" applyFont="1" applyFill="1" applyBorder="1"/>
    <xf numFmtId="0" fontId="14" fillId="2" borderId="19" xfId="4" applyFont="1" applyFill="1" applyBorder="1"/>
    <xf numFmtId="0" fontId="14" fillId="2" borderId="20" xfId="4" applyFont="1" applyFill="1" applyBorder="1"/>
    <xf numFmtId="0" fontId="14" fillId="2" borderId="0" xfId="4" applyFont="1" applyFill="1"/>
    <xf numFmtId="0" fontId="14" fillId="2" borderId="21" xfId="4" applyFont="1" applyFill="1" applyBorder="1"/>
    <xf numFmtId="0" fontId="14" fillId="0" borderId="20" xfId="4" applyFont="1" applyBorder="1"/>
    <xf numFmtId="0" fontId="14" fillId="0" borderId="21" xfId="4" applyFont="1" applyBorder="1"/>
    <xf numFmtId="0" fontId="39" fillId="0" borderId="0" xfId="4" applyFont="1" applyProtection="1">
      <protection locked="0"/>
    </xf>
    <xf numFmtId="0" fontId="40" fillId="0" borderId="0" xfId="4" applyFont="1" applyAlignment="1">
      <alignment horizontal="right"/>
    </xf>
    <xf numFmtId="0" fontId="41" fillId="0" borderId="0" xfId="4" applyFont="1"/>
    <xf numFmtId="0" fontId="44" fillId="4" borderId="0" xfId="4" applyFont="1" applyFill="1"/>
    <xf numFmtId="166" fontId="45" fillId="4" borderId="0" xfId="4" applyNumberFormat="1" applyFont="1" applyFill="1"/>
    <xf numFmtId="0" fontId="10" fillId="4" borderId="0" xfId="4" applyFont="1" applyFill="1"/>
    <xf numFmtId="0" fontId="14" fillId="0" borderId="22" xfId="4" applyFont="1" applyBorder="1"/>
    <xf numFmtId="0" fontId="14" fillId="0" borderId="23" xfId="4" applyFont="1" applyBorder="1"/>
    <xf numFmtId="0" fontId="14" fillId="0" borderId="24" xfId="4" applyFont="1" applyBorder="1"/>
    <xf numFmtId="0" fontId="21" fillId="2" borderId="0" xfId="7" applyFont="1" applyFill="1"/>
    <xf numFmtId="0" fontId="12" fillId="2" borderId="0" xfId="2" applyFont="1" applyFill="1" applyAlignment="1">
      <alignment horizontal="centerContinuous" vertical="center"/>
    </xf>
    <xf numFmtId="0" fontId="21" fillId="2" borderId="0" xfId="7" applyFont="1" applyFill="1" applyAlignment="1">
      <alignment horizontal="centerContinuous"/>
    </xf>
    <xf numFmtId="0" fontId="21" fillId="0" borderId="0" xfId="7" applyFont="1"/>
    <xf numFmtId="167" fontId="14" fillId="0" borderId="0" xfId="8" applyNumberFormat="1" applyFont="1" applyProtection="1">
      <protection locked="0"/>
    </xf>
    <xf numFmtId="167" fontId="15" fillId="0" borderId="0" xfId="8" applyNumberFormat="1" applyFont="1" applyProtection="1">
      <protection locked="0"/>
    </xf>
    <xf numFmtId="167" fontId="15" fillId="0" borderId="0" xfId="8" applyNumberFormat="1" applyFont="1" applyAlignment="1" applyProtection="1">
      <alignment horizontal="center"/>
      <protection locked="0"/>
    </xf>
    <xf numFmtId="167" fontId="15" fillId="0" borderId="0" xfId="8" applyNumberFormat="1" applyFont="1" applyAlignment="1">
      <alignment horizontal="right"/>
    </xf>
    <xf numFmtId="166" fontId="19" fillId="0" borderId="0" xfId="7" applyNumberFormat="1" applyFont="1" applyAlignment="1">
      <alignment vertical="center"/>
    </xf>
    <xf numFmtId="0" fontId="23" fillId="0" borderId="0" xfId="7" applyFont="1"/>
    <xf numFmtId="37" fontId="49" fillId="5" borderId="0" xfId="7" applyNumberFormat="1" applyFont="1" applyFill="1" applyAlignment="1">
      <alignment vertical="center"/>
    </xf>
    <xf numFmtId="0" fontId="23" fillId="0" borderId="25" xfId="7" applyFont="1" applyBorder="1"/>
    <xf numFmtId="167" fontId="23" fillId="0" borderId="0" xfId="9" applyNumberFormat="1" applyFont="1" applyProtection="1">
      <protection locked="0"/>
    </xf>
    <xf numFmtId="168" fontId="20" fillId="0" borderId="2" xfId="7" applyNumberFormat="1" applyFont="1" applyBorder="1" applyAlignment="1">
      <alignment horizontal="left"/>
    </xf>
    <xf numFmtId="168" fontId="20" fillId="0" borderId="2" xfId="7" applyNumberFormat="1" applyFont="1" applyBorder="1" applyAlignment="1">
      <alignment horizontal="right"/>
    </xf>
    <xf numFmtId="0" fontId="51" fillId="0" borderId="0" xfId="7" applyFont="1"/>
    <xf numFmtId="167" fontId="23" fillId="0" borderId="0" xfId="9" applyNumberFormat="1" applyFont="1" applyBorder="1" applyProtection="1">
      <protection locked="0"/>
    </xf>
    <xf numFmtId="0" fontId="20" fillId="0" borderId="0" xfId="7" applyFont="1"/>
    <xf numFmtId="0" fontId="23" fillId="0" borderId="0" xfId="7" applyFont="1" applyAlignment="1">
      <alignment horizontal="right"/>
    </xf>
    <xf numFmtId="186" fontId="23" fillId="0" borderId="0" xfId="7" applyNumberFormat="1" applyFont="1"/>
    <xf numFmtId="0" fontId="10" fillId="6" borderId="0" xfId="7" applyFont="1" applyFill="1"/>
    <xf numFmtId="188" fontId="20" fillId="0" borderId="0" xfId="7" applyNumberFormat="1" applyFont="1"/>
    <xf numFmtId="0" fontId="20" fillId="0" borderId="0" xfId="4" applyFont="1"/>
    <xf numFmtId="0" fontId="20" fillId="0" borderId="0" xfId="4" applyFont="1" applyAlignment="1">
      <alignment horizontal="right"/>
    </xf>
    <xf numFmtId="167" fontId="23" fillId="0" borderId="0" xfId="9" applyNumberFormat="1" applyFont="1" applyFill="1" applyBorder="1" applyProtection="1">
      <protection locked="0"/>
    </xf>
    <xf numFmtId="167" fontId="23" fillId="0" borderId="0" xfId="9" applyNumberFormat="1" applyFont="1" applyFill="1" applyProtection="1">
      <protection locked="0"/>
    </xf>
    <xf numFmtId="175" fontId="22" fillId="0" borderId="0" xfId="10" applyNumberFormat="1" applyFont="1" applyProtection="1">
      <protection locked="0"/>
    </xf>
    <xf numFmtId="186" fontId="22" fillId="0" borderId="0" xfId="10" applyNumberFormat="1" applyFont="1" applyProtection="1">
      <protection locked="0"/>
    </xf>
    <xf numFmtId="37" fontId="16" fillId="0" borderId="0" xfId="7" applyNumberFormat="1" applyFont="1" applyAlignment="1">
      <alignment vertical="center"/>
    </xf>
    <xf numFmtId="37" fontId="17" fillId="5" borderId="0" xfId="7" applyNumberFormat="1" applyFont="1" applyFill="1" applyAlignment="1">
      <alignment vertical="center"/>
    </xf>
    <xf numFmtId="37" fontId="9" fillId="7" borderId="0" xfId="7" applyNumberFormat="1" applyFont="1" applyFill="1" applyAlignment="1">
      <alignment vertical="center"/>
    </xf>
    <xf numFmtId="37" fontId="10" fillId="7" borderId="0" xfId="7" applyNumberFormat="1" applyFont="1" applyFill="1" applyAlignment="1">
      <alignment vertical="center"/>
    </xf>
    <xf numFmtId="168" fontId="9" fillId="7" borderId="0" xfId="7" applyNumberFormat="1" applyFont="1" applyFill="1" applyAlignment="1">
      <alignment horizontal="right"/>
    </xf>
    <xf numFmtId="37" fontId="18" fillId="0" borderId="0" xfId="7" applyNumberFormat="1" applyFont="1" applyAlignment="1">
      <alignment vertical="center"/>
    </xf>
    <xf numFmtId="37" fontId="9" fillId="0" borderId="0" xfId="7" applyNumberFormat="1" applyFont="1" applyAlignment="1">
      <alignment vertical="center"/>
    </xf>
    <xf numFmtId="37" fontId="10" fillId="0" borderId="0" xfId="7" applyNumberFormat="1" applyFont="1" applyAlignment="1">
      <alignment vertical="center"/>
    </xf>
    <xf numFmtId="168" fontId="9" fillId="0" borderId="0" xfId="7" applyNumberFormat="1" applyFont="1" applyAlignment="1">
      <alignment horizontal="right"/>
    </xf>
    <xf numFmtId="168" fontId="20" fillId="0" borderId="0" xfId="7" applyNumberFormat="1" applyFont="1" applyAlignment="1">
      <alignment horizontal="right"/>
    </xf>
    <xf numFmtId="169" fontId="20" fillId="0" borderId="3" xfId="7" applyNumberFormat="1" applyFont="1" applyBorder="1" applyAlignment="1">
      <alignment horizontal="right"/>
    </xf>
    <xf numFmtId="170" fontId="23" fillId="0" borderId="0" xfId="9" applyNumberFormat="1" applyFont="1" applyFill="1" applyProtection="1">
      <protection locked="0"/>
    </xf>
    <xf numFmtId="170" fontId="51" fillId="0" borderId="0" xfId="9" applyNumberFormat="1" applyFont="1" applyFill="1" applyProtection="1">
      <protection locked="0"/>
    </xf>
    <xf numFmtId="167" fontId="23" fillId="0" borderId="0" xfId="9" applyNumberFormat="1" applyFont="1" applyAlignment="1" applyProtection="1">
      <alignment horizontal="center"/>
      <protection locked="0"/>
    </xf>
    <xf numFmtId="168" fontId="10" fillId="0" borderId="0" xfId="7" applyNumberFormat="1" applyFont="1" applyAlignment="1">
      <alignment horizontal="right"/>
    </xf>
    <xf numFmtId="168" fontId="23" fillId="0" borderId="0" xfId="7" applyNumberFormat="1" applyFont="1" applyAlignment="1">
      <alignment horizontal="right"/>
    </xf>
    <xf numFmtId="0" fontId="22" fillId="0" borderId="0" xfId="7" applyFont="1" applyAlignment="1">
      <alignment horizontal="left"/>
    </xf>
    <xf numFmtId="0" fontId="23" fillId="0" borderId="0" xfId="7" applyFont="1" applyAlignment="1">
      <alignment horizontal="left"/>
    </xf>
    <xf numFmtId="170" fontId="23" fillId="0" borderId="0" xfId="7" applyNumberFormat="1" applyFont="1"/>
    <xf numFmtId="167" fontId="20" fillId="0" borderId="0" xfId="9" applyNumberFormat="1" applyFont="1" applyProtection="1">
      <protection locked="0"/>
    </xf>
    <xf numFmtId="167" fontId="20" fillId="0" borderId="0" xfId="9" applyNumberFormat="1" applyFont="1" applyAlignment="1" applyProtection="1">
      <alignment horizontal="right"/>
      <protection locked="0"/>
    </xf>
    <xf numFmtId="5" fontId="20" fillId="0" borderId="0" xfId="9" applyNumberFormat="1" applyFont="1" applyAlignment="1" applyProtection="1">
      <alignment horizontal="right"/>
      <protection locked="0"/>
    </xf>
    <xf numFmtId="170" fontId="23" fillId="0" borderId="0" xfId="9" applyNumberFormat="1" applyFont="1" applyFill="1" applyBorder="1" applyAlignment="1" applyProtection="1">
      <alignment horizontal="right"/>
      <protection locked="0"/>
    </xf>
    <xf numFmtId="175" fontId="23" fillId="0" borderId="0" xfId="10" applyNumberFormat="1" applyFont="1" applyFill="1" applyBorder="1" applyProtection="1">
      <protection locked="0"/>
    </xf>
    <xf numFmtId="0" fontId="21" fillId="8" borderId="0" xfId="7" applyFont="1" applyFill="1"/>
    <xf numFmtId="167" fontId="23" fillId="0" borderId="0" xfId="9" applyNumberFormat="1" applyFont="1" applyBorder="1" applyAlignment="1" applyProtection="1">
      <alignment horizontal="center"/>
      <protection locked="0"/>
    </xf>
    <xf numFmtId="170" fontId="24" fillId="0" borderId="0" xfId="9" applyNumberFormat="1" applyFont="1" applyFill="1" applyProtection="1">
      <protection locked="0"/>
    </xf>
    <xf numFmtId="167" fontId="20" fillId="0" borderId="0" xfId="9" applyNumberFormat="1" applyFont="1" applyBorder="1" applyProtection="1">
      <protection locked="0"/>
    </xf>
    <xf numFmtId="170" fontId="24" fillId="0" borderId="0" xfId="9" applyNumberFormat="1" applyFont="1" applyFill="1" applyBorder="1" applyProtection="1">
      <protection locked="0"/>
    </xf>
    <xf numFmtId="170" fontId="23" fillId="0" borderId="0" xfId="9" applyNumberFormat="1" applyFont="1" applyFill="1" applyBorder="1" applyProtection="1">
      <protection locked="0"/>
    </xf>
    <xf numFmtId="170" fontId="23" fillId="0" borderId="0" xfId="9" applyNumberFormat="1" applyFont="1" applyBorder="1" applyProtection="1">
      <protection locked="0"/>
    </xf>
    <xf numFmtId="170" fontId="20" fillId="0" borderId="0" xfId="9" applyNumberFormat="1" applyFont="1" applyFill="1" applyBorder="1" applyProtection="1">
      <protection locked="0"/>
    </xf>
    <xf numFmtId="170" fontId="23" fillId="0" borderId="0" xfId="9" applyNumberFormat="1" applyFont="1" applyProtection="1">
      <protection locked="0"/>
    </xf>
    <xf numFmtId="170" fontId="20" fillId="0" borderId="0" xfId="9" applyNumberFormat="1" applyFont="1" applyFill="1" applyProtection="1">
      <protection locked="0"/>
    </xf>
    <xf numFmtId="167" fontId="20" fillId="0" borderId="0" xfId="9" applyNumberFormat="1" applyFont="1" applyFill="1" applyAlignment="1" applyProtection="1">
      <alignment horizontal="center"/>
      <protection locked="0"/>
    </xf>
    <xf numFmtId="170" fontId="51" fillId="0" borderId="0" xfId="9" applyNumberFormat="1" applyFont="1" applyBorder="1" applyProtection="1">
      <protection locked="0"/>
    </xf>
    <xf numFmtId="170" fontId="27" fillId="0" borderId="0" xfId="9" applyNumberFormat="1" applyFont="1" applyBorder="1" applyProtection="1">
      <protection locked="0"/>
    </xf>
    <xf numFmtId="167" fontId="23" fillId="0" borderId="0" xfId="9" applyNumberFormat="1" applyFont="1" applyFill="1" applyBorder="1" applyAlignment="1" applyProtection="1">
      <alignment horizontal="center"/>
      <protection locked="0"/>
    </xf>
    <xf numFmtId="170" fontId="51" fillId="0" borderId="0" xfId="9" applyNumberFormat="1" applyFont="1" applyFill="1" applyBorder="1" applyProtection="1">
      <protection locked="0"/>
    </xf>
    <xf numFmtId="170" fontId="27" fillId="0" borderId="0" xfId="9" applyNumberFormat="1" applyFont="1" applyFill="1" applyBorder="1" applyProtection="1">
      <protection locked="0"/>
    </xf>
    <xf numFmtId="0" fontId="23" fillId="0" borderId="4" xfId="7" applyFont="1" applyBorder="1"/>
    <xf numFmtId="170" fontId="30" fillId="0" borderId="0" xfId="9" applyNumberFormat="1" applyFont="1" applyFill="1" applyBorder="1" applyProtection="1">
      <protection locked="0"/>
    </xf>
    <xf numFmtId="0" fontId="23" fillId="0" borderId="0" xfId="7" applyFont="1" applyAlignment="1">
      <alignment horizontal="left" indent="1"/>
    </xf>
    <xf numFmtId="170" fontId="10" fillId="7" borderId="0" xfId="7" applyNumberFormat="1" applyFont="1" applyFill="1" applyAlignment="1">
      <alignment vertical="center"/>
    </xf>
    <xf numFmtId="170" fontId="9" fillId="7" borderId="0" xfId="7" applyNumberFormat="1" applyFont="1" applyFill="1" applyAlignment="1">
      <alignment horizontal="right"/>
    </xf>
    <xf numFmtId="167" fontId="20" fillId="0" borderId="0" xfId="9" applyNumberFormat="1" applyFont="1" applyFill="1" applyProtection="1">
      <protection locked="0"/>
    </xf>
    <xf numFmtId="167" fontId="20" fillId="0" borderId="0" xfId="9" applyNumberFormat="1" applyFont="1" applyFill="1" applyBorder="1" applyProtection="1">
      <protection locked="0"/>
    </xf>
    <xf numFmtId="167" fontId="54" fillId="0" borderId="0" xfId="9" applyNumberFormat="1" applyFont="1" applyFill="1" applyBorder="1" applyProtection="1">
      <protection locked="0"/>
    </xf>
    <xf numFmtId="167" fontId="54" fillId="0" borderId="0" xfId="9" applyNumberFormat="1" applyFont="1" applyFill="1" applyBorder="1" applyAlignment="1" applyProtection="1">
      <alignment horizontal="center"/>
      <protection locked="0"/>
    </xf>
    <xf numFmtId="167" fontId="23" fillId="0" borderId="0" xfId="9" applyNumberFormat="1" applyFont="1" applyFill="1" applyAlignment="1" applyProtection="1">
      <alignment horizontal="center"/>
      <protection locked="0"/>
    </xf>
    <xf numFmtId="167" fontId="46" fillId="0" borderId="0" xfId="9" applyNumberFormat="1" applyFont="1" applyFill="1" applyBorder="1" applyAlignment="1" applyProtection="1">
      <alignment horizontal="center"/>
      <protection locked="0"/>
    </xf>
    <xf numFmtId="170" fontId="54" fillId="0" borderId="0" xfId="9" applyNumberFormat="1" applyFont="1" applyBorder="1" applyAlignment="1" applyProtection="1">
      <alignment horizontal="right"/>
      <protection locked="0"/>
    </xf>
    <xf numFmtId="170" fontId="54" fillId="0" borderId="0" xfId="9" applyNumberFormat="1" applyFont="1" applyFill="1" applyBorder="1" applyAlignment="1" applyProtection="1">
      <alignment horizontal="right"/>
      <protection locked="0"/>
    </xf>
    <xf numFmtId="167" fontId="20" fillId="0" borderId="0" xfId="9" applyNumberFormat="1" applyFont="1" applyFill="1" applyBorder="1" applyAlignment="1" applyProtection="1">
      <alignment horizontal="center"/>
      <protection locked="0"/>
    </xf>
    <xf numFmtId="192" fontId="23" fillId="0" borderId="0" xfId="9" applyNumberFormat="1" applyFont="1" applyFill="1" applyBorder="1" applyProtection="1">
      <protection locked="0"/>
    </xf>
    <xf numFmtId="188" fontId="20" fillId="0" borderId="0" xfId="9" applyNumberFormat="1" applyFont="1" applyFill="1" applyBorder="1" applyAlignment="1" applyProtection="1">
      <alignment horizontal="right"/>
      <protection locked="0"/>
    </xf>
    <xf numFmtId="14" fontId="23" fillId="0" borderId="0" xfId="9" applyNumberFormat="1" applyFont="1" applyFill="1" applyBorder="1" applyProtection="1">
      <protection locked="0"/>
    </xf>
    <xf numFmtId="170" fontId="22" fillId="0" borderId="10" xfId="0" applyNumberFormat="1" applyFont="1" applyBorder="1"/>
    <xf numFmtId="173" fontId="22" fillId="0" borderId="4" xfId="0" applyNumberFormat="1" applyFont="1" applyBorder="1"/>
    <xf numFmtId="170" fontId="22" fillId="0" borderId="16" xfId="0" applyNumberFormat="1" applyFont="1" applyBorder="1"/>
    <xf numFmtId="176" fontId="23" fillId="0" borderId="4" xfId="0" applyNumberFormat="1" applyFont="1" applyBorder="1"/>
    <xf numFmtId="176" fontId="22" fillId="0" borderId="4" xfId="0" applyNumberFormat="1" applyFont="1" applyBorder="1"/>
    <xf numFmtId="170" fontId="23" fillId="0" borderId="4" xfId="0" applyNumberFormat="1" applyFont="1" applyBorder="1"/>
    <xf numFmtId="170" fontId="22" fillId="0" borderId="5" xfId="0" applyNumberFormat="1" applyFont="1" applyBorder="1"/>
    <xf numFmtId="170" fontId="20" fillId="0" borderId="0" xfId="0" applyNumberFormat="1" applyFont="1" applyAlignment="1">
      <alignment horizontal="right"/>
    </xf>
    <xf numFmtId="175" fontId="20" fillId="0" borderId="0" xfId="1" applyNumberFormat="1" applyFont="1" applyFill="1" applyAlignment="1">
      <alignment horizontal="right"/>
    </xf>
    <xf numFmtId="9" fontId="30" fillId="0" borderId="0" xfId="1" applyFont="1" applyFill="1" applyAlignment="1">
      <alignment horizontal="right"/>
    </xf>
    <xf numFmtId="9" fontId="20" fillId="0" borderId="0" xfId="1" applyFont="1" applyFill="1" applyAlignment="1">
      <alignment horizontal="right"/>
    </xf>
    <xf numFmtId="9" fontId="20" fillId="0" borderId="0" xfId="1" applyFont="1" applyFill="1" applyBorder="1" applyAlignment="1">
      <alignment horizontal="right"/>
    </xf>
    <xf numFmtId="170" fontId="23" fillId="0" borderId="0" xfId="0" applyNumberFormat="1" applyFont="1" applyAlignment="1">
      <alignment horizontal="right"/>
    </xf>
    <xf numFmtId="170" fontId="22" fillId="0" borderId="0" xfId="0" applyNumberFormat="1" applyFont="1" applyAlignment="1">
      <alignment horizontal="right"/>
    </xf>
    <xf numFmtId="170" fontId="24" fillId="0" borderId="1" xfId="0" applyNumberFormat="1" applyFont="1" applyBorder="1" applyAlignment="1">
      <alignment horizontal="right"/>
    </xf>
    <xf numFmtId="170" fontId="23" fillId="0" borderId="1" xfId="0" applyNumberFormat="1" applyFont="1" applyBorder="1" applyAlignment="1">
      <alignment horizontal="right"/>
    </xf>
    <xf numFmtId="170" fontId="20" fillId="0" borderId="5" xfId="0" applyNumberFormat="1" applyFont="1" applyBorder="1" applyAlignment="1">
      <alignment horizontal="right"/>
    </xf>
    <xf numFmtId="38" fontId="23" fillId="0" borderId="0" xfId="0" applyNumberFormat="1" applyFont="1"/>
    <xf numFmtId="40" fontId="23" fillId="0" borderId="0" xfId="0" applyNumberFormat="1" applyFont="1"/>
    <xf numFmtId="172" fontId="27" fillId="0" borderId="0" xfId="0" applyNumberFormat="1" applyFont="1"/>
    <xf numFmtId="172" fontId="25" fillId="0" borderId="5" xfId="0" applyNumberFormat="1" applyFont="1" applyBorder="1"/>
    <xf numFmtId="180" fontId="22" fillId="0" borderId="7" xfId="0" applyNumberFormat="1" applyFont="1" applyBorder="1" applyAlignment="1">
      <alignment horizontal="right"/>
    </xf>
    <xf numFmtId="180" fontId="22" fillId="0" borderId="8" xfId="0" applyNumberFormat="1" applyFont="1" applyBorder="1" applyAlignment="1">
      <alignment horizontal="right"/>
    </xf>
    <xf numFmtId="173" fontId="22" fillId="0" borderId="10" xfId="0" applyNumberFormat="1" applyFont="1" applyBorder="1" applyAlignment="1">
      <alignment horizontal="right"/>
    </xf>
    <xf numFmtId="173" fontId="22" fillId="0" borderId="11" xfId="0" applyNumberFormat="1" applyFont="1" applyBorder="1" applyAlignment="1">
      <alignment horizontal="right"/>
    </xf>
    <xf numFmtId="173" fontId="22" fillId="0" borderId="0" xfId="0" applyNumberFormat="1" applyFont="1" applyAlignment="1">
      <alignment horizontal="right"/>
    </xf>
    <xf numFmtId="173" fontId="22" fillId="0" borderId="13" xfId="0" applyNumberFormat="1" applyFont="1" applyBorder="1" applyAlignment="1">
      <alignment horizontal="right"/>
    </xf>
    <xf numFmtId="173" fontId="22" fillId="0" borderId="4" xfId="0" applyNumberFormat="1" applyFont="1" applyBorder="1" applyAlignment="1">
      <alignment horizontal="right"/>
    </xf>
    <xf numFmtId="173" fontId="22" fillId="0" borderId="15" xfId="0" applyNumberFormat="1" applyFont="1" applyBorder="1" applyAlignment="1">
      <alignment horizontal="right"/>
    </xf>
    <xf numFmtId="172" fontId="22" fillId="0" borderId="10" xfId="0" applyNumberFormat="1" applyFont="1" applyBorder="1" applyAlignment="1">
      <alignment horizontal="left"/>
    </xf>
    <xf numFmtId="172" fontId="22" fillId="0" borderId="11" xfId="0" applyNumberFormat="1" applyFont="1" applyBorder="1" applyAlignment="1">
      <alignment horizontal="left"/>
    </xf>
    <xf numFmtId="172" fontId="22" fillId="0" borderId="0" xfId="0" applyNumberFormat="1" applyFont="1" applyAlignment="1">
      <alignment horizontal="left"/>
    </xf>
    <xf numFmtId="172" fontId="22" fillId="0" borderId="13" xfId="0" applyNumberFormat="1" applyFont="1" applyBorder="1" applyAlignment="1">
      <alignment horizontal="left"/>
    </xf>
    <xf numFmtId="172" fontId="22" fillId="0" borderId="4" xfId="0" applyNumberFormat="1" applyFont="1" applyBorder="1" applyAlignment="1">
      <alignment horizontal="left"/>
    </xf>
    <xf numFmtId="172" fontId="22" fillId="0" borderId="15" xfId="0" applyNumberFormat="1" applyFont="1" applyBorder="1" applyAlignment="1">
      <alignment horizontal="left"/>
    </xf>
    <xf numFmtId="166" fontId="55" fillId="0" borderId="0" xfId="2" applyNumberFormat="1" applyFont="1" applyFill="1" applyBorder="1" applyProtection="1">
      <protection locked="0"/>
    </xf>
    <xf numFmtId="0" fontId="42" fillId="0" borderId="0" xfId="3" applyFont="1" applyFill="1" applyBorder="1" applyProtection="1">
      <protection locked="0"/>
    </xf>
    <xf numFmtId="170" fontId="22" fillId="0" borderId="0" xfId="9" applyNumberFormat="1" applyFont="1" applyFill="1" applyBorder="1" applyAlignment="1" applyProtection="1">
      <protection locked="0"/>
    </xf>
    <xf numFmtId="9" fontId="23" fillId="0" borderId="0" xfId="10" applyFont="1" applyFill="1" applyBorder="1" applyProtection="1">
      <protection locked="0"/>
    </xf>
    <xf numFmtId="167" fontId="46" fillId="0" borderId="0" xfId="9" applyNumberFormat="1" applyFont="1" applyFill="1" applyBorder="1" applyProtection="1">
      <protection locked="0"/>
    </xf>
    <xf numFmtId="170" fontId="9" fillId="0" borderId="0" xfId="7" applyNumberFormat="1" applyFont="1" applyAlignment="1">
      <alignment horizontal="right"/>
    </xf>
    <xf numFmtId="186" fontId="22" fillId="0" borderId="0" xfId="9" applyNumberFormat="1" applyFont="1" applyFill="1" applyBorder="1" applyAlignment="1" applyProtection="1">
      <alignment horizontal="right"/>
      <protection locked="0"/>
    </xf>
    <xf numFmtId="168" fontId="20" fillId="0" borderId="0" xfId="7" applyNumberFormat="1" applyFont="1" applyAlignment="1">
      <alignment horizontal="centerContinuous"/>
    </xf>
    <xf numFmtId="0" fontId="22" fillId="0" borderId="0" xfId="7" applyFont="1"/>
    <xf numFmtId="168" fontId="56" fillId="0" borderId="0" xfId="7" applyNumberFormat="1" applyFont="1" applyAlignment="1">
      <alignment horizontal="right"/>
    </xf>
    <xf numFmtId="168" fontId="35" fillId="0" borderId="0" xfId="0" applyNumberFormat="1" applyFont="1" applyAlignment="1">
      <alignment horizontal="right"/>
    </xf>
    <xf numFmtId="170" fontId="24" fillId="0" borderId="0" xfId="9" applyNumberFormat="1" applyFont="1" applyFill="1" applyBorder="1" applyAlignment="1" applyProtection="1">
      <protection locked="0"/>
    </xf>
    <xf numFmtId="170" fontId="23" fillId="0" borderId="4" xfId="7" applyNumberFormat="1" applyFont="1" applyBorder="1"/>
    <xf numFmtId="170" fontId="23" fillId="0" borderId="4" xfId="9" applyNumberFormat="1" applyFont="1" applyFill="1" applyBorder="1" applyProtection="1">
      <protection locked="0"/>
    </xf>
    <xf numFmtId="170" fontId="51" fillId="0" borderId="4" xfId="9" applyNumberFormat="1" applyFont="1" applyFill="1" applyBorder="1" applyProtection="1">
      <protection locked="0"/>
    </xf>
    <xf numFmtId="168" fontId="36" fillId="0" borderId="0" xfId="7" applyNumberFormat="1" applyFont="1"/>
    <xf numFmtId="170" fontId="29" fillId="0" borderId="0" xfId="7" applyNumberFormat="1" applyFont="1" applyAlignment="1">
      <alignment horizontal="left"/>
    </xf>
    <xf numFmtId="172" fontId="25" fillId="0" borderId="0" xfId="0" applyNumberFormat="1" applyFont="1"/>
    <xf numFmtId="167" fontId="23" fillId="0" borderId="26" xfId="9" applyNumberFormat="1" applyFont="1" applyFill="1" applyBorder="1" applyProtection="1">
      <protection locked="0"/>
    </xf>
    <xf numFmtId="170" fontId="24" fillId="0" borderId="0" xfId="7" applyNumberFormat="1" applyFont="1"/>
    <xf numFmtId="194" fontId="51" fillId="0" borderId="0" xfId="10" applyNumberFormat="1" applyFont="1" applyFill="1" applyBorder="1" applyAlignment="1" applyProtection="1">
      <alignment horizontal="right"/>
      <protection locked="0"/>
    </xf>
    <xf numFmtId="170" fontId="23" fillId="0" borderId="0" xfId="7" applyNumberFormat="1" applyFont="1" applyAlignment="1">
      <alignment horizontal="center"/>
    </xf>
    <xf numFmtId="0" fontId="54" fillId="0" borderId="0" xfId="7" applyFont="1"/>
    <xf numFmtId="167" fontId="23" fillId="0" borderId="4" xfId="9" applyNumberFormat="1" applyFont="1" applyFill="1" applyBorder="1" applyProtection="1">
      <protection locked="0"/>
    </xf>
    <xf numFmtId="167" fontId="23" fillId="0" borderId="4" xfId="9" applyNumberFormat="1" applyFont="1" applyFill="1" applyBorder="1" applyAlignment="1" applyProtection="1">
      <alignment horizontal="center"/>
      <protection locked="0"/>
    </xf>
    <xf numFmtId="181" fontId="20" fillId="0" borderId="0" xfId="0" applyNumberFormat="1" applyFont="1" applyAlignment="1">
      <alignment horizontal="right"/>
    </xf>
    <xf numFmtId="183" fontId="22" fillId="0" borderId="4" xfId="0" applyNumberFormat="1" applyFont="1" applyBorder="1"/>
    <xf numFmtId="183" fontId="22" fillId="0" borderId="15" xfId="0" applyNumberFormat="1" applyFont="1" applyBorder="1"/>
    <xf numFmtId="187" fontId="23" fillId="0" borderId="0" xfId="7" applyNumberFormat="1" applyFont="1"/>
    <xf numFmtId="175" fontId="23" fillId="0" borderId="0" xfId="10" applyNumberFormat="1" applyFont="1"/>
    <xf numFmtId="0" fontId="38" fillId="0" borderId="0" xfId="7" applyFont="1"/>
    <xf numFmtId="168" fontId="57" fillId="0" borderId="0" xfId="0" applyNumberFormat="1" applyFont="1" applyAlignment="1">
      <alignment horizontal="right" vertical="center"/>
    </xf>
    <xf numFmtId="0" fontId="43" fillId="0" borderId="0" xfId="0" applyFont="1"/>
    <xf numFmtId="0" fontId="23" fillId="0" borderId="0" xfId="0" applyFont="1" applyAlignment="1">
      <alignment horizontal="right" vertical="center"/>
    </xf>
    <xf numFmtId="0" fontId="23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191" fontId="27" fillId="0" borderId="0" xfId="0" applyNumberFormat="1" applyFont="1" applyAlignment="1">
      <alignment horizontal="right" vertical="center"/>
    </xf>
    <xf numFmtId="0" fontId="52" fillId="0" borderId="0" xfId="0" applyFont="1" applyAlignment="1">
      <alignment horizontal="right" vertical="center"/>
    </xf>
    <xf numFmtId="0" fontId="22" fillId="0" borderId="0" xfId="0" applyFont="1" applyAlignment="1">
      <alignment horizontal="center" vertical="center"/>
    </xf>
    <xf numFmtId="172" fontId="23" fillId="0" borderId="4" xfId="0" applyNumberFormat="1" applyFont="1" applyBorder="1"/>
    <xf numFmtId="173" fontId="23" fillId="0" borderId="6" xfId="0" applyNumberFormat="1" applyFont="1" applyBorder="1"/>
    <xf numFmtId="173" fontId="23" fillId="0" borderId="7" xfId="0" applyNumberFormat="1" applyFont="1" applyBorder="1"/>
    <xf numFmtId="173" fontId="23" fillId="0" borderId="8" xfId="0" applyNumberFormat="1" applyFont="1" applyBorder="1"/>
    <xf numFmtId="189" fontId="22" fillId="0" borderId="0" xfId="9" applyNumberFormat="1" applyFont="1" applyBorder="1" applyAlignment="1" applyProtection="1">
      <alignment horizontal="right"/>
      <protection locked="0"/>
    </xf>
    <xf numFmtId="175" fontId="22" fillId="0" borderId="0" xfId="10" applyNumberFormat="1" applyFont="1" applyBorder="1" applyProtection="1">
      <protection locked="0"/>
    </xf>
    <xf numFmtId="186" fontId="22" fillId="0" borderId="0" xfId="10" applyNumberFormat="1" applyFont="1" applyBorder="1" applyProtection="1">
      <protection locked="0"/>
    </xf>
    <xf numFmtId="167" fontId="22" fillId="0" borderId="0" xfId="9" applyNumberFormat="1" applyFont="1" applyFill="1" applyBorder="1" applyAlignment="1" applyProtection="1">
      <protection locked="0"/>
    </xf>
    <xf numFmtId="0" fontId="59" fillId="0" borderId="0" xfId="7" applyFont="1"/>
    <xf numFmtId="0" fontId="20" fillId="0" borderId="25" xfId="4" applyFont="1" applyBorder="1"/>
    <xf numFmtId="0" fontId="20" fillId="0" borderId="25" xfId="4" applyFont="1" applyBorder="1" applyAlignment="1">
      <alignment horizontal="right"/>
    </xf>
    <xf numFmtId="0" fontId="60" fillId="0" borderId="0" xfId="6" applyFont="1"/>
    <xf numFmtId="167" fontId="14" fillId="0" borderId="0" xfId="8" applyNumberFormat="1" applyFont="1" applyBorder="1" applyProtection="1">
      <protection locked="0"/>
    </xf>
    <xf numFmtId="167" fontId="15" fillId="0" borderId="0" xfId="8" applyNumberFormat="1" applyFont="1" applyBorder="1" applyProtection="1">
      <protection locked="0"/>
    </xf>
    <xf numFmtId="167" fontId="15" fillId="0" borderId="0" xfId="8" applyNumberFormat="1" applyFont="1" applyBorder="1" applyAlignment="1" applyProtection="1">
      <alignment horizontal="center"/>
      <protection locked="0"/>
    </xf>
    <xf numFmtId="167" fontId="15" fillId="0" borderId="0" xfId="8" applyNumberFormat="1" applyFont="1" applyBorder="1" applyAlignment="1">
      <alignment horizontal="right"/>
    </xf>
    <xf numFmtId="167" fontId="23" fillId="0" borderId="0" xfId="9" applyNumberFormat="1" applyFont="1" applyBorder="1" applyAlignment="1" applyProtection="1">
      <alignment horizontal="centerContinuous"/>
      <protection locked="0"/>
    </xf>
    <xf numFmtId="167" fontId="23" fillId="0" borderId="0" xfId="9" applyNumberFormat="1" applyFont="1" applyFill="1" applyBorder="1" applyAlignment="1" applyProtection="1">
      <alignment horizontal="centerContinuous"/>
      <protection locked="0"/>
    </xf>
    <xf numFmtId="170" fontId="20" fillId="0" borderId="0" xfId="7" applyNumberFormat="1" applyFont="1"/>
    <xf numFmtId="0" fontId="20" fillId="0" borderId="0" xfId="7" applyFont="1" applyAlignment="1">
      <alignment horizontal="right"/>
    </xf>
    <xf numFmtId="37" fontId="49" fillId="0" borderId="0" xfId="7" applyNumberFormat="1" applyFont="1" applyAlignment="1">
      <alignment vertical="center"/>
    </xf>
    <xf numFmtId="0" fontId="40" fillId="0" borderId="0" xfId="4" applyFont="1" applyProtection="1">
      <protection locked="0"/>
    </xf>
    <xf numFmtId="0" fontId="40" fillId="0" borderId="33" xfId="4" applyFont="1" applyBorder="1" applyProtection="1">
      <protection locked="0"/>
    </xf>
    <xf numFmtId="0" fontId="23" fillId="0" borderId="0" xfId="4" applyFont="1" applyAlignment="1">
      <alignment horizontal="left"/>
    </xf>
    <xf numFmtId="173" fontId="23" fillId="0" borderId="0" xfId="10" applyNumberFormat="1" applyFont="1" applyFill="1" applyBorder="1" applyAlignment="1" applyProtection="1">
      <alignment horizontal="right"/>
      <protection locked="0"/>
    </xf>
    <xf numFmtId="9" fontId="22" fillId="0" borderId="0" xfId="10" applyFont="1" applyFill="1" applyBorder="1" applyAlignment="1" applyProtection="1">
      <protection locked="0"/>
    </xf>
    <xf numFmtId="176" fontId="24" fillId="0" borderId="4" xfId="9" applyNumberFormat="1" applyFont="1" applyBorder="1" applyAlignment="1" applyProtection="1">
      <alignment horizontal="right"/>
      <protection locked="0"/>
    </xf>
    <xf numFmtId="37" fontId="62" fillId="0" borderId="0" xfId="7" applyNumberFormat="1" applyFont="1" applyAlignment="1">
      <alignment vertical="center"/>
    </xf>
    <xf numFmtId="175" fontId="54" fillId="0" borderId="0" xfId="0" applyNumberFormat="1" applyFont="1" applyAlignment="1">
      <alignment horizontal="right" vertical="center"/>
    </xf>
    <xf numFmtId="175" fontId="27" fillId="0" borderId="0" xfId="0" applyNumberFormat="1" applyFont="1" applyAlignment="1">
      <alignment horizontal="right" vertical="center"/>
    </xf>
    <xf numFmtId="175" fontId="43" fillId="0" borderId="0" xfId="0" applyNumberFormat="1" applyFont="1"/>
    <xf numFmtId="170" fontId="54" fillId="0" borderId="0" xfId="0" applyNumberFormat="1" applyFont="1" applyAlignment="1">
      <alignment horizontal="right" vertical="center"/>
    </xf>
    <xf numFmtId="170" fontId="27" fillId="0" borderId="0" xfId="0" applyNumberFormat="1" applyFont="1" applyAlignment="1">
      <alignment horizontal="right" vertical="center"/>
    </xf>
    <xf numFmtId="170" fontId="43" fillId="0" borderId="0" xfId="0" applyNumberFormat="1" applyFont="1" applyAlignment="1">
      <alignment horizontal="right"/>
    </xf>
    <xf numFmtId="170" fontId="24" fillId="0" borderId="0" xfId="0" applyNumberFormat="1" applyFont="1" applyAlignment="1">
      <alignment horizontal="right" vertical="center"/>
    </xf>
    <xf numFmtId="0" fontId="43" fillId="0" borderId="4" xfId="0" applyFont="1" applyBorder="1"/>
    <xf numFmtId="0" fontId="23" fillId="0" borderId="4" xfId="0" applyFont="1" applyBorder="1" applyAlignment="1">
      <alignment horizontal="right" vertical="center"/>
    </xf>
    <xf numFmtId="168" fontId="57" fillId="0" borderId="4" xfId="0" applyNumberFormat="1" applyFont="1" applyBorder="1" applyAlignment="1">
      <alignment horizontal="right" vertical="center"/>
    </xf>
    <xf numFmtId="191" fontId="23" fillId="0" borderId="0" xfId="7" applyNumberFormat="1" applyFont="1" applyAlignment="1">
      <alignment vertical="center"/>
    </xf>
    <xf numFmtId="168" fontId="20" fillId="0" borderId="0" xfId="7" applyNumberFormat="1" applyFont="1" applyAlignment="1">
      <alignment horizontal="left"/>
    </xf>
    <xf numFmtId="167" fontId="20" fillId="0" borderId="0" xfId="9" applyNumberFormat="1" applyFont="1" applyFill="1" applyBorder="1" applyAlignment="1" applyProtection="1">
      <alignment horizontal="left"/>
      <protection locked="0"/>
    </xf>
    <xf numFmtId="167" fontId="23" fillId="0" borderId="0" xfId="9" applyNumberFormat="1" applyFont="1" applyAlignment="1" applyProtection="1">
      <alignment horizontal="left"/>
      <protection locked="0"/>
    </xf>
    <xf numFmtId="0" fontId="20" fillId="0" borderId="0" xfId="9" applyNumberFormat="1" applyFont="1" applyFill="1" applyBorder="1" applyAlignment="1" applyProtection="1">
      <protection locked="0"/>
    </xf>
    <xf numFmtId="0" fontId="63" fillId="0" borderId="28" xfId="0" applyFont="1" applyBorder="1" applyAlignment="1">
      <alignment horizontal="center"/>
    </xf>
    <xf numFmtId="0" fontId="32" fillId="0" borderId="0" xfId="7" applyFont="1" applyAlignment="1">
      <alignment horizontal="center"/>
    </xf>
    <xf numFmtId="166" fontId="23" fillId="0" borderId="0" xfId="7" applyNumberFormat="1" applyFont="1" applyAlignment="1">
      <alignment vertical="center"/>
    </xf>
    <xf numFmtId="0" fontId="64" fillId="0" borderId="0" xfId="0" applyFont="1" applyAlignment="1">
      <alignment horizontal="center"/>
    </xf>
    <xf numFmtId="0" fontId="63" fillId="0" borderId="10" xfId="0" applyFont="1" applyBorder="1" applyAlignment="1">
      <alignment horizontal="center"/>
    </xf>
    <xf numFmtId="0" fontId="63" fillId="0" borderId="9" xfId="0" applyFont="1" applyBorder="1" applyAlignment="1">
      <alignment horizontal="center"/>
    </xf>
    <xf numFmtId="198" fontId="23" fillId="0" borderId="37" xfId="7" applyNumberFormat="1" applyFont="1" applyBorder="1" applyAlignment="1">
      <alignment horizontal="center"/>
    </xf>
    <xf numFmtId="0" fontId="63" fillId="0" borderId="11" xfId="0" applyFont="1" applyBorder="1" applyAlignment="1">
      <alignment horizontal="center"/>
    </xf>
    <xf numFmtId="0" fontId="65" fillId="0" borderId="0" xfId="4" applyFont="1"/>
    <xf numFmtId="182" fontId="20" fillId="0" borderId="32" xfId="0" applyNumberFormat="1" applyFont="1" applyBorder="1" applyAlignment="1">
      <alignment horizontal="right"/>
    </xf>
    <xf numFmtId="182" fontId="20" fillId="0" borderId="31" xfId="0" applyNumberFormat="1" applyFont="1" applyBorder="1" applyAlignment="1">
      <alignment horizontal="right"/>
    </xf>
    <xf numFmtId="182" fontId="20" fillId="0" borderId="30" xfId="0" applyNumberFormat="1" applyFont="1" applyBorder="1" applyAlignment="1">
      <alignment horizontal="right"/>
    </xf>
    <xf numFmtId="182" fontId="24" fillId="0" borderId="9" xfId="0" applyNumberFormat="1" applyFont="1" applyBorder="1" applyAlignment="1">
      <alignment horizontal="right"/>
    </xf>
    <xf numFmtId="182" fontId="24" fillId="0" borderId="10" xfId="0" applyNumberFormat="1" applyFont="1" applyBorder="1" applyAlignment="1">
      <alignment horizontal="right"/>
    </xf>
    <xf numFmtId="182" fontId="24" fillId="0" borderId="11" xfId="0" applyNumberFormat="1" applyFont="1" applyBorder="1" applyAlignment="1">
      <alignment horizontal="right"/>
    </xf>
    <xf numFmtId="182" fontId="24" fillId="0" borderId="12" xfId="0" applyNumberFormat="1" applyFont="1" applyBorder="1" applyAlignment="1">
      <alignment horizontal="right"/>
    </xf>
    <xf numFmtId="182" fontId="24" fillId="0" borderId="0" xfId="0" applyNumberFormat="1" applyFont="1" applyAlignment="1">
      <alignment horizontal="right"/>
    </xf>
    <xf numFmtId="182" fontId="24" fillId="0" borderId="13" xfId="0" applyNumberFormat="1" applyFont="1" applyBorder="1" applyAlignment="1">
      <alignment horizontal="right"/>
    </xf>
    <xf numFmtId="182" fontId="24" fillId="0" borderId="14" xfId="0" applyNumberFormat="1" applyFont="1" applyBorder="1" applyAlignment="1">
      <alignment horizontal="right"/>
    </xf>
    <xf numFmtId="182" fontId="24" fillId="0" borderId="4" xfId="0" applyNumberFormat="1" applyFont="1" applyBorder="1" applyAlignment="1">
      <alignment horizontal="right"/>
    </xf>
    <xf numFmtId="182" fontId="24" fillId="0" borderId="15" xfId="0" applyNumberFormat="1" applyFont="1" applyBorder="1" applyAlignment="1">
      <alignment horizontal="right"/>
    </xf>
    <xf numFmtId="182" fontId="24" fillId="0" borderId="34" xfId="0" applyNumberFormat="1" applyFont="1" applyBorder="1" applyAlignment="1">
      <alignment horizontal="right"/>
    </xf>
    <xf numFmtId="0" fontId="24" fillId="0" borderId="0" xfId="0" applyFont="1" applyAlignment="1">
      <alignment horizontal="center" vertical="center"/>
    </xf>
    <xf numFmtId="0" fontId="24" fillId="0" borderId="0" xfId="0" applyFont="1" applyAlignment="1">
      <alignment vertical="center"/>
    </xf>
    <xf numFmtId="0" fontId="22" fillId="0" borderId="0" xfId="0" applyFont="1" applyAlignment="1">
      <alignment horizontal="right" vertical="center"/>
    </xf>
    <xf numFmtId="37" fontId="22" fillId="0" borderId="0" xfId="7" applyNumberFormat="1" applyFont="1" applyAlignment="1">
      <alignment horizontal="right" vertical="center"/>
    </xf>
    <xf numFmtId="37" fontId="17" fillId="0" borderId="0" xfId="0" applyNumberFormat="1" applyFont="1" applyAlignment="1">
      <alignment vertical="center"/>
    </xf>
    <xf numFmtId="37" fontId="17" fillId="0" borderId="4" xfId="0" applyNumberFormat="1" applyFont="1" applyBorder="1" applyAlignment="1">
      <alignment vertical="center"/>
    </xf>
    <xf numFmtId="182" fontId="25" fillId="0" borderId="32" xfId="0" applyNumberFormat="1" applyFont="1" applyBorder="1" applyAlignment="1">
      <alignment horizontal="right"/>
    </xf>
    <xf numFmtId="182" fontId="25" fillId="0" borderId="31" xfId="0" applyNumberFormat="1" applyFont="1" applyBorder="1" applyAlignment="1">
      <alignment horizontal="right"/>
    </xf>
    <xf numFmtId="182" fontId="25" fillId="0" borderId="30" xfId="0" applyNumberFormat="1" applyFont="1" applyBorder="1" applyAlignment="1">
      <alignment horizontal="right"/>
    </xf>
    <xf numFmtId="182" fontId="54" fillId="0" borderId="0" xfId="0" applyNumberFormat="1" applyFont="1" applyAlignment="1">
      <alignment horizontal="right" vertical="center"/>
    </xf>
    <xf numFmtId="182" fontId="27" fillId="0" borderId="0" xfId="0" applyNumberFormat="1" applyFont="1" applyAlignment="1">
      <alignment horizontal="right" vertical="center"/>
    </xf>
    <xf numFmtId="182" fontId="43" fillId="0" borderId="0" xfId="0" applyNumberFormat="1" applyFont="1" applyAlignment="1">
      <alignment horizontal="right"/>
    </xf>
    <xf numFmtId="170" fontId="20" fillId="0" borderId="32" xfId="0" applyNumberFormat="1" applyFont="1" applyBorder="1" applyAlignment="1">
      <alignment horizontal="right"/>
    </xf>
    <xf numFmtId="170" fontId="20" fillId="0" borderId="31" xfId="0" applyNumberFormat="1" applyFont="1" applyBorder="1" applyAlignment="1">
      <alignment horizontal="right"/>
    </xf>
    <xf numFmtId="170" fontId="20" fillId="0" borderId="30" xfId="0" applyNumberFormat="1" applyFont="1" applyBorder="1" applyAlignment="1">
      <alignment horizontal="right"/>
    </xf>
    <xf numFmtId="170" fontId="54" fillId="0" borderId="34" xfId="0" applyNumberFormat="1" applyFont="1" applyBorder="1" applyAlignment="1">
      <alignment horizontal="right" vertical="center"/>
    </xf>
    <xf numFmtId="170" fontId="27" fillId="0" borderId="34" xfId="0" applyNumberFormat="1" applyFont="1" applyBorder="1" applyAlignment="1">
      <alignment horizontal="right" vertical="center"/>
    </xf>
    <xf numFmtId="170" fontId="43" fillId="0" borderId="34" xfId="0" applyNumberFormat="1" applyFont="1" applyBorder="1" applyAlignment="1">
      <alignment horizontal="right"/>
    </xf>
    <xf numFmtId="170" fontId="24" fillId="0" borderId="9" xfId="0" applyNumberFormat="1" applyFont="1" applyBorder="1" applyAlignment="1">
      <alignment horizontal="right"/>
    </xf>
    <xf numFmtId="170" fontId="24" fillId="0" borderId="10" xfId="0" applyNumberFormat="1" applyFont="1" applyBorder="1" applyAlignment="1">
      <alignment horizontal="right"/>
    </xf>
    <xf numFmtId="170" fontId="24" fillId="0" borderId="11" xfId="0" applyNumberFormat="1" applyFont="1" applyBorder="1" applyAlignment="1">
      <alignment horizontal="right"/>
    </xf>
    <xf numFmtId="170" fontId="24" fillId="0" borderId="12" xfId="0" applyNumberFormat="1" applyFont="1" applyBorder="1" applyAlignment="1">
      <alignment horizontal="right"/>
    </xf>
    <xf numFmtId="170" fontId="24" fillId="0" borderId="13" xfId="0" applyNumberFormat="1" applyFont="1" applyBorder="1" applyAlignment="1">
      <alignment horizontal="right"/>
    </xf>
    <xf numFmtId="170" fontId="24" fillId="0" borderId="14" xfId="0" applyNumberFormat="1" applyFont="1" applyBorder="1" applyAlignment="1">
      <alignment horizontal="right"/>
    </xf>
    <xf numFmtId="170" fontId="24" fillId="0" borderId="15" xfId="0" applyNumberFormat="1" applyFont="1" applyBorder="1" applyAlignment="1">
      <alignment horizontal="right"/>
    </xf>
    <xf numFmtId="170" fontId="24" fillId="0" borderId="34" xfId="0" applyNumberFormat="1" applyFont="1" applyBorder="1" applyAlignment="1">
      <alignment horizontal="right"/>
    </xf>
    <xf numFmtId="170" fontId="23" fillId="0" borderId="0" xfId="9" applyNumberFormat="1" applyFont="1" applyFill="1" applyBorder="1" applyAlignment="1" applyProtection="1">
      <alignment horizontal="left"/>
      <protection locked="0"/>
    </xf>
    <xf numFmtId="199" fontId="20" fillId="0" borderId="0" xfId="7" applyNumberFormat="1" applyFont="1" applyAlignment="1">
      <alignment horizontal="right"/>
    </xf>
    <xf numFmtId="200" fontId="23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left"/>
    </xf>
    <xf numFmtId="170" fontId="22" fillId="0" borderId="0" xfId="1" applyNumberFormat="1" applyFont="1" applyFill="1"/>
    <xf numFmtId="170" fontId="22" fillId="0" borderId="10" xfId="0" applyNumberFormat="1" applyFont="1" applyBorder="1" applyAlignment="1">
      <alignment horizontal="right"/>
    </xf>
    <xf numFmtId="170" fontId="22" fillId="0" borderId="11" xfId="0" applyNumberFormat="1" applyFont="1" applyBorder="1" applyAlignment="1">
      <alignment horizontal="right"/>
    </xf>
    <xf numFmtId="170" fontId="22" fillId="0" borderId="13" xfId="0" applyNumberFormat="1" applyFont="1" applyBorder="1" applyAlignment="1">
      <alignment horizontal="right"/>
    </xf>
    <xf numFmtId="170" fontId="22" fillId="0" borderId="4" xfId="0" applyNumberFormat="1" applyFont="1" applyBorder="1" applyAlignment="1">
      <alignment horizontal="right"/>
    </xf>
    <xf numFmtId="170" fontId="22" fillId="0" borderId="15" xfId="0" applyNumberFormat="1" applyFont="1" applyBorder="1" applyAlignment="1">
      <alignment horizontal="right"/>
    </xf>
    <xf numFmtId="170" fontId="24" fillId="0" borderId="7" xfId="0" applyNumberFormat="1" applyFont="1" applyBorder="1"/>
    <xf numFmtId="170" fontId="22" fillId="0" borderId="7" xfId="0" applyNumberFormat="1" applyFont="1" applyBorder="1"/>
    <xf numFmtId="170" fontId="22" fillId="0" borderId="8" xfId="0" applyNumberFormat="1" applyFont="1" applyBorder="1"/>
    <xf numFmtId="180" fontId="22" fillId="0" borderId="6" xfId="0" applyNumberFormat="1" applyFont="1" applyBorder="1" applyAlignment="1">
      <alignment horizontal="right"/>
    </xf>
    <xf numFmtId="173" fontId="22" fillId="0" borderId="9" xfId="0" applyNumberFormat="1" applyFont="1" applyBorder="1" applyAlignment="1">
      <alignment horizontal="right"/>
    </xf>
    <xf numFmtId="169" fontId="23" fillId="0" borderId="10" xfId="0" applyNumberFormat="1" applyFont="1" applyBorder="1" applyAlignment="1">
      <alignment horizontal="left"/>
    </xf>
    <xf numFmtId="173" fontId="22" fillId="0" borderId="12" xfId="0" applyNumberFormat="1" applyFont="1" applyBorder="1" applyAlignment="1">
      <alignment horizontal="right"/>
    </xf>
    <xf numFmtId="173" fontId="22" fillId="0" borderId="14" xfId="0" applyNumberFormat="1" applyFont="1" applyBorder="1" applyAlignment="1">
      <alignment horizontal="right"/>
    </xf>
    <xf numFmtId="170" fontId="23" fillId="0" borderId="10" xfId="0" applyNumberFormat="1" applyFont="1" applyBorder="1"/>
    <xf numFmtId="170" fontId="23" fillId="0" borderId="11" xfId="0" applyNumberFormat="1" applyFont="1" applyBorder="1"/>
    <xf numFmtId="170" fontId="22" fillId="0" borderId="0" xfId="9" applyNumberFormat="1" applyFont="1" applyFill="1" applyBorder="1" applyAlignment="1" applyProtection="1">
      <alignment horizontal="right"/>
      <protection locked="0"/>
    </xf>
    <xf numFmtId="173" fontId="22" fillId="0" borderId="0" xfId="10" applyNumberFormat="1" applyFont="1" applyFill="1" applyBorder="1" applyAlignment="1" applyProtection="1">
      <alignment horizontal="right"/>
      <protection locked="0"/>
    </xf>
    <xf numFmtId="168" fontId="20" fillId="0" borderId="26" xfId="0" applyNumberFormat="1" applyFont="1" applyBorder="1" applyAlignment="1">
      <alignment horizontal="right"/>
    </xf>
    <xf numFmtId="172" fontId="23" fillId="0" borderId="9" xfId="0" applyNumberFormat="1" applyFont="1" applyBorder="1"/>
    <xf numFmtId="172" fontId="23" fillId="0" borderId="10" xfId="0" applyNumberFormat="1" applyFont="1" applyBorder="1"/>
    <xf numFmtId="172" fontId="23" fillId="0" borderId="11" xfId="0" applyNumberFormat="1" applyFont="1" applyBorder="1"/>
    <xf numFmtId="172" fontId="23" fillId="0" borderId="12" xfId="0" applyNumberFormat="1" applyFont="1" applyBorder="1"/>
    <xf numFmtId="172" fontId="23" fillId="0" borderId="13" xfId="0" applyNumberFormat="1" applyFont="1" applyBorder="1"/>
    <xf numFmtId="172" fontId="23" fillId="0" borderId="14" xfId="0" applyNumberFormat="1" applyFont="1" applyBorder="1"/>
    <xf numFmtId="172" fontId="23" fillId="0" borderId="15" xfId="0" applyNumberFormat="1" applyFont="1" applyBorder="1"/>
    <xf numFmtId="170" fontId="25" fillId="0" borderId="0" xfId="9" applyNumberFormat="1" applyFont="1" applyFill="1" applyBorder="1" applyProtection="1">
      <protection locked="0"/>
    </xf>
    <xf numFmtId="170" fontId="22" fillId="0" borderId="0" xfId="7" applyNumberFormat="1" applyFont="1"/>
    <xf numFmtId="173" fontId="24" fillId="0" borderId="0" xfId="1" applyNumberFormat="1" applyFont="1" applyBorder="1" applyAlignment="1">
      <alignment horizontal="right"/>
    </xf>
    <xf numFmtId="173" fontId="23" fillId="0" borderId="0" xfId="1" applyNumberFormat="1" applyFont="1" applyFill="1" applyBorder="1" applyProtection="1">
      <protection locked="0"/>
    </xf>
    <xf numFmtId="170" fontId="20" fillId="0" borderId="2" xfId="7" applyNumberFormat="1" applyFont="1" applyBorder="1" applyAlignment="1">
      <alignment horizontal="left"/>
    </xf>
    <xf numFmtId="173" fontId="52" fillId="0" borderId="0" xfId="0" applyNumberFormat="1" applyFont="1" applyAlignment="1">
      <alignment horizontal="right" vertical="center"/>
    </xf>
    <xf numFmtId="173" fontId="27" fillId="0" borderId="0" xfId="0" applyNumberFormat="1" applyFont="1" applyAlignment="1">
      <alignment horizontal="right" vertical="center"/>
    </xf>
    <xf numFmtId="173" fontId="43" fillId="0" borderId="0" xfId="0" applyNumberFormat="1" applyFont="1"/>
    <xf numFmtId="173" fontId="24" fillId="0" borderId="9" xfId="0" applyNumberFormat="1" applyFont="1" applyBorder="1" applyAlignment="1">
      <alignment vertical="center"/>
    </xf>
    <xf numFmtId="173" fontId="24" fillId="0" borderId="10" xfId="0" applyNumberFormat="1" applyFont="1" applyBorder="1" applyAlignment="1">
      <alignment vertical="center"/>
    </xf>
    <xf numFmtId="173" fontId="24" fillId="0" borderId="11" xfId="0" applyNumberFormat="1" applyFont="1" applyBorder="1" applyAlignment="1">
      <alignment vertical="center"/>
    </xf>
    <xf numFmtId="173" fontId="54" fillId="0" borderId="0" xfId="0" applyNumberFormat="1" applyFont="1" applyAlignment="1">
      <alignment horizontal="right" vertical="center"/>
    </xf>
    <xf numFmtId="0" fontId="21" fillId="2" borderId="0" xfId="0" applyFont="1" applyFill="1"/>
    <xf numFmtId="0" fontId="14" fillId="0" borderId="0" xfId="0" applyFont="1"/>
    <xf numFmtId="0" fontId="14" fillId="0" borderId="4" xfId="0" applyFont="1" applyBorder="1"/>
    <xf numFmtId="0" fontId="21" fillId="0" borderId="4" xfId="0" applyFont="1" applyBorder="1"/>
    <xf numFmtId="37" fontId="7" fillId="3" borderId="0" xfId="0" applyNumberFormat="1" applyFont="1" applyFill="1" applyAlignment="1">
      <alignment vertical="center"/>
    </xf>
    <xf numFmtId="37" fontId="16" fillId="0" borderId="0" xfId="0" applyNumberFormat="1" applyFont="1" applyAlignment="1">
      <alignment horizontal="centerContinuous" vertical="center"/>
    </xf>
    <xf numFmtId="37" fontId="16" fillId="0" borderId="10" xfId="0" applyNumberFormat="1" applyFont="1" applyBorder="1" applyAlignment="1">
      <alignment vertical="center"/>
    </xf>
    <xf numFmtId="37" fontId="66" fillId="0" borderId="4" xfId="0" applyNumberFormat="1" applyFont="1" applyBorder="1" applyAlignment="1">
      <alignment vertical="center"/>
    </xf>
    <xf numFmtId="37" fontId="66" fillId="0" borderId="0" xfId="0" applyNumberFormat="1" applyFont="1" applyAlignment="1">
      <alignment vertical="center"/>
    </xf>
    <xf numFmtId="167" fontId="7" fillId="0" borderId="0" xfId="9" applyNumberFormat="1" applyFont="1" applyBorder="1" applyAlignment="1" applyProtection="1">
      <alignment horizontal="center"/>
      <protection locked="0"/>
    </xf>
    <xf numFmtId="167" fontId="7" fillId="0" borderId="0" xfId="9" applyNumberFormat="1" applyFont="1" applyFill="1" applyBorder="1" applyAlignment="1" applyProtection="1">
      <alignment horizontal="center"/>
      <protection locked="0"/>
    </xf>
    <xf numFmtId="167" fontId="7" fillId="0" borderId="0" xfId="9" applyNumberFormat="1" applyFont="1" applyFill="1" applyBorder="1" applyProtection="1">
      <protection locked="0"/>
    </xf>
    <xf numFmtId="167" fontId="7" fillId="0" borderId="0" xfId="9" applyNumberFormat="1" applyFont="1" applyFill="1" applyAlignment="1" applyProtection="1">
      <alignment horizontal="center"/>
      <protection locked="0"/>
    </xf>
    <xf numFmtId="0" fontId="14" fillId="0" borderId="0" xfId="0" applyFont="1" applyAlignment="1">
      <alignment horizontal="left"/>
    </xf>
    <xf numFmtId="167" fontId="7" fillId="0" borderId="0" xfId="9" applyNumberFormat="1" applyFont="1" applyFill="1" applyProtection="1">
      <protection locked="0"/>
    </xf>
    <xf numFmtId="167" fontId="7" fillId="0" borderId="4" xfId="9" applyNumberFormat="1" applyFont="1" applyFill="1" applyBorder="1" applyProtection="1">
      <protection locked="0"/>
    </xf>
    <xf numFmtId="175" fontId="22" fillId="0" borderId="0" xfId="1" applyNumberFormat="1" applyFont="1" applyFill="1" applyBorder="1" applyAlignment="1"/>
    <xf numFmtId="193" fontId="22" fillId="0" borderId="0" xfId="7" applyNumberFormat="1" applyFont="1"/>
    <xf numFmtId="167" fontId="23" fillId="0" borderId="4" xfId="9" applyNumberFormat="1" applyFont="1" applyBorder="1" applyProtection="1">
      <protection locked="0"/>
    </xf>
    <xf numFmtId="0" fontId="7" fillId="0" borderId="0" xfId="7" applyFont="1"/>
    <xf numFmtId="0" fontId="14" fillId="0" borderId="0" xfId="4" applyFont="1" applyProtection="1">
      <protection locked="0"/>
    </xf>
    <xf numFmtId="0" fontId="7" fillId="0" borderId="0" xfId="4" applyFont="1"/>
    <xf numFmtId="0" fontId="7" fillId="0" borderId="0" xfId="3" applyFont="1" applyFill="1" applyBorder="1"/>
    <xf numFmtId="0" fontId="7" fillId="4" borderId="0" xfId="4" applyFont="1" applyFill="1"/>
    <xf numFmtId="37" fontId="7" fillId="0" borderId="0" xfId="7" applyNumberFormat="1" applyFont="1" applyAlignment="1">
      <alignment vertical="center"/>
    </xf>
    <xf numFmtId="0" fontId="7" fillId="0" borderId="0" xfId="0" applyFont="1" applyAlignment="1">
      <alignment vertical="center"/>
    </xf>
    <xf numFmtId="173" fontId="7" fillId="0" borderId="0" xfId="0" applyNumberFormat="1" applyFont="1" applyAlignment="1">
      <alignment vertical="center"/>
    </xf>
    <xf numFmtId="175" fontId="7" fillId="0" borderId="0" xfId="0" applyNumberFormat="1" applyFont="1" applyAlignment="1">
      <alignment vertical="center"/>
    </xf>
    <xf numFmtId="182" fontId="7" fillId="0" borderId="0" xfId="0" applyNumberFormat="1" applyFont="1" applyAlignment="1">
      <alignment horizontal="right" vertical="center"/>
    </xf>
    <xf numFmtId="170" fontId="7" fillId="0" borderId="0" xfId="0" applyNumberFormat="1" applyFont="1" applyAlignment="1">
      <alignment horizontal="right" vertical="center"/>
    </xf>
    <xf numFmtId="170" fontId="7" fillId="0" borderId="34" xfId="0" applyNumberFormat="1" applyFont="1" applyBorder="1" applyAlignment="1">
      <alignment horizontal="right" vertical="center"/>
    </xf>
    <xf numFmtId="175" fontId="23" fillId="0" borderId="11" xfId="1" applyNumberFormat="1" applyFont="1" applyFill="1" applyBorder="1" applyAlignment="1"/>
    <xf numFmtId="195" fontId="23" fillId="0" borderId="0" xfId="9" applyNumberFormat="1" applyFont="1" applyFill="1" applyAlignment="1" applyProtection="1">
      <alignment horizontal="right"/>
      <protection locked="0"/>
    </xf>
    <xf numFmtId="198" fontId="23" fillId="0" borderId="0" xfId="7" applyNumberFormat="1" applyFont="1"/>
    <xf numFmtId="9" fontId="14" fillId="0" borderId="0" xfId="1" applyFont="1"/>
    <xf numFmtId="165" fontId="23" fillId="0" borderId="0" xfId="13" applyFont="1" applyFill="1" applyBorder="1" applyProtection="1">
      <protection locked="0"/>
    </xf>
    <xf numFmtId="0" fontId="20" fillId="0" borderId="0" xfId="9" applyNumberFormat="1" applyFont="1" applyBorder="1" applyProtection="1">
      <protection locked="0"/>
    </xf>
    <xf numFmtId="0" fontId="20" fillId="0" borderId="2" xfId="7" applyFont="1" applyBorder="1" applyAlignment="1">
      <alignment horizontal="left"/>
    </xf>
    <xf numFmtId="0" fontId="20" fillId="0" borderId="25" xfId="9" applyNumberFormat="1" applyFont="1" applyBorder="1" applyProtection="1">
      <protection locked="0"/>
    </xf>
    <xf numFmtId="0" fontId="20" fillId="0" borderId="25" xfId="9" applyNumberFormat="1" applyFont="1" applyBorder="1" applyAlignment="1" applyProtection="1">
      <alignment horizontal="right"/>
      <protection locked="0"/>
    </xf>
    <xf numFmtId="164" fontId="7" fillId="0" borderId="0" xfId="7" applyNumberFormat="1" applyFont="1"/>
    <xf numFmtId="164" fontId="23" fillId="0" borderId="0" xfId="9" applyNumberFormat="1" applyFont="1" applyFill="1" applyProtection="1">
      <protection locked="0"/>
    </xf>
    <xf numFmtId="164" fontId="23" fillId="0" borderId="0" xfId="7" applyNumberFormat="1" applyFont="1"/>
    <xf numFmtId="164" fontId="22" fillId="0" borderId="0" xfId="0" applyNumberFormat="1" applyFont="1" applyAlignment="1">
      <alignment horizontal="left"/>
    </xf>
    <xf numFmtId="164" fontId="23" fillId="0" borderId="0" xfId="9" applyNumberFormat="1" applyFont="1" applyFill="1" applyBorder="1" applyProtection="1">
      <protection locked="0"/>
    </xf>
    <xf numFmtId="201" fontId="22" fillId="0" borderId="40" xfId="0" applyNumberFormat="1" applyFont="1" applyBorder="1" applyAlignment="1">
      <alignment horizontal="right"/>
    </xf>
    <xf numFmtId="0" fontId="40" fillId="0" borderId="33" xfId="4" applyFont="1" applyBorder="1" applyAlignment="1" applyProtection="1">
      <alignment horizontal="centerContinuous"/>
      <protection locked="0"/>
    </xf>
    <xf numFmtId="0" fontId="14" fillId="0" borderId="33" xfId="4" applyFont="1" applyBorder="1" applyAlignment="1">
      <alignment horizontal="centerContinuous"/>
    </xf>
    <xf numFmtId="0" fontId="21" fillId="0" borderId="10" xfId="0" applyFont="1" applyBorder="1"/>
    <xf numFmtId="0" fontId="22" fillId="0" borderId="10" xfId="0" applyFont="1" applyBorder="1"/>
    <xf numFmtId="184" fontId="53" fillId="0" borderId="0" xfId="0" quotePrefix="1" applyNumberFormat="1" applyFont="1" applyAlignment="1">
      <alignment horizontal="right"/>
    </xf>
    <xf numFmtId="185" fontId="53" fillId="0" borderId="0" xfId="0" quotePrefix="1" applyNumberFormat="1" applyFont="1" applyAlignment="1">
      <alignment horizontal="right"/>
    </xf>
    <xf numFmtId="49" fontId="20" fillId="0" borderId="0" xfId="0" applyNumberFormat="1" applyFont="1" applyAlignment="1">
      <alignment horizontal="left"/>
    </xf>
    <xf numFmtId="164" fontId="23" fillId="0" borderId="4" xfId="7" applyNumberFormat="1" applyFont="1" applyBorder="1"/>
    <xf numFmtId="49" fontId="25" fillId="0" borderId="0" xfId="0" applyNumberFormat="1" applyFont="1" applyAlignment="1">
      <alignment horizontal="left"/>
    </xf>
    <xf numFmtId="170" fontId="23" fillId="0" borderId="7" xfId="0" applyNumberFormat="1" applyFont="1" applyBorder="1"/>
    <xf numFmtId="170" fontId="23" fillId="0" borderId="8" xfId="0" applyNumberFormat="1" applyFont="1" applyBorder="1"/>
    <xf numFmtId="37" fontId="66" fillId="0" borderId="10" xfId="0" applyNumberFormat="1" applyFont="1" applyBorder="1" applyAlignment="1">
      <alignment vertical="center"/>
    </xf>
    <xf numFmtId="49" fontId="22" fillId="0" borderId="14" xfId="0" applyNumberFormat="1" applyFont="1" applyBorder="1" applyAlignment="1">
      <alignment horizontal="left"/>
    </xf>
    <xf numFmtId="0" fontId="65" fillId="0" borderId="0" xfId="0" applyFont="1" applyAlignment="1">
      <alignment horizontal="left"/>
    </xf>
    <xf numFmtId="202" fontId="23" fillId="0" borderId="0" xfId="9" applyNumberFormat="1" applyFont="1" applyFill="1" applyBorder="1" applyProtection="1">
      <protection locked="0"/>
    </xf>
    <xf numFmtId="165" fontId="23" fillId="0" borderId="0" xfId="13" applyFont="1" applyFill="1" applyProtection="1">
      <protection locked="0"/>
    </xf>
    <xf numFmtId="0" fontId="20" fillId="0" borderId="44" xfId="0" applyFont="1" applyBorder="1"/>
    <xf numFmtId="0" fontId="19" fillId="0" borderId="0" xfId="0" applyFont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vertical="center"/>
    </xf>
    <xf numFmtId="191" fontId="24" fillId="0" borderId="0" xfId="0" applyNumberFormat="1" applyFont="1" applyAlignment="1">
      <alignment horizontal="right" vertical="center"/>
    </xf>
    <xf numFmtId="176" fontId="24" fillId="0" borderId="0" xfId="16" applyNumberFormat="1" applyFont="1" applyFill="1" applyBorder="1" applyAlignment="1">
      <alignment vertical="center"/>
    </xf>
    <xf numFmtId="176" fontId="23" fillId="0" borderId="11" xfId="1" applyNumberFormat="1" applyFont="1" applyFill="1" applyBorder="1" applyAlignment="1">
      <alignment horizontal="right"/>
    </xf>
    <xf numFmtId="180" fontId="23" fillId="0" borderId="15" xfId="0" applyNumberFormat="1" applyFont="1" applyBorder="1" applyAlignment="1">
      <alignment horizontal="right"/>
    </xf>
    <xf numFmtId="0" fontId="14" fillId="0" borderId="44" xfId="0" applyFont="1" applyBorder="1"/>
    <xf numFmtId="197" fontId="6" fillId="0" borderId="0" xfId="2" applyNumberFormat="1" applyFont="1" applyFill="1" applyBorder="1" applyAlignment="1" applyProtection="1">
      <alignment horizontal="right" vertical="center"/>
      <protection locked="0"/>
    </xf>
    <xf numFmtId="167" fontId="31" fillId="0" borderId="0" xfId="14" applyNumberFormat="1" applyFont="1" applyFill="1" applyBorder="1" applyAlignment="1">
      <alignment horizontal="right" vertical="center"/>
    </xf>
    <xf numFmtId="180" fontId="23" fillId="0" borderId="11" xfId="0" applyNumberFormat="1" applyFont="1" applyBorder="1" applyAlignment="1">
      <alignment horizontal="right"/>
    </xf>
    <xf numFmtId="173" fontId="24" fillId="0" borderId="0" xfId="1" applyNumberFormat="1" applyFont="1" applyFill="1" applyBorder="1" applyAlignment="1">
      <alignment vertical="center"/>
    </xf>
    <xf numFmtId="173" fontId="23" fillId="0" borderId="15" xfId="1" applyNumberFormat="1" applyFont="1" applyFill="1" applyBorder="1" applyAlignment="1"/>
    <xf numFmtId="180" fontId="24" fillId="0" borderId="0" xfId="1" applyNumberFormat="1" applyFont="1" applyFill="1" applyBorder="1" applyAlignment="1">
      <alignment vertical="center"/>
    </xf>
    <xf numFmtId="49" fontId="23" fillId="0" borderId="0" xfId="0" applyNumberFormat="1" applyFont="1" applyAlignment="1">
      <alignment horizontal="left"/>
    </xf>
    <xf numFmtId="170" fontId="24" fillId="0" borderId="6" xfId="0" applyNumberFormat="1" applyFont="1" applyBorder="1"/>
    <xf numFmtId="170" fontId="23" fillId="0" borderId="13" xfId="0" applyNumberFormat="1" applyFont="1" applyBorder="1"/>
    <xf numFmtId="183" fontId="22" fillId="0" borderId="14" xfId="0" applyNumberFormat="1" applyFont="1" applyBorder="1"/>
    <xf numFmtId="0" fontId="20" fillId="9" borderId="45" xfId="4" applyFont="1" applyFill="1" applyBorder="1" applyAlignment="1">
      <alignment horizontal="center"/>
    </xf>
    <xf numFmtId="0" fontId="14" fillId="9" borderId="46" xfId="4" applyFont="1" applyFill="1" applyBorder="1" applyAlignment="1">
      <alignment horizontal="center"/>
    </xf>
    <xf numFmtId="0" fontId="14" fillId="9" borderId="47" xfId="4" applyFont="1" applyFill="1" applyBorder="1" applyAlignment="1">
      <alignment horizontal="center"/>
    </xf>
    <xf numFmtId="0" fontId="20" fillId="9" borderId="48" xfId="4" applyFont="1" applyFill="1" applyBorder="1" applyAlignment="1">
      <alignment horizontal="center"/>
    </xf>
    <xf numFmtId="0" fontId="20" fillId="9" borderId="47" xfId="4" applyFont="1" applyFill="1" applyBorder="1" applyAlignment="1">
      <alignment horizontal="center"/>
    </xf>
    <xf numFmtId="0" fontId="23" fillId="0" borderId="0" xfId="9" applyNumberFormat="1" applyFont="1" applyAlignment="1" applyProtection="1">
      <alignment horizontal="left" indent="1"/>
      <protection locked="0"/>
    </xf>
    <xf numFmtId="0" fontId="23" fillId="0" borderId="26" xfId="9" applyNumberFormat="1" applyFont="1" applyFill="1" applyBorder="1" applyAlignment="1" applyProtection="1">
      <alignment horizontal="left" indent="1"/>
      <protection locked="0"/>
    </xf>
    <xf numFmtId="0" fontId="23" fillId="0" borderId="0" xfId="9" applyNumberFormat="1" applyFont="1" applyFill="1" applyAlignment="1" applyProtection="1">
      <alignment horizontal="left" indent="1"/>
      <protection locked="0"/>
    </xf>
    <xf numFmtId="0" fontId="23" fillId="0" borderId="0" xfId="9" applyNumberFormat="1" applyFont="1" applyFill="1" applyBorder="1" applyAlignment="1" applyProtection="1">
      <alignment horizontal="left" indent="1"/>
      <protection locked="0"/>
    </xf>
    <xf numFmtId="0" fontId="23" fillId="0" borderId="0" xfId="9" applyNumberFormat="1" applyFont="1" applyFill="1" applyProtection="1">
      <protection locked="0"/>
    </xf>
    <xf numFmtId="0" fontId="23" fillId="0" borderId="0" xfId="9" applyNumberFormat="1" applyFont="1" applyFill="1" applyBorder="1" applyProtection="1">
      <protection locked="0"/>
    </xf>
    <xf numFmtId="0" fontId="23" fillId="0" borderId="0" xfId="9" applyNumberFormat="1" applyFont="1" applyBorder="1" applyAlignment="1" applyProtection="1">
      <alignment horizontal="left" indent="1"/>
      <protection locked="0"/>
    </xf>
    <xf numFmtId="0" fontId="20" fillId="0" borderId="0" xfId="9" applyNumberFormat="1" applyFont="1" applyBorder="1" applyAlignment="1" applyProtection="1">
      <alignment horizontal="left" indent="1"/>
      <protection locked="0"/>
    </xf>
    <xf numFmtId="0" fontId="23" fillId="0" borderId="0" xfId="4" applyFont="1" applyAlignment="1">
      <alignment horizontal="left" indent="1"/>
    </xf>
    <xf numFmtId="0" fontId="20" fillId="0" borderId="0" xfId="4" applyFont="1" applyAlignment="1">
      <alignment horizontal="left" indent="1"/>
    </xf>
    <xf numFmtId="0" fontId="23" fillId="0" borderId="0" xfId="0" applyFont="1" applyAlignment="1">
      <alignment horizontal="left" indent="1"/>
    </xf>
    <xf numFmtId="0" fontId="22" fillId="0" borderId="26" xfId="7" applyFont="1" applyBorder="1" applyAlignment="1">
      <alignment horizontal="left" indent="1"/>
    </xf>
    <xf numFmtId="0" fontId="22" fillId="0" borderId="0" xfId="7" applyFont="1" applyAlignment="1">
      <alignment horizontal="left" indent="1"/>
    </xf>
    <xf numFmtId="0" fontId="22" fillId="0" borderId="0" xfId="9" applyNumberFormat="1" applyFont="1" applyBorder="1" applyAlignment="1" applyProtection="1">
      <alignment horizontal="left" indent="1"/>
      <protection locked="0"/>
    </xf>
    <xf numFmtId="0" fontId="22" fillId="0" borderId="0" xfId="9" applyNumberFormat="1" applyFont="1" applyFill="1" applyBorder="1" applyAlignment="1" applyProtection="1">
      <alignment horizontal="left" indent="1"/>
      <protection locked="0"/>
    </xf>
    <xf numFmtId="0" fontId="22" fillId="0" borderId="0" xfId="9" applyNumberFormat="1" applyFont="1" applyAlignment="1" applyProtection="1">
      <alignment horizontal="left" indent="1"/>
      <protection locked="0"/>
    </xf>
    <xf numFmtId="0" fontId="17" fillId="5" borderId="0" xfId="7" applyFont="1" applyFill="1" applyAlignment="1">
      <alignment vertical="center"/>
    </xf>
    <xf numFmtId="0" fontId="49" fillId="5" borderId="0" xfId="7" applyFont="1" applyFill="1" applyAlignment="1">
      <alignment vertical="center"/>
    </xf>
    <xf numFmtId="0" fontId="17" fillId="3" borderId="0" xfId="0" applyFont="1" applyFill="1" applyAlignment="1">
      <alignment vertical="center"/>
    </xf>
    <xf numFmtId="0" fontId="19" fillId="0" borderId="0" xfId="0" applyFont="1" applyAlignment="1">
      <alignment horizontal="left" vertical="center" indent="1"/>
    </xf>
    <xf numFmtId="0" fontId="22" fillId="0" borderId="0" xfId="0" applyFont="1" applyAlignment="1">
      <alignment horizontal="left" vertical="center" indent="1"/>
    </xf>
    <xf numFmtId="185" fontId="23" fillId="0" borderId="0" xfId="7" applyNumberFormat="1" applyFont="1" applyAlignment="1">
      <alignment horizontal="right"/>
    </xf>
    <xf numFmtId="194" fontId="22" fillId="0" borderId="0" xfId="9" applyNumberFormat="1" applyFont="1" applyFill="1" applyBorder="1" applyAlignment="1" applyProtection="1">
      <alignment horizontal="right"/>
      <protection locked="0"/>
    </xf>
    <xf numFmtId="194" fontId="24" fillId="0" borderId="0" xfId="9" applyNumberFormat="1" applyFont="1" applyFill="1" applyBorder="1" applyAlignment="1" applyProtection="1">
      <alignment horizontal="right"/>
      <protection locked="0"/>
    </xf>
    <xf numFmtId="184" fontId="23" fillId="0" borderId="0" xfId="7" applyNumberFormat="1" applyFont="1" applyAlignment="1">
      <alignment horizontal="right"/>
    </xf>
    <xf numFmtId="194" fontId="24" fillId="0" borderId="0" xfId="9" applyNumberFormat="1" applyFont="1" applyFill="1" applyBorder="1" applyAlignment="1" applyProtection="1">
      <alignment horizontal="center"/>
      <protection locked="0"/>
    </xf>
    <xf numFmtId="201" fontId="22" fillId="0" borderId="0" xfId="0" applyNumberFormat="1" applyFont="1" applyAlignment="1">
      <alignment horizontal="right"/>
    </xf>
    <xf numFmtId="0" fontId="26" fillId="0" borderId="0" xfId="7" applyFont="1" applyAlignment="1">
      <alignment horizontal="right"/>
    </xf>
    <xf numFmtId="194" fontId="23" fillId="0" borderId="0" xfId="9" applyNumberFormat="1" applyFont="1" applyFill="1" applyBorder="1" applyAlignment="1" applyProtection="1">
      <alignment horizontal="center"/>
      <protection locked="0"/>
    </xf>
    <xf numFmtId="49" fontId="22" fillId="0" borderId="0" xfId="0" applyNumberFormat="1" applyFont="1" applyAlignment="1">
      <alignment horizontal="left" indent="1"/>
    </xf>
    <xf numFmtId="205" fontId="24" fillId="0" borderId="0" xfId="7" applyNumberFormat="1" applyFont="1" applyAlignment="1">
      <alignment horizontal="right"/>
    </xf>
    <xf numFmtId="205" fontId="23" fillId="0" borderId="0" xfId="9" applyNumberFormat="1" applyFont="1" applyFill="1" applyBorder="1" applyAlignment="1" applyProtection="1">
      <alignment horizontal="center"/>
      <protection locked="0"/>
    </xf>
    <xf numFmtId="205" fontId="20" fillId="0" borderId="0" xfId="9" applyNumberFormat="1" applyFont="1" applyFill="1" applyBorder="1" applyProtection="1">
      <protection locked="0"/>
    </xf>
    <xf numFmtId="205" fontId="20" fillId="0" borderId="0" xfId="9" applyNumberFormat="1" applyFont="1" applyFill="1" applyProtection="1">
      <protection locked="0"/>
    </xf>
    <xf numFmtId="169" fontId="20" fillId="0" borderId="49" xfId="0" applyNumberFormat="1" applyFont="1" applyBorder="1" applyAlignment="1">
      <alignment horizontal="right"/>
    </xf>
    <xf numFmtId="169" fontId="20" fillId="0" borderId="49" xfId="7" applyNumberFormat="1" applyFont="1" applyBorder="1" applyAlignment="1">
      <alignment horizontal="right"/>
    </xf>
    <xf numFmtId="37" fontId="16" fillId="0" borderId="26" xfId="7" applyNumberFormat="1" applyFont="1" applyBorder="1" applyAlignment="1">
      <alignment vertical="center"/>
    </xf>
    <xf numFmtId="201" fontId="22" fillId="0" borderId="41" xfId="0" applyNumberFormat="1" applyFont="1" applyBorder="1" applyAlignment="1">
      <alignment horizontal="right"/>
    </xf>
    <xf numFmtId="201" fontId="22" fillId="0" borderId="42" xfId="0" applyNumberFormat="1" applyFont="1" applyBorder="1" applyAlignment="1">
      <alignment horizontal="right"/>
    </xf>
    <xf numFmtId="0" fontId="22" fillId="0" borderId="11" xfId="0" applyFont="1" applyBorder="1"/>
    <xf numFmtId="193" fontId="22" fillId="0" borderId="15" xfId="13" applyNumberFormat="1" applyFont="1" applyFill="1" applyBorder="1"/>
    <xf numFmtId="197" fontId="22" fillId="0" borderId="15" xfId="0" applyNumberFormat="1" applyFont="1" applyBorder="1" applyAlignment="1">
      <alignment horizontal="right"/>
    </xf>
    <xf numFmtId="0" fontId="23" fillId="0" borderId="26" xfId="4" applyFont="1" applyBorder="1" applyAlignment="1">
      <alignment horizontal="left" indent="1"/>
    </xf>
    <xf numFmtId="0" fontId="23" fillId="0" borderId="26" xfId="7" applyFont="1" applyBorder="1"/>
    <xf numFmtId="0" fontId="7" fillId="0" borderId="26" xfId="7" applyFont="1" applyBorder="1"/>
    <xf numFmtId="0" fontId="23" fillId="0" borderId="26" xfId="7" applyFont="1" applyBorder="1" applyAlignment="1">
      <alignment horizontal="center"/>
    </xf>
    <xf numFmtId="0" fontId="19" fillId="0" borderId="0" xfId="7" applyFont="1" applyAlignment="1">
      <alignment horizontal="right" vertical="center"/>
    </xf>
    <xf numFmtId="0" fontId="73" fillId="0" borderId="0" xfId="7" applyFont="1"/>
    <xf numFmtId="0" fontId="73" fillId="0" borderId="0" xfId="7" applyFont="1" applyAlignment="1">
      <alignment horizontal="left" indent="1"/>
    </xf>
    <xf numFmtId="0" fontId="73" fillId="0" borderId="0" xfId="0" applyFont="1"/>
    <xf numFmtId="170" fontId="23" fillId="0" borderId="9" xfId="0" applyNumberFormat="1" applyFont="1" applyBorder="1"/>
    <xf numFmtId="203" fontId="53" fillId="0" borderId="0" xfId="0" quotePrefix="1" applyNumberFormat="1" applyFont="1" applyAlignment="1">
      <alignment horizontal="right"/>
    </xf>
    <xf numFmtId="0" fontId="20" fillId="0" borderId="0" xfId="9" applyNumberFormat="1" applyFont="1" applyFill="1" applyBorder="1" applyAlignment="1" applyProtection="1">
      <alignment horizontal="right"/>
      <protection locked="0"/>
    </xf>
    <xf numFmtId="206" fontId="23" fillId="0" borderId="0" xfId="7" applyNumberFormat="1" applyFont="1" applyAlignment="1">
      <alignment horizontal="right"/>
    </xf>
    <xf numFmtId="180" fontId="23" fillId="0" borderId="0" xfId="9" applyNumberFormat="1" applyFont="1" applyFill="1" applyProtection="1">
      <protection locked="0"/>
    </xf>
    <xf numFmtId="180" fontId="23" fillId="0" borderId="0" xfId="9" applyNumberFormat="1" applyFont="1" applyProtection="1">
      <protection locked="0"/>
    </xf>
    <xf numFmtId="195" fontId="51" fillId="0" borderId="26" xfId="10" applyNumberFormat="1" applyFont="1" applyFill="1" applyBorder="1" applyAlignment="1" applyProtection="1">
      <alignment horizontal="right"/>
      <protection locked="0"/>
    </xf>
    <xf numFmtId="195" fontId="51" fillId="0" borderId="0" xfId="10" applyNumberFormat="1" applyFont="1" applyFill="1" applyBorder="1" applyAlignment="1" applyProtection="1">
      <alignment horizontal="right"/>
      <protection locked="0"/>
    </xf>
    <xf numFmtId="170" fontId="7" fillId="0" borderId="0" xfId="7" applyNumberFormat="1" applyFont="1"/>
    <xf numFmtId="170" fontId="74" fillId="0" borderId="0" xfId="7" applyNumberFormat="1" applyFont="1"/>
    <xf numFmtId="0" fontId="25" fillId="0" borderId="0" xfId="7" applyFont="1"/>
    <xf numFmtId="0" fontId="46" fillId="0" borderId="0" xfId="7" applyFont="1"/>
    <xf numFmtId="170" fontId="25" fillId="0" borderId="0" xfId="7" applyNumberFormat="1" applyFont="1"/>
    <xf numFmtId="0" fontId="21" fillId="0" borderId="0" xfId="4" applyFont="1" applyAlignment="1">
      <alignment horizontal="left"/>
    </xf>
    <xf numFmtId="0" fontId="14" fillId="0" borderId="0" xfId="4" applyFont="1" applyAlignment="1">
      <alignment horizontal="left"/>
    </xf>
    <xf numFmtId="0" fontId="67" fillId="0" borderId="0" xfId="0" applyFont="1" applyAlignment="1">
      <alignment horizontal="left"/>
    </xf>
    <xf numFmtId="0" fontId="75" fillId="0" borderId="0" xfId="4" applyFont="1" applyAlignment="1">
      <alignment horizontal="center"/>
    </xf>
    <xf numFmtId="1" fontId="14" fillId="0" borderId="0" xfId="4" applyNumberFormat="1" applyFont="1"/>
    <xf numFmtId="167" fontId="53" fillId="0" borderId="0" xfId="9" applyNumberFormat="1" applyFont="1" applyBorder="1" applyAlignment="1" applyProtection="1">
      <alignment horizontal="centerContinuous"/>
      <protection locked="0"/>
    </xf>
    <xf numFmtId="208" fontId="23" fillId="0" borderId="0" xfId="7" applyNumberFormat="1" applyFont="1" applyAlignment="1">
      <alignment horizontal="right"/>
    </xf>
    <xf numFmtId="166" fontId="76" fillId="0" borderId="0" xfId="3" applyNumberFormat="1" applyFont="1" applyFill="1" applyBorder="1"/>
    <xf numFmtId="0" fontId="77" fillId="0" borderId="0" xfId="4" applyFont="1"/>
    <xf numFmtId="0" fontId="65" fillId="0" borderId="0" xfId="3" applyFont="1" applyFill="1" applyBorder="1"/>
    <xf numFmtId="0" fontId="78" fillId="0" borderId="0" xfId="4" applyFont="1"/>
    <xf numFmtId="0" fontId="79" fillId="0" borderId="0" xfId="4" applyFont="1"/>
    <xf numFmtId="0" fontId="14" fillId="0" borderId="50" xfId="0" applyFont="1" applyBorder="1"/>
    <xf numFmtId="168" fontId="20" fillId="0" borderId="2" xfId="7" applyNumberFormat="1" applyFont="1" applyBorder="1"/>
    <xf numFmtId="0" fontId="7" fillId="0" borderId="4" xfId="7" applyFont="1" applyBorder="1"/>
    <xf numFmtId="0" fontId="14" fillId="0" borderId="0" xfId="4" applyFont="1" applyAlignment="1">
      <alignment horizontal="center"/>
    </xf>
    <xf numFmtId="201" fontId="22" fillId="0" borderId="43" xfId="0" applyNumberFormat="1" applyFont="1" applyBorder="1" applyAlignment="1">
      <alignment horizontal="center"/>
    </xf>
    <xf numFmtId="49" fontId="23" fillId="0" borderId="0" xfId="7" applyNumberFormat="1" applyFont="1" applyAlignment="1">
      <alignment horizontal="right"/>
    </xf>
    <xf numFmtId="1" fontId="7" fillId="0" borderId="0" xfId="7" applyNumberFormat="1" applyFont="1"/>
    <xf numFmtId="210" fontId="4" fillId="0" borderId="0" xfId="7" applyNumberFormat="1" applyFont="1"/>
    <xf numFmtId="173" fontId="24" fillId="0" borderId="0" xfId="10" applyNumberFormat="1" applyFont="1" applyFill="1" applyBorder="1" applyAlignment="1" applyProtection="1">
      <alignment horizontal="right"/>
      <protection locked="0"/>
    </xf>
    <xf numFmtId="170" fontId="14" fillId="0" borderId="0" xfId="0" applyNumberFormat="1" applyFont="1"/>
    <xf numFmtId="0" fontId="2" fillId="0" borderId="0" xfId="7" applyFont="1"/>
    <xf numFmtId="0" fontId="2" fillId="0" borderId="0" xfId="21"/>
    <xf numFmtId="167" fontId="7" fillId="0" borderId="0" xfId="9" applyNumberFormat="1" applyFont="1" applyBorder="1" applyProtection="1">
      <protection locked="0"/>
    </xf>
    <xf numFmtId="167" fontId="20" fillId="0" borderId="0" xfId="9" applyNumberFormat="1" applyFont="1" applyBorder="1" applyAlignment="1" applyProtection="1">
      <alignment horizontal="centerContinuous"/>
      <protection locked="0"/>
    </xf>
    <xf numFmtId="0" fontId="22" fillId="0" borderId="26" xfId="9" applyNumberFormat="1" applyFont="1" applyBorder="1" applyAlignment="1" applyProtection="1">
      <alignment horizontal="left" indent="1"/>
      <protection locked="0"/>
    </xf>
    <xf numFmtId="207" fontId="24" fillId="0" borderId="0" xfId="1" applyNumberFormat="1" applyFont="1" applyFill="1" applyBorder="1" applyAlignment="1" applyProtection="1">
      <alignment horizontal="center"/>
      <protection locked="0"/>
    </xf>
    <xf numFmtId="173" fontId="51" fillId="0" borderId="0" xfId="10" applyNumberFormat="1" applyFont="1" applyFill="1" applyBorder="1" applyAlignment="1" applyProtection="1">
      <alignment horizontal="center"/>
      <protection locked="0"/>
    </xf>
    <xf numFmtId="173" fontId="51" fillId="0" borderId="4" xfId="9" applyNumberFormat="1" applyFont="1" applyFill="1" applyBorder="1" applyAlignment="1" applyProtection="1">
      <alignment horizontal="center"/>
      <protection locked="0"/>
    </xf>
    <xf numFmtId="209" fontId="24" fillId="0" borderId="0" xfId="7" applyNumberFormat="1" applyFont="1" applyAlignment="1">
      <alignment horizontal="center"/>
    </xf>
    <xf numFmtId="173" fontId="51" fillId="0" borderId="0" xfId="9" applyNumberFormat="1" applyFont="1" applyFill="1" applyBorder="1" applyAlignment="1" applyProtection="1">
      <alignment horizontal="center"/>
      <protection locked="0"/>
    </xf>
    <xf numFmtId="0" fontId="20" fillId="0" borderId="25" xfId="9" applyNumberFormat="1" applyFont="1" applyFill="1" applyBorder="1" applyAlignment="1" applyProtection="1">
      <alignment horizontal="center"/>
      <protection locked="0"/>
    </xf>
    <xf numFmtId="170" fontId="24" fillId="0" borderId="0" xfId="9" applyNumberFormat="1" applyFont="1" applyFill="1" applyBorder="1" applyAlignment="1" applyProtection="1">
      <alignment horizontal="center"/>
      <protection locked="0"/>
    </xf>
    <xf numFmtId="0" fontId="20" fillId="0" borderId="0" xfId="9" applyNumberFormat="1" applyFont="1" applyFill="1" applyBorder="1" applyAlignment="1" applyProtection="1">
      <alignment horizontal="center"/>
      <protection locked="0"/>
    </xf>
    <xf numFmtId="173" fontId="51" fillId="0" borderId="0" xfId="10" applyNumberFormat="1" applyFont="1" applyFill="1" applyAlignment="1" applyProtection="1">
      <alignment horizontal="center"/>
      <protection locked="0"/>
    </xf>
    <xf numFmtId="169" fontId="23" fillId="0" borderId="0" xfId="7" applyNumberFormat="1" applyFont="1" applyAlignment="1">
      <alignment horizontal="center"/>
    </xf>
    <xf numFmtId="167" fontId="20" fillId="0" borderId="0" xfId="9" applyNumberFormat="1" applyFont="1" applyBorder="1" applyAlignment="1" applyProtection="1">
      <alignment horizontal="center"/>
      <protection locked="0"/>
    </xf>
    <xf numFmtId="0" fontId="25" fillId="0" borderId="0" xfId="9" applyNumberFormat="1" applyFont="1" applyFill="1" applyBorder="1" applyAlignment="1" applyProtection="1">
      <alignment horizontal="center"/>
      <protection locked="0"/>
    </xf>
    <xf numFmtId="49" fontId="25" fillId="0" borderId="0" xfId="9" applyNumberFormat="1" applyFont="1" applyFill="1" applyBorder="1" applyAlignment="1" applyProtection="1">
      <alignment horizontal="center"/>
      <protection locked="0"/>
    </xf>
    <xf numFmtId="173" fontId="51" fillId="0" borderId="26" xfId="10" applyNumberFormat="1" applyFont="1" applyFill="1" applyBorder="1" applyAlignment="1" applyProtection="1">
      <alignment horizontal="center"/>
      <protection locked="0"/>
    </xf>
    <xf numFmtId="190" fontId="25" fillId="0" borderId="49" xfId="9" applyNumberFormat="1" applyFont="1" applyFill="1" applyBorder="1" applyAlignment="1" applyProtection="1">
      <alignment horizontal="right"/>
      <protection locked="0"/>
    </xf>
    <xf numFmtId="49" fontId="22" fillId="0" borderId="0" xfId="7" applyNumberFormat="1" applyFont="1" applyAlignment="1">
      <alignment horizontal="right"/>
    </xf>
    <xf numFmtId="0" fontId="20" fillId="0" borderId="0" xfId="7" applyFont="1" applyAlignment="1">
      <alignment horizontal="left"/>
    </xf>
    <xf numFmtId="0" fontId="23" fillId="0" borderId="26" xfId="9" applyNumberFormat="1" applyFont="1" applyBorder="1" applyAlignment="1" applyProtection="1">
      <alignment horizontal="left" indent="1"/>
      <protection locked="0"/>
    </xf>
    <xf numFmtId="0" fontId="23" fillId="0" borderId="44" xfId="7" applyFont="1" applyBorder="1"/>
    <xf numFmtId="0" fontId="23" fillId="0" borderId="49" xfId="7" applyFont="1" applyBorder="1"/>
    <xf numFmtId="0" fontId="23" fillId="0" borderId="49" xfId="7" applyFont="1" applyBorder="1" applyAlignment="1">
      <alignment horizontal="left" indent="1"/>
    </xf>
    <xf numFmtId="0" fontId="20" fillId="0" borderId="0" xfId="0" applyFont="1" applyAlignment="1">
      <alignment horizontal="center"/>
    </xf>
    <xf numFmtId="37" fontId="9" fillId="0" borderId="4" xfId="7" applyNumberFormat="1" applyFont="1" applyBorder="1" applyAlignment="1">
      <alignment vertical="center"/>
    </xf>
    <xf numFmtId="168" fontId="20" fillId="0" borderId="4" xfId="7" applyNumberFormat="1" applyFont="1" applyBorder="1" applyAlignment="1">
      <alignment horizontal="right"/>
    </xf>
    <xf numFmtId="168" fontId="35" fillId="0" borderId="4" xfId="0" applyNumberFormat="1" applyFont="1" applyBorder="1" applyAlignment="1">
      <alignment horizontal="right"/>
    </xf>
    <xf numFmtId="0" fontId="55" fillId="0" borderId="0" xfId="2" applyNumberFormat="1" applyFont="1" applyFill="1" applyBorder="1" applyAlignment="1" applyProtection="1">
      <alignment horizontal="left" indent="1"/>
      <protection locked="0"/>
    </xf>
    <xf numFmtId="190" fontId="25" fillId="0" borderId="3" xfId="9" applyNumberFormat="1" applyFont="1" applyFill="1" applyBorder="1" applyAlignment="1" applyProtection="1">
      <alignment horizontal="right"/>
      <protection locked="0"/>
    </xf>
    <xf numFmtId="201" fontId="22" fillId="0" borderId="43" xfId="0" applyNumberFormat="1" applyFont="1" applyBorder="1" applyAlignment="1">
      <alignment horizontal="right"/>
    </xf>
    <xf numFmtId="0" fontId="67" fillId="0" borderId="0" xfId="4" applyFont="1"/>
    <xf numFmtId="0" fontId="22" fillId="0" borderId="0" xfId="4" applyFont="1" applyAlignment="1">
      <alignment horizontal="left" indent="1"/>
    </xf>
    <xf numFmtId="196" fontId="22" fillId="0" borderId="0" xfId="1" applyNumberFormat="1" applyFont="1" applyFill="1" applyBorder="1" applyAlignment="1" applyProtection="1">
      <alignment horizontal="center"/>
      <protection locked="0"/>
    </xf>
    <xf numFmtId="184" fontId="53" fillId="0" borderId="0" xfId="0" applyNumberFormat="1" applyFont="1" applyAlignment="1">
      <alignment horizontal="right"/>
    </xf>
    <xf numFmtId="203" fontId="23" fillId="0" borderId="0" xfId="7" applyNumberFormat="1" applyFont="1" applyAlignment="1">
      <alignment horizontal="right"/>
    </xf>
    <xf numFmtId="204" fontId="22" fillId="0" borderId="0" xfId="7" applyNumberFormat="1" applyFont="1" applyAlignment="1">
      <alignment horizontal="right"/>
    </xf>
    <xf numFmtId="173" fontId="24" fillId="0" borderId="53" xfId="7" applyNumberFormat="1" applyFont="1" applyBorder="1"/>
    <xf numFmtId="170" fontId="0" fillId="0" borderId="0" xfId="0" applyNumberFormat="1"/>
    <xf numFmtId="170" fontId="51" fillId="0" borderId="26" xfId="10" applyNumberFormat="1" applyFont="1" applyFill="1" applyBorder="1" applyAlignment="1" applyProtection="1">
      <alignment horizontal="right"/>
      <protection locked="0"/>
    </xf>
    <xf numFmtId="170" fontId="51" fillId="0" borderId="0" xfId="10" applyNumberFormat="1" applyFont="1" applyFill="1" applyBorder="1" applyAlignment="1" applyProtection="1">
      <alignment horizontal="right"/>
      <protection locked="0"/>
    </xf>
    <xf numFmtId="170" fontId="51" fillId="0" borderId="0" xfId="9" applyNumberFormat="1" applyFont="1" applyFill="1" applyBorder="1" applyAlignment="1" applyProtection="1">
      <alignment horizontal="right"/>
      <protection locked="0"/>
    </xf>
    <xf numFmtId="212" fontId="20" fillId="0" borderId="2" xfId="0" applyNumberFormat="1" applyFont="1" applyBorder="1" applyAlignment="1">
      <alignment horizontal="right"/>
    </xf>
    <xf numFmtId="198" fontId="51" fillId="0" borderId="0" xfId="9" applyNumberFormat="1" applyFont="1" applyFill="1" applyBorder="1" applyProtection="1">
      <protection locked="0"/>
    </xf>
    <xf numFmtId="198" fontId="22" fillId="0" borderId="0" xfId="9" applyNumberFormat="1" applyFont="1" applyFill="1" applyBorder="1" applyProtection="1">
      <protection locked="0"/>
    </xf>
    <xf numFmtId="204" fontId="23" fillId="0" borderId="0" xfId="7" applyNumberFormat="1" applyFont="1" applyAlignment="1">
      <alignment horizontal="right"/>
    </xf>
    <xf numFmtId="198" fontId="23" fillId="0" borderId="37" xfId="7" applyNumberFormat="1" applyFont="1" applyBorder="1" applyAlignment="1">
      <alignment horizontal="center" vertical="center"/>
    </xf>
    <xf numFmtId="172" fontId="22" fillId="0" borderId="15" xfId="0" applyNumberFormat="1" applyFont="1" applyBorder="1" applyAlignment="1">
      <alignment horizontal="right"/>
    </xf>
    <xf numFmtId="0" fontId="72" fillId="0" borderId="0" xfId="0" applyFont="1" applyAlignment="1">
      <alignment vertical="center"/>
    </xf>
    <xf numFmtId="0" fontId="81" fillId="0" borderId="0" xfId="7" applyFont="1" applyAlignment="1">
      <alignment horizontal="centerContinuous"/>
    </xf>
    <xf numFmtId="0" fontId="7" fillId="0" borderId="0" xfId="7" applyFont="1" applyAlignment="1">
      <alignment horizontal="centerContinuous"/>
    </xf>
    <xf numFmtId="0" fontId="23" fillId="0" borderId="26" xfId="7" applyFont="1" applyBorder="1" applyAlignment="1">
      <alignment horizontal="centerContinuous"/>
    </xf>
    <xf numFmtId="0" fontId="7" fillId="0" borderId="26" xfId="7" applyFont="1" applyBorder="1" applyAlignment="1">
      <alignment horizontal="centerContinuous"/>
    </xf>
    <xf numFmtId="0" fontId="51" fillId="0" borderId="0" xfId="7" applyFont="1" applyAlignment="1">
      <alignment horizontal="left"/>
    </xf>
    <xf numFmtId="184" fontId="22" fillId="0" borderId="0" xfId="7" applyNumberFormat="1" applyFont="1" applyAlignment="1">
      <alignment horizontal="right"/>
    </xf>
    <xf numFmtId="0" fontId="23" fillId="0" borderId="26" xfId="7" applyFont="1" applyBorder="1" applyAlignment="1">
      <alignment horizontal="left"/>
    </xf>
    <xf numFmtId="0" fontId="7" fillId="0" borderId="26" xfId="7" applyFont="1" applyBorder="1" applyAlignment="1">
      <alignment horizontal="left"/>
    </xf>
    <xf numFmtId="0" fontId="41" fillId="0" borderId="0" xfId="0" applyFont="1"/>
    <xf numFmtId="167" fontId="83" fillId="0" borderId="0" xfId="9" applyNumberFormat="1" applyFont="1" applyBorder="1" applyAlignment="1" applyProtection="1">
      <alignment horizontal="right"/>
      <protection locked="0"/>
    </xf>
    <xf numFmtId="167" fontId="83" fillId="0" borderId="0" xfId="9" applyNumberFormat="1" applyFont="1" applyFill="1" applyBorder="1" applyAlignment="1" applyProtection="1">
      <alignment horizontal="center"/>
      <protection locked="0"/>
    </xf>
    <xf numFmtId="0" fontId="84" fillId="0" borderId="0" xfId="0" applyFont="1"/>
    <xf numFmtId="167" fontId="83" fillId="0" borderId="0" xfId="9" applyNumberFormat="1" applyFont="1" applyBorder="1" applyProtection="1">
      <protection locked="0"/>
    </xf>
    <xf numFmtId="167" fontId="20" fillId="0" borderId="0" xfId="9" applyNumberFormat="1" applyFont="1" applyBorder="1" applyAlignment="1" applyProtection="1">
      <alignment horizontal="right"/>
      <protection locked="0"/>
    </xf>
    <xf numFmtId="213" fontId="21" fillId="2" borderId="0" xfId="7" applyNumberFormat="1" applyFont="1" applyFill="1" applyAlignment="1">
      <alignment horizontal="centerContinuous"/>
    </xf>
    <xf numFmtId="168" fontId="20" fillId="0" borderId="2" xfId="7" applyNumberFormat="1" applyFont="1" applyBorder="1" applyAlignment="1">
      <alignment horizontal="center"/>
    </xf>
    <xf numFmtId="168" fontId="20" fillId="0" borderId="0" xfId="7" applyNumberFormat="1" applyFont="1" applyAlignment="1">
      <alignment horizontal="center"/>
    </xf>
    <xf numFmtId="0" fontId="53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3" fillId="0" borderId="0" xfId="7" applyFont="1" applyAlignment="1">
      <alignment horizontal="center"/>
    </xf>
    <xf numFmtId="0" fontId="33" fillId="0" borderId="0" xfId="7" applyFont="1"/>
    <xf numFmtId="0" fontId="22" fillId="0" borderId="0" xfId="7" applyFont="1" applyAlignment="1">
      <alignment wrapText="1"/>
    </xf>
    <xf numFmtId="173" fontId="24" fillId="0" borderId="14" xfId="0" applyNumberFormat="1" applyFont="1" applyBorder="1" applyAlignment="1">
      <alignment vertical="center"/>
    </xf>
    <xf numFmtId="173" fontId="24" fillId="0" borderId="4" xfId="0" applyNumberFormat="1" applyFont="1" applyBorder="1" applyAlignment="1">
      <alignment vertical="center"/>
    </xf>
    <xf numFmtId="173" fontId="24" fillId="0" borderId="15" xfId="0" applyNumberFormat="1" applyFont="1" applyBorder="1" applyAlignment="1">
      <alignment vertical="center"/>
    </xf>
    <xf numFmtId="173" fontId="24" fillId="0" borderId="12" xfId="0" applyNumberFormat="1" applyFont="1" applyBorder="1" applyAlignment="1">
      <alignment vertical="center"/>
    </xf>
    <xf numFmtId="173" fontId="24" fillId="0" borderId="0" xfId="0" applyNumberFormat="1" applyFont="1" applyAlignment="1">
      <alignment vertical="center"/>
    </xf>
    <xf numFmtId="173" fontId="24" fillId="0" borderId="13" xfId="0" applyNumberFormat="1" applyFont="1" applyBorder="1" applyAlignment="1">
      <alignment vertical="center"/>
    </xf>
    <xf numFmtId="173" fontId="51" fillId="0" borderId="4" xfId="10" applyNumberFormat="1" applyFont="1" applyFill="1" applyBorder="1" applyAlignment="1" applyProtection="1">
      <alignment horizontal="center"/>
      <protection locked="0"/>
    </xf>
    <xf numFmtId="0" fontId="10" fillId="0" borderId="0" xfId="7" applyFont="1"/>
    <xf numFmtId="170" fontId="23" fillId="0" borderId="27" xfId="9" applyNumberFormat="1" applyFont="1" applyFill="1" applyBorder="1" applyAlignment="1" applyProtection="1">
      <alignment horizontal="center"/>
      <protection locked="0"/>
    </xf>
    <xf numFmtId="196" fontId="22" fillId="0" borderId="27" xfId="1" applyNumberFormat="1" applyFont="1" applyFill="1" applyBorder="1" applyAlignment="1" applyProtection="1">
      <alignment horizontal="center"/>
      <protection locked="0"/>
    </xf>
    <xf numFmtId="170" fontId="22" fillId="0" borderId="27" xfId="1" applyNumberFormat="1" applyFont="1" applyFill="1" applyBorder="1" applyAlignment="1" applyProtection="1">
      <alignment horizontal="center"/>
      <protection locked="0"/>
    </xf>
    <xf numFmtId="173" fontId="23" fillId="0" borderId="27" xfId="10" applyNumberFormat="1" applyFont="1" applyFill="1" applyBorder="1" applyAlignment="1" applyProtection="1">
      <alignment horizontal="center"/>
      <protection locked="0"/>
    </xf>
    <xf numFmtId="205" fontId="23" fillId="0" borderId="28" xfId="9" applyNumberFormat="1" applyFont="1" applyFill="1" applyBorder="1" applyAlignment="1" applyProtection="1">
      <alignment horizontal="center"/>
      <protection locked="0"/>
    </xf>
    <xf numFmtId="194" fontId="23" fillId="0" borderId="29" xfId="9" applyNumberFormat="1" applyFont="1" applyFill="1" applyBorder="1" applyAlignment="1" applyProtection="1">
      <alignment horizontal="center"/>
      <protection locked="0"/>
    </xf>
    <xf numFmtId="201" fontId="67" fillId="0" borderId="0" xfId="0" applyNumberFormat="1" applyFont="1" applyAlignment="1">
      <alignment horizontal="center"/>
    </xf>
    <xf numFmtId="170" fontId="20" fillId="0" borderId="10" xfId="7" applyNumberFormat="1" applyFont="1" applyBorder="1"/>
    <xf numFmtId="165" fontId="23" fillId="0" borderId="0" xfId="13" applyFont="1" applyFill="1"/>
    <xf numFmtId="173" fontId="23" fillId="0" borderId="0" xfId="10" applyNumberFormat="1" applyFont="1" applyFill="1"/>
    <xf numFmtId="170" fontId="23" fillId="0" borderId="26" xfId="4" applyNumberFormat="1" applyFont="1" applyBorder="1"/>
    <xf numFmtId="170" fontId="23" fillId="0" borderId="0" xfId="4" applyNumberFormat="1" applyFont="1"/>
    <xf numFmtId="170" fontId="25" fillId="0" borderId="10" xfId="7" applyNumberFormat="1" applyFont="1" applyBorder="1" applyAlignment="1">
      <alignment horizontal="right"/>
    </xf>
    <xf numFmtId="195" fontId="80" fillId="0" borderId="0" xfId="7" applyNumberFormat="1" applyFont="1" applyAlignment="1">
      <alignment horizontal="centerContinuous"/>
    </xf>
    <xf numFmtId="0" fontId="61" fillId="0" borderId="0" xfId="7" applyFont="1" applyAlignment="1">
      <alignment horizontal="centerContinuous"/>
    </xf>
    <xf numFmtId="173" fontId="80" fillId="0" borderId="0" xfId="7" applyNumberFormat="1" applyFont="1" applyAlignment="1">
      <alignment horizontal="centerContinuous"/>
    </xf>
    <xf numFmtId="195" fontId="23" fillId="0" borderId="0" xfId="7" applyNumberFormat="1" applyFont="1"/>
    <xf numFmtId="170" fontId="22" fillId="0" borderId="0" xfId="7" applyNumberFormat="1" applyFont="1" applyAlignment="1">
      <alignment horizontal="right"/>
    </xf>
    <xf numFmtId="195" fontId="22" fillId="0" borderId="0" xfId="7" applyNumberFormat="1" applyFont="1"/>
    <xf numFmtId="194" fontId="23" fillId="0" borderId="0" xfId="10" applyNumberFormat="1" applyFont="1" applyFill="1" applyBorder="1" applyAlignment="1" applyProtection="1">
      <alignment horizontal="right"/>
      <protection locked="0"/>
    </xf>
    <xf numFmtId="194" fontId="23" fillId="0" borderId="0" xfId="9" applyNumberFormat="1" applyFont="1" applyFill="1" applyProtection="1">
      <protection locked="0"/>
    </xf>
    <xf numFmtId="175" fontId="10" fillId="0" borderId="0" xfId="10" applyNumberFormat="1" applyFont="1" applyFill="1" applyBorder="1" applyAlignment="1" applyProtection="1">
      <alignment horizontal="right"/>
      <protection locked="0"/>
    </xf>
    <xf numFmtId="195" fontId="23" fillId="0" borderId="33" xfId="9" applyNumberFormat="1" applyFont="1" applyFill="1" applyBorder="1" applyAlignment="1" applyProtection="1">
      <alignment horizontal="right"/>
      <protection locked="0"/>
    </xf>
    <xf numFmtId="186" fontId="10" fillId="0" borderId="0" xfId="9" applyNumberFormat="1" applyFont="1" applyFill="1" applyBorder="1" applyAlignment="1" applyProtection="1">
      <alignment horizontal="right"/>
      <protection locked="0"/>
    </xf>
    <xf numFmtId="186" fontId="23" fillId="0" borderId="35" xfId="9" applyNumberFormat="1" applyFont="1" applyFill="1" applyBorder="1" applyAlignment="1" applyProtection="1">
      <alignment horizontal="right"/>
      <protection locked="0"/>
    </xf>
    <xf numFmtId="173" fontId="22" fillId="0" borderId="34" xfId="10" applyNumberFormat="1" applyFont="1" applyFill="1" applyBorder="1" applyProtection="1">
      <protection locked="0"/>
    </xf>
    <xf numFmtId="173" fontId="22" fillId="0" borderId="0" xfId="10" applyNumberFormat="1" applyFont="1" applyFill="1" applyBorder="1" applyProtection="1">
      <protection locked="0"/>
    </xf>
    <xf numFmtId="195" fontId="22" fillId="0" borderId="34" xfId="10" applyNumberFormat="1" applyFont="1" applyFill="1" applyBorder="1" applyProtection="1">
      <protection locked="0"/>
    </xf>
    <xf numFmtId="195" fontId="22" fillId="0" borderId="0" xfId="10" applyNumberFormat="1" applyFont="1" applyFill="1" applyBorder="1" applyProtection="1">
      <protection locked="0"/>
    </xf>
    <xf numFmtId="173" fontId="22" fillId="0" borderId="0" xfId="10" applyNumberFormat="1" applyFont="1" applyFill="1" applyProtection="1">
      <protection locked="0"/>
    </xf>
    <xf numFmtId="195" fontId="22" fillId="0" borderId="0" xfId="10" applyNumberFormat="1" applyFont="1" applyFill="1" applyProtection="1">
      <protection locked="0"/>
    </xf>
    <xf numFmtId="173" fontId="25" fillId="0" borderId="27" xfId="10" applyNumberFormat="1" applyFont="1" applyFill="1" applyBorder="1" applyProtection="1">
      <protection locked="0"/>
    </xf>
    <xf numFmtId="195" fontId="25" fillId="0" borderId="27" xfId="10" applyNumberFormat="1" applyFont="1" applyFill="1" applyBorder="1" applyProtection="1">
      <protection locked="0"/>
    </xf>
    <xf numFmtId="167" fontId="53" fillId="0" borderId="0" xfId="9" applyNumberFormat="1" applyFont="1" applyFill="1" applyBorder="1" applyAlignment="1" applyProtection="1">
      <alignment horizontal="centerContinuous"/>
      <protection locked="0"/>
    </xf>
    <xf numFmtId="175" fontId="58" fillId="0" borderId="0" xfId="10" applyNumberFormat="1" applyFont="1" applyFill="1" applyBorder="1" applyAlignment="1" applyProtection="1">
      <alignment horizontal="right"/>
      <protection locked="0"/>
    </xf>
    <xf numFmtId="194" fontId="22" fillId="0" borderId="33" xfId="9" applyNumberFormat="1" applyFont="1" applyFill="1" applyBorder="1" applyAlignment="1" applyProtection="1">
      <alignment horizontal="right"/>
      <protection locked="0"/>
    </xf>
    <xf numFmtId="186" fontId="58" fillId="0" borderId="0" xfId="9" applyNumberFormat="1" applyFont="1" applyFill="1" applyBorder="1" applyAlignment="1" applyProtection="1">
      <alignment horizontal="right"/>
      <protection locked="0"/>
    </xf>
    <xf numFmtId="189" fontId="22" fillId="0" borderId="35" xfId="9" applyNumberFormat="1" applyFont="1" applyFill="1" applyBorder="1" applyAlignment="1" applyProtection="1">
      <alignment horizontal="right"/>
      <protection locked="0"/>
    </xf>
    <xf numFmtId="173" fontId="22" fillId="0" borderId="36" xfId="10" applyNumberFormat="1" applyFont="1" applyFill="1" applyBorder="1" applyProtection="1">
      <protection locked="0"/>
    </xf>
    <xf numFmtId="195" fontId="22" fillId="0" borderId="0" xfId="10" applyNumberFormat="1" applyFont="1" applyFill="1" applyBorder="1" applyAlignment="1" applyProtection="1">
      <alignment horizontal="right"/>
      <protection locked="0"/>
    </xf>
    <xf numFmtId="170" fontId="23" fillId="0" borderId="4" xfId="13" applyNumberFormat="1" applyFont="1" applyFill="1" applyBorder="1"/>
    <xf numFmtId="194" fontId="22" fillId="0" borderId="26" xfId="10" applyNumberFormat="1" applyFont="1" applyFill="1" applyBorder="1" applyAlignment="1" applyProtection="1">
      <alignment horizontal="right"/>
      <protection locked="0"/>
    </xf>
    <xf numFmtId="170" fontId="23" fillId="0" borderId="26" xfId="9" applyNumberFormat="1" applyFont="1" applyFill="1" applyBorder="1" applyProtection="1">
      <protection locked="0"/>
    </xf>
    <xf numFmtId="194" fontId="22" fillId="0" borderId="0" xfId="10" applyNumberFormat="1" applyFont="1" applyFill="1" applyBorder="1" applyAlignment="1" applyProtection="1">
      <alignment horizontal="right"/>
      <protection locked="0"/>
    </xf>
    <xf numFmtId="194" fontId="22" fillId="0" borderId="38" xfId="10" applyNumberFormat="1" applyFont="1" applyFill="1" applyBorder="1" applyAlignment="1" applyProtection="1">
      <alignment horizontal="right"/>
      <protection locked="0"/>
    </xf>
    <xf numFmtId="194" fontId="25" fillId="0" borderId="39" xfId="10" applyNumberFormat="1" applyFont="1" applyFill="1" applyBorder="1" applyAlignment="1" applyProtection="1">
      <alignment horizontal="right"/>
      <protection locked="0"/>
    </xf>
    <xf numFmtId="170" fontId="25" fillId="0" borderId="10" xfId="9" applyNumberFormat="1" applyFont="1" applyFill="1" applyBorder="1" applyProtection="1">
      <protection locked="0"/>
    </xf>
    <xf numFmtId="170" fontId="23" fillId="0" borderId="0" xfId="9" applyNumberFormat="1" applyFont="1" applyFill="1" applyAlignment="1" applyProtection="1">
      <alignment horizontal="right"/>
      <protection locked="0"/>
    </xf>
    <xf numFmtId="170" fontId="24" fillId="0" borderId="0" xfId="13" applyNumberFormat="1" applyFont="1" applyFill="1"/>
    <xf numFmtId="170" fontId="24" fillId="0" borderId="0" xfId="13" applyNumberFormat="1" applyFont="1" applyFill="1" applyBorder="1"/>
    <xf numFmtId="170" fontId="23" fillId="0" borderId="10" xfId="9" applyNumberFormat="1" applyFont="1" applyFill="1" applyBorder="1" applyProtection="1">
      <protection locked="0"/>
    </xf>
    <xf numFmtId="170" fontId="23" fillId="0" borderId="10" xfId="7" applyNumberFormat="1" applyFont="1" applyBorder="1"/>
    <xf numFmtId="170" fontId="24" fillId="0" borderId="4" xfId="13" applyNumberFormat="1" applyFont="1" applyFill="1" applyBorder="1"/>
    <xf numFmtId="176" fontId="23" fillId="0" borderId="0" xfId="9" applyNumberFormat="1" applyFont="1" applyFill="1" applyBorder="1" applyAlignment="1" applyProtection="1">
      <alignment horizontal="right"/>
      <protection locked="0"/>
    </xf>
    <xf numFmtId="173" fontId="23" fillId="0" borderId="0" xfId="10" applyNumberFormat="1" applyFont="1" applyFill="1" applyAlignment="1" applyProtection="1">
      <alignment horizontal="right"/>
      <protection locked="0"/>
    </xf>
    <xf numFmtId="170" fontId="22" fillId="0" borderId="0" xfId="7" applyNumberFormat="1" applyFont="1" applyAlignment="1">
      <alignment horizontal="center"/>
    </xf>
    <xf numFmtId="170" fontId="23" fillId="0" borderId="4" xfId="9" applyNumberFormat="1" applyFont="1" applyFill="1" applyBorder="1" applyAlignment="1" applyProtection="1">
      <alignment horizontal="right"/>
      <protection locked="0"/>
    </xf>
    <xf numFmtId="173" fontId="23" fillId="0" borderId="4" xfId="10" applyNumberFormat="1" applyFont="1" applyFill="1" applyBorder="1" applyAlignment="1" applyProtection="1">
      <alignment horizontal="right"/>
      <protection locked="0"/>
    </xf>
    <xf numFmtId="173" fontId="25" fillId="0" borderId="32" xfId="1" applyNumberFormat="1" applyFont="1" applyFill="1" applyBorder="1" applyAlignment="1">
      <alignment vertical="center"/>
    </xf>
    <xf numFmtId="173" fontId="25" fillId="0" borderId="31" xfId="1" applyNumberFormat="1" applyFont="1" applyFill="1" applyBorder="1" applyAlignment="1">
      <alignment vertical="center"/>
    </xf>
    <xf numFmtId="173" fontId="25" fillId="0" borderId="30" xfId="1" applyNumberFormat="1" applyFont="1" applyFill="1" applyBorder="1" applyAlignment="1">
      <alignment vertical="center"/>
    </xf>
    <xf numFmtId="173" fontId="57" fillId="0" borderId="0" xfId="0" applyNumberFormat="1" applyFont="1" applyAlignment="1">
      <alignment horizontal="right" vertical="center"/>
    </xf>
    <xf numFmtId="170" fontId="25" fillId="0" borderId="32" xfId="1" applyNumberFormat="1" applyFont="1" applyFill="1" applyBorder="1" applyAlignment="1">
      <alignment horizontal="right" vertical="center"/>
    </xf>
    <xf numFmtId="170" fontId="25" fillId="0" borderId="31" xfId="1" applyNumberFormat="1" applyFont="1" applyFill="1" applyBorder="1" applyAlignment="1">
      <alignment horizontal="right" vertical="center"/>
    </xf>
    <xf numFmtId="170" fontId="25" fillId="0" borderId="30" xfId="1" applyNumberFormat="1" applyFont="1" applyFill="1" applyBorder="1" applyAlignment="1">
      <alignment horizontal="right" vertical="center"/>
    </xf>
    <xf numFmtId="170" fontId="24" fillId="0" borderId="9" xfId="0" applyNumberFormat="1" applyFont="1" applyBorder="1" applyAlignment="1">
      <alignment horizontal="right" vertical="center"/>
    </xf>
    <xf numFmtId="170" fontId="24" fillId="0" borderId="10" xfId="0" applyNumberFormat="1" applyFont="1" applyBorder="1" applyAlignment="1">
      <alignment horizontal="right" vertical="center"/>
    </xf>
    <xf numFmtId="170" fontId="24" fillId="0" borderId="11" xfId="0" applyNumberFormat="1" applyFont="1" applyBorder="1" applyAlignment="1">
      <alignment horizontal="right" vertical="center"/>
    </xf>
    <xf numFmtId="170" fontId="24" fillId="0" borderId="12" xfId="0" applyNumberFormat="1" applyFont="1" applyBorder="1" applyAlignment="1">
      <alignment horizontal="right" vertical="center"/>
    </xf>
    <xf numFmtId="170" fontId="24" fillId="0" borderId="13" xfId="0" applyNumberFormat="1" applyFont="1" applyBorder="1" applyAlignment="1">
      <alignment horizontal="right" vertical="center"/>
    </xf>
    <xf numFmtId="170" fontId="24" fillId="0" borderId="14" xfId="0" applyNumberFormat="1" applyFont="1" applyBorder="1" applyAlignment="1">
      <alignment horizontal="right" vertical="center"/>
    </xf>
    <xf numFmtId="170" fontId="24" fillId="0" borderId="4" xfId="0" applyNumberFormat="1" applyFont="1" applyBorder="1" applyAlignment="1">
      <alignment horizontal="right" vertical="center"/>
    </xf>
    <xf numFmtId="170" fontId="24" fillId="0" borderId="15" xfId="0" applyNumberFormat="1" applyFont="1" applyBorder="1" applyAlignment="1">
      <alignment horizontal="right" vertical="center"/>
    </xf>
    <xf numFmtId="172" fontId="23" fillId="0" borderId="7" xfId="0" applyNumberFormat="1" applyFont="1" applyBorder="1"/>
    <xf numFmtId="172" fontId="23" fillId="0" borderId="8" xfId="0" applyNumberFormat="1" applyFont="1" applyBorder="1"/>
    <xf numFmtId="173" fontId="22" fillId="0" borderId="15" xfId="0" applyNumberFormat="1" applyFont="1" applyBorder="1"/>
    <xf numFmtId="170" fontId="23" fillId="0" borderId="4" xfId="0" applyNumberFormat="1" applyFont="1" applyBorder="1" applyAlignment="1">
      <alignment horizontal="right"/>
    </xf>
    <xf numFmtId="170" fontId="22" fillId="0" borderId="4" xfId="9" applyNumberFormat="1" applyFont="1" applyFill="1" applyBorder="1" applyAlignment="1" applyProtection="1">
      <protection locked="0"/>
    </xf>
    <xf numFmtId="170" fontId="27" fillId="0" borderId="0" xfId="9" applyNumberFormat="1" applyFont="1" applyFill="1" applyProtection="1">
      <protection locked="0"/>
    </xf>
    <xf numFmtId="170" fontId="22" fillId="0" borderId="0" xfId="9" applyNumberFormat="1" applyFont="1" applyFill="1" applyBorder="1" applyProtection="1">
      <protection locked="0"/>
    </xf>
    <xf numFmtId="170" fontId="20" fillId="0" borderId="5" xfId="9" applyNumberFormat="1" applyFont="1" applyFill="1" applyBorder="1" applyProtection="1">
      <protection locked="0"/>
    </xf>
    <xf numFmtId="170" fontId="16" fillId="0" borderId="0" xfId="7" applyNumberFormat="1" applyFont="1" applyAlignment="1">
      <alignment vertical="center"/>
    </xf>
    <xf numFmtId="170" fontId="23" fillId="0" borderId="6" xfId="7" applyNumberFormat="1" applyFont="1" applyBorder="1" applyAlignment="1">
      <alignment vertical="center"/>
    </xf>
    <xf numFmtId="170" fontId="23" fillId="0" borderId="7" xfId="7" applyNumberFormat="1" applyFont="1" applyBorder="1" applyAlignment="1">
      <alignment vertical="center"/>
    </xf>
    <xf numFmtId="170" fontId="23" fillId="0" borderId="8" xfId="7" applyNumberFormat="1" applyFont="1" applyBorder="1" applyAlignment="1">
      <alignment vertical="center"/>
    </xf>
    <xf numFmtId="170" fontId="22" fillId="0" borderId="10" xfId="9" applyNumberFormat="1" applyFont="1" applyFill="1" applyBorder="1" applyAlignment="1" applyProtection="1">
      <protection locked="0"/>
    </xf>
    <xf numFmtId="207" fontId="23" fillId="0" borderId="0" xfId="9" applyNumberFormat="1" applyFont="1" applyFill="1" applyBorder="1" applyProtection="1">
      <protection locked="0"/>
    </xf>
    <xf numFmtId="207" fontId="23" fillId="0" borderId="4" xfId="9" applyNumberFormat="1" applyFont="1" applyFill="1" applyBorder="1" applyProtection="1">
      <protection locked="0"/>
    </xf>
    <xf numFmtId="201" fontId="22" fillId="0" borderId="51" xfId="0" applyNumberFormat="1" applyFont="1" applyBorder="1" applyAlignment="1">
      <alignment horizontal="right"/>
    </xf>
    <xf numFmtId="201" fontId="22" fillId="0" borderId="52" xfId="0" applyNumberFormat="1" applyFont="1" applyBorder="1" applyAlignment="1">
      <alignment horizontal="right"/>
    </xf>
    <xf numFmtId="0" fontId="14" fillId="0" borderId="52" xfId="0" applyFont="1" applyBorder="1"/>
    <xf numFmtId="170" fontId="23" fillId="0" borderId="6" xfId="9" applyNumberFormat="1" applyFont="1" applyFill="1" applyBorder="1" applyProtection="1">
      <protection locked="0"/>
    </xf>
    <xf numFmtId="170" fontId="23" fillId="0" borderId="7" xfId="9" applyNumberFormat="1" applyFont="1" applyFill="1" applyBorder="1" applyProtection="1">
      <protection locked="0"/>
    </xf>
    <xf numFmtId="170" fontId="23" fillId="0" borderId="8" xfId="9" applyNumberFormat="1" applyFont="1" applyFill="1" applyBorder="1" applyProtection="1">
      <protection locked="0"/>
    </xf>
    <xf numFmtId="180" fontId="23" fillId="0" borderId="0" xfId="9" applyNumberFormat="1" applyFont="1" applyFill="1" applyBorder="1" applyProtection="1">
      <protection locked="0"/>
    </xf>
    <xf numFmtId="180" fontId="22" fillId="0" borderId="9" xfId="10" applyNumberFormat="1" applyFont="1" applyFill="1" applyBorder="1" applyAlignment="1" applyProtection="1">
      <alignment horizontal="right"/>
      <protection locked="0"/>
    </xf>
    <xf numFmtId="180" fontId="22" fillId="0" borderId="10" xfId="10" applyNumberFormat="1" applyFont="1" applyFill="1" applyBorder="1" applyAlignment="1" applyProtection="1">
      <alignment horizontal="right"/>
      <protection locked="0"/>
    </xf>
    <xf numFmtId="180" fontId="22" fillId="0" borderId="11" xfId="10" applyNumberFormat="1" applyFont="1" applyFill="1" applyBorder="1" applyAlignment="1" applyProtection="1">
      <alignment horizontal="right"/>
      <protection locked="0"/>
    </xf>
    <xf numFmtId="170" fontId="23" fillId="0" borderId="12" xfId="9" applyNumberFormat="1" applyFont="1" applyFill="1" applyBorder="1" applyProtection="1">
      <protection locked="0"/>
    </xf>
    <xf numFmtId="170" fontId="23" fillId="0" borderId="13" xfId="9" applyNumberFormat="1" applyFont="1" applyFill="1" applyBorder="1" applyProtection="1">
      <protection locked="0"/>
    </xf>
    <xf numFmtId="211" fontId="23" fillId="0" borderId="14" xfId="9" applyNumberFormat="1" applyFont="1" applyFill="1" applyBorder="1" applyAlignment="1" applyProtection="1">
      <alignment horizontal="right"/>
      <protection locked="0"/>
    </xf>
    <xf numFmtId="211" fontId="23" fillId="0" borderId="4" xfId="9" applyNumberFormat="1" applyFont="1" applyFill="1" applyBorder="1" applyAlignment="1" applyProtection="1">
      <alignment horizontal="right"/>
      <protection locked="0"/>
    </xf>
    <xf numFmtId="211" fontId="23" fillId="0" borderId="15" xfId="9" applyNumberFormat="1" applyFont="1" applyFill="1" applyBorder="1" applyAlignment="1" applyProtection="1">
      <alignment horizontal="right"/>
      <protection locked="0"/>
    </xf>
    <xf numFmtId="207" fontId="23" fillId="0" borderId="0" xfId="1" applyNumberFormat="1" applyFont="1" applyFill="1" applyBorder="1" applyAlignment="1" applyProtection="1">
      <alignment horizontal="right"/>
      <protection locked="0"/>
    </xf>
    <xf numFmtId="180" fontId="23" fillId="0" borderId="9" xfId="10" applyNumberFormat="1" applyFont="1" applyFill="1" applyBorder="1" applyAlignment="1" applyProtection="1">
      <alignment horizontal="right"/>
      <protection locked="0"/>
    </xf>
    <xf numFmtId="180" fontId="23" fillId="0" borderId="10" xfId="10" applyNumberFormat="1" applyFont="1" applyFill="1" applyBorder="1" applyAlignment="1" applyProtection="1">
      <alignment horizontal="right"/>
      <protection locked="0"/>
    </xf>
    <xf numFmtId="180" fontId="23" fillId="0" borderId="11" xfId="10" applyNumberFormat="1" applyFont="1" applyFill="1" applyBorder="1" applyAlignment="1" applyProtection="1">
      <alignment horizontal="right"/>
      <protection locked="0"/>
    </xf>
    <xf numFmtId="180" fontId="23" fillId="0" borderId="6" xfId="10" applyNumberFormat="1" applyFont="1" applyFill="1" applyBorder="1" applyAlignment="1" applyProtection="1">
      <alignment horizontal="right"/>
      <protection locked="0"/>
    </xf>
    <xf numFmtId="180" fontId="23" fillId="0" borderId="7" xfId="10" applyNumberFormat="1" applyFont="1" applyFill="1" applyBorder="1" applyAlignment="1" applyProtection="1">
      <alignment horizontal="right"/>
      <protection locked="0"/>
    </xf>
    <xf numFmtId="180" fontId="23" fillId="0" borderId="8" xfId="10" applyNumberFormat="1" applyFont="1" applyFill="1" applyBorder="1" applyAlignment="1" applyProtection="1">
      <alignment horizontal="right"/>
      <protection locked="0"/>
    </xf>
    <xf numFmtId="173" fontId="23" fillId="0" borderId="0" xfId="1" applyNumberFormat="1" applyFont="1" applyFill="1" applyBorder="1" applyAlignment="1" applyProtection="1">
      <alignment horizontal="right"/>
      <protection locked="0"/>
    </xf>
    <xf numFmtId="173" fontId="23" fillId="0" borderId="4" xfId="1" applyNumberFormat="1" applyFont="1" applyFill="1" applyBorder="1" applyAlignment="1" applyProtection="1">
      <alignment horizontal="right"/>
      <protection locked="0"/>
    </xf>
    <xf numFmtId="170" fontId="62" fillId="0" borderId="0" xfId="7" applyNumberFormat="1" applyFont="1" applyAlignment="1">
      <alignment vertical="center"/>
    </xf>
    <xf numFmtId="170" fontId="23" fillId="0" borderId="0" xfId="7" applyNumberFormat="1" applyFont="1" applyAlignment="1">
      <alignment horizontal="right" vertical="center"/>
    </xf>
    <xf numFmtId="201" fontId="22" fillId="0" borderId="6" xfId="9" applyNumberFormat="1" applyFont="1" applyFill="1" applyBorder="1" applyAlignment="1" applyProtection="1">
      <alignment horizontal="right"/>
      <protection locked="0"/>
    </xf>
    <xf numFmtId="201" fontId="22" fillId="0" borderId="7" xfId="9" applyNumberFormat="1" applyFont="1" applyFill="1" applyBorder="1" applyAlignment="1" applyProtection="1">
      <alignment horizontal="right"/>
      <protection locked="0"/>
    </xf>
    <xf numFmtId="201" fontId="22" fillId="0" borderId="8" xfId="9" applyNumberFormat="1" applyFont="1" applyFill="1" applyBorder="1" applyAlignment="1" applyProtection="1">
      <alignment horizontal="right"/>
      <protection locked="0"/>
    </xf>
    <xf numFmtId="194" fontId="22" fillId="0" borderId="10" xfId="9" applyNumberFormat="1" applyFont="1" applyFill="1" applyBorder="1" applyAlignment="1" applyProtection="1">
      <alignment horizontal="right"/>
      <protection locked="0"/>
    </xf>
    <xf numFmtId="180" fontId="23" fillId="0" borderId="0" xfId="9" applyNumberFormat="1" applyFont="1" applyFill="1" applyBorder="1" applyAlignment="1" applyProtection="1">
      <alignment horizontal="right"/>
      <protection locked="0"/>
    </xf>
    <xf numFmtId="194" fontId="22" fillId="0" borderId="4" xfId="9" applyNumberFormat="1" applyFont="1" applyFill="1" applyBorder="1" applyAlignment="1" applyProtection="1">
      <alignment horizontal="right"/>
      <protection locked="0"/>
    </xf>
    <xf numFmtId="198" fontId="23" fillId="0" borderId="14" xfId="7" applyNumberFormat="1" applyFont="1" applyBorder="1" applyAlignment="1">
      <alignment horizontal="center"/>
    </xf>
    <xf numFmtId="198" fontId="23" fillId="0" borderId="14" xfId="7" applyNumberFormat="1" applyFont="1" applyBorder="1" applyAlignment="1">
      <alignment horizontal="center" vertical="center"/>
    </xf>
    <xf numFmtId="198" fontId="23" fillId="0" borderId="4" xfId="7" applyNumberFormat="1" applyFont="1" applyBorder="1" applyAlignment="1">
      <alignment horizontal="center" vertical="center"/>
    </xf>
    <xf numFmtId="198" fontId="23" fillId="0" borderId="15" xfId="7" applyNumberFormat="1" applyFont="1" applyBorder="1" applyAlignment="1">
      <alignment horizontal="center" vertical="center"/>
    </xf>
    <xf numFmtId="195" fontId="23" fillId="0" borderId="0" xfId="9" applyNumberFormat="1" applyFont="1" applyFill="1" applyBorder="1" applyAlignment="1" applyProtection="1">
      <alignment horizontal="right"/>
      <protection locked="0"/>
    </xf>
    <xf numFmtId="170" fontId="22" fillId="0" borderId="10" xfId="9" applyNumberFormat="1" applyFont="1" applyFill="1" applyBorder="1" applyAlignment="1" applyProtection="1">
      <alignment horizontal="right"/>
      <protection locked="0"/>
    </xf>
    <xf numFmtId="173" fontId="22" fillId="0" borderId="26" xfId="10" applyNumberFormat="1" applyFont="1" applyFill="1" applyBorder="1" applyAlignment="1" applyProtection="1">
      <alignment horizontal="center"/>
      <protection locked="0"/>
    </xf>
    <xf numFmtId="195" fontId="23" fillId="0" borderId="0" xfId="9" applyNumberFormat="1" applyFont="1" applyFill="1" applyAlignment="1" applyProtection="1">
      <alignment horizontal="center"/>
      <protection locked="0"/>
    </xf>
    <xf numFmtId="173" fontId="22" fillId="0" borderId="0" xfId="10" applyNumberFormat="1" applyFont="1" applyFill="1" applyBorder="1" applyAlignment="1" applyProtection="1">
      <alignment horizontal="center"/>
      <protection locked="0"/>
    </xf>
    <xf numFmtId="170" fontId="22" fillId="0" borderId="26" xfId="9" applyNumberFormat="1" applyFont="1" applyFill="1" applyBorder="1" applyAlignment="1" applyProtection="1">
      <protection locked="0"/>
    </xf>
    <xf numFmtId="0" fontId="67" fillId="0" borderId="0" xfId="0" applyFont="1"/>
    <xf numFmtId="194" fontId="23" fillId="0" borderId="37" xfId="9" applyNumberFormat="1" applyFont="1" applyFill="1" applyBorder="1" applyAlignment="1" applyProtection="1">
      <alignment horizontal="center"/>
      <protection locked="0"/>
    </xf>
    <xf numFmtId="0" fontId="85" fillId="10" borderId="0" xfId="0" applyFont="1" applyFill="1" applyAlignment="1">
      <alignment vertical="center"/>
    </xf>
    <xf numFmtId="0" fontId="0" fillId="10" borderId="0" xfId="0" applyFill="1" applyAlignment="1">
      <alignment vertical="center"/>
    </xf>
    <xf numFmtId="0" fontId="0" fillId="3" borderId="0" xfId="0" applyFill="1"/>
    <xf numFmtId="214" fontId="0" fillId="3" borderId="0" xfId="0" applyNumberFormat="1" applyFill="1"/>
    <xf numFmtId="0" fontId="88" fillId="3" borderId="0" xfId="0" applyFont="1" applyFill="1"/>
    <xf numFmtId="170" fontId="86" fillId="0" borderId="0" xfId="0" applyNumberFormat="1" applyFont="1"/>
    <xf numFmtId="0" fontId="89" fillId="0" borderId="0" xfId="0" applyFont="1"/>
    <xf numFmtId="0" fontId="22" fillId="0" borderId="0" xfId="21" applyFont="1"/>
    <xf numFmtId="170" fontId="89" fillId="0" borderId="0" xfId="0" applyNumberFormat="1" applyFont="1" applyAlignment="1">
      <alignment horizontal="center"/>
    </xf>
    <xf numFmtId="0" fontId="88" fillId="0" borderId="54" xfId="0" applyFont="1" applyBorder="1" applyAlignment="1">
      <alignment horizontal="center"/>
    </xf>
    <xf numFmtId="0" fontId="1" fillId="0" borderId="0" xfId="21" applyFont="1"/>
    <xf numFmtId="215" fontId="46" fillId="0" borderId="0" xfId="7" applyNumberFormat="1" applyFont="1"/>
    <xf numFmtId="0" fontId="90" fillId="0" borderId="0" xfId="7" applyFont="1" applyAlignment="1">
      <alignment horizontal="centerContinuous"/>
    </xf>
    <xf numFmtId="215" fontId="80" fillId="0" borderId="0" xfId="7" applyNumberFormat="1" applyFont="1" applyAlignment="1">
      <alignment horizontal="centerContinuous"/>
    </xf>
    <xf numFmtId="0" fontId="53" fillId="0" borderId="0" xfId="7" applyFont="1" applyAlignment="1">
      <alignment horizontal="right" vertical="center" textRotation="90" wrapText="1"/>
    </xf>
    <xf numFmtId="0" fontId="53" fillId="0" borderId="0" xfId="7" applyFont="1" applyAlignment="1">
      <alignment horizontal="right" vertical="center" textRotation="90"/>
    </xf>
  </cellXfs>
  <cellStyles count="22">
    <cellStyle name="Comma" xfId="13" builtinId="3"/>
    <cellStyle name="Comma 2" xfId="5" xr:uid="{E4921B80-8D66-4D3A-80A8-30D7AC6654E4}"/>
    <cellStyle name="Comma 2 2" xfId="8" xr:uid="{33AE53A1-2CAB-4F9A-98A8-76CC0170A50E}"/>
    <cellStyle name="Comma 2 2 2" xfId="14" xr:uid="{431892DB-AB9A-4633-8017-AA381734D6F8}"/>
    <cellStyle name="Comma 3" xfId="9" xr:uid="{9013D041-6AC7-421B-9454-E94F9F6AC0E2}"/>
    <cellStyle name="Comma 3 2" xfId="15" xr:uid="{B93D2F20-78CA-4DA8-A534-728C817149B4}"/>
    <cellStyle name="Comma 4" xfId="11" xr:uid="{DABF21A8-6D11-4CFF-A523-DF653DA56409}"/>
    <cellStyle name="Comma 5" xfId="16" xr:uid="{310994B7-443A-4F05-8FDA-3B4BB68F1BF9}"/>
    <cellStyle name="Hyperlink 2" xfId="2" xr:uid="{AB6B3A7D-3778-4F12-89C6-854994145915}"/>
    <cellStyle name="Hyperlink 2 2" xfId="3" xr:uid="{68C7A1A0-E6BF-4680-81F4-BC0E6FC46C33}"/>
    <cellStyle name="Normal" xfId="0" builtinId="0"/>
    <cellStyle name="Normal 2" xfId="7" xr:uid="{1622EAD9-A76B-4FD1-8241-3DE773D092F6}"/>
    <cellStyle name="Normal 2 2 2" xfId="4" xr:uid="{78B9DE1D-532C-4950-9B15-A4A33EAE21E4}"/>
    <cellStyle name="Normal 3" xfId="12" xr:uid="{A7500AAD-92F7-436F-A5BB-6545E7F88122}"/>
    <cellStyle name="Normal 4" xfId="17" xr:uid="{6DAB517E-93FE-4664-ABD9-DA15CE54844F}"/>
    <cellStyle name="Normal 4 2" xfId="19" xr:uid="{1E8FD2EF-ADAA-4F6E-A009-88F69838B57E}"/>
    <cellStyle name="Normal 5" xfId="21" xr:uid="{30EC386C-4BBA-442E-B9AB-010EFBE7FF7C}"/>
    <cellStyle name="Percent" xfId="1" builtinId="5"/>
    <cellStyle name="Percent 2" xfId="10" xr:uid="{ABD919A6-2362-4532-BB45-45C5E28B9575}"/>
    <cellStyle name="Percent 3" xfId="18" xr:uid="{59167963-2F22-4B43-85BB-575B809A1EF4}"/>
    <cellStyle name="Percent 3 2" xfId="20" xr:uid="{28769952-26C4-442F-8C95-D50632E7A30A}"/>
    <cellStyle name="TitleNormal" xfId="6" xr:uid="{0EDC5827-EA85-4EA1-A381-6FD8E95C55F6}"/>
  </cellStyles>
  <dxfs count="35">
    <dxf>
      <font>
        <b/>
        <i val="0"/>
        <color theme="0"/>
      </font>
      <fill>
        <patternFill>
          <bgColor rgb="FFFA621C"/>
        </patternFill>
      </fill>
    </dxf>
    <dxf>
      <font>
        <b/>
        <i val="0"/>
        <color theme="0"/>
      </font>
      <fill>
        <patternFill>
          <bgColor rgb="FFFA621C"/>
        </patternFill>
      </fill>
    </dxf>
    <dxf>
      <font>
        <b/>
        <i val="0"/>
        <color theme="0"/>
      </font>
      <fill>
        <patternFill patternType="solid">
          <bgColor rgb="FFFA621C"/>
        </patternFill>
      </fill>
    </dxf>
    <dxf>
      <font>
        <b/>
        <i val="0"/>
        <color theme="0"/>
      </font>
      <fill>
        <patternFill patternType="solid">
          <bgColor rgb="FFFA621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rgb="FFFA621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none">
          <bgColor indexed="65"/>
        </patternFill>
      </fill>
    </dxf>
    <dxf>
      <font>
        <color rgb="FF006100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none">
          <bgColor indexed="65"/>
        </patternFill>
      </fill>
    </dxf>
    <dxf>
      <font>
        <b/>
        <i val="0"/>
        <color theme="0"/>
      </font>
      <fill>
        <patternFill patternType="solid">
          <bgColor rgb="FFFA621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none">
          <bgColor indexed="65"/>
        </patternFill>
      </fill>
    </dxf>
    <dxf>
      <font>
        <b/>
        <i val="0"/>
        <color theme="0"/>
      </font>
      <fill>
        <patternFill patternType="solid">
          <bgColor rgb="FFFA621C"/>
        </patternFill>
      </fill>
    </dxf>
    <dxf>
      <font>
        <b/>
        <i val="0"/>
        <color theme="0"/>
      </font>
      <fill>
        <patternFill>
          <bgColor rgb="FFFA621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none">
          <bgColor indexed="65"/>
        </patternFill>
      </fill>
    </dxf>
    <dxf>
      <font>
        <b/>
        <i val="0"/>
        <color theme="0"/>
      </font>
      <fill>
        <patternFill patternType="solid">
          <bgColor rgb="FFFA621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308488211766582"/>
          <c:y val="6.5565685868213819E-2"/>
          <c:w val="0.82507720181865829"/>
          <c:h val="0.7942492056913937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Outputs!$T$28</c:f>
              <c:strCache>
                <c:ptCount val="1"/>
                <c:pt idx="0">
                  <c:v>Total Debt</c:v>
                </c:pt>
              </c:strCache>
            </c:strRef>
          </c:tx>
          <c:spPr>
            <a:solidFill>
              <a:srgbClr val="3271D2"/>
            </a:solidFill>
            <a:ln>
              <a:noFill/>
            </a:ln>
            <a:effectLst/>
          </c:spPr>
          <c:invertIfNegative val="0"/>
          <c:val>
            <c:numRef>
              <c:f>Outputs!$W$28:$AA$28</c:f>
              <c:numCache>
                <c:formatCode>_(#,##0_);\(#,##0\);_("–"_);_(@_)</c:formatCode>
                <c:ptCount val="5"/>
                <c:pt idx="0">
                  <c:v>108133.77352335543</c:v>
                </c:pt>
                <c:pt idx="1">
                  <c:v>99271.651708970254</c:v>
                </c:pt>
                <c:pt idx="2">
                  <c:v>88455.182598281302</c:v>
                </c:pt>
                <c:pt idx="3">
                  <c:v>78196.190244097175</c:v>
                </c:pt>
                <c:pt idx="4">
                  <c:v>66672.65296669933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D5-400D-B188-0022C62688B7}"/>
            </c:ext>
          </c:extLst>
        </c:ser>
        <c:ser>
          <c:idx val="1"/>
          <c:order val="1"/>
          <c:tx>
            <c:strRef>
              <c:f>Outputs!$T$27</c:f>
              <c:strCache>
                <c:ptCount val="1"/>
                <c:pt idx="0">
                  <c:v>EBITDA</c:v>
                </c:pt>
              </c:strCache>
            </c:strRef>
          </c:tx>
          <c:spPr>
            <a:solidFill>
              <a:srgbClr val="FA621C"/>
            </a:solidFill>
            <a:ln>
              <a:noFill/>
            </a:ln>
            <a:effectLst/>
          </c:spPr>
          <c:invertIfNegative val="0"/>
          <c:cat>
            <c:numRef>
              <c:f>Outputs!$W$25:$AA$25</c:f>
              <c:numCache>
                <c:formatCode>0"F"</c:formatCode>
                <c:ptCount val="5"/>
                <c:pt idx="0">
                  <c:v>2023</c:v>
                </c:pt>
                <c:pt idx="1">
                  <c:v>2024</c:v>
                </c:pt>
                <c:pt idx="2">
                  <c:v>2025</c:v>
                </c:pt>
                <c:pt idx="3">
                  <c:v>2026</c:v>
                </c:pt>
                <c:pt idx="4">
                  <c:v>2027</c:v>
                </c:pt>
              </c:numCache>
            </c:numRef>
          </c:cat>
          <c:val>
            <c:numRef>
              <c:f>Outputs!$W$27:$AA$27</c:f>
              <c:numCache>
                <c:formatCode>_(#,##0_);\(#,##0\);_("–"_);_(@_)</c:formatCode>
                <c:ptCount val="5"/>
                <c:pt idx="0">
                  <c:v>20042.950308300002</c:v>
                </c:pt>
                <c:pt idx="1">
                  <c:v>22016.165556991549</c:v>
                </c:pt>
                <c:pt idx="2">
                  <c:v>23808.832883065334</c:v>
                </c:pt>
                <c:pt idx="3">
                  <c:v>25920.662348699239</c:v>
                </c:pt>
                <c:pt idx="4">
                  <c:v>27813.058457742598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D5-400D-B188-0022C62688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overlap val="-27"/>
        <c:axId val="221970591"/>
        <c:axId val="221950623"/>
      </c:barChart>
      <c:catAx>
        <c:axId val="221970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221950623"/>
        <c:crosses val="autoZero"/>
        <c:auto val="1"/>
        <c:lblAlgn val="ctr"/>
        <c:lblOffset val="100"/>
        <c:noMultiLvlLbl val="0"/>
      </c:catAx>
      <c:valAx>
        <c:axId val="221950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rgbClr val="DDDEE0"/>
              </a:solidFill>
              <a:prstDash val="dash"/>
              <a:round/>
            </a:ln>
            <a:effectLst/>
          </c:spPr>
        </c:majorGridlines>
        <c:numFmt formatCode="_(#,##0_);\(#,##0\);_(&quot;–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221970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69710039766155996"/>
          <c:y val="6.3908550904821101E-2"/>
          <c:w val="0.23728500825325211"/>
          <c:h val="0.1323318137864345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FFFFF"/>
    </a:solidFill>
    <a:ln w="9525" cap="flat" cmpd="sng" algn="ctr">
      <a:noFill/>
      <a:round/>
    </a:ln>
    <a:effectLst/>
  </c:spPr>
  <c:txPr>
    <a:bodyPr/>
    <a:lstStyle/>
    <a:p>
      <a:pPr>
        <a:defRPr sz="900">
          <a:solidFill>
            <a:sysClr val="windowText" lastClr="000000"/>
          </a:solidFill>
          <a:latin typeface="Open Sans" panose="020B0606030504020204" pitchFamily="34" charset="0"/>
          <a:ea typeface="Open Sans" panose="020B0606030504020204" pitchFamily="34" charset="0"/>
          <a:cs typeface="Open Sans" panose="020B0606030504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308488211766582"/>
          <c:y val="6.5565685868213819E-2"/>
          <c:w val="0.82507720181865829"/>
          <c:h val="0.79424920569139379"/>
        </c:manualLayout>
      </c:layout>
      <c:lineChart>
        <c:grouping val="standard"/>
        <c:varyColors val="0"/>
        <c:ser>
          <c:idx val="0"/>
          <c:order val="0"/>
          <c:tx>
            <c:strRef>
              <c:f>Outputs!$T$30</c:f>
              <c:strCache>
                <c:ptCount val="1"/>
                <c:pt idx="0">
                  <c:v>Total Debt / EBITDA</c:v>
                </c:pt>
              </c:strCache>
            </c:strRef>
          </c:tx>
          <c:spPr>
            <a:ln w="28575" cap="rnd">
              <a:solidFill>
                <a:srgbClr val="3271D2"/>
              </a:solidFill>
              <a:round/>
            </a:ln>
            <a:effectLst/>
          </c:spPr>
          <c:marker>
            <c:symbol val="circle"/>
            <c:size val="5"/>
            <c:spPr>
              <a:pattFill>
                <a:fgClr>
                  <a:srgbClr val="3271D2"/>
                </a:fgClr>
                <a:bgClr>
                  <a:srgbClr val="3271D2"/>
                </a:bgClr>
              </a:pattFill>
              <a:ln w="9525">
                <a:solidFill>
                  <a:srgbClr val="3271D2"/>
                </a:solidFill>
              </a:ln>
              <a:effectLst/>
            </c:spPr>
          </c:marker>
          <c:val>
            <c:numRef>
              <c:f>Outputs!$W$30:$AA$30</c:f>
              <c:numCache>
                <c:formatCode>_(0.0\x_);\(0.0\x\);_("–"_);_(@_)</c:formatCode>
                <c:ptCount val="5"/>
                <c:pt idx="0">
                  <c:v>5.3951026101469735</c:v>
                </c:pt>
                <c:pt idx="1">
                  <c:v>4.5090345751622092</c:v>
                </c:pt>
                <c:pt idx="2">
                  <c:v>3.7152254809263416</c:v>
                </c:pt>
                <c:pt idx="3">
                  <c:v>3.016751238535432</c:v>
                </c:pt>
                <c:pt idx="4">
                  <c:v>2.3971708493691026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86-40FC-B587-F6B99FE08A8A}"/>
            </c:ext>
          </c:extLst>
        </c:ser>
        <c:ser>
          <c:idx val="1"/>
          <c:order val="1"/>
          <c:tx>
            <c:strRef>
              <c:f>Outputs!$T$31</c:f>
              <c:strCache>
                <c:ptCount val="1"/>
                <c:pt idx="0">
                  <c:v>Debt Service Coverage Ratio</c:v>
                </c:pt>
              </c:strCache>
            </c:strRef>
          </c:tx>
          <c:spPr>
            <a:ln w="28575" cap="rnd">
              <a:solidFill>
                <a:srgbClr val="FA621C"/>
              </a:solidFill>
              <a:round/>
            </a:ln>
            <a:effectLst/>
          </c:spPr>
          <c:marker>
            <c:symbol val="circle"/>
            <c:size val="5"/>
            <c:spPr>
              <a:pattFill>
                <a:fgClr>
                  <a:srgbClr val="FA621C"/>
                </a:fgClr>
                <a:bgClr>
                  <a:srgbClr val="FA621C"/>
                </a:bgClr>
              </a:pattFill>
              <a:ln w="9525">
                <a:solidFill>
                  <a:srgbClr val="FA621C"/>
                </a:solidFill>
              </a:ln>
              <a:effectLst/>
            </c:spPr>
          </c:marker>
          <c:cat>
            <c:numRef>
              <c:f>Outputs!$W$25:$AA$25</c:f>
              <c:numCache>
                <c:formatCode>0"F"</c:formatCode>
                <c:ptCount val="5"/>
                <c:pt idx="0">
                  <c:v>2023</c:v>
                </c:pt>
                <c:pt idx="1">
                  <c:v>2024</c:v>
                </c:pt>
                <c:pt idx="2">
                  <c:v>2025</c:v>
                </c:pt>
                <c:pt idx="3">
                  <c:v>2026</c:v>
                </c:pt>
                <c:pt idx="4">
                  <c:v>2027</c:v>
                </c:pt>
              </c:numCache>
            </c:numRef>
          </c:cat>
          <c:val>
            <c:numRef>
              <c:f>Outputs!$W$31:$AA$31</c:f>
              <c:numCache>
                <c:formatCode>_(0.0\x_);\(0.0\x\);_("–"_);_(@_)</c:formatCode>
                <c:ptCount val="5"/>
                <c:pt idx="0">
                  <c:v>0.87610577869026052</c:v>
                </c:pt>
                <c:pt idx="1">
                  <c:v>0.98148132712614533</c:v>
                </c:pt>
                <c:pt idx="2">
                  <c:v>1.0899613823801879</c:v>
                </c:pt>
                <c:pt idx="3">
                  <c:v>1.0612138952755807</c:v>
                </c:pt>
                <c:pt idx="4">
                  <c:v>1.3867250319368922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586-40FC-B587-F6B99FE08A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1970591"/>
        <c:axId val="221950623"/>
      </c:lineChart>
      <c:catAx>
        <c:axId val="221970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221950623"/>
        <c:crosses val="autoZero"/>
        <c:auto val="1"/>
        <c:lblAlgn val="ctr"/>
        <c:lblOffset val="100"/>
        <c:noMultiLvlLbl val="0"/>
      </c:catAx>
      <c:valAx>
        <c:axId val="221950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rgbClr val="DDDEE0"/>
              </a:solidFill>
              <a:prstDash val="dash"/>
              <a:round/>
              <a:headEnd type="none" w="med" len="med"/>
              <a:tailEnd type="none" w="med" len="med"/>
            </a:ln>
            <a:effectLst/>
          </c:spPr>
        </c:majorGridlines>
        <c:numFmt formatCode="_(0.0\x_);\(0.0\x\);_(&quot;–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221970591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46549681304602136"/>
          <c:y val="6.5136432457123056E-2"/>
          <c:w val="0.51092902860826606"/>
          <c:h val="0.1438146152783533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FFFFF"/>
    </a:solidFill>
    <a:ln w="9525" cap="flat" cmpd="sng" algn="ctr">
      <a:noFill/>
      <a:round/>
    </a:ln>
    <a:effectLst/>
  </c:spPr>
  <c:txPr>
    <a:bodyPr/>
    <a:lstStyle/>
    <a:p>
      <a:pPr>
        <a:defRPr sz="900">
          <a:solidFill>
            <a:sysClr val="windowText" lastClr="000000"/>
          </a:solidFill>
          <a:latin typeface="Open Sans" panose="020B0606030504020204" pitchFamily="34" charset="0"/>
          <a:ea typeface="Open Sans" panose="020B0606030504020204" pitchFamily="34" charset="0"/>
          <a:cs typeface="Open Sans" panose="020B0606030504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5025590551181108E-2"/>
          <c:y val="5.0925925925925923E-2"/>
          <c:w val="0.7902403762029746"/>
          <c:h val="0.83704505686789155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Outputs!$U$65</c:f>
              <c:strCache>
                <c:ptCount val="1"/>
                <c:pt idx="0">
                  <c:v>IRR</c:v>
                </c:pt>
              </c:strCache>
            </c:strRef>
          </c:tx>
          <c:spPr>
            <a:solidFill>
              <a:srgbClr val="3271D2"/>
            </a:solidFill>
            <a:ln>
              <a:noFill/>
            </a:ln>
            <a:effectLst/>
          </c:spPr>
          <c:invertIfNegative val="0"/>
          <c:val>
            <c:numRef>
              <c:f>Outputs!$U$66:$U$70</c:f>
              <c:numCache>
                <c:formatCode>_(#,##0.0%_);\(#,##0.0%\);_("–"_)_%;_(@_)_%</c:formatCode>
                <c:ptCount val="5"/>
                <c:pt idx="0">
                  <c:v>0.2346805155277252</c:v>
                </c:pt>
                <c:pt idx="1">
                  <c:v>0.26353382468223574</c:v>
                </c:pt>
                <c:pt idx="2">
                  <c:v>0.25169571042060845</c:v>
                </c:pt>
                <c:pt idx="3">
                  <c:v>0.23932641148567199</c:v>
                </c:pt>
                <c:pt idx="4">
                  <c:v>0.22382352948188786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56B-4B8D-9DEE-531FAD8A83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15248416"/>
        <c:axId val="2015266304"/>
      </c:barChart>
      <c:lineChart>
        <c:grouping val="standard"/>
        <c:varyColors val="0"/>
        <c:ser>
          <c:idx val="2"/>
          <c:order val="0"/>
          <c:tx>
            <c:strRef>
              <c:f>Outputs!$V$65</c:f>
              <c:strCache>
                <c:ptCount val="1"/>
                <c:pt idx="0">
                  <c:v>Cash-on-Cash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cat>
            <c:numRef>
              <c:f>Outputs!$T$66:$T$70</c:f>
              <c:numCache>
                <c:formatCode>0"-Year Horizon"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Outputs!$V$66:$V$70</c:f>
              <c:numCache>
                <c:formatCode>_(0.0\x_);\(0.0\x\);_("–"_);_(@_)</c:formatCode>
                <c:ptCount val="5"/>
                <c:pt idx="0">
                  <c:v>1.2346805127637726</c:v>
                </c:pt>
                <c:pt idx="1">
                  <c:v>1.5975411790666565</c:v>
                </c:pt>
                <c:pt idx="2">
                  <c:v>1.9622909776674267</c:v>
                </c:pt>
                <c:pt idx="3">
                  <c:v>2.3604680095950168</c:v>
                </c:pt>
                <c:pt idx="4">
                  <c:v>2.7468460455819188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56B-4B8D-9DEE-531FAD8A83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7979856"/>
        <c:axId val="877984016"/>
      </c:lineChart>
      <c:catAx>
        <c:axId val="2015248416"/>
        <c:scaling>
          <c:orientation val="minMax"/>
        </c:scaling>
        <c:delete val="0"/>
        <c:axPos val="b"/>
        <c:numFmt formatCode="0&quot;-Year Horizon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2015266304"/>
        <c:crosses val="autoZero"/>
        <c:auto val="1"/>
        <c:lblAlgn val="ctr"/>
        <c:lblOffset val="100"/>
        <c:noMultiLvlLbl val="0"/>
      </c:catAx>
      <c:valAx>
        <c:axId val="2015266304"/>
        <c:scaling>
          <c:orientation val="minMax"/>
          <c:max val="0.60000000000000009"/>
        </c:scaling>
        <c:delete val="0"/>
        <c:axPos val="l"/>
        <c:majorGridlines>
          <c:spPr>
            <a:ln w="9525" cap="flat" cmpd="sng" algn="ctr">
              <a:solidFill>
                <a:srgbClr val="DDDEE0"/>
              </a:solidFill>
              <a:prstDash val="dash"/>
              <a:round/>
            </a:ln>
            <a:effectLst/>
          </c:spPr>
        </c:majorGridlines>
        <c:numFmt formatCode="_(#,##0%_);\(#,##0%\);_(&quot;–&quot;_)_%;_(@_)_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2015248416"/>
        <c:crosses val="autoZero"/>
        <c:crossBetween val="between"/>
        <c:majorUnit val="0.1"/>
      </c:valAx>
      <c:valAx>
        <c:axId val="877984016"/>
        <c:scaling>
          <c:orientation val="minMax"/>
        </c:scaling>
        <c:delete val="0"/>
        <c:axPos val="r"/>
        <c:numFmt formatCode="_(0.0\x_);\(0.0\x\);_(&quot;–&quot;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877979856"/>
        <c:crosses val="max"/>
        <c:crossBetween val="between"/>
      </c:valAx>
      <c:catAx>
        <c:axId val="877979856"/>
        <c:scaling>
          <c:orientation val="minMax"/>
        </c:scaling>
        <c:delete val="1"/>
        <c:axPos val="b"/>
        <c:numFmt formatCode="0&quot;-Year Horizon&quot;" sourceLinked="1"/>
        <c:majorTickMark val="out"/>
        <c:minorTickMark val="none"/>
        <c:tickLblPos val="nextTo"/>
        <c:crossAx val="8779840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5352100219479793"/>
          <c:y val="2.8355934674832307E-2"/>
          <c:w val="0.41922832146596406"/>
          <c:h val="8.18187232379009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Open Sans" panose="020B0606030504020204" pitchFamily="34" charset="0"/>
          <a:ea typeface="Open Sans" panose="020B0606030504020204" pitchFamily="34" charset="0"/>
          <a:cs typeface="Open Sans" panose="020B0606030504020204" pitchFamily="34" charset="0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Outputs!$F$109</c:f>
              <c:strCache>
                <c:ptCount val="1"/>
                <c:pt idx="0">
                  <c:v>Base</c:v>
                </c:pt>
              </c:strCache>
            </c:strRef>
          </c:tx>
          <c:spPr>
            <a:solidFill>
              <a:schemeClr val="tx2"/>
            </a:solidFill>
          </c:spPr>
          <c:invertIfNegative val="0"/>
          <c:cat>
            <c:strRef>
              <c:f>Outputs!$B$110:$B$115</c:f>
              <c:strCache>
                <c:ptCount val="6"/>
                <c:pt idx="0">
                  <c:v>Beginning 
Equity</c:v>
                </c:pt>
                <c:pt idx="1">
                  <c:v>Fees</c:v>
                </c:pt>
                <c:pt idx="2">
                  <c:v>EBITDA 
Growth</c:v>
                </c:pt>
                <c:pt idx="3">
                  <c:v>Multiple 
Expansion</c:v>
                </c:pt>
                <c:pt idx="4">
                  <c:v>Net Debt 
Paydown</c:v>
                </c:pt>
                <c:pt idx="5">
                  <c:v>Ending Equity</c:v>
                </c:pt>
              </c:strCache>
            </c:strRef>
          </c:cat>
          <c:val>
            <c:numRef>
              <c:f>Outputs!$F$110:$F$115</c:f>
              <c:numCache>
                <c:formatCode>_(#,##0_);\(#,##0\);_("–"_);_(@_)</c:formatCode>
                <c:ptCount val="6"/>
                <c:pt idx="0">
                  <c:v>78.802352960000007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216.45793161072663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2C-4669-8A3C-A119871C19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overlap val="100"/>
        <c:axId val="1687343391"/>
        <c:axId val="1687339231"/>
      </c:barChart>
      <c:lineChart>
        <c:grouping val="standard"/>
        <c:varyColors val="0"/>
        <c:ser>
          <c:idx val="1"/>
          <c:order val="1"/>
          <c:tx>
            <c:strRef>
              <c:f>Outputs!$G$109</c:f>
              <c:strCache>
                <c:ptCount val="1"/>
                <c:pt idx="0">
                  <c:v>Before</c:v>
                </c:pt>
              </c:strCache>
            </c:strRef>
          </c:tx>
          <c:spPr>
            <a:ln w="28575" cap="rnd" cmpd="sng" algn="ctr">
              <a:noFill/>
              <a:prstDash val="solid"/>
              <a:round/>
            </a:ln>
            <a:effectLst/>
            <a:extLst>
              <a:ext uri="{91240B29-F687-4F45-9708-019B960494DF}">
                <a14:hiddenLine xmlns:a14="http://schemas.microsoft.com/office/drawing/2010/main" w="28575" cap="rnd" cmpd="sng" algn="ctr">
                  <a:solidFill>
                    <a:srgbClr val="1F995B">
                      <a:shade val="95000"/>
                      <a:satMod val="105000"/>
                    </a:srgbClr>
                  </a:solidFill>
                  <a:prstDash val="solid"/>
                  <a:round/>
                </a14:hiddenLine>
              </a:ext>
            </a:extLst>
          </c:spPr>
          <c:marker>
            <c:symbol val="none"/>
          </c:marker>
          <c:cat>
            <c:strRef>
              <c:f>Outputs!$B$110:$B$115</c:f>
              <c:strCache>
                <c:ptCount val="6"/>
                <c:pt idx="0">
                  <c:v>Beginning 
Equity</c:v>
                </c:pt>
                <c:pt idx="1">
                  <c:v>Fees</c:v>
                </c:pt>
                <c:pt idx="2">
                  <c:v>EBITDA 
Growth</c:v>
                </c:pt>
                <c:pt idx="3">
                  <c:v>Multiple 
Expansion</c:v>
                </c:pt>
                <c:pt idx="4">
                  <c:v>Net Debt 
Paydown</c:v>
                </c:pt>
                <c:pt idx="5">
                  <c:v>Ending Equity</c:v>
                </c:pt>
              </c:strCache>
            </c:strRef>
          </c:cat>
          <c:val>
            <c:numRef>
              <c:f>Outputs!$G$110:$G$115</c:f>
              <c:numCache>
                <c:formatCode>_(#,##0_);\(#,##0\);_("–"_);_(@_)</c:formatCode>
                <c:ptCount val="6"/>
                <c:pt idx="0">
                  <c:v>#N/A</c:v>
                </c:pt>
                <c:pt idx="1">
                  <c:v>78.802352960000007</c:v>
                </c:pt>
                <c:pt idx="2">
                  <c:v>73.92319624999999</c:v>
                </c:pt>
                <c:pt idx="3">
                  <c:v>168.25859082742596</c:v>
                </c:pt>
                <c:pt idx="4">
                  <c:v>168.25859082742596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B2C-4669-8A3C-A119871C19CB}"/>
            </c:ext>
          </c:extLst>
        </c:ser>
        <c:ser>
          <c:idx val="2"/>
          <c:order val="2"/>
          <c:tx>
            <c:strRef>
              <c:f>Outputs!$H$109</c:f>
              <c:strCache>
                <c:ptCount val="1"/>
                <c:pt idx="0">
                  <c:v>After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cat>
            <c:strRef>
              <c:f>Outputs!$B$110:$B$115</c:f>
              <c:strCache>
                <c:ptCount val="6"/>
                <c:pt idx="0">
                  <c:v>Beginning 
Equity</c:v>
                </c:pt>
                <c:pt idx="1">
                  <c:v>Fees</c:v>
                </c:pt>
                <c:pt idx="2">
                  <c:v>EBITDA 
Growth</c:v>
                </c:pt>
                <c:pt idx="3">
                  <c:v>Multiple 
Expansion</c:v>
                </c:pt>
                <c:pt idx="4">
                  <c:v>Net Debt 
Paydown</c:v>
                </c:pt>
                <c:pt idx="5">
                  <c:v>Ending Equity</c:v>
                </c:pt>
              </c:strCache>
            </c:strRef>
          </c:cat>
          <c:val>
            <c:numRef>
              <c:f>Outputs!$H$110:$H$115</c:f>
              <c:numCache>
                <c:formatCode>_(#,##0_);\(#,##0\);_("–"_);_(@_)</c:formatCode>
                <c:ptCount val="6"/>
                <c:pt idx="0">
                  <c:v>#N/A</c:v>
                </c:pt>
                <c:pt idx="1">
                  <c:v>73.923196250000004</c:v>
                </c:pt>
                <c:pt idx="2">
                  <c:v>168.25859082742596</c:v>
                </c:pt>
                <c:pt idx="3">
                  <c:v>168.25859082742596</c:v>
                </c:pt>
                <c:pt idx="4">
                  <c:v>216.45793161072663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B2C-4669-8A3C-A119871C19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60"/>
          <c:upBars>
            <c:spPr>
              <a:solidFill>
                <a:srgbClr val="3271D2"/>
              </a:solidFill>
              <a:ln w="9525" cap="flat" cmpd="sng" algn="ctr">
                <a:noFill/>
                <a:prstDash val="solid"/>
                <a:round/>
              </a:ln>
              <a:effectLst/>
              <a:extLst>
                <a:ext uri="{91240B29-F687-4F45-9708-019B960494DF}">
                  <a14:hiddenLine xmlns:a14="http://schemas.microsoft.com/office/drawing/2010/main" w="9525" cap="flat" cmpd="sng" algn="ctr">
                    <a:solidFill>
                      <a:srgbClr val="57595D">
                        <a:shade val="95000"/>
                        <a:satMod val="105000"/>
                      </a:srgbClr>
                    </a:solidFill>
                    <a:prstDash val="solid"/>
                    <a:round/>
                  </a14:hiddenLine>
                </a:ext>
              </a:extLst>
            </c:spPr>
          </c:upBars>
          <c:downBars>
            <c:spPr>
              <a:solidFill>
                <a:srgbClr val="FA621C"/>
              </a:solidFill>
              <a:ln w="9525" cap="flat" cmpd="sng" algn="ctr">
                <a:noFill/>
                <a:prstDash val="solid"/>
                <a:round/>
              </a:ln>
              <a:effectLst/>
              <a:extLst>
                <a:ext uri="{91240B29-F687-4F45-9708-019B960494DF}">
                  <a14:hiddenLine xmlns:a14="http://schemas.microsoft.com/office/drawing/2010/main" w="9525" cap="flat" cmpd="sng" algn="ctr">
                    <a:solidFill>
                      <a:srgbClr val="57595D">
                        <a:shade val="95000"/>
                        <a:satMod val="105000"/>
                      </a:srgbClr>
                    </a:solidFill>
                    <a:prstDash val="solid"/>
                    <a:round/>
                  </a14:hiddenLine>
                </a:ext>
              </a:extLst>
            </c:spPr>
          </c:downBars>
        </c:upDownBars>
        <c:marker val="1"/>
        <c:smooth val="0"/>
        <c:axId val="1687343391"/>
        <c:axId val="1687339231"/>
      </c:lineChart>
      <c:lineChart>
        <c:grouping val="standard"/>
        <c:varyColors val="0"/>
        <c:ser>
          <c:idx val="3"/>
          <c:order val="3"/>
          <c:tx>
            <c:strRef>
              <c:f>Outputs!$K$109</c:f>
              <c:strCache>
                <c:ptCount val="1"/>
                <c:pt idx="0">
                  <c:v>Middle Y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9B2C-4669-8A3C-A119871C19CB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9B2C-4669-8A3C-A119871C19CB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9B2C-4669-8A3C-A119871C19CB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9B2C-4669-8A3C-A119871C19CB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9B2C-4669-8A3C-A119871C19CB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9B2C-4669-8A3C-A119871C19C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rgbClr val="FFFFFF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cat>
            <c:strRef>
              <c:f>Outputs!$B$110:$B$115</c:f>
              <c:strCache>
                <c:ptCount val="6"/>
                <c:pt idx="0">
                  <c:v>Beginning 
Equity</c:v>
                </c:pt>
                <c:pt idx="1">
                  <c:v>Fees</c:v>
                </c:pt>
                <c:pt idx="2">
                  <c:v>EBITDA 
Growth</c:v>
                </c:pt>
                <c:pt idx="3">
                  <c:v>Multiple 
Expansion</c:v>
                </c:pt>
                <c:pt idx="4">
                  <c:v>Net Debt 
Paydown</c:v>
                </c:pt>
                <c:pt idx="5">
                  <c:v>Ending Equity</c:v>
                </c:pt>
              </c:strCache>
            </c:strRef>
          </c:cat>
          <c:val>
            <c:numRef>
              <c:f>Outputs!$K$110:$K$115</c:f>
              <c:numCache>
                <c:formatCode>_(#,##0_);\(#,##0\);_("–"_);_(@_)</c:formatCode>
                <c:ptCount val="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datalabelsRange>
                <c15:f>Outputs!$N$110:$N$115</c15:f>
                <c15:dlblRangeCache>
                  <c:ptCount val="6"/>
                  <c:pt idx="0">
                    <c:v> 79 </c:v>
                  </c:pt>
                  <c:pt idx="1">
                    <c:v>(5)</c:v>
                  </c:pt>
                  <c:pt idx="2">
                    <c:v> 94 </c:v>
                  </c:pt>
                  <c:pt idx="3">
                    <c:v> – </c:v>
                  </c:pt>
                  <c:pt idx="4">
                    <c:v> 48 </c:v>
                  </c:pt>
                  <c:pt idx="5">
                    <c:v> 216 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9-9B2C-4669-8A3C-A119871C19CB}"/>
            </c:ext>
          </c:extLst>
        </c:ser>
        <c:ser>
          <c:idx val="4"/>
          <c:order val="4"/>
          <c:tx>
            <c:strRef>
              <c:f>Outputs!$L$109</c:f>
              <c:strCache>
                <c:ptCount val="1"/>
                <c:pt idx="0">
                  <c:v>Above Y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512C51B9-D5CE-49DB-A660-8CCF7D57AEF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9B2C-4669-8A3C-A119871C19CB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9B2C-4669-8A3C-A119871C19CB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B215172C-561D-4A5D-A349-B475B4CABA7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9B2C-4669-8A3C-A119871C19CB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9B2C-4669-8A3C-A119871C19CB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C14C7A24-CBC6-4640-8BCA-E273C87E5E9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9B2C-4669-8A3C-A119871C19CB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9103A5BA-932E-40DB-ABDF-8BB0D64378F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9B2C-4669-8A3C-A119871C19C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ysClr val="windowText" lastClr="000000"/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cat>
            <c:strRef>
              <c:f>Outputs!$B$110:$B$115</c:f>
              <c:strCache>
                <c:ptCount val="6"/>
                <c:pt idx="0">
                  <c:v>Beginning 
Equity</c:v>
                </c:pt>
                <c:pt idx="1">
                  <c:v>Fees</c:v>
                </c:pt>
                <c:pt idx="2">
                  <c:v>EBITDA 
Growth</c:v>
                </c:pt>
                <c:pt idx="3">
                  <c:v>Multiple 
Expansion</c:v>
                </c:pt>
                <c:pt idx="4">
                  <c:v>Net Debt 
Paydown</c:v>
                </c:pt>
                <c:pt idx="5">
                  <c:v>Ending Equity</c:v>
                </c:pt>
              </c:strCache>
            </c:strRef>
          </c:cat>
          <c:val>
            <c:numRef>
              <c:f>Outputs!$L$110:$L$115</c:f>
              <c:numCache>
                <c:formatCode>_(#,##0_);\(#,##0\);_("–"_);_(@_)</c:formatCode>
                <c:ptCount val="6"/>
                <c:pt idx="0">
                  <c:v>78.802352960000007</c:v>
                </c:pt>
                <c:pt idx="1">
                  <c:v>#N/A</c:v>
                </c:pt>
                <c:pt idx="2">
                  <c:v>168.25859082742596</c:v>
                </c:pt>
                <c:pt idx="3">
                  <c:v>#N/A</c:v>
                </c:pt>
                <c:pt idx="4">
                  <c:v>216.45793161072663</c:v>
                </c:pt>
                <c:pt idx="5">
                  <c:v>216.45793161072663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datalabelsRange>
                <c15:f>Outputs!$N$110:$N$115</c15:f>
                <c15:dlblRangeCache>
                  <c:ptCount val="6"/>
                  <c:pt idx="0">
                    <c:v> 79 </c:v>
                  </c:pt>
                  <c:pt idx="1">
                    <c:v>(5)</c:v>
                  </c:pt>
                  <c:pt idx="2">
                    <c:v> 94 </c:v>
                  </c:pt>
                  <c:pt idx="3">
                    <c:v> – </c:v>
                  </c:pt>
                  <c:pt idx="4">
                    <c:v> 48 </c:v>
                  </c:pt>
                  <c:pt idx="5">
                    <c:v> 216 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0-9B2C-4669-8A3C-A119871C19CB}"/>
            </c:ext>
          </c:extLst>
        </c:ser>
        <c:ser>
          <c:idx val="5"/>
          <c:order val="5"/>
          <c:tx>
            <c:strRef>
              <c:f>Outputs!$M$109</c:f>
              <c:strCache>
                <c:ptCount val="1"/>
                <c:pt idx="0">
                  <c:v>Below Y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endParaRPr lang="en-GB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9B2C-4669-8A3C-A119871C19CB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E84749CB-955B-4128-9DB5-56134386441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9B2C-4669-8A3C-A119871C19CB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GB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9B2C-4669-8A3C-A119871C19CB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en-GB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9B2C-4669-8A3C-A119871C19CB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en-GB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9B2C-4669-8A3C-A119871C19CB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en-GB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9B2C-4669-8A3C-A119871C19C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ysClr val="windowText" lastClr="000000"/>
                    </a:solidFill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cat>
            <c:strRef>
              <c:f>Outputs!$B$110:$B$115</c:f>
              <c:strCache>
                <c:ptCount val="6"/>
                <c:pt idx="0">
                  <c:v>Beginning 
Equity</c:v>
                </c:pt>
                <c:pt idx="1">
                  <c:v>Fees</c:v>
                </c:pt>
                <c:pt idx="2">
                  <c:v>EBITDA 
Growth</c:v>
                </c:pt>
                <c:pt idx="3">
                  <c:v>Multiple 
Expansion</c:v>
                </c:pt>
                <c:pt idx="4">
                  <c:v>Net Debt 
Paydown</c:v>
                </c:pt>
                <c:pt idx="5">
                  <c:v>Ending Equity</c:v>
                </c:pt>
              </c:strCache>
            </c:strRef>
          </c:cat>
          <c:val>
            <c:numRef>
              <c:f>Outputs!$M$110:$M$115</c:f>
              <c:numCache>
                <c:formatCode>_(#,##0_);\(#,##0\);_("–"_);_(@_)</c:formatCode>
                <c:ptCount val="6"/>
                <c:pt idx="0">
                  <c:v>#N/A</c:v>
                </c:pt>
                <c:pt idx="1">
                  <c:v>73.923196250000004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datalabelsRange>
                <c15:f>Outputs!$N$110:$N$115</c15:f>
                <c15:dlblRangeCache>
                  <c:ptCount val="6"/>
                  <c:pt idx="0">
                    <c:v> 79 </c:v>
                  </c:pt>
                  <c:pt idx="1">
                    <c:v>(5)</c:v>
                  </c:pt>
                  <c:pt idx="2">
                    <c:v> 94 </c:v>
                  </c:pt>
                  <c:pt idx="3">
                    <c:v> – </c:v>
                  </c:pt>
                  <c:pt idx="4">
                    <c:v> 48 </c:v>
                  </c:pt>
                  <c:pt idx="5">
                    <c:v> 216 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7-9B2C-4669-8A3C-A119871C19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87340063"/>
        <c:axId val="1687341311"/>
      </c:lineChart>
      <c:scatterChart>
        <c:scatterStyle val="lineMarker"/>
        <c:varyColors val="0"/>
        <c:ser>
          <c:idx val="6"/>
          <c:order val="6"/>
          <c:tx>
            <c:strRef>
              <c:f>Outputs!$J$109</c:f>
              <c:strCache>
                <c:ptCount val="1"/>
                <c:pt idx="0">
                  <c:v>Elev Y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xVal>
            <c:numRef>
              <c:f>Outputs!$I$110:$I$115</c:f>
              <c:numCache>
                <c:formatCode>_(#,##0_);\(#,##0\);_("–"_);_(@_)</c:formatCode>
                <c:ptCount val="6"/>
                <c:pt idx="0">
                  <c:v>1.5</c:v>
                </c:pt>
                <c:pt idx="1">
                  <c:v>2.5</c:v>
                </c:pt>
                <c:pt idx="2">
                  <c:v>3.5</c:v>
                </c:pt>
                <c:pt idx="3">
                  <c:v>4.5</c:v>
                </c:pt>
                <c:pt idx="4">
                  <c:v>5.5</c:v>
                </c:pt>
                <c:pt idx="5">
                  <c:v>#N/A</c:v>
                </c:pt>
              </c:numCache>
            </c:numRef>
          </c:xVal>
          <c:yVal>
            <c:numRef>
              <c:f>Outputs!$J$110:$J$115</c:f>
              <c:numCache>
                <c:formatCode>_(#,##0_);\(#,##0\);_("–"_);_(@_)</c:formatCode>
                <c:ptCount val="6"/>
                <c:pt idx="0">
                  <c:v>78.802352960000007</c:v>
                </c:pt>
                <c:pt idx="1">
                  <c:v>73.923196250000004</c:v>
                </c:pt>
                <c:pt idx="2">
                  <c:v>168.25859082742596</c:v>
                </c:pt>
                <c:pt idx="3">
                  <c:v>168.25859082742596</c:v>
                </c:pt>
                <c:pt idx="4">
                  <c:v>216.45793161072663</c:v>
                </c:pt>
                <c:pt idx="5">
                  <c:v>216.45793161072663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9B2C-4669-8A3C-A119871C19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7340063"/>
        <c:axId val="1687341311"/>
      </c:scatterChart>
      <c:catAx>
        <c:axId val="16873433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>
            <a:solidFill>
              <a:srgbClr val="E5E6E7"/>
            </a:solidFill>
          </a:ln>
        </c:spPr>
        <c:txPr>
          <a:bodyPr/>
          <a:lstStyle/>
          <a:p>
            <a:pPr>
              <a:defRPr sz="900">
                <a:solidFill>
                  <a:sysClr val="windowText" lastClr="000000"/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1687339231"/>
        <c:crosses val="autoZero"/>
        <c:auto val="1"/>
        <c:lblAlgn val="ctr"/>
        <c:lblOffset val="100"/>
        <c:noMultiLvlLbl val="0"/>
      </c:catAx>
      <c:valAx>
        <c:axId val="1687339231"/>
        <c:scaling>
          <c:orientation val="minMax"/>
        </c:scaling>
        <c:delete val="0"/>
        <c:axPos val="l"/>
        <c:majorGridlines>
          <c:spPr>
            <a:ln>
              <a:solidFill>
                <a:srgbClr val="DDDEE0"/>
              </a:solidFill>
              <a:prstDash val="dash"/>
            </a:ln>
          </c:spPr>
        </c:majorGridlines>
        <c:numFmt formatCode="_(#,##0_);\(#,##0\);_(&quot;–&quot;_);_(@_)" sourceLinked="1"/>
        <c:majorTickMark val="none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>
                <a:solidFill>
                  <a:sysClr val="windowText" lastClr="000000"/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1687343391"/>
        <c:crosses val="autoZero"/>
        <c:crossBetween val="between"/>
      </c:valAx>
      <c:valAx>
        <c:axId val="1687341311"/>
        <c:scaling>
          <c:orientation val="minMax"/>
        </c:scaling>
        <c:delete val="1"/>
        <c:axPos val="r"/>
        <c:numFmt formatCode="_(#,##0_);\(#,##0\);_(&quot;–&quot;_);_(@_)" sourceLinked="1"/>
        <c:majorTickMark val="out"/>
        <c:minorTickMark val="none"/>
        <c:tickLblPos val="nextTo"/>
        <c:crossAx val="1687340063"/>
        <c:crosses val="max"/>
        <c:crossBetween val="between"/>
      </c:valAx>
      <c:catAx>
        <c:axId val="168734006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87341311"/>
        <c:crosses val="autoZero"/>
        <c:auto val="1"/>
        <c:lblAlgn val="ctr"/>
        <c:lblOffset val="100"/>
        <c:noMultiLvlLbl val="0"/>
      </c:catAx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ysClr val="window" lastClr="FFFFFF"/>
    </a:solidFill>
    <a:ln w="9525" cap="flat" cmpd="sng" algn="ctr">
      <a:noFill/>
      <a:prstDash val="solid"/>
      <a:round/>
    </a:ln>
    <a:effectLst/>
    <a:extLst>
      <a:ext uri="{91240B29-F687-4F45-9708-019B960494DF}">
        <a14:hiddenLine xmlns:a14="http://schemas.microsoft.com/office/drawing/2010/main" w="9525" cap="flat" cmpd="sng" algn="ctr">
          <a:solidFill>
            <a:srgbClr val="57595D">
              <a:tint val="75000"/>
              <a:shade val="95000"/>
              <a:satMod val="105000"/>
            </a:srgbClr>
          </a:solidFill>
          <a:prstDash val="solid"/>
          <a:round/>
        </a14:hiddenLine>
      </a:ext>
    </a:extLst>
  </c:sp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22" fmlaLink="$E$23" fmlaRange="$T$24:$T$25" noThreeD="1" sel="1" val="0"/>
</file>

<file path=xl/ctrlProps/ctrlProp2.xml><?xml version="1.0" encoding="utf-8"?>
<formControlPr xmlns="http://schemas.microsoft.com/office/spreadsheetml/2009/9/main" objectType="CheckBox" checked="Checked" fmlaLink="$D$103" lockText="1" noThreeD="1"/>
</file>

<file path=xl/ctrlProps/ctrlProp3.xml><?xml version="1.0" encoding="utf-8"?>
<formControlPr xmlns="http://schemas.microsoft.com/office/spreadsheetml/2009/9/main" objectType="Drop" dropStyle="combo" dx="48" fmlaLink="D106" noThreeD="1" sel="2" val="0">
  <itemLst>
    <item val="Middle"/>
    <item val="Above / below"/>
    <item val="Above"/>
    <item val="None"/>
  </itemLst>
</formControlPr>
</file>

<file path=xl/ctrlProps/ctrlProp4.xml><?xml version="1.0" encoding="utf-8"?>
<formControlPr xmlns="http://schemas.microsoft.com/office/spreadsheetml/2009/9/main" objectType="Drop" dropStyle="combo" dx="22" fmlaLink="$E$7" fmlaRange="$B$12:$B$14" noThreeD="1" sel="2" val="0"/>
</file>

<file path=xl/ctrlProps/ctrlProp5.xml><?xml version="1.0" encoding="utf-8"?>
<formControlPr xmlns="http://schemas.microsoft.com/office/spreadsheetml/2009/9/main" objectType="Drop" dropStyle="combo" dx="22" fmlaLink="$E$7" fmlaRange="$B$12:$B$14" noThreeD="1" sel="2" val="0"/>
</file>

<file path=xl/ctrlProps/ctrlProp6.xml><?xml version="1.0" encoding="utf-8"?>
<formControlPr xmlns="http://schemas.microsoft.com/office/spreadsheetml/2009/9/main" objectType="Drop" dropStyle="combo" dx="22" fmlaLink="$E$7" fmlaRange="$B$12:$B$14" noThreeD="1" sel="2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hyperlink" Target="http://www.corporatefinanceinstitute.com" TargetMode="External"/><Relationship Id="rId6" Type="http://schemas.openxmlformats.org/officeDocument/2006/relationships/image" Target="../media/image4.svg"/><Relationship Id="rId5" Type="http://schemas.openxmlformats.org/officeDocument/2006/relationships/image" Target="../media/image3.png"/><Relationship Id="rId4" Type="http://schemas.openxmlformats.org/officeDocument/2006/relationships/hyperlink" Target="http://www.macabacus.com" TargetMode="Externa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svg"/><Relationship Id="rId3" Type="http://schemas.openxmlformats.org/officeDocument/2006/relationships/hyperlink" Target="http://www.macabacus.com" TargetMode="External"/><Relationship Id="rId7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hyperlink" Target="http://www.corporatefinanceinstitute.com" TargetMode="External"/><Relationship Id="rId5" Type="http://schemas.openxmlformats.org/officeDocument/2006/relationships/image" Target="../media/image4.svg"/><Relationship Id="rId10" Type="http://schemas.openxmlformats.org/officeDocument/2006/relationships/chart" Target="../charts/chart4.xml"/><Relationship Id="rId4" Type="http://schemas.openxmlformats.org/officeDocument/2006/relationships/image" Target="../media/image3.png"/><Relationship Id="rId9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svg"/><Relationship Id="rId2" Type="http://schemas.openxmlformats.org/officeDocument/2006/relationships/image" Target="../media/image3.png"/><Relationship Id="rId1" Type="http://schemas.openxmlformats.org/officeDocument/2006/relationships/hyperlink" Target="http://www.macabacus.com" TargetMode="External"/><Relationship Id="rId6" Type="http://schemas.openxmlformats.org/officeDocument/2006/relationships/image" Target="../media/image2.svg"/><Relationship Id="rId5" Type="http://schemas.openxmlformats.org/officeDocument/2006/relationships/image" Target="../media/image1.png"/><Relationship Id="rId4" Type="http://schemas.openxmlformats.org/officeDocument/2006/relationships/hyperlink" Target="http://www.corporatefinanceinstitute.com" TargetMode="Externa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hyperlink" Target="http://www.corporatefinanceinstitute.com" TargetMode="External"/><Relationship Id="rId6" Type="http://schemas.openxmlformats.org/officeDocument/2006/relationships/image" Target="../media/image4.svg"/><Relationship Id="rId5" Type="http://schemas.openxmlformats.org/officeDocument/2006/relationships/image" Target="../media/image3.png"/><Relationship Id="rId4" Type="http://schemas.openxmlformats.org/officeDocument/2006/relationships/hyperlink" Target="http://www.macabacus.com" TargetMode="Externa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hyperlink" Target="http://www.corporatefinanceinstitute.com" TargetMode="External"/><Relationship Id="rId6" Type="http://schemas.openxmlformats.org/officeDocument/2006/relationships/image" Target="../media/image4.svg"/><Relationship Id="rId5" Type="http://schemas.openxmlformats.org/officeDocument/2006/relationships/image" Target="../media/image3.png"/><Relationship Id="rId4" Type="http://schemas.openxmlformats.org/officeDocument/2006/relationships/hyperlink" Target="http://www.macabacus.com" TargetMode="External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276225</xdr:colOff>
      <xdr:row>4</xdr:row>
      <xdr:rowOff>33248</xdr:rowOff>
    </xdr:from>
    <xdr:to>
      <xdr:col>5</xdr:col>
      <xdr:colOff>374090</xdr:colOff>
      <xdr:row>6</xdr:row>
      <xdr:rowOff>64818</xdr:rowOff>
    </xdr:to>
    <xdr:pic>
      <xdr:nvPicPr>
        <xdr:cNvPr id="3" name="Graphic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590550" y="1023848"/>
          <a:ext cx="2562300" cy="525600"/>
        </a:xfrm>
        <a:prstGeom prst="rect">
          <a:avLst/>
        </a:prstGeom>
      </xdr:spPr>
    </xdr:pic>
    <xdr:clientData/>
  </xdr:twoCellAnchor>
  <xdr:twoCellAnchor editAs="oneCell">
    <xdr:from>
      <xdr:col>12</xdr:col>
      <xdr:colOff>464975</xdr:colOff>
      <xdr:row>4</xdr:row>
      <xdr:rowOff>95048</xdr:rowOff>
    </xdr:from>
    <xdr:to>
      <xdr:col>15</xdr:col>
      <xdr:colOff>666749</xdr:colOff>
      <xdr:row>6</xdr:row>
      <xdr:rowOff>70078</xdr:rowOff>
    </xdr:to>
    <xdr:pic>
      <xdr:nvPicPr>
        <xdr:cNvPr id="4" name="Graphic 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8551700" y="1085648"/>
          <a:ext cx="2344900" cy="47160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22</xdr:row>
          <xdr:rowOff>0</xdr:rowOff>
        </xdr:from>
        <xdr:to>
          <xdr:col>5</xdr:col>
          <xdr:colOff>0</xdr:colOff>
          <xdr:row>23</xdr:row>
          <xdr:rowOff>0</xdr:rowOff>
        </xdr:to>
        <xdr:sp macro="" textlink="">
          <xdr:nvSpPr>
            <xdr:cNvPr id="1026" name="Drop Dow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228599</xdr:colOff>
      <xdr:row>25</xdr:row>
      <xdr:rowOff>169333</xdr:rowOff>
    </xdr:from>
    <xdr:to>
      <xdr:col>8</xdr:col>
      <xdr:colOff>714374</xdr:colOff>
      <xdr:row>44</xdr:row>
      <xdr:rowOff>169333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25</xdr:row>
      <xdr:rowOff>169333</xdr:rowOff>
    </xdr:from>
    <xdr:to>
      <xdr:col>18</xdr:col>
      <xdr:colOff>0</xdr:colOff>
      <xdr:row>44</xdr:row>
      <xdr:rowOff>169333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15</xdr:col>
      <xdr:colOff>8745</xdr:colOff>
      <xdr:row>0</xdr:row>
      <xdr:rowOff>156950</xdr:rowOff>
    </xdr:from>
    <xdr:to>
      <xdr:col>17</xdr:col>
      <xdr:colOff>197822</xdr:colOff>
      <xdr:row>0</xdr:row>
      <xdr:rowOff>482220</xdr:rowOff>
    </xdr:to>
    <xdr:pic>
      <xdr:nvPicPr>
        <xdr:cNvPr id="13" name="Graphic 1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9305145" y="156950"/>
          <a:ext cx="1612747" cy="324000"/>
        </a:xfrm>
        <a:prstGeom prst="rect">
          <a:avLst/>
        </a:prstGeom>
      </xdr:spPr>
    </xdr:pic>
    <xdr:clientData/>
  </xdr:twoCellAnchor>
  <xdr:twoCellAnchor editAs="oneCell">
    <xdr:from>
      <xdr:col>2</xdr:col>
      <xdr:colOff>238125</xdr:colOff>
      <xdr:row>0</xdr:row>
      <xdr:rowOff>128100</xdr:rowOff>
    </xdr:from>
    <xdr:to>
      <xdr:col>5</xdr:col>
      <xdr:colOff>138261</xdr:colOff>
      <xdr:row>0</xdr:row>
      <xdr:rowOff>495300</xdr:rowOff>
    </xdr:to>
    <xdr:pic>
      <xdr:nvPicPr>
        <xdr:cNvPr id="14" name="Graphic 13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1047750" y="128100"/>
          <a:ext cx="1775852" cy="367200"/>
        </a:xfrm>
        <a:prstGeom prst="rect">
          <a:avLst/>
        </a:prstGeom>
      </xdr:spPr>
    </xdr:pic>
    <xdr:clientData/>
  </xdr:twoCellAnchor>
  <xdr:twoCellAnchor>
    <xdr:from>
      <xdr:col>12</xdr:col>
      <xdr:colOff>0</xdr:colOff>
      <xdr:row>53</xdr:row>
      <xdr:rowOff>50799</xdr:rowOff>
    </xdr:from>
    <xdr:to>
      <xdr:col>17</xdr:col>
      <xdr:colOff>417636</xdr:colOff>
      <xdr:row>67</xdr:row>
      <xdr:rowOff>118532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absolute">
    <xdr:from>
      <xdr:col>2</xdr:col>
      <xdr:colOff>445419</xdr:colOff>
      <xdr:row>156</xdr:row>
      <xdr:rowOff>132928</xdr:rowOff>
    </xdr:from>
    <xdr:to>
      <xdr:col>11</xdr:col>
      <xdr:colOff>26670</xdr:colOff>
      <xdr:row>171</xdr:row>
      <xdr:rowOff>159598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102</xdr:row>
          <xdr:rowOff>0</xdr:rowOff>
        </xdr:from>
        <xdr:to>
          <xdr:col>4</xdr:col>
          <xdr:colOff>495300</xdr:colOff>
          <xdr:row>103</xdr:row>
          <xdr:rowOff>104775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First column is subtotal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105</xdr:row>
          <xdr:rowOff>9525</xdr:rowOff>
        </xdr:from>
        <xdr:to>
          <xdr:col>4</xdr:col>
          <xdr:colOff>581025</xdr:colOff>
          <xdr:row>106</xdr:row>
          <xdr:rowOff>47625</xdr:rowOff>
        </xdr:to>
        <xdr:sp macro="" textlink="">
          <xdr:nvSpPr>
            <xdr:cNvPr id="2050" name="Drop Down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399270</xdr:colOff>
      <xdr:row>0</xdr:row>
      <xdr:rowOff>162200</xdr:rowOff>
    </xdr:from>
    <xdr:to>
      <xdr:col>13</xdr:col>
      <xdr:colOff>596264</xdr:colOff>
      <xdr:row>0</xdr:row>
      <xdr:rowOff>490010</xdr:rowOff>
    </xdr:to>
    <xdr:pic>
      <xdr:nvPicPr>
        <xdr:cNvPr id="4" name="Graphic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8381220" y="162200"/>
          <a:ext cx="1610505" cy="32400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0</xdr:row>
      <xdr:rowOff>133350</xdr:rowOff>
    </xdr:from>
    <xdr:to>
      <xdr:col>2</xdr:col>
      <xdr:colOff>1657</xdr:colOff>
      <xdr:row>0</xdr:row>
      <xdr:rowOff>500550</xdr:rowOff>
    </xdr:to>
    <xdr:pic>
      <xdr:nvPicPr>
        <xdr:cNvPr id="5" name="Graphic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714375" y="133350"/>
          <a:ext cx="1775852" cy="3672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1133475</xdr:colOff>
          <xdr:row>6</xdr:row>
          <xdr:rowOff>0</xdr:rowOff>
        </xdr:from>
        <xdr:to>
          <xdr:col>4</xdr:col>
          <xdr:colOff>190500</xdr:colOff>
          <xdr:row>7</xdr:row>
          <xdr:rowOff>0</xdr:rowOff>
        </xdr:to>
        <xdr:sp macro="" textlink="">
          <xdr:nvSpPr>
            <xdr:cNvPr id="4110" name="Drop Down 14" hidden="1">
              <a:extLst>
                <a:ext uri="{63B3BB69-23CF-44E3-9099-C40C66FF867C}">
                  <a14:compatExt spid="_x0000_s4110"/>
                </a:ext>
                <a:ext uri="{FF2B5EF4-FFF2-40B4-BE49-F238E27FC236}">
                  <a16:creationId xmlns:a16="http://schemas.microsoft.com/office/drawing/2014/main" id="{00000000-0008-0000-0300-00000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1133475</xdr:colOff>
          <xdr:row>42</xdr:row>
          <xdr:rowOff>0</xdr:rowOff>
        </xdr:from>
        <xdr:to>
          <xdr:col>4</xdr:col>
          <xdr:colOff>190500</xdr:colOff>
          <xdr:row>43</xdr:row>
          <xdr:rowOff>0</xdr:rowOff>
        </xdr:to>
        <xdr:sp macro="" textlink="">
          <xdr:nvSpPr>
            <xdr:cNvPr id="4141" name="Drop Down 45" hidden="1">
              <a:extLst>
                <a:ext uri="{63B3BB69-23CF-44E3-9099-C40C66FF867C}">
                  <a14:compatExt spid="_x0000_s4141"/>
                </a:ext>
                <a:ext uri="{FF2B5EF4-FFF2-40B4-BE49-F238E27FC236}">
                  <a16:creationId xmlns:a16="http://schemas.microsoft.com/office/drawing/2014/main" id="{00000000-0008-0000-0300-00002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71</xdr:row>
          <xdr:rowOff>0</xdr:rowOff>
        </xdr:from>
        <xdr:to>
          <xdr:col>4</xdr:col>
          <xdr:colOff>190500</xdr:colOff>
          <xdr:row>72</xdr:row>
          <xdr:rowOff>0</xdr:rowOff>
        </xdr:to>
        <xdr:sp macro="" textlink="">
          <xdr:nvSpPr>
            <xdr:cNvPr id="4143" name="Drop Down 47" hidden="1">
              <a:extLst>
                <a:ext uri="{63B3BB69-23CF-44E3-9099-C40C66FF867C}">
                  <a14:compatExt spid="_x0000_s4143"/>
                </a:ext>
                <a:ext uri="{FF2B5EF4-FFF2-40B4-BE49-F238E27FC236}">
                  <a16:creationId xmlns:a16="http://schemas.microsoft.com/office/drawing/2014/main" id="{00000000-0008-0000-0300-00002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1</xdr:col>
      <xdr:colOff>95250</xdr:colOff>
      <xdr:row>0</xdr:row>
      <xdr:rowOff>161925</xdr:rowOff>
    </xdr:from>
    <xdr:to>
      <xdr:col>2</xdr:col>
      <xdr:colOff>815200</xdr:colOff>
      <xdr:row>0</xdr:row>
      <xdr:rowOff>521925</xdr:rowOff>
    </xdr:to>
    <xdr:pic>
      <xdr:nvPicPr>
        <xdr:cNvPr id="7" name="Graphic 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676275" y="161925"/>
          <a:ext cx="1758175" cy="360000"/>
        </a:xfrm>
        <a:prstGeom prst="rect">
          <a:avLst/>
        </a:prstGeom>
      </xdr:spPr>
    </xdr:pic>
    <xdr:clientData/>
  </xdr:twoCellAnchor>
  <xdr:twoCellAnchor editAs="oneCell">
    <xdr:from>
      <xdr:col>9</xdr:col>
      <xdr:colOff>396878</xdr:colOff>
      <xdr:row>0</xdr:row>
      <xdr:rowOff>184148</xdr:rowOff>
    </xdr:from>
    <xdr:to>
      <xdr:col>11</xdr:col>
      <xdr:colOff>587333</xdr:colOff>
      <xdr:row>0</xdr:row>
      <xdr:rowOff>504548</xdr:rowOff>
    </xdr:to>
    <xdr:pic>
      <xdr:nvPicPr>
        <xdr:cNvPr id="8" name="Graphic 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6950078" y="184148"/>
          <a:ext cx="1600155" cy="3204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55561</xdr:colOff>
      <xdr:row>0</xdr:row>
      <xdr:rowOff>127001</xdr:rowOff>
    </xdr:from>
    <xdr:to>
      <xdr:col>4</xdr:col>
      <xdr:colOff>654226</xdr:colOff>
      <xdr:row>0</xdr:row>
      <xdr:rowOff>488271</xdr:rowOff>
    </xdr:to>
    <xdr:pic>
      <xdr:nvPicPr>
        <xdr:cNvPr id="8" name="Graphic 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777874" y="127001"/>
          <a:ext cx="1755000" cy="360000"/>
        </a:xfrm>
        <a:prstGeom prst="rect">
          <a:avLst/>
        </a:prstGeom>
      </xdr:spPr>
    </xdr:pic>
    <xdr:clientData/>
  </xdr:twoCellAnchor>
  <xdr:twoCellAnchor editAs="oneCell">
    <xdr:from>
      <xdr:col>12</xdr:col>
      <xdr:colOff>261939</xdr:colOff>
      <xdr:row>0</xdr:row>
      <xdr:rowOff>158749</xdr:rowOff>
    </xdr:from>
    <xdr:to>
      <xdr:col>14</xdr:col>
      <xdr:colOff>446051</xdr:colOff>
      <xdr:row>0</xdr:row>
      <xdr:rowOff>481689</xdr:rowOff>
    </xdr:to>
    <xdr:pic>
      <xdr:nvPicPr>
        <xdr:cNvPr id="3" name="Graphic 2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7429502" y="158749"/>
          <a:ext cx="1593100" cy="320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CFI">
  <a:themeElements>
    <a:clrScheme name="CFI Theme">
      <a:dk1>
        <a:srgbClr val="57595D"/>
      </a:dk1>
      <a:lt1>
        <a:sysClr val="window" lastClr="FFFFFF"/>
      </a:lt1>
      <a:dk2>
        <a:srgbClr val="132E57"/>
      </a:dk2>
      <a:lt2>
        <a:srgbClr val="3271D2"/>
      </a:lt2>
      <a:accent1>
        <a:srgbClr val="25A2AF"/>
      </a:accent1>
      <a:accent2>
        <a:srgbClr val="1F995B"/>
      </a:accent2>
      <a:accent3>
        <a:srgbClr val="ED942D"/>
      </a:accent3>
      <a:accent4>
        <a:srgbClr val="FA621C"/>
      </a:accent4>
      <a:accent5>
        <a:srgbClr val="B7276E"/>
      </a:accent5>
      <a:accent6>
        <a:srgbClr val="5A1973"/>
      </a:accent6>
      <a:hlink>
        <a:srgbClr val="E6E7E8"/>
      </a:hlink>
      <a:folHlink>
        <a:srgbClr val="676767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rporatefinanceinstitute.com/" TargetMode="External"/><Relationship Id="rId5" Type="http://schemas.openxmlformats.org/officeDocument/2006/relationships/ctrlProp" Target="../ctrlProps/ctrlProp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vmlDrawing" Target="../drawings/vmlDrawing3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7" Type="http://schemas.openxmlformats.org/officeDocument/2006/relationships/ctrlProp" Target="../ctrlProps/ctrlProp6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6" Type="http://schemas.openxmlformats.org/officeDocument/2006/relationships/ctrlProp" Target="../ctrlProps/ctrlProp5.xml"/><Relationship Id="rId5" Type="http://schemas.openxmlformats.org/officeDocument/2006/relationships/ctrlProp" Target="../ctrlProps/ctrlProp4.xml"/><Relationship Id="rId4" Type="http://schemas.openxmlformats.org/officeDocument/2006/relationships/vmlDrawing" Target="../drawings/vmlDrawing6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EB11B-AE8B-49E8-9529-5D3FC2452650}">
  <sheetPr codeName="Sheet1">
    <pageSetUpPr fitToPage="1"/>
  </sheetPr>
  <dimension ref="B1:U40"/>
  <sheetViews>
    <sheetView showGridLines="0" zoomScaleNormal="100" zoomScaleSheetLayoutView="90" workbookViewId="0"/>
  </sheetViews>
  <sheetFormatPr defaultColWidth="9.140625" defaultRowHeight="19.5" customHeight="1" outlineLevelCol="1"/>
  <cols>
    <col min="1" max="1" width="4.7109375" style="116" customWidth="1"/>
    <col min="2" max="2" width="4.85546875" style="116" customWidth="1"/>
    <col min="3" max="16" width="10.7109375" style="116" customWidth="1"/>
    <col min="17" max="17" width="4.85546875" style="116" customWidth="1"/>
    <col min="18" max="18" width="11" style="116" customWidth="1"/>
    <col min="19" max="19" width="9.140625" style="116"/>
    <col min="20" max="20" width="11.42578125" style="116" hidden="1" customWidth="1" outlineLevel="1"/>
    <col min="21" max="21" width="9.140625" style="116" collapsed="1"/>
    <col min="22" max="16384" width="9.140625" style="116"/>
  </cols>
  <sheetData>
    <row r="1" spans="2:19" ht="19.5" customHeight="1" thickBot="1"/>
    <row r="2" spans="2:19" ht="19.5" customHeight="1" thickTop="1">
      <c r="B2" s="117"/>
      <c r="C2" s="118"/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9"/>
    </row>
    <row r="3" spans="2:19" ht="19.5" customHeight="1">
      <c r="B3" s="120"/>
      <c r="C3" s="121"/>
      <c r="D3" s="121"/>
      <c r="E3" s="121"/>
      <c r="F3" s="121"/>
      <c r="G3" s="121"/>
      <c r="H3" s="121"/>
      <c r="I3" s="121"/>
      <c r="J3" s="121"/>
      <c r="K3" s="121"/>
      <c r="L3" s="121"/>
      <c r="M3" s="121"/>
      <c r="N3" s="121"/>
      <c r="O3" s="121"/>
      <c r="P3" s="121"/>
      <c r="Q3" s="122"/>
    </row>
    <row r="4" spans="2:19" ht="19.5" customHeight="1">
      <c r="B4" s="120"/>
      <c r="C4" s="121"/>
      <c r="D4" s="121"/>
      <c r="E4" s="121"/>
      <c r="F4" s="121"/>
      <c r="G4" s="121"/>
      <c r="H4" s="121"/>
      <c r="I4" s="121"/>
      <c r="J4" s="121"/>
      <c r="K4" s="121"/>
      <c r="L4" s="121"/>
      <c r="M4" s="121"/>
      <c r="N4" s="121"/>
      <c r="O4" s="121"/>
      <c r="P4" s="121"/>
      <c r="Q4" s="122"/>
    </row>
    <row r="5" spans="2:19" ht="19.5" customHeight="1">
      <c r="B5" s="120"/>
      <c r="C5" s="121"/>
      <c r="D5" s="121"/>
      <c r="E5" s="121"/>
      <c r="F5" s="121"/>
      <c r="G5" s="121"/>
      <c r="H5" s="121"/>
      <c r="I5" s="121"/>
      <c r="J5" s="121"/>
      <c r="K5" s="121"/>
      <c r="L5" s="121"/>
      <c r="M5" s="121"/>
      <c r="N5" s="121"/>
      <c r="O5" s="121"/>
      <c r="P5" s="121"/>
      <c r="Q5" s="122"/>
    </row>
    <row r="6" spans="2:19" ht="19.5" customHeight="1">
      <c r="B6" s="120"/>
      <c r="C6" s="121"/>
      <c r="D6" s="121"/>
      <c r="E6" s="121"/>
      <c r="F6" s="121"/>
      <c r="G6" s="121"/>
      <c r="H6" s="121"/>
      <c r="I6" s="121"/>
      <c r="J6" s="121"/>
      <c r="K6" s="121"/>
      <c r="L6" s="121"/>
      <c r="M6" s="121"/>
      <c r="N6" s="121"/>
      <c r="O6" s="121"/>
      <c r="P6" s="121"/>
      <c r="Q6" s="122"/>
      <c r="S6" s="36"/>
    </row>
    <row r="7" spans="2:19" ht="19.5" customHeight="1">
      <c r="B7" s="120"/>
      <c r="C7" s="121"/>
      <c r="D7" s="121"/>
      <c r="E7" s="121"/>
      <c r="F7" s="121"/>
      <c r="G7" s="121"/>
      <c r="H7" s="121"/>
      <c r="I7" s="121"/>
      <c r="J7" s="121"/>
      <c r="K7" s="121"/>
      <c r="L7" s="121"/>
      <c r="M7" s="121"/>
      <c r="N7" s="121"/>
      <c r="O7" s="121"/>
      <c r="P7" s="121"/>
      <c r="Q7" s="122"/>
    </row>
    <row r="8" spans="2:19" ht="19.5" customHeight="1">
      <c r="B8" s="120"/>
      <c r="C8" s="121"/>
      <c r="D8" s="121"/>
      <c r="E8" s="121"/>
      <c r="F8" s="121"/>
      <c r="G8" s="121"/>
      <c r="H8" s="121"/>
      <c r="I8" s="121"/>
      <c r="J8" s="121"/>
      <c r="K8" s="121"/>
      <c r="L8" s="121"/>
      <c r="M8" s="121"/>
      <c r="N8" s="121"/>
      <c r="O8" s="121"/>
      <c r="P8" s="121"/>
      <c r="Q8" s="122"/>
    </row>
    <row r="9" spans="2:19" ht="19.5" customHeight="1">
      <c r="B9" s="120"/>
      <c r="C9" s="121"/>
      <c r="D9" s="121"/>
      <c r="E9" s="121"/>
      <c r="F9" s="121"/>
      <c r="G9" s="121"/>
      <c r="H9" s="121"/>
      <c r="I9" s="121"/>
      <c r="J9" s="121"/>
      <c r="K9" s="121"/>
      <c r="L9" s="121"/>
      <c r="M9" s="121"/>
      <c r="N9" s="121"/>
      <c r="O9" s="121"/>
      <c r="P9" s="121"/>
      <c r="Q9" s="122"/>
    </row>
    <row r="10" spans="2:19" ht="19.5" customHeight="1">
      <c r="B10" s="123"/>
      <c r="Q10" s="124"/>
    </row>
    <row r="11" spans="2:19" ht="30">
      <c r="B11" s="123"/>
      <c r="C11" s="125" t="s">
        <v>170</v>
      </c>
      <c r="D11" s="125"/>
      <c r="E11" s="125"/>
      <c r="F11" s="125"/>
      <c r="G11" s="125"/>
      <c r="P11" s="126" t="s">
        <v>92</v>
      </c>
      <c r="Q11" s="124"/>
    </row>
    <row r="12" spans="2:19" ht="19.5" customHeight="1">
      <c r="B12" s="123"/>
      <c r="C12" s="446"/>
      <c r="D12" s="446"/>
      <c r="E12" s="446"/>
      <c r="F12" s="446"/>
      <c r="G12" s="446"/>
      <c r="M12" s="127"/>
      <c r="N12" s="127"/>
      <c r="O12" s="127"/>
      <c r="Q12" s="124"/>
    </row>
    <row r="13" spans="2:19" ht="19.5" customHeight="1">
      <c r="B13" s="123"/>
      <c r="C13" s="315" t="s">
        <v>93</v>
      </c>
      <c r="D13" s="315"/>
      <c r="E13" s="315"/>
      <c r="F13" s="314"/>
      <c r="G13" s="314"/>
      <c r="H13" s="447"/>
      <c r="K13" s="472" t="s">
        <v>222</v>
      </c>
      <c r="L13" s="472"/>
      <c r="M13" s="473"/>
      <c r="N13" s="473"/>
      <c r="O13" s="473"/>
      <c r="P13" s="472"/>
      <c r="Q13" s="124"/>
    </row>
    <row r="14" spans="2:19" ht="19.5" customHeight="1">
      <c r="B14" s="123"/>
      <c r="H14" s="447"/>
      <c r="Q14" s="124"/>
    </row>
    <row r="15" spans="2:19" ht="19.5" customHeight="1">
      <c r="B15" s="123"/>
      <c r="C15" s="627" t="s">
        <v>347</v>
      </c>
      <c r="D15" s="254"/>
      <c r="E15" s="254"/>
      <c r="F15" s="254"/>
      <c r="G15" s="254"/>
      <c r="K15" s="575" t="s">
        <v>223</v>
      </c>
      <c r="N15" s="576"/>
      <c r="O15" s="576"/>
      <c r="P15" s="686">
        <f>Transaction!$J$17</f>
        <v>0</v>
      </c>
      <c r="Q15" s="124"/>
      <c r="S15" s="344"/>
    </row>
    <row r="16" spans="2:19" ht="19.5" customHeight="1">
      <c r="B16" s="123"/>
      <c r="C16" s="627" t="s">
        <v>129</v>
      </c>
      <c r="D16" s="254"/>
      <c r="E16" s="254"/>
      <c r="F16" s="254"/>
      <c r="G16" s="254"/>
      <c r="K16" s="630" t="s">
        <v>282</v>
      </c>
      <c r="P16" s="686">
        <f>IF(SUM(Transaction!K68:K70)&gt;0,1,0)</f>
        <v>0</v>
      </c>
      <c r="Q16" s="124"/>
      <c r="R16" s="586"/>
    </row>
    <row r="17" spans="2:20" ht="19.5" customHeight="1">
      <c r="B17" s="123"/>
      <c r="C17" s="627" t="s">
        <v>348</v>
      </c>
      <c r="D17" s="254"/>
      <c r="E17" s="254"/>
      <c r="F17" s="254"/>
      <c r="G17" s="254"/>
      <c r="K17" s="575" t="s">
        <v>220</v>
      </c>
      <c r="P17" s="686">
        <f>IF(SUM(Model!$H$43:$O$43)&gt;0,1,0)</f>
        <v>1</v>
      </c>
      <c r="Q17" s="124"/>
    </row>
    <row r="18" spans="2:20" ht="19.5" customHeight="1">
      <c r="B18" s="123"/>
      <c r="C18" s="627" t="s">
        <v>163</v>
      </c>
      <c r="D18" s="254"/>
      <c r="E18" s="254"/>
      <c r="F18" s="254"/>
      <c r="G18" s="254"/>
      <c r="H18" s="579"/>
      <c r="K18" s="577" t="s">
        <v>214</v>
      </c>
      <c r="P18" s="686">
        <f ca="1">Model!$F$281</f>
        <v>0</v>
      </c>
      <c r="Q18" s="124"/>
      <c r="S18" s="485"/>
    </row>
    <row r="19" spans="2:20" ht="19.5" customHeight="1">
      <c r="B19" s="123"/>
      <c r="K19" s="575" t="s">
        <v>374</v>
      </c>
      <c r="P19" s="686">
        <f ca="1">IF(SUM(Model!$K$353:$O$353)&gt;0,1,0)</f>
        <v>0</v>
      </c>
      <c r="Q19" s="124"/>
    </row>
    <row r="20" spans="2:20" ht="19.5" customHeight="1">
      <c r="B20" s="123"/>
      <c r="C20" s="255"/>
      <c r="D20" s="255"/>
      <c r="E20" s="255"/>
      <c r="F20" s="255"/>
      <c r="I20"/>
      <c r="J20"/>
      <c r="K20" s="575" t="s">
        <v>351</v>
      </c>
      <c r="P20" s="686">
        <f ca="1">IF(MIN(Model!K520:O520)&lt;0,1,0)</f>
        <v>1</v>
      </c>
      <c r="Q20" s="124"/>
      <c r="T20" s="510" t="s">
        <v>225</v>
      </c>
    </row>
    <row r="21" spans="2:20" ht="19.5" customHeight="1">
      <c r="B21" s="123"/>
      <c r="C21" s="315" t="s">
        <v>176</v>
      </c>
      <c r="D21" s="315"/>
      <c r="E21" s="315"/>
      <c r="F21" s="314"/>
      <c r="G21" s="314"/>
      <c r="I21"/>
      <c r="J21"/>
      <c r="K21" s="575" t="s">
        <v>350</v>
      </c>
      <c r="P21" s="686">
        <f ca="1">IF(MIN(Model!K535:O535)&lt;0,1,0)</f>
        <v>0</v>
      </c>
      <c r="Q21" s="124"/>
      <c r="T21" s="511" t="s">
        <v>226</v>
      </c>
    </row>
    <row r="22" spans="2:20" ht="19.5" customHeight="1">
      <c r="B22" s="123"/>
      <c r="H22" s="447"/>
      <c r="K22" s="575" t="s">
        <v>274</v>
      </c>
      <c r="P22" s="686">
        <f ca="1">Outputs!$U$63</f>
        <v>0</v>
      </c>
      <c r="Q22" s="124"/>
    </row>
    <row r="23" spans="2:20" ht="19.149999999999999" customHeight="1">
      <c r="B23" s="123"/>
      <c r="C23" s="575" t="s">
        <v>176</v>
      </c>
      <c r="D23" s="575"/>
      <c r="E23" s="578">
        <v>1</v>
      </c>
      <c r="F23" s="316"/>
      <c r="G23" s="316"/>
      <c r="H23" s="447"/>
      <c r="I23" s="447"/>
      <c r="J23" s="447"/>
      <c r="Q23" s="124"/>
      <c r="T23" s="507" t="s">
        <v>224</v>
      </c>
    </row>
    <row r="24" spans="2:20" ht="19.5" customHeight="1">
      <c r="B24" s="123"/>
      <c r="C24" s="255"/>
      <c r="D24" s="255"/>
      <c r="E24" s="255"/>
      <c r="F24" s="255"/>
      <c r="G24" s="255"/>
      <c r="H24" s="447"/>
      <c r="I24" s="447"/>
      <c r="J24" s="447"/>
      <c r="Q24" s="124"/>
      <c r="T24" s="508" t="s">
        <v>177</v>
      </c>
    </row>
    <row r="25" spans="2:20" ht="19.5" customHeight="1">
      <c r="B25" s="123"/>
      <c r="C25" s="255"/>
      <c r="D25" s="255"/>
      <c r="E25" s="255"/>
      <c r="F25" s="255"/>
      <c r="G25" s="255"/>
      <c r="H25" s="447"/>
      <c r="P25" s="447"/>
      <c r="Q25" s="124"/>
      <c r="T25" s="509" t="s">
        <v>178</v>
      </c>
    </row>
    <row r="26" spans="2:20" ht="19.5" customHeight="1">
      <c r="B26" s="123"/>
      <c r="H26" s="447"/>
      <c r="I26" s="447"/>
      <c r="J26" s="447"/>
      <c r="K26" s="447"/>
      <c r="L26" s="447"/>
      <c r="M26" s="447"/>
      <c r="N26" s="447"/>
      <c r="O26" s="447"/>
      <c r="P26" s="447"/>
      <c r="Q26" s="124"/>
      <c r="T26" s="590"/>
    </row>
    <row r="27" spans="2:20" ht="19.5" customHeight="1">
      <c r="B27" s="123"/>
      <c r="C27" s="585" t="str">
        <f>IF($E$23=1,"This model now has the circularity turned on. Please confirm the Excel settings below","")</f>
        <v>This model now has the circularity turned on. Please confirm the Excel settings below</v>
      </c>
      <c r="D27" s="582"/>
      <c r="E27" s="582"/>
      <c r="F27" s="582"/>
      <c r="G27" s="582"/>
      <c r="H27" s="344"/>
      <c r="I27" s="344"/>
      <c r="J27" s="344"/>
      <c r="K27" s="344"/>
      <c r="L27" s="344"/>
      <c r="M27" s="583"/>
      <c r="N27" s="447"/>
      <c r="O27" s="447"/>
      <c r="P27" s="447"/>
      <c r="Q27" s="124"/>
      <c r="S27" s="485"/>
    </row>
    <row r="28" spans="2:20" ht="19.5" customHeight="1">
      <c r="B28" s="123"/>
      <c r="C28" s="585" t="str">
        <f>IF($E$23=1,"PC","")</f>
        <v>PC</v>
      </c>
      <c r="D28" s="344" t="str">
        <f>IF($E$23=1,"File - Options - Formulas - Check the box on the top-right labeled 'Enable iterative calculation'.","")</f>
        <v>File - Options - Formulas - Check the box on the top-right labeled 'Enable iterative calculation'.</v>
      </c>
      <c r="E28" s="584"/>
      <c r="F28" s="584"/>
      <c r="G28" s="584"/>
      <c r="H28" s="344"/>
      <c r="I28" s="344"/>
      <c r="J28" s="344"/>
      <c r="K28" s="344"/>
      <c r="L28" s="344"/>
      <c r="M28" s="583"/>
      <c r="N28" s="447"/>
      <c r="O28" s="447"/>
      <c r="P28" s="447"/>
      <c r="Q28" s="124"/>
      <c r="S28" s="485"/>
      <c r="T28"/>
    </row>
    <row r="29" spans="2:20" ht="19.5" customHeight="1">
      <c r="B29" s="123"/>
      <c r="C29" s="585" t="str">
        <f>IF($E$23=1,"Mac","")</f>
        <v>Mac</v>
      </c>
      <c r="D29" s="344" t="str">
        <f>IF($E$23=1,"Excel - Preferences - Calculation - Check the box near the bottom labeled 'Use iterative calculation'.","")</f>
        <v>Excel - Preferences - Calculation - Check the box near the bottom labeled 'Use iterative calculation'.</v>
      </c>
      <c r="E29" s="584"/>
      <c r="F29" s="584"/>
      <c r="G29" s="584"/>
      <c r="H29" s="344"/>
      <c r="I29" s="344"/>
      <c r="J29" s="344"/>
      <c r="K29" s="344"/>
      <c r="L29" s="344"/>
      <c r="M29" s="583"/>
      <c r="N29" s="447"/>
      <c r="O29" s="447"/>
      <c r="P29" s="447"/>
      <c r="Q29" s="124"/>
      <c r="S29" s="485"/>
      <c r="T29"/>
    </row>
    <row r="30" spans="2:20" ht="19.5" customHeight="1">
      <c r="B30" s="123"/>
      <c r="C30" s="448"/>
      <c r="D30" s="448"/>
      <c r="E30" s="448"/>
      <c r="F30" s="448"/>
      <c r="G30" s="448"/>
      <c r="H30" s="447"/>
      <c r="I30" s="447"/>
      <c r="J30" s="447"/>
      <c r="K30" s="447"/>
      <c r="L30" s="447"/>
      <c r="M30" s="447"/>
      <c r="N30" s="447"/>
      <c r="O30" s="447"/>
      <c r="P30" s="447"/>
      <c r="Q30" s="124"/>
      <c r="T30"/>
    </row>
    <row r="31" spans="2:20" ht="19.5" customHeight="1">
      <c r="B31" s="123"/>
      <c r="C31" s="128" t="s">
        <v>94</v>
      </c>
      <c r="D31" s="128"/>
      <c r="E31" s="128"/>
      <c r="F31" s="128"/>
      <c r="G31" s="128"/>
      <c r="H31" s="449"/>
      <c r="I31" s="449"/>
      <c r="J31" s="449"/>
      <c r="K31" s="449"/>
      <c r="L31" s="449"/>
      <c r="M31" s="449"/>
      <c r="N31" s="449"/>
      <c r="O31" s="449"/>
      <c r="P31" s="449"/>
      <c r="Q31" s="124"/>
      <c r="T31"/>
    </row>
    <row r="32" spans="2:20" ht="19.5" customHeight="1">
      <c r="B32" s="123"/>
      <c r="C32" s="129" t="s">
        <v>95</v>
      </c>
      <c r="D32" s="129"/>
      <c r="E32" s="129"/>
      <c r="F32" s="129"/>
      <c r="G32" s="129"/>
      <c r="H32" s="130"/>
      <c r="I32" s="130"/>
      <c r="J32" s="130"/>
      <c r="K32" s="130"/>
      <c r="L32" s="130"/>
      <c r="M32" s="130"/>
      <c r="N32" s="130"/>
      <c r="O32" s="130"/>
      <c r="P32" s="130"/>
      <c r="Q32" s="124"/>
      <c r="T32"/>
    </row>
    <row r="33" spans="2:20" ht="19.5" customHeight="1">
      <c r="B33" s="123"/>
      <c r="C33" s="129" t="s">
        <v>230</v>
      </c>
      <c r="D33" s="129"/>
      <c r="E33" s="129"/>
      <c r="F33" s="129"/>
      <c r="G33" s="129"/>
      <c r="H33" s="130"/>
      <c r="I33" s="130"/>
      <c r="J33" s="130"/>
      <c r="K33" s="130"/>
      <c r="L33" s="130"/>
      <c r="M33" s="130"/>
      <c r="N33" s="130"/>
      <c r="O33" s="130"/>
      <c r="P33" s="130"/>
      <c r="Q33" s="124"/>
      <c r="T33"/>
    </row>
    <row r="34" spans="2:20" ht="19.5" customHeight="1">
      <c r="B34" s="123"/>
      <c r="C34" s="129" t="s">
        <v>231</v>
      </c>
      <c r="D34" s="129"/>
      <c r="E34" s="129"/>
      <c r="F34" s="129"/>
      <c r="G34" s="129"/>
      <c r="H34" s="130"/>
      <c r="I34" s="130"/>
      <c r="J34" s="130"/>
      <c r="K34" s="130"/>
      <c r="L34" s="130"/>
      <c r="M34" s="130"/>
      <c r="N34" s="130"/>
      <c r="O34" s="130"/>
      <c r="P34" s="130"/>
      <c r="Q34" s="124"/>
      <c r="T34"/>
    </row>
    <row r="35" spans="2:20" ht="19.5" customHeight="1">
      <c r="B35" s="123"/>
      <c r="C35" s="129" t="s">
        <v>232</v>
      </c>
      <c r="D35" s="129"/>
      <c r="E35" s="129"/>
      <c r="F35" s="129"/>
      <c r="G35" s="129"/>
      <c r="H35" s="130"/>
      <c r="I35" s="130"/>
      <c r="J35" s="130"/>
      <c r="K35" s="130"/>
      <c r="L35" s="130"/>
      <c r="M35" s="130"/>
      <c r="N35" s="130"/>
      <c r="O35" s="130"/>
      <c r="P35" s="130"/>
      <c r="Q35" s="124"/>
      <c r="T35"/>
    </row>
    <row r="36" spans="2:20" ht="19.5" customHeight="1">
      <c r="B36" s="123"/>
      <c r="C36" s="129" t="s">
        <v>233</v>
      </c>
      <c r="D36" s="129"/>
      <c r="E36" s="129"/>
      <c r="F36" s="129"/>
      <c r="G36" s="129"/>
      <c r="H36" s="130"/>
      <c r="I36" s="130"/>
      <c r="J36" s="130"/>
      <c r="K36" s="130"/>
      <c r="L36" s="130"/>
      <c r="M36" s="130"/>
      <c r="N36" s="130"/>
      <c r="O36" s="130"/>
      <c r="P36" s="130"/>
      <c r="Q36" s="124"/>
      <c r="T36"/>
    </row>
    <row r="37" spans="2:20" ht="19.5" customHeight="1">
      <c r="B37" s="123"/>
      <c r="C37" s="129"/>
      <c r="D37" s="129"/>
      <c r="E37" s="129"/>
      <c r="F37" s="129"/>
      <c r="G37" s="129"/>
      <c r="H37" s="130"/>
      <c r="I37" s="130"/>
      <c r="J37" s="130"/>
      <c r="K37" s="130"/>
      <c r="L37" s="130"/>
      <c r="M37" s="130"/>
      <c r="N37" s="130"/>
      <c r="O37" s="130"/>
      <c r="P37" s="130"/>
      <c r="Q37" s="124"/>
      <c r="T37"/>
    </row>
    <row r="38" spans="2:20" ht="19.5" customHeight="1">
      <c r="B38" s="123"/>
      <c r="C38" s="129" t="s">
        <v>96</v>
      </c>
      <c r="D38" s="129"/>
      <c r="E38" s="129"/>
      <c r="F38" s="129"/>
      <c r="G38" s="129"/>
      <c r="H38" s="130"/>
      <c r="I38" s="130"/>
      <c r="J38" s="130"/>
      <c r="K38" s="130"/>
      <c r="L38" s="130"/>
      <c r="M38" s="130"/>
      <c r="N38" s="130"/>
      <c r="O38" s="130"/>
      <c r="P38" s="130"/>
      <c r="Q38" s="124"/>
      <c r="T38"/>
    </row>
    <row r="39" spans="2:20" ht="19.5" customHeight="1" thickBot="1">
      <c r="B39" s="131"/>
      <c r="C39" s="132"/>
      <c r="D39" s="132"/>
      <c r="E39" s="132"/>
      <c r="F39" s="132"/>
      <c r="G39" s="132"/>
      <c r="H39" s="132"/>
      <c r="I39" s="132"/>
      <c r="J39" s="132"/>
      <c r="K39" s="132"/>
      <c r="L39" s="132"/>
      <c r="M39" s="132"/>
      <c r="N39" s="132"/>
      <c r="O39" s="132"/>
      <c r="P39" s="132"/>
      <c r="Q39" s="133" t="s">
        <v>91</v>
      </c>
      <c r="T39"/>
    </row>
    <row r="40" spans="2:20" ht="19.5" customHeight="1" thickTop="1">
      <c r="R40" s="116" t="s">
        <v>91</v>
      </c>
      <c r="T40"/>
    </row>
  </sheetData>
  <conditionalFormatting sqref="P15:P22">
    <cfRule type="expression" dxfId="34" priority="1">
      <formula>P15=1</formula>
    </cfRule>
  </conditionalFormatting>
  <hyperlinks>
    <hyperlink ref="C38" r:id="rId1" xr:uid="{FE3756BC-B574-4DFD-AA84-7F02483BDA52}"/>
    <hyperlink ref="C17" location="Drivers!A1" tooltip="Drivers" display="Drivers" xr:uid="{5CA1ABB9-668C-4856-A641-630BF5401CF5}"/>
    <hyperlink ref="C15" location="Dashboard!A1" tooltip="Dashboard" display="Dashboard" xr:uid="{65582C05-626B-4937-B193-6F08DB82020C}"/>
    <hyperlink ref="C16" location="Transaction!A1" tooltip="Transaction" display="Transaction" xr:uid="{02C172A4-123F-4ED2-83DE-12C27C8727B1}"/>
    <hyperlink ref="C18" location="Model!A1" tooltip="Model" display="Model" xr:uid="{3CADD00A-D4B8-4697-960C-EAC861926E21}"/>
  </hyperlinks>
  <printOptions horizontalCentered="1" verticalCentered="1"/>
  <pageMargins left="0.31496062992126" right="0.31496062992126" top="0.31496062992126" bottom="0.31496062992126" header="0.31496062992126" footer="0.31496062992126"/>
  <pageSetup scale="75" orientation="landscape" r:id="rId2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5" name="Drop Down 2">
              <controlPr defaultSize="0" autoLine="0" autoPict="0">
                <anchor moveWithCells="1" sizeWithCells="1">
                  <from>
                    <xdr:col>4</xdr:col>
                    <xdr:colOff>0</xdr:colOff>
                    <xdr:row>22</xdr:row>
                    <xdr:rowOff>0</xdr:rowOff>
                  </from>
                  <to>
                    <xdr:col>5</xdr:col>
                    <xdr:colOff>0</xdr:colOff>
                    <xdr:row>23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C8910-6EB1-402D-98E5-818B4570565F}">
  <sheetPr codeName="Sheet2">
    <pageSetUpPr autoPageBreaks="0"/>
  </sheetPr>
  <dimension ref="A1:AD118"/>
  <sheetViews>
    <sheetView showGridLines="0" zoomScaleNormal="100" zoomScaleSheetLayoutView="100" workbookViewId="0">
      <pane ySplit="1" topLeftCell="A2" activePane="bottomLeft" state="frozen"/>
      <selection pane="bottomLeft"/>
    </sheetView>
  </sheetViews>
  <sheetFormatPr defaultColWidth="9.140625" defaultRowHeight="15" outlineLevelRow="1" outlineLevelCol="1"/>
  <cols>
    <col min="1" max="1" width="8.7109375" style="445" customWidth="1"/>
    <col min="2" max="2" width="3.42578125" style="445" customWidth="1"/>
    <col min="3" max="3" width="6.7109375" style="445" customWidth="1"/>
    <col min="4" max="9" width="10.7109375" style="445" customWidth="1"/>
    <col min="10" max="11" width="6.7109375" style="445" customWidth="1"/>
    <col min="12" max="17" width="10.7109375" style="445" customWidth="1"/>
    <col min="18" max="18" width="6.7109375" style="445" customWidth="1"/>
    <col min="19" max="19" width="10.7109375" style="445" customWidth="1"/>
    <col min="20" max="20" width="20.5703125" style="445" hidden="1" customWidth="1" outlineLevel="1"/>
    <col min="21" max="22" width="10.5703125" style="445" hidden="1" customWidth="1" outlineLevel="1"/>
    <col min="23" max="23" width="11.85546875" style="445" hidden="1" customWidth="1" outlineLevel="1"/>
    <col min="24" max="27" width="10.5703125" style="445" hidden="1" customWidth="1" outlineLevel="1"/>
    <col min="28" max="28" width="9.140625" style="445" collapsed="1"/>
    <col min="29" max="29" width="9.140625" style="445"/>
    <col min="30" max="30" width="9.85546875" style="445" bestFit="1" customWidth="1"/>
    <col min="31" max="16384" width="9.140625" style="445"/>
  </cols>
  <sheetData>
    <row r="1" spans="1:27" s="137" customFormat="1" ht="50.1" customHeight="1">
      <c r="A1" s="304"/>
      <c r="B1" s="445"/>
      <c r="C1" s="134"/>
      <c r="D1" s="134"/>
      <c r="E1" s="134"/>
      <c r="F1" s="135"/>
      <c r="G1" s="135"/>
      <c r="H1" s="135"/>
      <c r="I1" s="136"/>
      <c r="J1" s="662"/>
      <c r="K1" s="136"/>
      <c r="L1" s="136"/>
      <c r="M1" s="136"/>
      <c r="N1" s="136"/>
      <c r="O1" s="136"/>
      <c r="P1" s="134"/>
      <c r="Q1" s="134"/>
      <c r="R1" s="134"/>
      <c r="S1" s="445"/>
    </row>
    <row r="2" spans="1:27" s="138" customFormat="1" ht="14.1" customHeight="1">
      <c r="A2" s="305"/>
      <c r="B2" s="445"/>
      <c r="C2" s="306"/>
      <c r="D2" s="306"/>
      <c r="E2" s="307"/>
      <c r="F2" s="307"/>
      <c r="G2" s="308"/>
      <c r="H2" s="308"/>
      <c r="I2" s="308"/>
      <c r="J2" s="308"/>
      <c r="K2" s="305"/>
      <c r="L2" s="305"/>
      <c r="M2" s="305"/>
      <c r="N2" s="305"/>
      <c r="O2" s="305"/>
      <c r="P2" s="305"/>
      <c r="Q2" s="305"/>
      <c r="R2" s="305"/>
      <c r="S2" s="445"/>
    </row>
    <row r="3" spans="1:27" ht="15" customHeight="1">
      <c r="A3" s="597" t="s">
        <v>91</v>
      </c>
      <c r="C3" s="529" t="s">
        <v>98</v>
      </c>
      <c r="D3" s="144"/>
      <c r="E3" s="144"/>
      <c r="F3" s="144"/>
      <c r="H3" s="529" t="s">
        <v>99</v>
      </c>
      <c r="I3" s="144"/>
      <c r="J3" s="144"/>
      <c r="K3" s="144"/>
      <c r="L3" s="144"/>
      <c r="M3" s="144"/>
      <c r="N3" s="144"/>
      <c r="O3" s="144"/>
      <c r="P3" s="144"/>
      <c r="Q3" s="144"/>
      <c r="R3" s="144"/>
      <c r="T3" s="138"/>
      <c r="U3" s="138"/>
      <c r="V3" s="138"/>
      <c r="W3" s="138"/>
      <c r="X3" s="138"/>
    </row>
    <row r="4" spans="1:27" ht="15" hidden="1" customHeight="1" outlineLevel="1">
      <c r="T4" s="138"/>
      <c r="U4" s="138"/>
      <c r="V4" s="138"/>
      <c r="W4" s="138"/>
      <c r="X4" s="138"/>
    </row>
    <row r="5" spans="1:27" ht="15" hidden="1" customHeight="1" outlineLevel="1" thickBot="1">
      <c r="C5" s="147" t="s">
        <v>107</v>
      </c>
      <c r="D5" s="148"/>
      <c r="E5" s="148"/>
      <c r="F5" s="148"/>
      <c r="H5" s="332" t="s">
        <v>101</v>
      </c>
      <c r="I5" s="171"/>
      <c r="L5" s="171"/>
      <c r="N5" s="332" t="s">
        <v>102</v>
      </c>
      <c r="O5" s="171"/>
      <c r="Q5" s="171"/>
    </row>
    <row r="6" spans="1:27" ht="15" hidden="1" customHeight="1" outlineLevel="1">
      <c r="C6" s="512" t="s">
        <v>100</v>
      </c>
      <c r="D6" s="146"/>
      <c r="E6" s="194"/>
      <c r="F6" s="173">
        <f>Transaction!C16</f>
        <v>183795.19</v>
      </c>
      <c r="H6" s="554" t="s">
        <v>103</v>
      </c>
      <c r="I6" s="555"/>
      <c r="J6" s="556"/>
      <c r="K6" s="556"/>
      <c r="L6" s="690">
        <f>Transaction!J8</f>
        <v>15000</v>
      </c>
      <c r="N6" s="554" t="s">
        <v>104</v>
      </c>
      <c r="O6" s="557"/>
      <c r="P6" s="556"/>
      <c r="Q6" s="690">
        <f>Transaction!N8</f>
        <v>145795.19</v>
      </c>
    </row>
    <row r="7" spans="1:27" ht="15" hidden="1" customHeight="1" outlineLevel="1">
      <c r="C7" s="512" t="s">
        <v>241</v>
      </c>
      <c r="E7" s="194"/>
      <c r="F7" s="173">
        <f>SUM(Transaction!C22:C23)</f>
        <v>-58000</v>
      </c>
      <c r="H7" s="520" t="s">
        <v>375</v>
      </c>
      <c r="I7" s="151"/>
      <c r="L7" s="691">
        <f>Transaction!J9</f>
        <v>4594.8797500000001</v>
      </c>
      <c r="N7" s="514" t="s">
        <v>376</v>
      </c>
      <c r="O7" s="152"/>
      <c r="Q7" s="691">
        <f>Transaction!N9</f>
        <v>1000</v>
      </c>
    </row>
    <row r="8" spans="1:27" ht="15" hidden="1" customHeight="1" outlineLevel="1">
      <c r="C8" s="518" t="s">
        <v>106</v>
      </c>
      <c r="D8" s="150"/>
      <c r="E8" s="192"/>
      <c r="F8" s="191">
        <f>Transaction!C24</f>
        <v>20000</v>
      </c>
      <c r="H8" s="527" t="s">
        <v>326</v>
      </c>
      <c r="I8" s="143"/>
      <c r="L8" s="691">
        <f>Transaction!J10</f>
        <v>45948.797500000001</v>
      </c>
      <c r="N8" s="514" t="s">
        <v>377</v>
      </c>
      <c r="O8" s="152"/>
      <c r="Q8" s="691">
        <f>Transaction!N10</f>
        <v>57000</v>
      </c>
      <c r="S8" s="149"/>
      <c r="X8"/>
      <c r="Y8"/>
      <c r="Z8"/>
      <c r="AA8"/>
    </row>
    <row r="9" spans="1:27" ht="15" hidden="1" customHeight="1" outlineLevel="1">
      <c r="C9" s="519" t="s">
        <v>107</v>
      </c>
      <c r="D9" s="189"/>
      <c r="E9" s="311"/>
      <c r="F9" s="687">
        <f>SUM(F6:F8)</f>
        <v>145795.19</v>
      </c>
      <c r="H9" s="527" t="s">
        <v>327</v>
      </c>
      <c r="I9" s="143"/>
      <c r="L9" s="691">
        <f>Transaction!J11</f>
        <v>36759.038</v>
      </c>
      <c r="N9" s="520" t="s">
        <v>112</v>
      </c>
      <c r="O9" s="152"/>
      <c r="Q9" s="691">
        <f>Transaction!N11</f>
        <v>4879.1567100000002</v>
      </c>
      <c r="X9"/>
      <c r="Y9"/>
      <c r="Z9"/>
      <c r="AA9"/>
    </row>
    <row r="10" spans="1:27" ht="15" hidden="1" customHeight="1" outlineLevel="1">
      <c r="C10" s="466"/>
      <c r="E10" s="143"/>
      <c r="F10" s="143"/>
      <c r="H10" s="527" t="s">
        <v>328</v>
      </c>
      <c r="I10" s="143"/>
      <c r="L10" s="691">
        <f>Transaction!J12</f>
        <v>27569.2785</v>
      </c>
      <c r="N10" s="521" t="s">
        <v>114</v>
      </c>
      <c r="O10" s="312"/>
      <c r="Q10" s="692">
        <f>SUM(Q6:Q9)</f>
        <v>208674.34671000001</v>
      </c>
    </row>
    <row r="11" spans="1:27" ht="15" hidden="1" customHeight="1" outlineLevel="1">
      <c r="H11" s="520" t="s">
        <v>270</v>
      </c>
      <c r="I11" s="143"/>
      <c r="L11" s="691">
        <f>Transaction!J13</f>
        <v>4373.8557000000001</v>
      </c>
      <c r="O11" s="149"/>
      <c r="T11"/>
      <c r="U11"/>
      <c r="V11"/>
      <c r="W11"/>
      <c r="X11"/>
      <c r="Y11"/>
      <c r="Z11"/>
      <c r="AA11"/>
    </row>
    <row r="12" spans="1:27" ht="15" hidden="1" customHeight="1" outlineLevel="1">
      <c r="C12" s="512" t="s">
        <v>216</v>
      </c>
      <c r="D12" s="143"/>
      <c r="E12" s="282"/>
      <c r="F12" s="688">
        <f>Transaction!C28</f>
        <v>14.579518999999999</v>
      </c>
      <c r="H12" s="520" t="s">
        <v>111</v>
      </c>
      <c r="I12" s="143"/>
      <c r="L12" s="691">
        <f>Transaction!J14</f>
        <v>74428.497260000004</v>
      </c>
      <c r="O12" s="149"/>
      <c r="T12"/>
      <c r="U12"/>
      <c r="V12"/>
      <c r="W12"/>
      <c r="X12"/>
      <c r="Y12"/>
      <c r="Z12"/>
      <c r="AA12"/>
    </row>
    <row r="13" spans="1:27" ht="15" hidden="1" customHeight="1" outlineLevel="1">
      <c r="C13" s="512" t="s">
        <v>110</v>
      </c>
      <c r="D13" s="151"/>
      <c r="E13" s="283"/>
      <c r="F13" s="689">
        <f>Transaction!C35</f>
        <v>0.32541081818181805</v>
      </c>
      <c r="H13" s="521" t="s">
        <v>113</v>
      </c>
      <c r="I13" s="151"/>
      <c r="L13" s="692">
        <f>SUM(L6:L12)</f>
        <v>208674.34671000001</v>
      </c>
      <c r="O13" s="143"/>
      <c r="P13" s="143"/>
      <c r="Q13" s="558" t="s">
        <v>97</v>
      </c>
      <c r="R13" s="143"/>
      <c r="S13" s="143"/>
      <c r="T13"/>
      <c r="U13"/>
      <c r="V13"/>
      <c r="W13"/>
      <c r="X13"/>
      <c r="Y13"/>
      <c r="Z13"/>
      <c r="AA13"/>
    </row>
    <row r="14" spans="1:27" ht="15" hidden="1" customHeight="1" outlineLevel="1">
      <c r="C14" s="143"/>
      <c r="D14" s="143"/>
      <c r="E14" s="143"/>
      <c r="F14" s="143"/>
      <c r="G14" s="143"/>
      <c r="H14" s="143"/>
      <c r="I14" s="143"/>
      <c r="J14" s="143"/>
      <c r="K14" s="143"/>
      <c r="L14" s="143"/>
      <c r="M14" s="143"/>
      <c r="N14" s="143"/>
      <c r="O14" s="143"/>
      <c r="P14" s="143"/>
      <c r="Q14" s="143"/>
      <c r="R14" s="153"/>
      <c r="S14" s="143"/>
      <c r="Z14" s="143"/>
      <c r="AA14" s="143"/>
    </row>
    <row r="15" spans="1:27" ht="15" hidden="1" customHeight="1" outlineLevel="1">
      <c r="C15" s="143"/>
      <c r="D15" s="143"/>
      <c r="E15" s="143"/>
      <c r="F15" s="143"/>
      <c r="G15" s="143"/>
      <c r="H15" s="143"/>
      <c r="I15" s="143"/>
      <c r="J15" s="143"/>
      <c r="K15" s="143"/>
      <c r="L15" s="143"/>
      <c r="M15" s="143"/>
      <c r="N15" s="143"/>
      <c r="O15" s="143"/>
      <c r="P15" s="143"/>
      <c r="Q15" s="143"/>
      <c r="R15" s="153"/>
      <c r="S15" s="143"/>
      <c r="Z15" s="143"/>
      <c r="AA15" s="143"/>
    </row>
    <row r="16" spans="1:27" ht="15" customHeight="1" collapsed="1">
      <c r="C16" s="143"/>
      <c r="D16" s="143"/>
      <c r="E16" s="143"/>
      <c r="F16" s="143"/>
      <c r="G16" s="143"/>
      <c r="H16" s="143"/>
      <c r="I16" s="143"/>
      <c r="J16" s="143"/>
      <c r="K16" s="143"/>
      <c r="L16" s="143"/>
      <c r="M16" s="143"/>
      <c r="N16" s="143"/>
      <c r="O16" s="143"/>
      <c r="P16" s="143"/>
      <c r="Q16" s="143"/>
      <c r="R16" s="153"/>
      <c r="S16" s="143"/>
      <c r="Z16" s="143"/>
      <c r="AA16" s="143"/>
    </row>
    <row r="17" spans="1:30" ht="15" customHeight="1">
      <c r="A17" s="597" t="s">
        <v>91</v>
      </c>
      <c r="C17" s="529" t="s">
        <v>389</v>
      </c>
      <c r="D17" s="144"/>
      <c r="E17" s="144"/>
      <c r="F17" s="154"/>
      <c r="G17" s="154"/>
      <c r="H17" s="529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313"/>
      <c r="X17" s="155"/>
      <c r="Y17" s="155"/>
    </row>
    <row r="18" spans="1:30" ht="15" hidden="1" customHeight="1" outlineLevel="1">
      <c r="C18" s="10" t="str">
        <f>Model!B6</f>
        <v>Model Running: Base Case Drivers</v>
      </c>
    </row>
    <row r="19" spans="1:30" ht="15" hidden="1" customHeight="1" outlineLevel="1"/>
    <row r="20" spans="1:30" ht="20.100000000000001" hidden="1" customHeight="1" outlineLevel="1" thickBot="1">
      <c r="D20" s="648" t="s">
        <v>359</v>
      </c>
      <c r="E20" s="261"/>
      <c r="F20" s="649"/>
      <c r="I20" s="648" t="s">
        <v>322</v>
      </c>
      <c r="J20" s="261"/>
      <c r="K20" s="649"/>
      <c r="L20" s="649"/>
      <c r="O20" s="648" t="s">
        <v>323</v>
      </c>
      <c r="P20" s="261"/>
      <c r="Q20" s="649"/>
      <c r="T20" s="670" t="s">
        <v>360</v>
      </c>
      <c r="U20" s="670"/>
      <c r="V20" s="670"/>
      <c r="W20" s="670"/>
      <c r="X20" s="670"/>
      <c r="Y20" s="670"/>
      <c r="Z20" s="670"/>
      <c r="AA20" s="670"/>
    </row>
    <row r="21" spans="1:30" ht="15" hidden="1" customHeight="1" outlineLevel="1">
      <c r="D21" s="650"/>
      <c r="E21" s="651"/>
      <c r="F21" s="651"/>
      <c r="I21" s="650"/>
      <c r="J21" s="651"/>
      <c r="K21" s="651"/>
      <c r="L21" s="651"/>
      <c r="O21" s="654"/>
      <c r="P21" s="655"/>
      <c r="Q21" s="655"/>
      <c r="T21" s="670" t="s">
        <v>361</v>
      </c>
      <c r="U21" s="670"/>
      <c r="V21" s="670"/>
      <c r="W21" s="670"/>
      <c r="X21" s="670"/>
      <c r="Y21" s="670"/>
      <c r="Z21" s="670"/>
      <c r="AA21" s="670"/>
    </row>
    <row r="22" spans="1:30" ht="21" hidden="1" outlineLevel="1">
      <c r="D22" s="825">
        <f>L12/1000</f>
        <v>74.42849726</v>
      </c>
      <c r="E22" s="824"/>
      <c r="F22" s="649"/>
      <c r="I22" s="695">
        <f ca="1">Model!$E$571</f>
        <v>0.22382352948188786</v>
      </c>
      <c r="J22" s="694"/>
      <c r="K22" s="649"/>
      <c r="L22" s="649"/>
      <c r="O22" s="693">
        <f ca="1">Model!$F$571</f>
        <v>2.7468460455819188</v>
      </c>
      <c r="P22" s="694"/>
      <c r="Q22" s="649"/>
      <c r="T22" s="670"/>
      <c r="U22" s="670"/>
      <c r="V22" s="670"/>
      <c r="W22" s="670"/>
      <c r="X22" s="670"/>
      <c r="Y22" s="670"/>
      <c r="Z22" s="670"/>
      <c r="AA22" s="670"/>
      <c r="AD22" s="823"/>
    </row>
    <row r="23" spans="1:30" ht="15" hidden="1" customHeight="1" outlineLevel="1">
      <c r="D23" s="652"/>
      <c r="E23" s="652"/>
    </row>
    <row r="24" spans="1:30" ht="15" hidden="1" customHeight="1" outlineLevel="1"/>
    <row r="25" spans="1:30" ht="15" hidden="1" customHeight="1" outlineLevel="1" thickBot="1">
      <c r="C25" s="302" t="s">
        <v>345</v>
      </c>
      <c r="D25" s="302"/>
      <c r="E25" s="302"/>
      <c r="F25" s="303"/>
      <c r="G25" s="303"/>
      <c r="H25" s="303"/>
      <c r="I25" s="303"/>
      <c r="K25" s="302" t="s">
        <v>346</v>
      </c>
      <c r="L25" s="302"/>
      <c r="M25" s="302"/>
      <c r="N25" s="303"/>
      <c r="O25" s="303"/>
      <c r="P25" s="303"/>
      <c r="Q25" s="303"/>
      <c r="T25" s="145"/>
      <c r="U25" s="145"/>
      <c r="V25" s="145"/>
      <c r="W25" s="172">
        <f>Model!K95</f>
        <v>2023</v>
      </c>
      <c r="X25" s="172">
        <f>Model!L95</f>
        <v>2024</v>
      </c>
      <c r="Y25" s="172">
        <f>Model!M95</f>
        <v>2025</v>
      </c>
      <c r="Z25" s="172">
        <f>Model!N95</f>
        <v>2026</v>
      </c>
      <c r="AA25" s="172">
        <f>Model!O95</f>
        <v>2027</v>
      </c>
    </row>
    <row r="26" spans="1:30" ht="15" hidden="1" customHeight="1" outlineLevel="1"/>
    <row r="27" spans="1:30" ht="15" hidden="1" customHeight="1" outlineLevel="1">
      <c r="T27" s="143" t="s">
        <v>36</v>
      </c>
      <c r="U27" s="468"/>
      <c r="V27" s="468"/>
      <c r="W27" s="180">
        <f>Model!K107</f>
        <v>20042.950308300002</v>
      </c>
      <c r="X27" s="180">
        <f>Model!L107</f>
        <v>22016.165556991549</v>
      </c>
      <c r="Y27" s="180">
        <f>Model!M107</f>
        <v>23808.832883065334</v>
      </c>
      <c r="Z27" s="180">
        <f>Model!N107</f>
        <v>25920.662348699239</v>
      </c>
      <c r="AA27" s="180">
        <f>Model!O107</f>
        <v>27813.058457742598</v>
      </c>
    </row>
    <row r="28" spans="1:30" ht="15" hidden="1" customHeight="1" outlineLevel="1">
      <c r="T28" s="143" t="s">
        <v>105</v>
      </c>
      <c r="U28" s="468"/>
      <c r="V28" s="468"/>
      <c r="W28" s="180">
        <f ca="1">Model!K453</f>
        <v>108133.77352335543</v>
      </c>
      <c r="X28" s="180">
        <f ca="1">Model!L453</f>
        <v>99271.651708970254</v>
      </c>
      <c r="Y28" s="180">
        <f ca="1">Model!M453</f>
        <v>88455.182598281302</v>
      </c>
      <c r="Z28" s="180">
        <f ca="1">Model!N453</f>
        <v>78196.190244097175</v>
      </c>
      <c r="AA28" s="180">
        <f ca="1">Model!O453</f>
        <v>66672.65296669933</v>
      </c>
    </row>
    <row r="29" spans="1:30" ht="15" hidden="1" customHeight="1" outlineLevel="1">
      <c r="T29" s="143"/>
      <c r="U29" s="468"/>
      <c r="V29" s="468"/>
      <c r="W29" s="143"/>
      <c r="X29" s="143"/>
      <c r="Y29" s="143"/>
      <c r="Z29" s="143"/>
      <c r="AA29" s="143"/>
    </row>
    <row r="30" spans="1:30" ht="15" hidden="1" customHeight="1" outlineLevel="1">
      <c r="T30" s="13" t="s">
        <v>199</v>
      </c>
      <c r="U30" s="469"/>
      <c r="V30" s="469"/>
      <c r="W30" s="696">
        <f ca="1">Model!K518</f>
        <v>5.3951026101469735</v>
      </c>
      <c r="X30" s="696">
        <f ca="1">Model!L518</f>
        <v>4.5090345751622092</v>
      </c>
      <c r="Y30" s="696">
        <f ca="1">Model!M518</f>
        <v>3.7152254809263416</v>
      </c>
      <c r="Z30" s="696">
        <f ca="1">Model!N518</f>
        <v>3.016751238535432</v>
      </c>
      <c r="AA30" s="696">
        <f ca="1">Model!O518</f>
        <v>2.3971708493691026</v>
      </c>
    </row>
    <row r="31" spans="1:30" ht="15" hidden="1" customHeight="1" outlineLevel="1">
      <c r="T31" s="143" t="s">
        <v>108</v>
      </c>
      <c r="U31" s="468"/>
      <c r="V31" s="468"/>
      <c r="W31" s="696">
        <f ca="1">Model!K533</f>
        <v>0.87610577869026052</v>
      </c>
      <c r="X31" s="696">
        <f ca="1">Model!L533</f>
        <v>0.98148132712614533</v>
      </c>
      <c r="Y31" s="696">
        <f ca="1">Model!M533</f>
        <v>1.0899613823801879</v>
      </c>
      <c r="Z31" s="696">
        <f ca="1">Model!N533</f>
        <v>1.0612138952755807</v>
      </c>
      <c r="AA31" s="696">
        <f ca="1">Model!O533</f>
        <v>1.3867250319368922</v>
      </c>
    </row>
    <row r="32" spans="1:30" ht="15" hidden="1" customHeight="1" outlineLevel="1"/>
    <row r="33" spans="3:18" ht="15" hidden="1" customHeight="1" outlineLevel="1"/>
    <row r="34" spans="3:18" ht="15" hidden="1" customHeight="1" outlineLevel="1"/>
    <row r="35" spans="3:18" ht="15" hidden="1" customHeight="1" outlineLevel="1"/>
    <row r="36" spans="3:18" ht="15" hidden="1" customHeight="1" outlineLevel="1"/>
    <row r="37" spans="3:18" ht="15" hidden="1" customHeight="1" outlineLevel="1"/>
    <row r="38" spans="3:18" ht="15" hidden="1" customHeight="1" outlineLevel="1"/>
    <row r="39" spans="3:18" ht="15" hidden="1" customHeight="1" outlineLevel="1"/>
    <row r="40" spans="3:18" ht="15" hidden="1" customHeight="1" outlineLevel="1"/>
    <row r="41" spans="3:18" ht="15" hidden="1" customHeight="1" outlineLevel="1"/>
    <row r="42" spans="3:18" ht="15" hidden="1" customHeight="1" outlineLevel="1"/>
    <row r="43" spans="3:18" ht="15" hidden="1" customHeight="1" outlineLevel="1"/>
    <row r="44" spans="3:18" ht="15" hidden="1" customHeight="1" outlineLevel="1"/>
    <row r="45" spans="3:18" ht="15" hidden="1" customHeight="1" outlineLevel="1"/>
    <row r="46" spans="3:18" ht="15" hidden="1" customHeight="1" outlineLevel="1">
      <c r="Q46" s="653" t="s">
        <v>295</v>
      </c>
    </row>
    <row r="47" spans="3:18" ht="15" hidden="1" customHeight="1" outlineLevel="1"/>
    <row r="48" spans="3:18" ht="15" hidden="1" customHeight="1" outlineLevel="1">
      <c r="C48" s="589"/>
      <c r="D48" s="589"/>
      <c r="E48" s="589"/>
      <c r="F48" s="589"/>
      <c r="G48" s="589"/>
      <c r="H48" s="589"/>
      <c r="I48" s="589"/>
      <c r="J48" s="589"/>
      <c r="K48" s="589"/>
      <c r="L48" s="589"/>
      <c r="M48" s="589"/>
      <c r="N48" s="589"/>
      <c r="O48" s="589"/>
      <c r="P48" s="589"/>
      <c r="Q48" s="589"/>
      <c r="R48" s="589"/>
    </row>
    <row r="49" spans="1:27" ht="15" customHeight="1" collapsed="1"/>
    <row r="50" spans="1:27" ht="15" customHeight="1">
      <c r="A50" s="597" t="s">
        <v>91</v>
      </c>
      <c r="B50"/>
      <c r="C50" s="529" t="s">
        <v>390</v>
      </c>
      <c r="D50" s="144"/>
      <c r="E50" s="144"/>
      <c r="F50" s="154"/>
      <c r="G50" s="144"/>
      <c r="H50" s="144"/>
      <c r="I50" s="144"/>
      <c r="J50" s="144"/>
      <c r="K50" s="144"/>
      <c r="L50" s="144"/>
      <c r="M50" s="144"/>
      <c r="N50" s="144"/>
      <c r="O50" s="144"/>
      <c r="P50" s="144"/>
      <c r="Q50" s="154"/>
      <c r="R50" s="144"/>
    </row>
    <row r="51" spans="1:27" ht="15" hidden="1" customHeight="1" outlineLevel="1">
      <c r="A51" s="597"/>
      <c r="B51"/>
      <c r="C51" s="10" t="str">
        <f>$C$18</f>
        <v>Model Running: Base Case Drivers</v>
      </c>
      <c r="D51" s="313"/>
      <c r="E51" s="313"/>
      <c r="F51" s="679"/>
      <c r="G51" s="313"/>
      <c r="H51" s="313"/>
      <c r="I51" s="313"/>
      <c r="J51" s="313"/>
      <c r="K51" s="313"/>
      <c r="L51" s="313"/>
      <c r="M51" s="313"/>
      <c r="N51" s="313"/>
      <c r="O51" s="313"/>
      <c r="P51" s="313"/>
      <c r="Q51" s="679"/>
      <c r="R51" s="313"/>
      <c r="T51" s="670"/>
      <c r="U51" s="670"/>
      <c r="V51" s="670"/>
      <c r="W51" s="670"/>
    </row>
    <row r="52" spans="1:27" ht="15.75" hidden="1" outlineLevel="1">
      <c r="B52"/>
      <c r="C52"/>
      <c r="D52"/>
      <c r="E52"/>
      <c r="F52"/>
      <c r="G52"/>
      <c r="H52"/>
      <c r="I52"/>
      <c r="J52"/>
    </row>
    <row r="53" spans="1:27" ht="16.5" hidden="1" outlineLevel="1" thickBot="1">
      <c r="B53"/>
      <c r="C53"/>
      <c r="D53" s="302" t="s">
        <v>403</v>
      </c>
      <c r="E53" s="302"/>
      <c r="F53" s="302"/>
      <c r="G53" s="303"/>
      <c r="H53" s="303"/>
      <c r="I53" s="303"/>
      <c r="J53" s="303"/>
      <c r="K53" s="303"/>
      <c r="L53" s="157"/>
      <c r="M53" s="302" t="s">
        <v>273</v>
      </c>
      <c r="N53" s="302"/>
      <c r="O53" s="302"/>
      <c r="P53" s="302"/>
      <c r="Q53" s="303"/>
      <c r="R53" s="303"/>
      <c r="S53" s="157"/>
    </row>
    <row r="54" spans="1:27" ht="15.75" hidden="1" outlineLevel="1">
      <c r="B54"/>
      <c r="C54"/>
      <c r="D54"/>
      <c r="E54"/>
      <c r="F54"/>
      <c r="G54"/>
      <c r="H54"/>
      <c r="I54"/>
      <c r="J54"/>
    </row>
    <row r="55" spans="1:27" ht="16.5" hidden="1" outlineLevel="1" thickBot="1">
      <c r="B55"/>
      <c r="C55"/>
      <c r="T55" s="302" t="s">
        <v>251</v>
      </c>
      <c r="U55" s="302"/>
      <c r="V55" s="303" t="s">
        <v>253</v>
      </c>
      <c r="W55" s="303" t="s">
        <v>254</v>
      </c>
      <c r="X55" s="303" t="s">
        <v>255</v>
      </c>
      <c r="Y55" s="303" t="s">
        <v>256</v>
      </c>
    </row>
    <row r="56" spans="1:27" ht="15" hidden="1" customHeight="1" outlineLevel="1">
      <c r="B56"/>
      <c r="C56"/>
      <c r="D56"/>
      <c r="E56"/>
      <c r="F56"/>
      <c r="G56"/>
      <c r="H56"/>
      <c r="I56"/>
      <c r="J56"/>
      <c r="T56" s="671" t="s">
        <v>368</v>
      </c>
      <c r="U56" s="697">
        <f>Transaction!C60</f>
        <v>78802.352960000004</v>
      </c>
      <c r="V56" s="415"/>
      <c r="W56" s="415"/>
      <c r="X56" s="415"/>
    </row>
    <row r="57" spans="1:27" ht="15" hidden="1" customHeight="1" outlineLevel="1">
      <c r="B57"/>
      <c r="C57"/>
      <c r="D57"/>
      <c r="E57"/>
      <c r="F57"/>
      <c r="G57"/>
      <c r="H57"/>
      <c r="I57"/>
      <c r="J57"/>
      <c r="T57" s="262" t="s">
        <v>130</v>
      </c>
      <c r="U57" s="697">
        <f>+Transaction!N11*-1</f>
        <v>-4879.1567100000002</v>
      </c>
      <c r="V57" s="415"/>
      <c r="W57" s="415"/>
      <c r="X57" s="415"/>
    </row>
    <row r="58" spans="1:27" ht="15" hidden="1" customHeight="1" outlineLevel="1">
      <c r="B58"/>
      <c r="C58"/>
      <c r="D58"/>
      <c r="E58"/>
      <c r="F58"/>
      <c r="G58"/>
      <c r="H58"/>
      <c r="I58"/>
      <c r="J58"/>
      <c r="T58" s="671" t="s">
        <v>369</v>
      </c>
      <c r="U58" s="697">
        <f>+X58*Y58</f>
        <v>94335.394577425977</v>
      </c>
      <c r="V58" s="415">
        <f>+Model!J107</f>
        <v>18379.519</v>
      </c>
      <c r="W58" s="415">
        <f>+Model!O107</f>
        <v>27813.058457742598</v>
      </c>
      <c r="X58" s="415">
        <f>+W58-V58</f>
        <v>9433.5394577425977</v>
      </c>
      <c r="Y58" s="698">
        <f>+Transaction!C8</f>
        <v>10</v>
      </c>
    </row>
    <row r="59" spans="1:27" ht="15" hidden="1" customHeight="1" outlineLevel="1">
      <c r="B59"/>
      <c r="C59"/>
      <c r="D59"/>
      <c r="E59"/>
      <c r="F59"/>
      <c r="G59"/>
      <c r="H59"/>
      <c r="I59"/>
      <c r="J59"/>
      <c r="T59" s="671" t="s">
        <v>370</v>
      </c>
      <c r="U59" s="697">
        <f>+X59*Y59</f>
        <v>0</v>
      </c>
      <c r="V59" s="698">
        <f>+Transaction!C8</f>
        <v>10</v>
      </c>
      <c r="W59" s="698">
        <f>+Transaction!C9</f>
        <v>10</v>
      </c>
      <c r="X59" s="698">
        <f>W59-V59</f>
        <v>0</v>
      </c>
      <c r="Y59" s="415">
        <f>W58</f>
        <v>27813.058457742598</v>
      </c>
    </row>
    <row r="60" spans="1:27" ht="15" hidden="1" customHeight="1" outlineLevel="1">
      <c r="B60"/>
      <c r="C60"/>
      <c r="D60"/>
      <c r="E60"/>
      <c r="F60"/>
      <c r="G60"/>
      <c r="H60"/>
      <c r="I60"/>
      <c r="J60"/>
      <c r="T60" s="671" t="s">
        <v>371</v>
      </c>
      <c r="U60" s="697">
        <f ca="1">+X60</f>
        <v>48199.340783300679</v>
      </c>
      <c r="V60" s="415">
        <f>SUM(Transaction!$J$9:$J$12)-Transaction!$I$29</f>
        <v>109871.99375000001</v>
      </c>
      <c r="W60" s="415">
        <f ca="1">+Model!O559</f>
        <v>61672.65296669933</v>
      </c>
      <c r="X60" s="415">
        <f ca="1">+V60-W60</f>
        <v>48199.340783300679</v>
      </c>
      <c r="Y60" s="697" t="s">
        <v>125</v>
      </c>
    </row>
    <row r="61" spans="1:27" ht="15.75" hidden="1" outlineLevel="1">
      <c r="B61"/>
      <c r="C61"/>
      <c r="D61"/>
      <c r="E61"/>
      <c r="F61"/>
      <c r="G61"/>
      <c r="H61"/>
      <c r="I61"/>
      <c r="J61"/>
      <c r="T61" s="572" t="s">
        <v>252</v>
      </c>
      <c r="U61" s="692">
        <f ca="1">SUM(U56:U60)</f>
        <v>216457.93161072669</v>
      </c>
      <c r="W61" s="415"/>
      <c r="X61" s="415"/>
      <c r="Y61" s="415"/>
    </row>
    <row r="62" spans="1:27" ht="15.75" hidden="1" outlineLevel="1">
      <c r="B62"/>
      <c r="C62"/>
      <c r="D62"/>
      <c r="E62"/>
      <c r="F62"/>
      <c r="G62"/>
      <c r="H62"/>
      <c r="I62"/>
      <c r="J62"/>
      <c r="T62" s="572"/>
      <c r="U62" s="573"/>
      <c r="V62" s="574"/>
      <c r="W62" s="415"/>
      <c r="X62" s="415"/>
      <c r="Y62" s="415"/>
      <c r="Z62" s="571"/>
    </row>
    <row r="63" spans="1:27" ht="14.45" hidden="1" customHeight="1" outlineLevel="1">
      <c r="T63" s="262" t="s">
        <v>274</v>
      </c>
      <c r="U63" s="538">
        <f ca="1">IF(ROUND(U61-Model!O564,3)=0,0,1)</f>
        <v>0</v>
      </c>
      <c r="W63" s="593"/>
      <c r="X63" s="415"/>
      <c r="Y63" s="415"/>
      <c r="Z63" s="571"/>
    </row>
    <row r="64" spans="1:27" hidden="1" outlineLevel="1">
      <c r="X64" s="570"/>
      <c r="Y64" s="415"/>
      <c r="Z64" s="415"/>
      <c r="AA64" s="571"/>
    </row>
    <row r="65" spans="1:27" ht="15.75" hidden="1" outlineLevel="1" thickBot="1">
      <c r="T65" s="147" t="s">
        <v>193</v>
      </c>
      <c r="U65" s="148" t="s">
        <v>115</v>
      </c>
      <c r="V65" s="588" t="s">
        <v>194</v>
      </c>
      <c r="X65" s="594"/>
      <c r="Y65" s="415"/>
      <c r="Z65" s="415"/>
      <c r="AA65" s="571"/>
    </row>
    <row r="66" spans="1:27" ht="14.45" hidden="1" customHeight="1" outlineLevel="1">
      <c r="T66" s="386">
        <f>Model!D575</f>
        <v>1</v>
      </c>
      <c r="U66" s="405">
        <f ca="1">Model!E575</f>
        <v>0.2346805155277252</v>
      </c>
      <c r="V66" s="458">
        <f ca="1">Model!F575</f>
        <v>1.2346805127637726</v>
      </c>
      <c r="X66" s="570"/>
      <c r="Y66" s="637"/>
      <c r="Z66" s="637"/>
    </row>
    <row r="67" spans="1:27" ht="14.45" hidden="1" customHeight="1" outlineLevel="1">
      <c r="T67" s="386">
        <f>Model!D574</f>
        <v>2</v>
      </c>
      <c r="U67" s="405">
        <f ca="1">Model!E574</f>
        <v>0.26353382468223574</v>
      </c>
      <c r="V67" s="458">
        <f ca="1">Model!F574</f>
        <v>1.5975411790666565</v>
      </c>
      <c r="Y67"/>
      <c r="Z67"/>
    </row>
    <row r="68" spans="1:27" ht="15.75" hidden="1" outlineLevel="1">
      <c r="T68" s="386">
        <f>Model!D573</f>
        <v>3</v>
      </c>
      <c r="U68" s="405">
        <f ca="1">Model!E573</f>
        <v>0.25169571042060845</v>
      </c>
      <c r="V68" s="458">
        <f ca="1">Model!F573</f>
        <v>1.9622909776674267</v>
      </c>
      <c r="Y68"/>
      <c r="Z68"/>
    </row>
    <row r="69" spans="1:27" ht="15.75" hidden="1" outlineLevel="1">
      <c r="T69" s="386">
        <f>Model!D572</f>
        <v>4</v>
      </c>
      <c r="U69" s="405">
        <f ca="1">Model!E572</f>
        <v>0.23932641148567199</v>
      </c>
      <c r="V69" s="458">
        <f ca="1">Model!F572</f>
        <v>2.3604680095950168</v>
      </c>
      <c r="X69" s="570"/>
      <c r="Y69" s="637"/>
      <c r="Z69"/>
    </row>
    <row r="70" spans="1:27" ht="15.75" collapsed="1">
      <c r="D70"/>
      <c r="E70"/>
      <c r="F70"/>
      <c r="G70"/>
      <c r="H70"/>
      <c r="I70"/>
      <c r="J70"/>
      <c r="K70"/>
      <c r="T70" s="386">
        <f>Model!D571</f>
        <v>5</v>
      </c>
      <c r="U70" s="405">
        <f ca="1">Model!E571</f>
        <v>0.22382352948188786</v>
      </c>
      <c r="V70" s="458">
        <f ca="1">Model!F571</f>
        <v>2.7468460455819188</v>
      </c>
      <c r="Y70"/>
      <c r="Z70"/>
    </row>
    <row r="71" spans="1:27" ht="15" customHeight="1">
      <c r="A71" s="597" t="s">
        <v>91</v>
      </c>
      <c r="C71" s="529" t="s">
        <v>391</v>
      </c>
      <c r="D71" s="144"/>
      <c r="E71" s="144"/>
      <c r="F71" s="154"/>
      <c r="G71" s="144"/>
      <c r="H71" s="144"/>
      <c r="I71" s="144"/>
      <c r="J71" s="144"/>
      <c r="K71" s="144"/>
      <c r="L71" s="144"/>
      <c r="M71" s="144"/>
      <c r="N71" s="144"/>
      <c r="O71" s="144"/>
      <c r="P71" s="144"/>
      <c r="Q71" s="154"/>
      <c r="R71" s="144"/>
      <c r="S71" s="313"/>
      <c r="X71" s="156"/>
      <c r="Y71" s="157"/>
      <c r="Z71" s="156"/>
      <c r="AA71" s="157"/>
    </row>
    <row r="72" spans="1:27" ht="15" hidden="1" customHeight="1" outlineLevel="1"/>
    <row r="73" spans="1:27" ht="15.75" hidden="1" outlineLevel="1" thickBot="1">
      <c r="D73" s="147" t="s">
        <v>117</v>
      </c>
      <c r="E73" s="148"/>
      <c r="F73" s="148"/>
      <c r="G73" s="147"/>
      <c r="H73" s="148"/>
      <c r="I73" s="148"/>
      <c r="J73" s="146"/>
      <c r="L73" s="147" t="s">
        <v>118</v>
      </c>
      <c r="M73" s="148"/>
      <c r="N73" s="148"/>
      <c r="O73" s="147"/>
      <c r="P73" s="148"/>
      <c r="Q73" s="148"/>
      <c r="X73" s="284"/>
    </row>
    <row r="74" spans="1:27" hidden="1" outlineLevel="1">
      <c r="D74" s="146"/>
      <c r="E74" s="580" t="s">
        <v>363</v>
      </c>
      <c r="F74" s="309"/>
      <c r="G74" s="309"/>
      <c r="H74" s="309"/>
      <c r="I74" s="309"/>
      <c r="J74" s="146"/>
      <c r="L74" s="146"/>
      <c r="M74" s="580" t="s">
        <v>363</v>
      </c>
      <c r="N74" s="309"/>
      <c r="O74" s="309"/>
      <c r="P74" s="309"/>
      <c r="Q74" s="309"/>
      <c r="X74" s="284"/>
    </row>
    <row r="75" spans="1:27" ht="15.75" hidden="1" customHeight="1" outlineLevel="1" thickBot="1">
      <c r="D75" s="701">
        <f ca="1">$I$22</f>
        <v>0.22382352948188786</v>
      </c>
      <c r="E75" s="702">
        <f>F75-0.5</f>
        <v>9</v>
      </c>
      <c r="F75" s="702">
        <f>G75-0.5</f>
        <v>9.5</v>
      </c>
      <c r="G75" s="702">
        <f>Transaction!C9</f>
        <v>10</v>
      </c>
      <c r="H75" s="702">
        <f>+G75+0.5</f>
        <v>10.5</v>
      </c>
      <c r="I75" s="702">
        <f>+H75+0.5</f>
        <v>11</v>
      </c>
      <c r="J75" s="159"/>
      <c r="L75" s="703">
        <f ca="1">$O$22</f>
        <v>2.7468460455819188</v>
      </c>
      <c r="M75" s="702">
        <f>E75</f>
        <v>9</v>
      </c>
      <c r="N75" s="702">
        <f>F75</f>
        <v>9.5</v>
      </c>
      <c r="O75" s="702">
        <f>G75</f>
        <v>10</v>
      </c>
      <c r="P75" s="702">
        <f>H75</f>
        <v>10.5</v>
      </c>
      <c r="Q75" s="702">
        <f>I75</f>
        <v>11</v>
      </c>
      <c r="T75" s="302" t="s">
        <v>116</v>
      </c>
      <c r="U75" s="302"/>
      <c r="V75" s="302"/>
      <c r="W75" s="303"/>
    </row>
    <row r="76" spans="1:27" ht="15" hidden="1" customHeight="1" outlineLevel="1">
      <c r="C76" s="826" t="s">
        <v>362</v>
      </c>
      <c r="D76" s="704">
        <f>D77-0.5</f>
        <v>9</v>
      </c>
      <c r="E76" s="705">
        <f t="dataTable" ref="E76:I80" dt2D="1" dtr="1" r1="W78" r2="W77" ca="1"/>
        <v>0.25555177330970757</v>
      </c>
      <c r="F76" s="706">
        <v>0.27353033423423767</v>
      </c>
      <c r="G76" s="706">
        <v>0.29054687619209274</v>
      </c>
      <c r="H76" s="706">
        <v>0.30671001076698312</v>
      </c>
      <c r="I76" s="706">
        <v>0.32211037278175358</v>
      </c>
      <c r="J76" s="159"/>
      <c r="K76" s="826" t="s">
        <v>362</v>
      </c>
      <c r="L76" s="704">
        <f>D76</f>
        <v>9</v>
      </c>
      <c r="M76" s="707">
        <f t="dataTable" ref="M76:Q80" dt2D="1" dtr="1" r1="W78" r2="W77" ca="1"/>
        <v>3.122079200685409</v>
      </c>
      <c r="N76" s="708">
        <v>3.3522327422766134</v>
      </c>
      <c r="O76" s="708">
        <v>3.5823862838678178</v>
      </c>
      <c r="P76" s="708">
        <v>3.8125398254590226</v>
      </c>
      <c r="Q76" s="708">
        <v>4.0426933670502265</v>
      </c>
      <c r="X76" s="159"/>
    </row>
    <row r="77" spans="1:27" ht="15" hidden="1" customHeight="1" outlineLevel="1">
      <c r="C77" s="827"/>
      <c r="D77" s="704">
        <f>D78-0.5</f>
        <v>9.5</v>
      </c>
      <c r="E77" s="706">
        <v>0.22051752209663389</v>
      </c>
      <c r="F77" s="709">
        <v>0.23799441456794737</v>
      </c>
      <c r="G77" s="709">
        <v>0.25453613400459274</v>
      </c>
      <c r="H77" s="709">
        <v>0.27024825215339665</v>
      </c>
      <c r="I77" s="709">
        <v>0.2852189004421235</v>
      </c>
      <c r="J77" s="159"/>
      <c r="K77" s="827"/>
      <c r="L77" s="704">
        <f>D77</f>
        <v>9.5</v>
      </c>
      <c r="M77" s="708">
        <v>2.7099245090097241</v>
      </c>
      <c r="N77" s="710">
        <v>2.9096948169046901</v>
      </c>
      <c r="O77" s="710">
        <v>3.1094651247996561</v>
      </c>
      <c r="P77" s="710">
        <v>3.3092354326946225</v>
      </c>
      <c r="Q77" s="710">
        <v>3.5090057405895885</v>
      </c>
      <c r="T77" s="517" t="s">
        <v>119</v>
      </c>
      <c r="U77" s="470"/>
      <c r="V77" s="470"/>
      <c r="W77" s="699">
        <f>Transaction!C8</f>
        <v>10</v>
      </c>
      <c r="X77" s="159"/>
    </row>
    <row r="78" spans="1:27" ht="15" hidden="1" customHeight="1" outlineLevel="1">
      <c r="C78" s="827"/>
      <c r="D78" s="704">
        <f>Transaction!C8</f>
        <v>10</v>
      </c>
      <c r="E78" s="706">
        <v>0.19063772559165951</v>
      </c>
      <c r="F78" s="709">
        <v>0.20768676400184635</v>
      </c>
      <c r="G78" s="711">
        <v>0.22382352948188786</v>
      </c>
      <c r="H78" s="709">
        <v>0.23915099501609802</v>
      </c>
      <c r="I78" s="709">
        <v>0.25375513434410091</v>
      </c>
      <c r="J78" s="159"/>
      <c r="K78" s="827"/>
      <c r="L78" s="704">
        <f>D78</f>
        <v>10</v>
      </c>
      <c r="M78" s="708">
        <v>2.3938989899037657</v>
      </c>
      <c r="N78" s="710">
        <v>2.5703725177428427</v>
      </c>
      <c r="O78" s="712">
        <v>2.7468460455819188</v>
      </c>
      <c r="P78" s="710">
        <v>2.9233195734209958</v>
      </c>
      <c r="Q78" s="710">
        <v>3.0997931012600723</v>
      </c>
      <c r="T78" s="517" t="s">
        <v>120</v>
      </c>
      <c r="U78" s="470"/>
      <c r="V78" s="470"/>
      <c r="W78" s="699">
        <f>Transaction!C9</f>
        <v>10</v>
      </c>
    </row>
    <row r="79" spans="1:27" ht="15" hidden="1" customHeight="1" outlineLevel="1">
      <c r="C79" s="827"/>
      <c r="D79" s="704">
        <f>+D78+0.5</f>
        <v>10.5</v>
      </c>
      <c r="E79" s="706">
        <v>0.16467291712760929</v>
      </c>
      <c r="F79" s="709">
        <v>0.1813501536846161</v>
      </c>
      <c r="G79" s="709">
        <v>0.19713501334190367</v>
      </c>
      <c r="H79" s="709">
        <v>0.21212822794914249</v>
      </c>
      <c r="I79" s="709">
        <v>0.22641388773918153</v>
      </c>
      <c r="J79" s="159"/>
      <c r="K79" s="827"/>
      <c r="L79" s="704">
        <f>D79</f>
        <v>10.5</v>
      </c>
      <c r="M79" s="708">
        <v>2.1438838991249289</v>
      </c>
      <c r="N79" s="710">
        <v>2.3019268059274336</v>
      </c>
      <c r="O79" s="710">
        <v>2.4599697127299383</v>
      </c>
      <c r="P79" s="710">
        <v>2.6180126195324434</v>
      </c>
      <c r="Q79" s="710">
        <v>2.776055526334948</v>
      </c>
      <c r="T79" s="516" t="s">
        <v>336</v>
      </c>
      <c r="U79" s="467"/>
      <c r="V79" s="467"/>
      <c r="W79" s="700">
        <f>Transaction!I10</f>
        <v>2.5</v>
      </c>
    </row>
    <row r="80" spans="1:27" ht="15" hidden="1" customHeight="1" outlineLevel="1">
      <c r="C80" s="827"/>
      <c r="D80" s="704">
        <f>+D79+0.5</f>
        <v>11</v>
      </c>
      <c r="E80" s="706">
        <v>0.14177466034889225</v>
      </c>
      <c r="F80" s="709">
        <v>0.15812401175498966</v>
      </c>
      <c r="G80" s="709">
        <v>0.17359852194786071</v>
      </c>
      <c r="H80" s="709">
        <v>0.18829696774482729</v>
      </c>
      <c r="I80" s="709">
        <v>0.20230175852775573</v>
      </c>
      <c r="J80" s="159"/>
      <c r="K80" s="827"/>
      <c r="L80" s="704">
        <f>D80</f>
        <v>11</v>
      </c>
      <c r="M80" s="708">
        <v>1.9411529058694217</v>
      </c>
      <c r="N80" s="710">
        <v>2.0842508823582389</v>
      </c>
      <c r="O80" s="710">
        <v>2.2273488588470554</v>
      </c>
      <c r="P80" s="710">
        <v>2.3704468353358727</v>
      </c>
      <c r="Q80" s="710">
        <v>2.5135448118246897</v>
      </c>
      <c r="T80" s="516" t="s">
        <v>337</v>
      </c>
      <c r="U80" s="467"/>
      <c r="V80" s="467"/>
      <c r="W80" s="700">
        <f>Transaction!I11</f>
        <v>2</v>
      </c>
    </row>
    <row r="81" spans="2:22" hidden="1" outlineLevel="1"/>
    <row r="82" spans="2:22" hidden="1" outlineLevel="1"/>
    <row r="83" spans="2:22" ht="15.75" hidden="1" outlineLevel="1" thickBot="1">
      <c r="D83" s="147" t="s">
        <v>366</v>
      </c>
      <c r="E83" s="148"/>
      <c r="F83" s="148"/>
      <c r="G83" s="147"/>
      <c r="H83" s="148"/>
      <c r="I83" s="148"/>
      <c r="J83" s="159"/>
      <c r="L83" s="147" t="s">
        <v>367</v>
      </c>
      <c r="M83" s="148"/>
      <c r="N83" s="148"/>
      <c r="O83" s="147"/>
      <c r="P83" s="148"/>
      <c r="Q83" s="148"/>
    </row>
    <row r="84" spans="2:22" hidden="1" outlineLevel="1">
      <c r="D84" s="159"/>
      <c r="E84" s="713" t="s">
        <v>365</v>
      </c>
      <c r="F84" s="310"/>
      <c r="G84" s="310"/>
      <c r="H84" s="310"/>
      <c r="I84" s="310"/>
      <c r="J84" s="159"/>
      <c r="L84" s="159"/>
      <c r="M84" s="713" t="s">
        <v>365</v>
      </c>
      <c r="N84" s="310"/>
      <c r="O84" s="310"/>
      <c r="P84" s="310"/>
      <c r="Q84" s="310"/>
    </row>
    <row r="85" spans="2:22" ht="15" hidden="1" customHeight="1" outlineLevel="1">
      <c r="D85" s="714">
        <f ca="1">$I$22</f>
        <v>0.22382352948188786</v>
      </c>
      <c r="E85" s="715">
        <f>F85-0.25</f>
        <v>1.5</v>
      </c>
      <c r="F85" s="715">
        <f>G85-0.25</f>
        <v>1.75</v>
      </c>
      <c r="G85" s="715">
        <f>Transaction!I11</f>
        <v>2</v>
      </c>
      <c r="H85" s="715">
        <f>+G85+0.25</f>
        <v>2.25</v>
      </c>
      <c r="I85" s="715">
        <f>+H85+0.25</f>
        <v>2.5</v>
      </c>
      <c r="J85" s="300"/>
      <c r="K85" s="301"/>
      <c r="L85" s="716">
        <f ca="1">$O$22</f>
        <v>2.7468460455819188</v>
      </c>
      <c r="M85" s="715">
        <f>E85</f>
        <v>1.5</v>
      </c>
      <c r="N85" s="715">
        <f>F85</f>
        <v>1.75</v>
      </c>
      <c r="O85" s="715">
        <f>G85</f>
        <v>2</v>
      </c>
      <c r="P85" s="715">
        <f>H85</f>
        <v>2.25</v>
      </c>
      <c r="Q85" s="715">
        <f>I85</f>
        <v>2.5</v>
      </c>
    </row>
    <row r="86" spans="2:22" ht="15" hidden="1" customHeight="1" outlineLevel="1">
      <c r="C86" s="826" t="s">
        <v>364</v>
      </c>
      <c r="D86" s="717">
        <f>D87-0.25</f>
        <v>2</v>
      </c>
      <c r="E86" s="718">
        <f t="dataTable" ref="E86:I90" dt2D="1" dtr="1" r1="W80" r2="W79" ca="1"/>
        <v>0.19907934069633487</v>
      </c>
      <c r="F86" s="706">
        <v>0.20432948470115661</v>
      </c>
      <c r="G86" s="706">
        <v>0.2100162565708161</v>
      </c>
      <c r="H86" s="706">
        <v>0.21618463397026064</v>
      </c>
      <c r="I86" s="706">
        <v>0.22293524146080021</v>
      </c>
      <c r="J86" s="159"/>
      <c r="K86" s="826" t="s">
        <v>364</v>
      </c>
      <c r="L86" s="717">
        <f>D86</f>
        <v>2</v>
      </c>
      <c r="M86" s="707">
        <f t="dataTable" ref="M86:Q90" dt2D="1" dtr="1" r1="W80" r2="W79" ca="1"/>
        <v>2.4800225326518293</v>
      </c>
      <c r="N86" s="708">
        <v>2.534823973838304</v>
      </c>
      <c r="O86" s="708">
        <v>2.5952717872044144</v>
      </c>
      <c r="P86" s="708">
        <v>2.6621372432043153</v>
      </c>
      <c r="Q86" s="708">
        <v>2.7368863653454834</v>
      </c>
    </row>
    <row r="87" spans="2:22" ht="15" hidden="1" customHeight="1" outlineLevel="1">
      <c r="C87" s="827"/>
      <c r="D87" s="717">
        <f>D88-0.25</f>
        <v>2.25</v>
      </c>
      <c r="E87" s="706">
        <v>0.20464096665382389</v>
      </c>
      <c r="F87" s="709">
        <v>0.21035404801368721</v>
      </c>
      <c r="G87" s="709">
        <v>0.2165708601474762</v>
      </c>
      <c r="H87" s="709">
        <v>0.22335942387580876</v>
      </c>
      <c r="I87" s="709">
        <v>0.23080005049705507</v>
      </c>
      <c r="J87" s="159"/>
      <c r="K87" s="827"/>
      <c r="L87" s="717">
        <f>D87</f>
        <v>2.25</v>
      </c>
      <c r="M87" s="708">
        <v>2.5381054604966629</v>
      </c>
      <c r="N87" s="710">
        <v>2.5988983391499585</v>
      </c>
      <c r="O87" s="710">
        <v>2.6663693236072472</v>
      </c>
      <c r="P87" s="710">
        <v>2.7416387221227358</v>
      </c>
      <c r="Q87" s="710">
        <v>2.8260810488897454</v>
      </c>
    </row>
    <row r="88" spans="2:22" ht="15" hidden="1" customHeight="1" outlineLevel="1">
      <c r="C88" s="827"/>
      <c r="D88" s="717">
        <f>Transaction!I10</f>
        <v>2.5</v>
      </c>
      <c r="E88" s="706">
        <v>0.21076850295066835</v>
      </c>
      <c r="F88" s="709">
        <v>0.21701509356498716</v>
      </c>
      <c r="G88" s="711">
        <v>0.22382352948188786</v>
      </c>
      <c r="H88" s="709">
        <v>0.23131124377250672</v>
      </c>
      <c r="I88" s="709">
        <v>0.23955709338188169</v>
      </c>
      <c r="J88" s="159"/>
      <c r="K88" s="827"/>
      <c r="L88" s="717">
        <f>D88</f>
        <v>2.5</v>
      </c>
      <c r="M88" s="708">
        <v>2.6033534855534066</v>
      </c>
      <c r="N88" s="710">
        <v>2.6712436321961417</v>
      </c>
      <c r="O88" s="712">
        <v>2.7468460455819188</v>
      </c>
      <c r="P88" s="710">
        <v>2.8319580580939703</v>
      </c>
      <c r="Q88" s="710">
        <v>2.9281155427678138</v>
      </c>
    </row>
    <row r="89" spans="2:22" ht="15" hidden="1" customHeight="1" outlineLevel="1">
      <c r="C89" s="827"/>
      <c r="D89" s="717">
        <f>+D88+0.25</f>
        <v>2.75</v>
      </c>
      <c r="E89" s="706">
        <v>0.21748465895652772</v>
      </c>
      <c r="F89" s="709">
        <v>0.22433573603630069</v>
      </c>
      <c r="G89" s="709">
        <v>0.23187223076820382</v>
      </c>
      <c r="H89" s="709">
        <v>0.24017052054405211</v>
      </c>
      <c r="I89" s="709">
        <v>0.24938545823097227</v>
      </c>
      <c r="J89" s="159"/>
      <c r="K89" s="827"/>
      <c r="L89" s="717">
        <f>D89</f>
        <v>2.75</v>
      </c>
      <c r="M89" s="708">
        <v>2.6764038095661786</v>
      </c>
      <c r="N89" s="710">
        <v>2.7526022180268326</v>
      </c>
      <c r="O89" s="710">
        <v>2.8384185981503633</v>
      </c>
      <c r="P89" s="710">
        <v>2.9353718602451213</v>
      </c>
      <c r="Q89" s="710">
        <v>3.0461210633660398</v>
      </c>
    </row>
    <row r="90" spans="2:22" ht="15" hidden="1" customHeight="1" outlineLevel="1">
      <c r="C90" s="827"/>
      <c r="D90" s="717">
        <f>+D89+0.25</f>
        <v>3</v>
      </c>
      <c r="E90" s="706">
        <v>0.22491469979286197</v>
      </c>
      <c r="F90" s="709">
        <v>0.23250569701194759</v>
      </c>
      <c r="G90" s="709">
        <v>0.24086274504661559</v>
      </c>
      <c r="H90" s="709">
        <v>0.25011312365531924</v>
      </c>
      <c r="I90" s="709">
        <v>0.26041541695594794</v>
      </c>
      <c r="J90" s="159"/>
      <c r="K90" s="827"/>
      <c r="L90" s="717">
        <f>D90</f>
        <v>3</v>
      </c>
      <c r="M90" s="708">
        <v>2.7591201193070201</v>
      </c>
      <c r="N90" s="710">
        <v>2.8457281950316737</v>
      </c>
      <c r="O90" s="710">
        <v>2.9435777111640777</v>
      </c>
      <c r="P90" s="710">
        <v>3.0550068721299146</v>
      </c>
      <c r="Q90" s="710">
        <v>3.1830533570539101</v>
      </c>
    </row>
    <row r="91" spans="2:22" hidden="1" outlineLevel="1">
      <c r="C91" s="297"/>
      <c r="D91" s="298"/>
      <c r="E91" s="160"/>
      <c r="F91" s="160"/>
      <c r="G91" s="160"/>
      <c r="H91" s="160"/>
      <c r="I91" s="146"/>
      <c r="K91" s="297"/>
      <c r="L91" s="299"/>
      <c r="M91" s="161"/>
      <c r="N91" s="161"/>
      <c r="O91" s="161"/>
      <c r="P91" s="161"/>
    </row>
    <row r="92" spans="2:22" ht="15.75" hidden="1" outlineLevel="1">
      <c r="B92"/>
      <c r="C92"/>
      <c r="D92"/>
      <c r="E92"/>
      <c r="F92"/>
      <c r="G92"/>
      <c r="H92"/>
      <c r="I92"/>
      <c r="J92"/>
    </row>
    <row r="93" spans="2:22" hidden="1" outlineLevel="1">
      <c r="C93" s="589"/>
      <c r="D93" s="589"/>
      <c r="E93" s="589"/>
      <c r="F93" s="589"/>
      <c r="G93" s="589"/>
      <c r="H93" s="589"/>
      <c r="I93" s="589"/>
      <c r="J93" s="589"/>
      <c r="K93" s="589"/>
      <c r="L93" s="589"/>
      <c r="M93" s="589"/>
      <c r="N93" s="589"/>
      <c r="O93" s="589"/>
      <c r="P93" s="589"/>
      <c r="Q93" s="589"/>
      <c r="R93" s="589"/>
    </row>
    <row r="94" spans="2:22" collapsed="1">
      <c r="T94" s="386"/>
      <c r="U94" s="405"/>
      <c r="V94" s="458"/>
    </row>
    <row r="95" spans="2:22">
      <c r="T95" s="386"/>
      <c r="U95" s="405"/>
      <c r="V95" s="458"/>
    </row>
    <row r="96" spans="2:22">
      <c r="T96" s="386"/>
      <c r="U96" s="405"/>
      <c r="V96" s="458"/>
    </row>
    <row r="97" spans="2:22">
      <c r="T97" s="386"/>
      <c r="U97" s="405"/>
      <c r="V97" s="458"/>
    </row>
    <row r="98" spans="2:22" s="598" customFormat="1"/>
    <row r="99" spans="2:22" s="598" customFormat="1"/>
    <row r="100" spans="2:22" s="598" customFormat="1" hidden="1" outlineLevel="1"/>
    <row r="101" spans="2:22" s="598" customFormat="1" ht="18.75" hidden="1" outlineLevel="1">
      <c r="D101" s="812" t="s">
        <v>394</v>
      </c>
      <c r="E101" s="813"/>
    </row>
    <row r="102" spans="2:22" s="598" customFormat="1" ht="15.75" hidden="1" outlineLevel="1">
      <c r="D102" s="814"/>
      <c r="E102" s="814"/>
    </row>
    <row r="103" spans="2:22" s="598" customFormat="1" ht="15.75" hidden="1" outlineLevel="1">
      <c r="D103" s="815" t="b">
        <v>1</v>
      </c>
      <c r="E103" s="814"/>
      <c r="G103" s="822"/>
    </row>
    <row r="104" spans="2:22" s="598" customFormat="1" ht="15.75" hidden="1" outlineLevel="1">
      <c r="D104" s="814"/>
      <c r="E104" s="814"/>
    </row>
    <row r="105" spans="2:22" s="598" customFormat="1" ht="15.75" hidden="1" outlineLevel="1">
      <c r="D105" s="816" t="s">
        <v>395</v>
      </c>
      <c r="E105" s="814"/>
    </row>
    <row r="106" spans="2:22" s="598" customFormat="1" ht="15.75" hidden="1" outlineLevel="1">
      <c r="D106" s="815">
        <v>2</v>
      </c>
      <c r="E106" s="814"/>
      <c r="G106" s="822"/>
    </row>
    <row r="107" spans="2:22" s="598" customFormat="1" ht="15.75" hidden="1" outlineLevel="1">
      <c r="D107" s="814"/>
      <c r="E107" s="814"/>
    </row>
    <row r="108" spans="2:22" s="598" customFormat="1" hidden="1" outlineLevel="1"/>
    <row r="109" spans="2:22" s="598" customFormat="1" ht="16.5" hidden="1" outlineLevel="1" thickBot="1">
      <c r="B109"/>
      <c r="C109"/>
      <c r="E109" s="821" t="s">
        <v>415</v>
      </c>
      <c r="F109" s="821" t="s">
        <v>396</v>
      </c>
      <c r="G109" s="821" t="s">
        <v>284</v>
      </c>
      <c r="H109" s="821" t="s">
        <v>283</v>
      </c>
      <c r="I109" s="821" t="s">
        <v>397</v>
      </c>
      <c r="J109" s="821" t="s">
        <v>398</v>
      </c>
      <c r="K109" s="821" t="s">
        <v>399</v>
      </c>
      <c r="L109" s="821" t="s">
        <v>400</v>
      </c>
      <c r="M109" s="821" t="s">
        <v>401</v>
      </c>
      <c r="N109" s="821" t="s">
        <v>402</v>
      </c>
    </row>
    <row r="110" spans="2:22" s="598" customFormat="1" ht="15.75" hidden="1" outlineLevel="1">
      <c r="B110" s="818" t="str">
        <f>Outputs!T56</f>
        <v>Beginning 
Equity</v>
      </c>
      <c r="E110" s="820">
        <f>Outputs!U56/1000</f>
        <v>78.802352960000007</v>
      </c>
      <c r="F110" s="820">
        <f ca="1">IF(OR(LEN(E110)=0,AND(ROW()=ROW($C$110:$C$115),Outputs!$D$103)),J110,"")</f>
        <v>78.802352960000007</v>
      </c>
      <c r="G110" s="820" t="e">
        <f>IF(OR(LEN(E110)=0,AND(ROW()=ROW($C$110:$C$115),Outputs!$D$103),ROW()=ROW($C$110:$C$115)+ROWS($I$110:$I$115)-1),NA(),J110-E110)</f>
        <v>#N/A</v>
      </c>
      <c r="H110" s="820" t="e">
        <f>IF(OR(LEN(E110)=0,AND(ROW()=ROW($C$110:$C$115),Outputs!$D$103),ROW()=ROW($C$110:$C$115)+ROWS($I$110:$I$115)-1),NA(),J110)</f>
        <v>#N/A</v>
      </c>
      <c r="I110" s="820">
        <f t="shared" ref="I110:I115" ca="1" si="0">IF(ROW()=ROW($C$110:$C$115),1.5,IF(ROW()=ROW($C$110:$C$115)+ROWS($I$110:$I$115)-1,NA(),OFFSET(I110,-1,0)+1))</f>
        <v>1.5</v>
      </c>
      <c r="J110" s="820">
        <f ca="1">IF(ROW()=ROW($C$110:$C$115),0,OFFSET(J110,-1,0))+IF(LEN(E110)&gt;0,E110,0)</f>
        <v>78.802352960000007</v>
      </c>
      <c r="K110" s="820" t="e">
        <f>IF(Outputs!$D$106=1,IF(LEN(F110)&gt;0,F110/2,AVERAGE(G110,H110)),NA())</f>
        <v>#N/A</v>
      </c>
      <c r="L110" s="820">
        <f ca="1">IF(OR(Outputs!$D$106=3,AND(Outputs!$D$106=2,OR(AND(LEN(F110)&gt;0,J110&gt;0),AND(LEN(E110)&gt;0,E110&gt;0)))),IF(LEN(F110)&gt;0,MAX(0,J110),MAX(G110,H110)),NA())</f>
        <v>78.802352960000007</v>
      </c>
      <c r="M110" s="820" t="e">
        <f ca="1">IF(Outputs!$D$106=2,IF(LEN(F110)&gt;0,IF(F110&lt;0,F110,NA()),IF(LEN(E110)&gt;0,IF(E110&lt;0,MIN(G110,H110),NA()),NA())),NA())</f>
        <v>#N/A</v>
      </c>
      <c r="N110" s="820">
        <f>IF(LEN(E110)&gt;0,E110,F110)</f>
        <v>78.802352960000007</v>
      </c>
    </row>
    <row r="111" spans="2:22" s="598" customFormat="1" ht="15.75" hidden="1" outlineLevel="1">
      <c r="B111" s="818" t="str">
        <f>Outputs!T57</f>
        <v>Fees</v>
      </c>
      <c r="E111" s="820">
        <f>Outputs!U57/1000</f>
        <v>-4.8791567100000002</v>
      </c>
      <c r="F111" s="820" t="str">
        <f>IF(OR(LEN(E111)=0,AND(ROW()=ROW($C$110:$C$115),Outputs!$D$103)),J111,"")</f>
        <v/>
      </c>
      <c r="G111" s="820">
        <f ca="1">IF(OR(LEN(E111)=0,AND(ROW()=ROW($C$110:$C$115),Outputs!$D$103),ROW()=ROW($C$110:$C$115)+ROWS($I$110:$I$115)-1),NA(),J111-E111)</f>
        <v>78.802352960000007</v>
      </c>
      <c r="H111" s="820">
        <f ca="1">IF(OR(LEN(E111)=0,AND(ROW()=ROW($C$110:$C$115),Outputs!$D$103),ROW()=ROW($C$110:$C$115)+ROWS($I$110:$I$115)-1),NA(),J111)</f>
        <v>73.923196250000004</v>
      </c>
      <c r="I111" s="820">
        <f t="shared" ca="1" si="0"/>
        <v>2.5</v>
      </c>
      <c r="J111" s="820">
        <f ca="1">IF(ROW()=ROW($C$110:$C$115),0,OFFSET(J111,-1,0))+IF(LEN(E111)&gt;0,E111,0)</f>
        <v>73.923196250000004</v>
      </c>
      <c r="K111" s="820" t="e">
        <f>IF(Outputs!$D$106=1,IF(LEN(F111)&gt;0,F111/2,AVERAGE(G111,H111)),NA())</f>
        <v>#N/A</v>
      </c>
      <c r="L111" s="820" t="e">
        <f ca="1">IF(OR(Outputs!$D$106=3,AND(Outputs!$D$106=2,OR(AND(LEN(F111)&gt;0,J111&gt;0),AND(LEN(E111)&gt;0,E111&gt;0)))),IF(LEN(F111)&gt;0,MAX(0,J111),MAX(G111,H111)),NA())</f>
        <v>#N/A</v>
      </c>
      <c r="M111" s="820">
        <f ca="1">IF(Outputs!$D$106=2,IF(LEN(F111)&gt;0,IF(F111&lt;0,F111,NA()),IF(LEN(E111)&gt;0,IF(E111&lt;0,MIN(G111,H111),NA()),NA())),NA())</f>
        <v>73.923196250000004</v>
      </c>
      <c r="N111" s="820">
        <f>IF(LEN(E111)&gt;0,E111,F111)</f>
        <v>-4.8791567100000002</v>
      </c>
    </row>
    <row r="112" spans="2:22" s="598" customFormat="1" ht="15.75" hidden="1" outlineLevel="1">
      <c r="B112" s="818" t="str">
        <f>Outputs!T58</f>
        <v>EBITDA 
Growth</v>
      </c>
      <c r="E112" s="820">
        <f>Outputs!U58/1000</f>
        <v>94.335394577425973</v>
      </c>
      <c r="F112" s="820" t="str">
        <f>IF(OR(LEN(E112)=0,AND(ROW()=ROW($C$110:$C$115),Outputs!$D$103)),J112,"")</f>
        <v/>
      </c>
      <c r="G112" s="820">
        <f ca="1">IF(OR(LEN(E112)=0,AND(ROW()=ROW($C$110:$C$115),Outputs!$D$103),ROW()=ROW($C$110:$C$115)+ROWS($I$110:$I$115)-1),NA(),J112-E112)</f>
        <v>73.92319624999999</v>
      </c>
      <c r="H112" s="820">
        <f ca="1">IF(OR(LEN(E112)=0,AND(ROW()=ROW($C$110:$C$115),Outputs!$D$103),ROW()=ROW($C$110:$C$115)+ROWS($I$110:$I$115)-1),NA(),J112)</f>
        <v>168.25859082742596</v>
      </c>
      <c r="I112" s="820">
        <f t="shared" ca="1" si="0"/>
        <v>3.5</v>
      </c>
      <c r="J112" s="820">
        <f ca="1">IF(ROW()=ROW($C$110:$C$115),0,OFFSET(J112,-1,0))+IF(LEN(E112)&gt;0,E112,0)</f>
        <v>168.25859082742596</v>
      </c>
      <c r="K112" s="820" t="e">
        <f>IF(Outputs!$D$106=1,IF(LEN(F112)&gt;0,F112/2,AVERAGE(G112,H112)),NA())</f>
        <v>#N/A</v>
      </c>
      <c r="L112" s="820">
        <f ca="1">IF(OR(Outputs!$D$106=3,AND(Outputs!$D$106=2,OR(AND(LEN(F112)&gt;0,J112&gt;0),AND(LEN(E112)&gt;0,E112&gt;0)))),IF(LEN(F112)&gt;0,MAX(0,J112),MAX(G112,H112)),NA())</f>
        <v>168.25859082742596</v>
      </c>
      <c r="M112" s="820" t="e">
        <f>IF(Outputs!$D$106=2,IF(LEN(F112)&gt;0,IF(F112&lt;0,F112,NA()),IF(LEN(E112)&gt;0,IF(E112&lt;0,MIN(G112,H112),NA()),NA())),NA())</f>
        <v>#N/A</v>
      </c>
      <c r="N112" s="820">
        <f>IF(LEN(E112)&gt;0,E112,F112)</f>
        <v>94.335394577425973</v>
      </c>
    </row>
    <row r="113" spans="2:14" s="598" customFormat="1" ht="15.75" hidden="1" outlineLevel="1">
      <c r="B113" s="818" t="str">
        <f>Outputs!T59</f>
        <v>Multiple 
Expansion</v>
      </c>
      <c r="E113" s="820">
        <f>Outputs!U59/1000</f>
        <v>0</v>
      </c>
      <c r="F113" s="820" t="str">
        <f>IF(OR(LEN(E113)=0,AND(ROW()=ROW($C$110:$C$115),Outputs!$D$103)),J113,"")</f>
        <v/>
      </c>
      <c r="G113" s="820">
        <f ca="1">IF(OR(LEN(E113)=0,AND(ROW()=ROW($C$110:$C$115),Outputs!$D$103),ROW()=ROW($C$110:$C$115)+ROWS($I$110:$I$115)-1),NA(),J113-E113)</f>
        <v>168.25859082742596</v>
      </c>
      <c r="H113" s="820">
        <f ca="1">IF(OR(LEN(E113)=0,AND(ROW()=ROW($C$110:$C$115),Outputs!$D$103),ROW()=ROW($C$110:$C$115)+ROWS($I$110:$I$115)-1),NA(),J113)</f>
        <v>168.25859082742596</v>
      </c>
      <c r="I113" s="820">
        <f t="shared" ca="1" si="0"/>
        <v>4.5</v>
      </c>
      <c r="J113" s="820">
        <f ca="1">IF(ROW()=ROW($C$110:$C$115),0,OFFSET(J113,-1,0))+IF(LEN(E113)&gt;0,E113,0)</f>
        <v>168.25859082742596</v>
      </c>
      <c r="K113" s="820" t="e">
        <f>IF(Outputs!$D$106=1,IF(LEN(F113)&gt;0,F113/2,AVERAGE(G113,H113)),NA())</f>
        <v>#N/A</v>
      </c>
      <c r="L113" s="820" t="e">
        <f ca="1">IF(OR(Outputs!$D$106=3,AND(Outputs!$D$106=2,OR(AND(LEN(F113)&gt;0,J113&gt;0),AND(LEN(E113)&gt;0,E113&gt;0)))),IF(LEN(F113)&gt;0,MAX(0,J113),MAX(G113,H113)),NA())</f>
        <v>#N/A</v>
      </c>
      <c r="M113" s="820" t="e">
        <f>IF(Outputs!$D$106=2,IF(LEN(F113)&gt;0,IF(F113&lt;0,F113,NA()),IF(LEN(E113)&gt;0,IF(E113&lt;0,MIN(G113,H113),NA()),NA())),NA())</f>
        <v>#N/A</v>
      </c>
      <c r="N113" s="820">
        <f>IF(LEN(E113)&gt;0,E113,F113)</f>
        <v>0</v>
      </c>
    </row>
    <row r="114" spans="2:14" s="598" customFormat="1" ht="15.75" hidden="1" outlineLevel="1">
      <c r="B114" s="818" t="str">
        <f>Outputs!T60</f>
        <v>Net Debt 
Paydown</v>
      </c>
      <c r="E114" s="820">
        <f ca="1">Outputs!U60/1000</f>
        <v>48.199340783300677</v>
      </c>
      <c r="F114" s="820" t="str">
        <f ca="1">IF(OR(LEN(E114)=0,AND(ROW()=ROW($C$110:$C$115),Outputs!$D$103)),J114,"")</f>
        <v/>
      </c>
      <c r="G114" s="820">
        <f ca="1">IF(OR(LEN(E114)=0,AND(ROW()=ROW($C$110:$C$115),Outputs!$D$103),ROW()=ROW($C$110:$C$115)+ROWS($I$110:$I$115)-1),NA(),J114-E114)</f>
        <v>168.25859082742596</v>
      </c>
      <c r="H114" s="820">
        <f ca="1">IF(OR(LEN(E114)=0,AND(ROW()=ROW($C$110:$C$115),Outputs!$D$103),ROW()=ROW($C$110:$C$115)+ROWS($I$110:$I$115)-1),NA(),J114)</f>
        <v>216.45793161072663</v>
      </c>
      <c r="I114" s="820">
        <f t="shared" ca="1" si="0"/>
        <v>5.5</v>
      </c>
      <c r="J114" s="820">
        <f ca="1">IF(ROW()=ROW($C$110:$C$115),0,OFFSET(J114,-1,0))+IF(LEN(E114)&gt;0,E114,0)</f>
        <v>216.45793161072663</v>
      </c>
      <c r="K114" s="820" t="e">
        <f>IF(Outputs!$D$106=1,IF(LEN(F114)&gt;0,F114/2,AVERAGE(G114,H114)),NA())</f>
        <v>#N/A</v>
      </c>
      <c r="L114" s="820">
        <f ca="1">IF(OR(Outputs!$D$106=3,AND(Outputs!$D$106=2,OR(AND(LEN(F114)&gt;0,J114&gt;0),AND(LEN(E114)&gt;0,E114&gt;0)))),IF(LEN(F114)&gt;0,MAX(0,J114),MAX(G114,H114)),NA())</f>
        <v>216.45793161072663</v>
      </c>
      <c r="M114" s="820" t="e">
        <f ca="1">IF(Outputs!$D$106=2,IF(LEN(F114)&gt;0,IF(F114&lt;0,F114,NA()),IF(LEN(E114)&gt;0,IF(E114&lt;0,MIN(G114,H114),NA()),NA())),NA())</f>
        <v>#N/A</v>
      </c>
      <c r="N114" s="820">
        <f ca="1">IF(LEN(E114)&gt;0,E114,F114)</f>
        <v>48.199340783300677</v>
      </c>
    </row>
    <row r="115" spans="2:14" s="598" customFormat="1" ht="15.75" hidden="1" outlineLevel="1">
      <c r="B115" s="818" t="str">
        <f>Outputs!T61</f>
        <v>Ending Equity</v>
      </c>
      <c r="C115" s="817"/>
      <c r="E115" s="819"/>
      <c r="F115" s="820">
        <f ca="1">IF(OR(LEN(C115)=0,AND(ROW()=ROW($C$110:$C$115),Outputs!$D$103)),J115,"")</f>
        <v>216.45793161072663</v>
      </c>
      <c r="G115" s="820" t="e">
        <f>IF(OR(LEN(C115)=0,AND(ROW()=ROW($C$110:$C$115),Outputs!$D$103),ROW()=ROW($C$110:$C$115)+ROWS($I$110:$I$115)-1),NA(),J115-C115)</f>
        <v>#N/A</v>
      </c>
      <c r="H115" s="820" t="e">
        <f>IF(OR(LEN(C115)=0,AND(ROW()=ROW($C$110:$C$115),Outputs!$D$103),ROW()=ROW($C$110:$C$115)+ROWS($I$110:$I$115)-1),NA(),J115)</f>
        <v>#N/A</v>
      </c>
      <c r="I115" s="820" t="e">
        <f t="shared" ca="1" si="0"/>
        <v>#N/A</v>
      </c>
      <c r="J115" s="820">
        <f ca="1">IF(ROW()=ROW($C$110:$C$115),0,OFFSET(J115,-1,0))+IF(LEN(C115)&gt;0,C115,0)</f>
        <v>216.45793161072663</v>
      </c>
      <c r="K115" s="820" t="e">
        <f>IF(Outputs!$D$106=1,IF(LEN(F115)&gt;0,F115/2,AVERAGE(G115,H115)),NA())</f>
        <v>#N/A</v>
      </c>
      <c r="L115" s="820">
        <f ca="1">IF(OR(Outputs!$D$106=3,AND(Outputs!$D$106=2,OR(AND(LEN(F115)&gt;0,J115&gt;0),AND(LEN(C115)&gt;0,C115&gt;0)))),IF(LEN(F115)&gt;0,MAX(0,J115),MAX(G115,H115)),NA())</f>
        <v>216.45793161072663</v>
      </c>
      <c r="M115" s="820" t="e">
        <f ca="1">IF(Outputs!$D$106=2,IF(LEN(F115)&gt;0,IF(F115&lt;0,F115,NA()),IF(LEN(C115)&gt;0,IF(C115&lt;0,MIN(G115,H115),NA()),NA())),NA())</f>
        <v>#N/A</v>
      </c>
      <c r="N115" s="820">
        <f ca="1">IF(LEN(C115)&gt;0,C115,F115)</f>
        <v>216.45793161072663</v>
      </c>
    </row>
    <row r="116" spans="2:14" s="598" customFormat="1" hidden="1" outlineLevel="1"/>
    <row r="117" spans="2:14" s="598" customFormat="1" collapsed="1"/>
    <row r="118" spans="2:14" s="598" customFormat="1"/>
  </sheetData>
  <mergeCells count="4">
    <mergeCell ref="C76:C80"/>
    <mergeCell ref="C86:C90"/>
    <mergeCell ref="K86:K90"/>
    <mergeCell ref="K76:K80"/>
  </mergeCells>
  <conditionalFormatting sqref="G2:J2">
    <cfRule type="containsText" dxfId="33" priority="2" operator="containsText" text="OK">
      <formula>NOT(ISERROR(SEARCH("OK",G2)))</formula>
    </cfRule>
    <cfRule type="containsText" dxfId="32" priority="3" operator="containsText" text="ERROR">
      <formula>NOT(ISERROR(SEARCH("ERROR",G2)))</formula>
    </cfRule>
  </conditionalFormatting>
  <conditionalFormatting sqref="U63">
    <cfRule type="expression" dxfId="31" priority="1">
      <formula>U63=1</formula>
    </cfRule>
  </conditionalFormatting>
  <printOptions horizontalCentered="1"/>
  <pageMargins left="0.11811023622047245" right="0.11811023622047245" top="0.11811023622047245" bottom="0.11811023622047245" header="0.11811023622047245" footer="0.11811023622047245"/>
  <pageSetup scale="85" fitToHeight="0" orientation="landscape" r:id="rId1"/>
  <headerFooter>
    <oddFooter>&amp;L&amp;"Open Sans,Bold"&amp;K002060Leveraged Buyout Modeling&amp;C&amp;"Open Sans,Bold"&amp;K002060Page &amp;P of &amp;N&amp;R&amp;"Open Sans,Regular"&amp;G</oddFooter>
  </headerFooter>
  <drawing r:id="rId2"/>
  <legacyDrawing r:id="rId3"/>
  <legacyDrawingHF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5" name="Check Box 1">
              <controlPr defaultSize="0" autoFill="0" autoLine="0" autoPict="0">
                <anchor moveWithCells="1" sizeWithCells="1">
                  <from>
                    <xdr:col>3</xdr:col>
                    <xdr:colOff>0</xdr:colOff>
                    <xdr:row>102</xdr:row>
                    <xdr:rowOff>0</xdr:rowOff>
                  </from>
                  <to>
                    <xdr:col>4</xdr:col>
                    <xdr:colOff>495300</xdr:colOff>
                    <xdr:row>103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6" name="Drop Down 2">
              <controlPr defaultSize="0" autoFill="0" autoPict="0">
                <anchor moveWithCells="1" sizeWithCells="1">
                  <from>
                    <xdr:col>3</xdr:col>
                    <xdr:colOff>9525</xdr:colOff>
                    <xdr:row>105</xdr:row>
                    <xdr:rowOff>9525</xdr:rowOff>
                  </from>
                  <to>
                    <xdr:col>4</xdr:col>
                    <xdr:colOff>581025</xdr:colOff>
                    <xdr:row>106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4ADDF-F37F-4DFC-A3D5-C5292E4592E6}">
  <sheetPr codeName="Sheet3">
    <pageSetUpPr autoPageBreaks="0"/>
  </sheetPr>
  <dimension ref="A1:O96"/>
  <sheetViews>
    <sheetView showGridLines="0" zoomScaleNormal="100" zoomScaleSheetLayoutView="90" workbookViewId="0">
      <pane ySplit="1" topLeftCell="A2" activePane="bottomLeft" state="frozen"/>
      <selection pane="bottomLeft"/>
    </sheetView>
  </sheetViews>
  <sheetFormatPr defaultColWidth="8.7109375" defaultRowHeight="15" outlineLevelRow="1"/>
  <cols>
    <col min="1" max="1" width="8.7109375" style="143"/>
    <col min="2" max="2" width="29.5703125" style="143" customWidth="1"/>
    <col min="3" max="13" width="10.5703125" style="143" customWidth="1"/>
    <col min="14" max="14" width="11.85546875" style="143" customWidth="1"/>
    <col min="15" max="15" width="1.7109375" style="143" customWidth="1"/>
    <col min="16" max="16384" width="8.7109375" style="143"/>
  </cols>
  <sheetData>
    <row r="1" spans="1:15" s="137" customFormat="1" ht="50.1" customHeight="1">
      <c r="B1" s="134"/>
      <c r="C1" s="134"/>
      <c r="D1" s="134"/>
      <c r="E1" s="134"/>
      <c r="F1" s="135"/>
      <c r="G1" s="135"/>
      <c r="H1" s="135"/>
      <c r="I1" s="136"/>
      <c r="J1" s="136"/>
      <c r="K1" s="134"/>
      <c r="L1" s="134"/>
      <c r="M1" s="134"/>
      <c r="N1" s="186"/>
    </row>
    <row r="3" spans="1:15" s="162" customFormat="1" ht="15" customHeight="1">
      <c r="A3" s="162" t="s">
        <v>91</v>
      </c>
      <c r="B3" s="528" t="s">
        <v>98</v>
      </c>
      <c r="C3" s="164"/>
      <c r="D3" s="170"/>
      <c r="E3" s="528" t="s">
        <v>174</v>
      </c>
      <c r="F3" s="163"/>
      <c r="G3" s="163"/>
      <c r="H3" s="163"/>
      <c r="I3" s="164"/>
      <c r="J3" s="165"/>
      <c r="K3" s="165"/>
      <c r="L3" s="166"/>
      <c r="M3" s="166"/>
      <c r="N3" s="166"/>
      <c r="O3" s="170"/>
    </row>
    <row r="4" spans="1:15" s="162" customFormat="1" ht="15" hidden="1" customHeight="1" outlineLevel="1">
      <c r="B4" s="167"/>
      <c r="C4" s="168"/>
      <c r="D4" s="170"/>
      <c r="H4" s="167"/>
      <c r="I4" s="168"/>
      <c r="J4" s="169"/>
      <c r="K4" s="169"/>
      <c r="L4" s="170"/>
      <c r="M4" s="170"/>
      <c r="N4" s="170"/>
      <c r="O4" s="170"/>
    </row>
    <row r="5" spans="1:15" s="162" customFormat="1" ht="15" hidden="1" customHeight="1" outlineLevel="1">
      <c r="B5" s="531" t="s">
        <v>19</v>
      </c>
      <c r="C5" s="168"/>
      <c r="D5" s="170"/>
      <c r="H5" s="167"/>
      <c r="I5" s="168"/>
      <c r="J5" s="169"/>
      <c r="K5" s="169"/>
      <c r="L5" s="170"/>
      <c r="M5" s="170"/>
      <c r="N5" s="170"/>
      <c r="O5" s="170"/>
    </row>
    <row r="6" spans="1:15" s="162" customFormat="1" ht="15" hidden="1" customHeight="1" outlineLevel="1">
      <c r="H6" s="167"/>
      <c r="I6" s="168"/>
      <c r="J6" s="169"/>
      <c r="K6" s="169"/>
      <c r="L6" s="170"/>
      <c r="M6" s="170"/>
      <c r="N6" s="170"/>
      <c r="O6" s="170"/>
    </row>
    <row r="7" spans="1:15" ht="15" hidden="1" customHeight="1" outlineLevel="1" thickBot="1">
      <c r="B7" s="618" t="s">
        <v>180</v>
      </c>
      <c r="E7" s="618" t="s">
        <v>101</v>
      </c>
      <c r="H7" s="171"/>
      <c r="I7" s="312" t="s">
        <v>172</v>
      </c>
      <c r="J7" s="312" t="s">
        <v>173</v>
      </c>
      <c r="K7" s="146"/>
      <c r="L7" s="618" t="s">
        <v>102</v>
      </c>
      <c r="M7" s="332"/>
      <c r="N7" s="312" t="s">
        <v>173</v>
      </c>
    </row>
    <row r="8" spans="1:15" ht="15" hidden="1" customHeight="1" outlineLevel="1">
      <c r="B8" s="523" t="s">
        <v>119</v>
      </c>
      <c r="C8" s="568">
        <v>10</v>
      </c>
      <c r="E8" s="619" t="s">
        <v>103</v>
      </c>
      <c r="F8" s="555"/>
      <c r="G8" s="555"/>
      <c r="H8" s="555"/>
      <c r="I8" s="721">
        <f>+J8/$C$15</f>
        <v>0.8161258191794899</v>
      </c>
      <c r="J8" s="722">
        <f>MAX(C24-I29,0)</f>
        <v>15000</v>
      </c>
      <c r="K8" s="566"/>
      <c r="L8" s="513" t="s">
        <v>107</v>
      </c>
      <c r="M8" s="272"/>
      <c r="N8" s="722">
        <f>C25</f>
        <v>145795.19</v>
      </c>
    </row>
    <row r="9" spans="1:15" ht="15" hidden="1" customHeight="1" outlineLevel="1">
      <c r="B9" s="524" t="s">
        <v>120</v>
      </c>
      <c r="C9" s="569">
        <v>10</v>
      </c>
      <c r="E9" s="512" t="s">
        <v>375</v>
      </c>
      <c r="I9" s="274">
        <v>0.25</v>
      </c>
      <c r="J9" s="173">
        <f>$C$15*I9</f>
        <v>4594.8797500000001</v>
      </c>
      <c r="K9" s="566"/>
      <c r="L9" s="514" t="s">
        <v>376</v>
      </c>
      <c r="N9" s="180">
        <f>-C22</f>
        <v>1000</v>
      </c>
    </row>
    <row r="10" spans="1:15" ht="15" hidden="1" customHeight="1" outlineLevel="1">
      <c r="E10" s="527" t="s">
        <v>326</v>
      </c>
      <c r="I10" s="274">
        <v>2.5</v>
      </c>
      <c r="J10" s="173">
        <f>$C$15*Outputs!W79</f>
        <v>45948.797500000001</v>
      </c>
      <c r="K10" s="566"/>
      <c r="L10" s="514" t="s">
        <v>377</v>
      </c>
      <c r="M10" s="159"/>
      <c r="N10" s="180">
        <f>-C23</f>
        <v>57000</v>
      </c>
    </row>
    <row r="11" spans="1:15" ht="15" hidden="1" customHeight="1" outlineLevel="1">
      <c r="E11" s="527" t="s">
        <v>327</v>
      </c>
      <c r="I11" s="274">
        <v>2</v>
      </c>
      <c r="J11" s="173">
        <f>$C$15*Outputs!W80</f>
        <v>36759.038</v>
      </c>
      <c r="K11" s="566"/>
      <c r="L11" s="514" t="s">
        <v>161</v>
      </c>
      <c r="M11" s="159"/>
      <c r="N11" s="173">
        <f>N27</f>
        <v>4879.1567100000002</v>
      </c>
    </row>
    <row r="12" spans="1:15" ht="15" hidden="1" customHeight="1" outlineLevel="1">
      <c r="E12" s="527" t="s">
        <v>328</v>
      </c>
      <c r="I12" s="274">
        <v>1.5</v>
      </c>
      <c r="J12" s="173">
        <f>$C$15*I12</f>
        <v>27569.2785</v>
      </c>
      <c r="K12" s="566"/>
      <c r="L12" s="519" t="s">
        <v>128</v>
      </c>
      <c r="M12" s="189"/>
      <c r="N12" s="726">
        <f>SUM(N8:N11)</f>
        <v>208674.34671000001</v>
      </c>
    </row>
    <row r="13" spans="1:15" ht="15" hidden="1" customHeight="1" outlineLevel="1" thickBot="1">
      <c r="B13" s="463" t="s">
        <v>100</v>
      </c>
      <c r="C13" s="147"/>
      <c r="E13" s="518" t="s">
        <v>405</v>
      </c>
      <c r="H13" s="636">
        <v>0.03</v>
      </c>
      <c r="I13" s="723">
        <f>+J13/$C$15</f>
        <v>0.23797443774235877</v>
      </c>
      <c r="J13" s="173">
        <f>+H13*C25</f>
        <v>4373.8557000000001</v>
      </c>
      <c r="K13" s="566"/>
      <c r="L13" s="519"/>
      <c r="M13" s="189"/>
      <c r="N13" s="414"/>
    </row>
    <row r="14" spans="1:15" ht="15" hidden="1" customHeight="1" outlineLevel="1">
      <c r="B14" s="518" t="s">
        <v>119</v>
      </c>
      <c r="C14" s="719">
        <f>Outputs!W77</f>
        <v>10</v>
      </c>
      <c r="E14" s="518" t="s">
        <v>111</v>
      </c>
      <c r="I14" s="724">
        <f>+J14/$C$15</f>
        <v>4.049534553107728</v>
      </c>
      <c r="J14" s="191">
        <f>J15-SUM(J8:J13)</f>
        <v>74428.497260000004</v>
      </c>
      <c r="K14" s="566"/>
    </row>
    <row r="15" spans="1:15" ht="15" hidden="1" customHeight="1" outlineLevel="1">
      <c r="B15" s="515" t="str">
        <f>CONCATENATE(Model!J95," EBITDA for Valuation")</f>
        <v>2022 EBITDA for Valuation</v>
      </c>
      <c r="C15" s="720">
        <f>Model!J107</f>
        <v>18379.519</v>
      </c>
      <c r="E15" s="519" t="s">
        <v>127</v>
      </c>
      <c r="I15" s="725">
        <f>+J15/$C$15</f>
        <v>11.353634810029577</v>
      </c>
      <c r="J15" s="726">
        <f>N12</f>
        <v>208674.34671000001</v>
      </c>
      <c r="K15" s="567"/>
      <c r="L15" s="487"/>
      <c r="N15" s="275"/>
    </row>
    <row r="16" spans="1:15" ht="15" hidden="1" customHeight="1" outlineLevel="1">
      <c r="B16" s="518" t="s">
        <v>100</v>
      </c>
      <c r="C16" s="191">
        <f>C14*C15</f>
        <v>183795.19</v>
      </c>
    </row>
    <row r="17" spans="2:15" ht="15" hidden="1" customHeight="1" outlineLevel="1">
      <c r="C17" s="180"/>
      <c r="E17" s="316" t="s">
        <v>223</v>
      </c>
      <c r="J17" s="591">
        <f>IF(SUM(I10:I12)&gt;C8,1,0)</f>
        <v>0</v>
      </c>
    </row>
    <row r="18" spans="2:15" ht="15" hidden="1" customHeight="1" outlineLevel="1"/>
    <row r="19" spans="2:15" ht="15" hidden="1" customHeight="1" outlineLevel="1"/>
    <row r="20" spans="2:15" ht="15" hidden="1" customHeight="1" outlineLevel="1" thickBot="1">
      <c r="B20" s="463" t="s">
        <v>107</v>
      </c>
      <c r="C20" s="418"/>
      <c r="E20" s="528" t="s">
        <v>162</v>
      </c>
      <c r="F20" s="164"/>
      <c r="G20" s="164"/>
      <c r="H20" s="164"/>
      <c r="I20" s="164"/>
      <c r="J20" s="165"/>
      <c r="K20" s="165"/>
      <c r="L20" s="166"/>
      <c r="M20" s="166"/>
      <c r="N20" s="166"/>
    </row>
    <row r="21" spans="2:15" ht="15" hidden="1" customHeight="1" outlineLevel="1">
      <c r="B21" s="512" t="s">
        <v>100</v>
      </c>
      <c r="C21" s="173">
        <f>C16</f>
        <v>183795.19</v>
      </c>
      <c r="O21" s="170"/>
    </row>
    <row r="22" spans="2:15" ht="15" hidden="1" customHeight="1" outlineLevel="1" thickBot="1">
      <c r="B22" s="512" t="s">
        <v>152</v>
      </c>
      <c r="C22" s="188">
        <v>-1000</v>
      </c>
      <c r="E22" s="463" t="s">
        <v>181</v>
      </c>
      <c r="F22" s="147"/>
      <c r="G22" s="147"/>
      <c r="H22" s="147"/>
      <c r="I22" s="147"/>
      <c r="K22" s="618" t="s">
        <v>161</v>
      </c>
    </row>
    <row r="23" spans="2:15" ht="15" hidden="1" customHeight="1" outlineLevel="1">
      <c r="B23" s="512" t="s">
        <v>153</v>
      </c>
      <c r="C23" s="188">
        <f>-40000-17000-0</f>
        <v>-57000</v>
      </c>
      <c r="E23" s="524" t="s">
        <v>406</v>
      </c>
      <c r="H23" s="337" t="s">
        <v>189</v>
      </c>
      <c r="I23" s="642">
        <v>45291</v>
      </c>
      <c r="K23" s="513" t="s">
        <v>413</v>
      </c>
      <c r="L23" s="555"/>
      <c r="M23" s="555"/>
      <c r="N23" s="722">
        <f>SUM(G56:G59)</f>
        <v>1879.15671</v>
      </c>
    </row>
    <row r="24" spans="2:15" ht="15" hidden="1" customHeight="1" outlineLevel="1">
      <c r="B24" s="518" t="s">
        <v>106</v>
      </c>
      <c r="C24" s="190">
        <v>20000</v>
      </c>
      <c r="E24" s="524" t="s">
        <v>407</v>
      </c>
      <c r="H24" s="337" t="s">
        <v>189</v>
      </c>
      <c r="I24" s="643">
        <f>EDATE(I23,-12)</f>
        <v>44926</v>
      </c>
      <c r="K24" s="514" t="s">
        <v>109</v>
      </c>
      <c r="N24" s="727" t="str">
        <f>G60</f>
        <v>N/A</v>
      </c>
    </row>
    <row r="25" spans="2:15" ht="15" hidden="1" customHeight="1" outlineLevel="1">
      <c r="B25" s="518" t="s">
        <v>107</v>
      </c>
      <c r="C25" s="731">
        <f>SUM(C21:C24)</f>
        <v>145795.19</v>
      </c>
      <c r="E25" s="524" t="s">
        <v>408</v>
      </c>
      <c r="H25" s="337" t="s">
        <v>190</v>
      </c>
      <c r="I25" s="262">
        <f>YEAR(I23)</f>
        <v>2023</v>
      </c>
      <c r="K25" s="514" t="s">
        <v>412</v>
      </c>
      <c r="N25" s="728">
        <v>2000</v>
      </c>
    </row>
    <row r="26" spans="2:15" ht="15" hidden="1" customHeight="1" outlineLevel="1">
      <c r="B26" s="204"/>
      <c r="C26" s="180"/>
      <c r="E26" s="524"/>
      <c r="H26" s="337"/>
      <c r="I26" s="459"/>
      <c r="K26" s="515" t="s">
        <v>392</v>
      </c>
      <c r="N26" s="729">
        <v>1000</v>
      </c>
    </row>
    <row r="27" spans="2:15" ht="15" hidden="1" customHeight="1" outlineLevel="1">
      <c r="B27" s="518" t="s">
        <v>169</v>
      </c>
      <c r="C27" s="732">
        <v>10000</v>
      </c>
      <c r="E27" s="524" t="s">
        <v>1</v>
      </c>
      <c r="H27" s="337" t="s">
        <v>3</v>
      </c>
      <c r="I27" s="273">
        <v>365</v>
      </c>
      <c r="K27" s="515" t="s">
        <v>161</v>
      </c>
      <c r="N27" s="730">
        <f>SUM(N23:N26)</f>
        <v>4879.1567100000002</v>
      </c>
    </row>
    <row r="28" spans="2:15" ht="15" hidden="1" customHeight="1" outlineLevel="1">
      <c r="B28" s="512" t="s">
        <v>216</v>
      </c>
      <c r="C28" s="733">
        <f>C25/C27</f>
        <v>14.579518999999999</v>
      </c>
      <c r="E28" s="524" t="s">
        <v>48</v>
      </c>
      <c r="I28" s="416">
        <v>0.25</v>
      </c>
    </row>
    <row r="29" spans="2:15" ht="15" hidden="1" customHeight="1" outlineLevel="1">
      <c r="E29" s="524" t="s">
        <v>310</v>
      </c>
      <c r="I29" s="273">
        <v>5000</v>
      </c>
    </row>
    <row r="30" spans="2:15" ht="15" hidden="1" customHeight="1" outlineLevel="1">
      <c r="E30" s="204" t="s">
        <v>183</v>
      </c>
      <c r="I30" s="416">
        <v>1.4999999999999999E-2</v>
      </c>
      <c r="K30"/>
      <c r="L30"/>
      <c r="M30"/>
      <c r="N30"/>
    </row>
    <row r="31" spans="2:15" ht="15" hidden="1" customHeight="1" outlineLevel="1"/>
    <row r="32" spans="2:15" ht="15" hidden="1" customHeight="1" outlineLevel="1"/>
    <row r="33" spans="2:14" ht="15" hidden="1" customHeight="1" outlineLevel="1" thickBot="1">
      <c r="B33" s="463" t="s">
        <v>110</v>
      </c>
      <c r="C33" s="147"/>
      <c r="E33" s="488" t="s">
        <v>218</v>
      </c>
      <c r="F33" s="496"/>
      <c r="G33" s="496"/>
      <c r="H33" s="496"/>
      <c r="I33" s="496"/>
      <c r="J33" s="490"/>
      <c r="K33" s="488" t="s">
        <v>219</v>
      </c>
      <c r="L33" s="496"/>
      <c r="M33" s="496"/>
      <c r="N33" s="496"/>
    </row>
    <row r="34" spans="2:14" ht="15" hidden="1" customHeight="1" outlineLevel="1">
      <c r="B34" s="512" t="s">
        <v>179</v>
      </c>
      <c r="C34" s="319">
        <v>11</v>
      </c>
      <c r="E34" s="532" t="s">
        <v>67</v>
      </c>
      <c r="F34" s="491"/>
      <c r="G34" s="491"/>
      <c r="H34" s="647"/>
      <c r="I34" s="502">
        <v>0.5</v>
      </c>
      <c r="J34" s="360"/>
      <c r="K34" s="532" t="s">
        <v>68</v>
      </c>
      <c r="L34" s="491"/>
      <c r="M34" s="491"/>
      <c r="N34" s="502">
        <v>0.5</v>
      </c>
    </row>
    <row r="35" spans="2:14" ht="15" hidden="1" customHeight="1" outlineLevel="1">
      <c r="B35" s="512" t="s">
        <v>110</v>
      </c>
      <c r="C35" s="417">
        <f>C28/C34-1</f>
        <v>0.32541081818181805</v>
      </c>
      <c r="E35" s="204" t="str">
        <f>CONCATENATE("End of ",$I$25-1," Book Basis for PP&amp;E")</f>
        <v>End of 2022 Book Basis for PP&amp;E</v>
      </c>
      <c r="I35" s="188">
        <v>65014</v>
      </c>
      <c r="J35" s="497"/>
      <c r="K35" s="532" t="str">
        <f>CONCATENATE("End of ",$I$25-1," Tax Basis for PP&amp;E")</f>
        <v>End of 2022 Tax Basis for PP&amp;E</v>
      </c>
      <c r="N35" s="273">
        <v>39211</v>
      </c>
    </row>
    <row r="36" spans="2:14" ht="15" hidden="1" customHeight="1" outlineLevel="1">
      <c r="B36" s="512"/>
      <c r="C36" s="417"/>
      <c r="E36" s="532" t="s">
        <v>70</v>
      </c>
      <c r="F36" s="491"/>
      <c r="G36" s="491"/>
      <c r="H36" s="489" t="s">
        <v>217</v>
      </c>
      <c r="I36" s="493">
        <v>16</v>
      </c>
      <c r="J36" s="492"/>
      <c r="K36" s="532" t="str">
        <f>CONCATENATE("End of ",$I$25-1," Tax Losses")</f>
        <v>End of 2022 Tax Losses</v>
      </c>
      <c r="L36" s="491"/>
      <c r="M36" s="491"/>
      <c r="N36" s="273">
        <v>24128</v>
      </c>
    </row>
    <row r="37" spans="2:14" ht="15" hidden="1" customHeight="1" outlineLevel="1">
      <c r="B37" s="512"/>
      <c r="C37" s="417"/>
      <c r="E37" s="532" t="s">
        <v>71</v>
      </c>
      <c r="F37" s="491"/>
      <c r="G37" s="491"/>
      <c r="H37" s="489" t="s">
        <v>217</v>
      </c>
      <c r="I37" s="493">
        <v>20</v>
      </c>
      <c r="K37" s="532" t="s">
        <v>53</v>
      </c>
      <c r="L37" s="498"/>
      <c r="M37" s="498"/>
      <c r="N37" s="500">
        <v>0.15</v>
      </c>
    </row>
    <row r="38" spans="2:14" ht="15" hidden="1" customHeight="1" outlineLevel="1">
      <c r="B38" s="512"/>
      <c r="C38" s="417"/>
      <c r="E38" s="532" t="s">
        <v>9</v>
      </c>
      <c r="H38" s="337" t="s">
        <v>10</v>
      </c>
      <c r="I38" s="273">
        <v>1550</v>
      </c>
    </row>
    <row r="39" spans="2:14" ht="15" hidden="1" customHeight="1" outlineLevel="1">
      <c r="B39" s="204"/>
    </row>
    <row r="40" spans="2:14" ht="15" hidden="1" customHeight="1" outlineLevel="1">
      <c r="B40" s="204"/>
      <c r="E40" s="620"/>
      <c r="F40" s="620"/>
      <c r="G40" s="620"/>
      <c r="H40" s="620"/>
      <c r="I40" s="620"/>
      <c r="J40" s="620"/>
      <c r="K40" s="620"/>
      <c r="L40" s="620"/>
      <c r="M40" s="620"/>
      <c r="N40" s="620"/>
    </row>
    <row r="41" spans="2:14" ht="15" hidden="1" customHeight="1" outlineLevel="1">
      <c r="B41" s="622"/>
      <c r="C41" s="621"/>
    </row>
    <row r="42" spans="2:14" ht="15" hidden="1" customHeight="1" outlineLevel="1">
      <c r="B42" s="204"/>
      <c r="N42" s="536" t="s">
        <v>404</v>
      </c>
    </row>
    <row r="43" spans="2:14" ht="15" hidden="1" customHeight="1" outlineLevel="1">
      <c r="B43" s="204"/>
      <c r="N43" s="533" t="s">
        <v>309</v>
      </c>
    </row>
    <row r="44" spans="2:14" ht="15" hidden="1" customHeight="1" outlineLevel="1">
      <c r="B44" s="204"/>
      <c r="N44" s="634" t="s">
        <v>297</v>
      </c>
    </row>
    <row r="45" spans="2:14" ht="15" hidden="1" customHeight="1" outlineLevel="1">
      <c r="N45" s="644" t="s">
        <v>298</v>
      </c>
    </row>
    <row r="46" spans="2:14" ht="15" hidden="1" customHeight="1" outlineLevel="1">
      <c r="N46" s="565" t="s">
        <v>414</v>
      </c>
    </row>
    <row r="47" spans="2:14" ht="15" hidden="1" customHeight="1" outlineLevel="1">
      <c r="N47" s="581" t="s">
        <v>296</v>
      </c>
    </row>
    <row r="48" spans="2:14" ht="15" hidden="1" customHeight="1" outlineLevel="1">
      <c r="B48" s="202"/>
      <c r="C48" s="202"/>
      <c r="D48" s="202"/>
      <c r="E48" s="202"/>
      <c r="F48" s="202"/>
      <c r="G48" s="444"/>
      <c r="H48" s="202"/>
      <c r="I48" s="202"/>
      <c r="J48" s="202"/>
      <c r="K48" s="479"/>
      <c r="L48" s="202"/>
      <c r="M48" s="202"/>
      <c r="N48" s="202"/>
    </row>
    <row r="49" spans="1:15" collapsed="1">
      <c r="G49" s="150"/>
      <c r="H49" s="262"/>
      <c r="I49" s="262"/>
      <c r="J49" s="191"/>
      <c r="K49" s="442"/>
      <c r="L49" s="443"/>
    </row>
    <row r="50" spans="1:15" ht="15" customHeight="1">
      <c r="A50" s="143" t="s">
        <v>91</v>
      </c>
      <c r="B50" s="528" t="s">
        <v>122</v>
      </c>
      <c r="C50" s="164"/>
      <c r="D50" s="165"/>
      <c r="E50" s="165"/>
      <c r="F50" s="166"/>
      <c r="G50" s="163"/>
      <c r="H50" s="164"/>
      <c r="I50" s="165"/>
      <c r="J50" s="165"/>
      <c r="K50" s="166"/>
      <c r="L50" s="163"/>
      <c r="M50" s="164"/>
      <c r="N50" s="165"/>
      <c r="O50" s="169"/>
    </row>
    <row r="51" spans="1:15" s="162" customFormat="1" ht="15" hidden="1" customHeight="1" outlineLevel="1">
      <c r="B51" s="167"/>
      <c r="C51" s="168"/>
      <c r="D51" s="169"/>
      <c r="E51" s="169"/>
      <c r="F51" s="176"/>
      <c r="G51" s="176"/>
      <c r="H51" s="176"/>
      <c r="I51" s="176"/>
      <c r="J51" s="176"/>
      <c r="K51" s="176"/>
      <c r="L51" s="176"/>
      <c r="M51" s="176"/>
    </row>
    <row r="52" spans="1:15" s="162" customFormat="1" ht="15" hidden="1" customHeight="1" outlineLevel="1">
      <c r="B52" s="531" t="s">
        <v>97</v>
      </c>
      <c r="C52" s="169"/>
      <c r="D52" s="177"/>
      <c r="E52" s="177"/>
      <c r="F52" s="177"/>
      <c r="G52" s="177"/>
      <c r="H52" s="564"/>
      <c r="I52" s="178"/>
      <c r="J52" s="178"/>
    </row>
    <row r="53" spans="1:15" ht="15" hidden="1" customHeight="1" outlineLevel="1">
      <c r="B53" s="181"/>
      <c r="C53" s="183"/>
      <c r="D53" s="182"/>
      <c r="E53" s="564"/>
      <c r="F53" s="609" t="s">
        <v>278</v>
      </c>
      <c r="G53" s="609" t="s">
        <v>278</v>
      </c>
      <c r="H53" s="609" t="s">
        <v>277</v>
      </c>
      <c r="I53" s="609" t="s">
        <v>249</v>
      </c>
      <c r="J53" s="609" t="s">
        <v>250</v>
      </c>
    </row>
    <row r="54" spans="1:15" ht="17.25" hidden="1" customHeight="1" outlineLevel="1" thickBot="1">
      <c r="B54" s="464" t="s">
        <v>123</v>
      </c>
      <c r="C54" s="465" t="s">
        <v>173</v>
      </c>
      <c r="D54" s="465" t="s">
        <v>175</v>
      </c>
      <c r="E54" s="607" t="s">
        <v>276</v>
      </c>
      <c r="F54" s="607" t="s">
        <v>280</v>
      </c>
      <c r="G54" s="607" t="s">
        <v>258</v>
      </c>
      <c r="H54" s="607" t="s">
        <v>258</v>
      </c>
      <c r="I54" s="607" t="s">
        <v>124</v>
      </c>
      <c r="J54" s="607" t="s">
        <v>124</v>
      </c>
    </row>
    <row r="55" spans="1:15" ht="15" hidden="1" customHeight="1" outlineLevel="1">
      <c r="B55" s="525" t="s">
        <v>103</v>
      </c>
      <c r="C55" s="184">
        <f>J8</f>
        <v>15000</v>
      </c>
      <c r="D55" s="317">
        <f>C55/$C$61</f>
        <v>7.188233837312967E-2</v>
      </c>
      <c r="E55" s="603" t="s">
        <v>125</v>
      </c>
      <c r="F55" s="603" t="s">
        <v>125</v>
      </c>
      <c r="G55" s="603" t="s">
        <v>125</v>
      </c>
      <c r="H55" s="603" t="s">
        <v>125</v>
      </c>
      <c r="I55" s="603" t="s">
        <v>125</v>
      </c>
      <c r="J55" s="603" t="s">
        <v>125</v>
      </c>
    </row>
    <row r="56" spans="1:15" ht="15" hidden="1" customHeight="1" outlineLevel="1">
      <c r="B56" s="526" t="s">
        <v>378</v>
      </c>
      <c r="C56" s="184">
        <f>J9</f>
        <v>4594.8797500000001</v>
      </c>
      <c r="D56" s="734">
        <f>C56/$C$61</f>
        <v>2.2019380064889432E-2</v>
      </c>
      <c r="E56" s="608">
        <v>15000</v>
      </c>
      <c r="F56" s="610">
        <v>1.4999999999999999E-2</v>
      </c>
      <c r="G56" s="735">
        <f>E56*F56</f>
        <v>225</v>
      </c>
      <c r="H56" s="602">
        <v>5.0000000000000001E-3</v>
      </c>
      <c r="I56" s="605">
        <v>300</v>
      </c>
      <c r="J56" s="603" t="s">
        <v>125</v>
      </c>
    </row>
    <row r="57" spans="1:15" ht="15" hidden="1" customHeight="1" outlineLevel="1">
      <c r="B57" s="527" t="s">
        <v>326</v>
      </c>
      <c r="C57" s="184">
        <f>J10</f>
        <v>45948.797500000001</v>
      </c>
      <c r="D57" s="734">
        <f t="shared" ref="D57:D60" si="0">C57/$C$61</f>
        <v>0.22019380064889432</v>
      </c>
      <c r="E57" s="603" t="s">
        <v>125</v>
      </c>
      <c r="F57" s="610">
        <v>1.4999999999999999E-2</v>
      </c>
      <c r="G57" s="735">
        <f>C57*F57</f>
        <v>689.23196250000001</v>
      </c>
      <c r="H57" s="603" t="s">
        <v>125</v>
      </c>
      <c r="I57" s="605">
        <v>500</v>
      </c>
      <c r="J57" s="603" t="s">
        <v>125</v>
      </c>
    </row>
    <row r="58" spans="1:15" ht="15" hidden="1" customHeight="1" outlineLevel="1">
      <c r="B58" s="527" t="s">
        <v>327</v>
      </c>
      <c r="C58" s="184">
        <f>J11</f>
        <v>36759.038</v>
      </c>
      <c r="D58" s="734">
        <f t="shared" si="0"/>
        <v>0.17615504051911546</v>
      </c>
      <c r="E58" s="603" t="s">
        <v>125</v>
      </c>
      <c r="F58" s="610">
        <v>1.4999999999999999E-2</v>
      </c>
      <c r="G58" s="735">
        <f>C58*F58</f>
        <v>551.38557000000003</v>
      </c>
      <c r="H58" s="603" t="s">
        <v>125</v>
      </c>
      <c r="I58" s="605">
        <v>700</v>
      </c>
      <c r="J58" s="603" t="s">
        <v>125</v>
      </c>
    </row>
    <row r="59" spans="1:15" ht="15" hidden="1" customHeight="1" outlineLevel="1">
      <c r="B59" s="527" t="s">
        <v>328</v>
      </c>
      <c r="C59" s="184">
        <f>J12</f>
        <v>27569.2785</v>
      </c>
      <c r="D59" s="734">
        <f t="shared" si="0"/>
        <v>0.13211628038933659</v>
      </c>
      <c r="E59" s="603" t="s">
        <v>125</v>
      </c>
      <c r="F59" s="610">
        <v>1.4999999999999999E-2</v>
      </c>
      <c r="G59" s="735">
        <f>C59*F59</f>
        <v>413.53917749999999</v>
      </c>
      <c r="H59" s="603" t="s">
        <v>125</v>
      </c>
      <c r="I59" s="603" t="s">
        <v>125</v>
      </c>
      <c r="J59" s="610">
        <v>0.12</v>
      </c>
    </row>
    <row r="60" spans="1:15" ht="15" hidden="1" customHeight="1" outlineLevel="1">
      <c r="B60" s="526" t="s">
        <v>292</v>
      </c>
      <c r="C60" s="736">
        <f>J14+J13</f>
        <v>78802.352960000004</v>
      </c>
      <c r="D60" s="737">
        <f t="shared" si="0"/>
        <v>0.37763316000463448</v>
      </c>
      <c r="E60" s="678" t="s">
        <v>125</v>
      </c>
      <c r="F60" s="678" t="s">
        <v>125</v>
      </c>
      <c r="G60" s="678" t="s">
        <v>125</v>
      </c>
      <c r="H60" s="604" t="s">
        <v>125</v>
      </c>
      <c r="I60" s="604" t="s">
        <v>125</v>
      </c>
      <c r="J60" s="604" t="s">
        <v>125</v>
      </c>
    </row>
    <row r="61" spans="1:15" ht="15" hidden="1" customHeight="1" outlineLevel="1">
      <c r="B61" s="525" t="s">
        <v>126</v>
      </c>
      <c r="C61" s="184">
        <f>SUM(C55:C60)</f>
        <v>208674.34671000001</v>
      </c>
      <c r="D61" s="317">
        <f>SUM(D55:D60)</f>
        <v>1</v>
      </c>
      <c r="E61" s="317"/>
      <c r="F61" s="437"/>
      <c r="I61" s="599"/>
      <c r="J61" s="599"/>
      <c r="K61" s="599"/>
      <c r="L61" s="317"/>
      <c r="M61" s="599"/>
      <c r="N61" s="599"/>
      <c r="O61" s="599"/>
    </row>
    <row r="62" spans="1:15" ht="15" hidden="1" customHeight="1" outlineLevel="1"/>
    <row r="63" spans="1:15" ht="15" hidden="1" customHeight="1" outlineLevel="1">
      <c r="D63" s="611"/>
      <c r="E63" s="612" t="s">
        <v>271</v>
      </c>
      <c r="F63" s="450"/>
      <c r="G63" s="270"/>
      <c r="H63" s="162"/>
      <c r="I63" s="162"/>
    </row>
    <row r="64" spans="1:15" ht="15" hidden="1" customHeight="1" outlineLevel="1">
      <c r="D64" s="609" t="s">
        <v>247</v>
      </c>
      <c r="E64" s="612" t="s">
        <v>272</v>
      </c>
      <c r="F64" s="600" t="s">
        <v>171</v>
      </c>
      <c r="G64" s="600"/>
      <c r="H64" s="600"/>
      <c r="I64" s="600"/>
      <c r="J64" s="600"/>
    </row>
    <row r="65" spans="2:15" ht="17.100000000000001" hidden="1" customHeight="1" outlineLevel="1" thickBot="1">
      <c r="B65" s="462" t="s">
        <v>123</v>
      </c>
      <c r="D65" s="613" t="s">
        <v>293</v>
      </c>
      <c r="E65" s="614" t="s">
        <v>294</v>
      </c>
      <c r="F65" s="616">
        <v>1</v>
      </c>
      <c r="G65" s="616">
        <f>F65+1</f>
        <v>2</v>
      </c>
      <c r="H65" s="616">
        <f>G65+1</f>
        <v>3</v>
      </c>
      <c r="I65" s="616">
        <f>H65+1</f>
        <v>4</v>
      </c>
      <c r="J65" s="616">
        <f>I65+1</f>
        <v>5</v>
      </c>
      <c r="K65" s="628" t="s">
        <v>257</v>
      </c>
    </row>
    <row r="66" spans="2:15" ht="15" hidden="1" customHeight="1" outlineLevel="1">
      <c r="B66" s="601" t="s">
        <v>103</v>
      </c>
      <c r="C66" s="555"/>
      <c r="D66" s="615" t="s">
        <v>125</v>
      </c>
      <c r="E66" s="615" t="s">
        <v>125</v>
      </c>
      <c r="F66" s="638" t="s">
        <v>125</v>
      </c>
      <c r="G66" s="638" t="s">
        <v>125</v>
      </c>
      <c r="H66" s="638" t="s">
        <v>125</v>
      </c>
      <c r="I66" s="638" t="s">
        <v>125</v>
      </c>
      <c r="J66" s="638" t="s">
        <v>125</v>
      </c>
      <c r="K66" s="638" t="s">
        <v>125</v>
      </c>
    </row>
    <row r="67" spans="2:15" ht="15" hidden="1" customHeight="1" outlineLevel="1">
      <c r="B67" s="526" t="s">
        <v>375</v>
      </c>
      <c r="D67" s="603" t="s">
        <v>125</v>
      </c>
      <c r="E67" s="603" t="s">
        <v>125</v>
      </c>
      <c r="F67" s="639" t="s">
        <v>125</v>
      </c>
      <c r="G67" s="639" t="s">
        <v>125</v>
      </c>
      <c r="H67" s="639" t="s">
        <v>125</v>
      </c>
      <c r="I67" s="639" t="s">
        <v>125</v>
      </c>
      <c r="J67" s="639" t="s">
        <v>125</v>
      </c>
      <c r="K67" s="639" t="s">
        <v>125</v>
      </c>
    </row>
    <row r="68" spans="2:15" ht="15" hidden="1" customHeight="1" outlineLevel="1">
      <c r="B68" s="527" t="s">
        <v>326</v>
      </c>
      <c r="D68" s="603" t="s">
        <v>125</v>
      </c>
      <c r="E68" s="603">
        <v>1</v>
      </c>
      <c r="F68" s="595">
        <v>0.2</v>
      </c>
      <c r="G68" s="595">
        <v>0.2</v>
      </c>
      <c r="H68" s="595">
        <v>0.2</v>
      </c>
      <c r="I68" s="595">
        <v>0.2</v>
      </c>
      <c r="J68" s="595">
        <v>0.2</v>
      </c>
      <c r="K68" s="629">
        <f>IF(SUM(F68:J68)&gt;1,1,0)</f>
        <v>0</v>
      </c>
      <c r="L68" s="631" t="s">
        <v>281</v>
      </c>
    </row>
    <row r="69" spans="2:15" ht="15" hidden="1" customHeight="1" outlineLevel="1">
      <c r="B69" s="527" t="s">
        <v>327</v>
      </c>
      <c r="D69" s="603" t="s">
        <v>125</v>
      </c>
      <c r="E69" s="603">
        <v>1</v>
      </c>
      <c r="F69" s="595">
        <v>0.01</v>
      </c>
      <c r="G69" s="595">
        <v>0.01</v>
      </c>
      <c r="H69" s="595">
        <v>0.01</v>
      </c>
      <c r="I69" s="595">
        <v>0.01</v>
      </c>
      <c r="J69" s="595">
        <v>0.01</v>
      </c>
      <c r="K69" s="629">
        <f>IF(SUM(F69:J69)&gt;1,1,0)</f>
        <v>0</v>
      </c>
      <c r="L69" s="631" t="s">
        <v>281</v>
      </c>
    </row>
    <row r="70" spans="2:15" ht="15" hidden="1" customHeight="1" outlineLevel="1">
      <c r="B70" s="527" t="s">
        <v>328</v>
      </c>
      <c r="D70" s="603">
        <v>0.6</v>
      </c>
      <c r="E70" s="603" t="s">
        <v>125</v>
      </c>
      <c r="F70" s="595">
        <v>0</v>
      </c>
      <c r="G70" s="595">
        <v>0</v>
      </c>
      <c r="H70" s="595">
        <v>0</v>
      </c>
      <c r="I70" s="595">
        <v>0</v>
      </c>
      <c r="J70" s="595">
        <v>0</v>
      </c>
      <c r="K70" s="629">
        <f>IF(SUM(F70:J70)&gt;1,1,0)</f>
        <v>0</v>
      </c>
      <c r="L70" s="631" t="s">
        <v>281</v>
      </c>
    </row>
    <row r="71" spans="2:15" ht="15" hidden="1" customHeight="1" outlineLevel="1">
      <c r="B71" s="526" t="s">
        <v>291</v>
      </c>
      <c r="D71" s="606" t="s">
        <v>125</v>
      </c>
      <c r="E71" s="606" t="s">
        <v>125</v>
      </c>
      <c r="F71" s="640" t="s">
        <v>125</v>
      </c>
      <c r="G71" s="640" t="s">
        <v>125</v>
      </c>
      <c r="H71" s="640" t="s">
        <v>125</v>
      </c>
      <c r="I71" s="640" t="s">
        <v>125</v>
      </c>
      <c r="J71" s="640" t="s">
        <v>125</v>
      </c>
      <c r="K71" s="640" t="s">
        <v>125</v>
      </c>
    </row>
    <row r="72" spans="2:15" ht="15" hidden="1" customHeight="1" outlineLevel="1">
      <c r="B72" s="525"/>
      <c r="F72" s="262"/>
      <c r="G72" s="262"/>
      <c r="H72" s="262"/>
      <c r="I72" s="262"/>
    </row>
    <row r="73" spans="2:15" ht="15" hidden="1" customHeight="1" outlineLevel="1">
      <c r="B73" s="525"/>
    </row>
    <row r="74" spans="2:15" ht="15" hidden="1" customHeight="1" outlineLevel="1">
      <c r="B74" s="525"/>
    </row>
    <row r="75" spans="2:15" ht="15" hidden="1" customHeight="1" outlineLevel="1"/>
    <row r="76" spans="2:15" ht="15" hidden="1" customHeight="1" outlineLevel="1" thickBot="1">
      <c r="B76" s="463" t="s">
        <v>229</v>
      </c>
      <c r="C76" s="463"/>
      <c r="D76" s="463"/>
      <c r="F76" s="316"/>
      <c r="O76" s="189"/>
    </row>
    <row r="77" spans="2:15" ht="15" hidden="1" customHeight="1" outlineLevel="1">
      <c r="B77" s="204" t="s">
        <v>269</v>
      </c>
      <c r="C77" s="539"/>
      <c r="D77" s="542">
        <v>3</v>
      </c>
      <c r="G77" s="276"/>
      <c r="H77" s="361"/>
      <c r="K77" s="189"/>
      <c r="L77" s="276"/>
      <c r="M77" s="152"/>
    </row>
    <row r="78" spans="2:15" ht="15" hidden="1" customHeight="1" outlineLevel="1">
      <c r="B78" s="541" t="s">
        <v>228</v>
      </c>
      <c r="D78" s="535">
        <v>4</v>
      </c>
      <c r="G78" s="276"/>
      <c r="H78" s="361"/>
      <c r="K78" s="189"/>
      <c r="L78" s="276"/>
      <c r="M78" s="152"/>
    </row>
    <row r="79" spans="2:15" ht="15" hidden="1" customHeight="1" outlineLevel="1">
      <c r="B79" s="541" t="s">
        <v>357</v>
      </c>
      <c r="D79" s="535">
        <v>0.5</v>
      </c>
      <c r="H79" s="361"/>
      <c r="K79" s="189"/>
      <c r="L79" s="276"/>
      <c r="M79" s="152"/>
    </row>
    <row r="80" spans="2:15" ht="15" hidden="1" customHeight="1" outlineLevel="1">
      <c r="B80" s="541" t="s">
        <v>227</v>
      </c>
      <c r="D80" s="535">
        <v>1</v>
      </c>
      <c r="H80" s="361"/>
      <c r="K80" s="189"/>
      <c r="L80" s="276"/>
      <c r="M80" s="152"/>
    </row>
    <row r="81" spans="2:14" ht="15" hidden="1" customHeight="1" outlineLevel="1">
      <c r="B81" s="204" t="s">
        <v>358</v>
      </c>
      <c r="D81" s="535">
        <v>0.1</v>
      </c>
      <c r="H81" s="361"/>
      <c r="K81" s="189"/>
      <c r="L81" s="276"/>
      <c r="M81" s="152"/>
    </row>
    <row r="82" spans="2:14" ht="15" hidden="1" customHeight="1" outlineLevel="1">
      <c r="H82" s="361"/>
      <c r="K82" s="189"/>
      <c r="L82" s="276"/>
      <c r="M82" s="152"/>
    </row>
    <row r="83" spans="2:14" ht="15" hidden="1" customHeight="1" outlineLevel="1">
      <c r="G83" s="276"/>
      <c r="H83" s="361"/>
      <c r="K83" s="189"/>
      <c r="L83" s="276"/>
      <c r="M83" s="152"/>
    </row>
    <row r="84" spans="2:14" ht="15" hidden="1" customHeight="1" outlineLevel="1">
      <c r="B84" s="522"/>
      <c r="C84" s="187"/>
      <c r="D84" s="632"/>
      <c r="G84" s="276"/>
      <c r="H84" s="361"/>
      <c r="K84" s="189"/>
      <c r="L84" s="276"/>
      <c r="M84" s="152"/>
    </row>
    <row r="85" spans="2:14" ht="15" hidden="1" customHeight="1" outlineLevel="1">
      <c r="B85" s="522"/>
      <c r="C85" s="187"/>
      <c r="D85" s="632"/>
      <c r="G85" s="276"/>
      <c r="H85" s="361"/>
      <c r="K85" s="189"/>
      <c r="L85" s="276"/>
      <c r="M85" s="152"/>
    </row>
    <row r="86" spans="2:14" ht="15" hidden="1" customHeight="1" outlineLevel="1">
      <c r="G86" s="276"/>
      <c r="H86" s="361"/>
      <c r="K86" s="189"/>
      <c r="L86" s="276"/>
      <c r="N86" s="536" t="s">
        <v>379</v>
      </c>
    </row>
    <row r="87" spans="2:14" ht="15" hidden="1" customHeight="1" outlineLevel="1">
      <c r="G87" s="276"/>
      <c r="H87" s="361"/>
      <c r="K87" s="189"/>
      <c r="L87" s="276"/>
      <c r="N87" s="533" t="s">
        <v>299</v>
      </c>
    </row>
    <row r="88" spans="2:14" ht="15" hidden="1" customHeight="1" outlineLevel="1">
      <c r="G88" s="276"/>
      <c r="H88" s="361"/>
      <c r="K88" s="189"/>
      <c r="L88" s="276"/>
      <c r="N88" s="634" t="s">
        <v>329</v>
      </c>
    </row>
    <row r="89" spans="2:14" ht="15" hidden="1" customHeight="1" outlineLevel="1">
      <c r="G89" s="276"/>
      <c r="H89" s="361"/>
      <c r="K89" s="189"/>
      <c r="L89" s="276"/>
      <c r="N89" s="592" t="s">
        <v>300</v>
      </c>
    </row>
    <row r="90" spans="2:14" ht="15" hidden="1" customHeight="1" outlineLevel="1">
      <c r="G90" s="276"/>
      <c r="H90" s="361"/>
      <c r="K90" s="189"/>
      <c r="L90" s="276"/>
      <c r="N90" s="617" t="s">
        <v>301</v>
      </c>
    </row>
    <row r="91" spans="2:14" ht="15" hidden="1" customHeight="1" outlineLevel="1">
      <c r="H91" s="269"/>
      <c r="L91" s="189"/>
      <c r="N91" s="635" t="s">
        <v>330</v>
      </c>
    </row>
    <row r="92" spans="2:14" ht="15" hidden="1" customHeight="1" outlineLevel="1">
      <c r="H92" s="269"/>
      <c r="L92" s="189"/>
      <c r="N92" s="565" t="s">
        <v>302</v>
      </c>
    </row>
    <row r="93" spans="2:14" ht="15" hidden="1" customHeight="1" outlineLevel="1">
      <c r="H93" s="269"/>
      <c r="L93" s="189"/>
      <c r="N93" s="581" t="s">
        <v>303</v>
      </c>
    </row>
    <row r="94" spans="2:14" hidden="1" outlineLevel="1"/>
    <row r="95" spans="2:14" hidden="1" outlineLevel="1">
      <c r="B95" s="202"/>
      <c r="C95" s="202"/>
      <c r="D95" s="202"/>
      <c r="E95" s="202"/>
      <c r="F95" s="202"/>
      <c r="G95" s="202"/>
      <c r="H95" s="202"/>
      <c r="I95" s="202"/>
      <c r="J95" s="202"/>
      <c r="K95" s="202"/>
      <c r="L95" s="202"/>
      <c r="M95" s="202"/>
      <c r="N95" s="202" t="s">
        <v>91</v>
      </c>
    </row>
    <row r="96" spans="2:14" collapsed="1"/>
  </sheetData>
  <conditionalFormatting sqref="J17">
    <cfRule type="expression" dxfId="30" priority="24">
      <formula>$J$17=1</formula>
    </cfRule>
  </conditionalFormatting>
  <conditionalFormatting sqref="J33:J36">
    <cfRule type="containsText" dxfId="29" priority="1" operator="containsText" text="OK">
      <formula>NOT(ISERROR(SEARCH("OK",J33)))</formula>
    </cfRule>
    <cfRule type="containsText" dxfId="28" priority="2" operator="containsText" text="ERROR">
      <formula>NOT(ISERROR(SEARCH("ERROR",J33)))</formula>
    </cfRule>
  </conditionalFormatting>
  <conditionalFormatting sqref="K48">
    <cfRule type="containsText" dxfId="27" priority="20" operator="containsText" text="OK">
      <formula>NOT(ISERROR(SEARCH("OK",K48)))</formula>
    </cfRule>
    <cfRule type="containsText" dxfId="26" priority="21" operator="containsText" text="ERROR">
      <formula>NOT(ISERROR(SEARCH("ERROR",K48)))</formula>
    </cfRule>
  </conditionalFormatting>
  <conditionalFormatting sqref="K68:K70">
    <cfRule type="expression" dxfId="25" priority="13">
      <formula>K68</formula>
    </cfRule>
  </conditionalFormatting>
  <printOptions horizontalCentered="1"/>
  <pageMargins left="0.118110236220472" right="0.118110236220472" top="0.118110236220472" bottom="0.118110236220472" header="0.118110236220472" footer="0.118110236220472"/>
  <pageSetup scale="82" fitToWidth="0" fitToHeight="0" orientation="landscape" r:id="rId1"/>
  <headerFooter>
    <oddFooter>&amp;L&amp;"Open Sans,Bold"&amp;K002060Leveraged Buyout Modeling&amp;C&amp;"Open Sans,Bold"&amp;K002060Page &amp;P of &amp;N&amp;R&amp;"Open Sans,Regular"&amp;G</oddFoot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A721D-11F3-4B40-916E-F9CF8E4D2DFC}">
  <sheetPr codeName="Sheet4">
    <pageSetUpPr autoPageBreaks="0"/>
  </sheetPr>
  <dimension ref="A1:M103"/>
  <sheetViews>
    <sheetView showGridLines="0" zoomScaleNormal="100" zoomScaleSheetLayoutView="80" workbookViewId="0">
      <pane ySplit="1" topLeftCell="A2" activePane="bottomLeft" state="frozen"/>
      <selection pane="bottomLeft"/>
    </sheetView>
  </sheetViews>
  <sheetFormatPr defaultColWidth="8.7109375" defaultRowHeight="15" outlineLevelRow="1"/>
  <cols>
    <col min="1" max="1" width="8.7109375" style="143"/>
    <col min="2" max="2" width="15.5703125" style="143" customWidth="1"/>
    <col min="3" max="3" width="15.7109375" style="143" customWidth="1"/>
    <col min="4" max="4" width="14.85546875" style="143" bestFit="1" customWidth="1"/>
    <col min="5" max="5" width="2.7109375" style="143" customWidth="1"/>
    <col min="6" max="6" width="10.5703125" style="143" customWidth="1"/>
    <col min="7" max="7" width="2.7109375" style="143" customWidth="1"/>
    <col min="8" max="12" width="10.5703125" style="143" customWidth="1"/>
    <col min="13" max="16384" width="8.7109375" style="143"/>
  </cols>
  <sheetData>
    <row r="1" spans="1:12" s="137" customFormat="1" ht="50.1" customHeight="1">
      <c r="A1" s="143"/>
      <c r="B1" s="134"/>
      <c r="C1" s="134"/>
      <c r="D1" s="134"/>
      <c r="E1" s="134"/>
      <c r="F1" s="135"/>
      <c r="G1" s="135"/>
      <c r="H1" s="136"/>
      <c r="I1" s="136"/>
      <c r="J1" s="136"/>
      <c r="K1" s="136"/>
      <c r="L1" s="134"/>
    </row>
    <row r="2" spans="1:12" s="138" customFormat="1" ht="14.1" customHeight="1">
      <c r="C2" s="139"/>
      <c r="D2" s="139"/>
      <c r="E2" s="139"/>
      <c r="F2" s="140"/>
      <c r="G2" s="140"/>
      <c r="H2" s="141"/>
      <c r="I2" s="141"/>
      <c r="J2" s="141"/>
      <c r="K2" s="141"/>
    </row>
    <row r="3" spans="1:12" ht="15" customHeight="1">
      <c r="A3" s="143" t="s">
        <v>91</v>
      </c>
      <c r="B3" s="530" t="s">
        <v>319</v>
      </c>
      <c r="C3" s="76"/>
      <c r="D3" s="77"/>
      <c r="E3" s="77"/>
      <c r="F3" s="78"/>
      <c r="G3" s="78"/>
      <c r="H3" s="79"/>
      <c r="I3" s="79"/>
      <c r="J3" s="79"/>
      <c r="K3" s="79"/>
      <c r="L3" s="79"/>
    </row>
    <row r="4" spans="1:12" ht="15" hidden="1" customHeight="1" outlineLevel="1">
      <c r="B4" s="6"/>
      <c r="C4" s="6"/>
      <c r="D4" s="7"/>
      <c r="E4" s="7"/>
      <c r="F4" s="8"/>
      <c r="G4" s="8"/>
      <c r="H4" s="9"/>
      <c r="I4" s="9"/>
      <c r="J4" s="9"/>
      <c r="K4" s="9"/>
      <c r="L4" s="9"/>
    </row>
    <row r="5" spans="1:12" ht="15" hidden="1" customHeight="1" outlineLevel="1" thickBot="1">
      <c r="B5" s="531" t="s">
        <v>19</v>
      </c>
      <c r="C5" s="10"/>
      <c r="D5" s="7"/>
      <c r="E5" s="7"/>
      <c r="F5" s="11"/>
      <c r="G5" s="11"/>
      <c r="H5" s="75">
        <f>Transaction!$I$25</f>
        <v>2023</v>
      </c>
      <c r="I5" s="75">
        <f>H5+1</f>
        <v>2024</v>
      </c>
      <c r="J5" s="75">
        <f>I5+1</f>
        <v>2025</v>
      </c>
      <c r="K5" s="75">
        <f>J5+1</f>
        <v>2026</v>
      </c>
      <c r="L5" s="75">
        <f>K5+1</f>
        <v>2027</v>
      </c>
    </row>
    <row r="6" spans="1:12" ht="15" hidden="1" customHeight="1" outlineLevel="1">
      <c r="B6" s="16"/>
      <c r="C6" s="451"/>
      <c r="D6" s="286"/>
      <c r="E6" s="286"/>
      <c r="F6" s="451"/>
      <c r="G6" s="451"/>
      <c r="H6" s="451"/>
      <c r="I6" s="451"/>
      <c r="J6" s="451"/>
      <c r="K6" s="291"/>
      <c r="L6" s="290"/>
    </row>
    <row r="7" spans="1:12" ht="15" hidden="1" customHeight="1" outlineLevel="1">
      <c r="B7" s="16" t="s">
        <v>167</v>
      </c>
      <c r="C7" s="286"/>
      <c r="D7" s="286"/>
      <c r="E7" s="358">
        <v>2</v>
      </c>
      <c r="F7" s="359"/>
      <c r="G7" s="358"/>
      <c r="H7" s="451"/>
      <c r="I7" s="451"/>
      <c r="J7" s="291"/>
      <c r="K7" s="290"/>
      <c r="L7" s="286"/>
    </row>
    <row r="8" spans="1:12" ht="15" hidden="1" customHeight="1" outlineLevel="1">
      <c r="B8" s="451"/>
      <c r="C8" s="286"/>
      <c r="D8" s="286"/>
      <c r="E8" s="451"/>
      <c r="F8" s="451"/>
      <c r="G8" s="451"/>
      <c r="H8" s="451"/>
      <c r="I8" s="451"/>
      <c r="J8" s="291"/>
      <c r="K8" s="290"/>
      <c r="L8" s="286"/>
    </row>
    <row r="9" spans="1:12" ht="15" hidden="1" customHeight="1" outlineLevel="1">
      <c r="B9" s="16"/>
      <c r="C9" s="451"/>
      <c r="D9" s="451"/>
      <c r="E9" s="451"/>
      <c r="F9" s="451"/>
      <c r="G9" s="451"/>
      <c r="H9" s="451"/>
      <c r="I9" s="291"/>
      <c r="J9" s="290"/>
      <c r="K9" s="286"/>
      <c r="L9" s="286"/>
    </row>
    <row r="10" spans="1:12" ht="15" hidden="1" customHeight="1" outlineLevel="1">
      <c r="B10" s="16" t="s">
        <v>11</v>
      </c>
      <c r="C10" s="286"/>
      <c r="D10" s="286"/>
      <c r="E10" s="289"/>
      <c r="F10" s="289"/>
      <c r="G10" s="289"/>
      <c r="H10" s="738" cm="1">
        <f t="array" ref="H10">INDEX(H12:H14,$E$7)</f>
        <v>0.02</v>
      </c>
      <c r="I10" s="739" cm="1">
        <f t="array" ref="I10">INDEX(I12:I14,$E$7)</f>
        <v>0.02</v>
      </c>
      <c r="J10" s="739" cm="1">
        <f t="array" ref="J10">INDEX(J12:J14,$E$7)</f>
        <v>0.02</v>
      </c>
      <c r="K10" s="739" cm="1">
        <f t="array" ref="K10">INDEX(K12:K14,$E$7)</f>
        <v>0.02</v>
      </c>
      <c r="L10" s="740" cm="1">
        <f t="array" ref="L10">INDEX(L12:L14,$E$7)</f>
        <v>0.02</v>
      </c>
    </row>
    <row r="11" spans="1:12" ht="15" hidden="1" customHeight="1" outlineLevel="1">
      <c r="B11" s="16"/>
      <c r="C11" s="451"/>
      <c r="D11" s="451"/>
      <c r="E11" s="451"/>
      <c r="F11" s="451"/>
      <c r="G11" s="451"/>
      <c r="H11" s="452"/>
      <c r="I11" s="419"/>
      <c r="J11" s="420"/>
      <c r="K11" s="421"/>
      <c r="L11" s="421"/>
    </row>
    <row r="12" spans="1:12" ht="15" hidden="1" customHeight="1" outlineLevel="1">
      <c r="B12" s="288" t="s">
        <v>166</v>
      </c>
      <c r="D12" s="288"/>
      <c r="E12" s="451"/>
      <c r="F12" s="451"/>
      <c r="G12" s="451"/>
      <c r="H12" s="422">
        <v>0.04</v>
      </c>
      <c r="I12" s="423">
        <v>3.5000000000000003E-2</v>
      </c>
      <c r="J12" s="423">
        <v>3.5000000000000003E-2</v>
      </c>
      <c r="K12" s="423">
        <v>3.5000000000000003E-2</v>
      </c>
      <c r="L12" s="424">
        <v>0.03</v>
      </c>
    </row>
    <row r="13" spans="1:12" ht="15" hidden="1" customHeight="1" outlineLevel="1">
      <c r="B13" s="288" t="s">
        <v>121</v>
      </c>
      <c r="D13" s="451"/>
      <c r="E13" s="451"/>
      <c r="F13" s="451"/>
      <c r="G13" s="451"/>
      <c r="H13" s="675">
        <v>0.02</v>
      </c>
      <c r="I13" s="676">
        <v>0.02</v>
      </c>
      <c r="J13" s="676">
        <v>0.02</v>
      </c>
      <c r="K13" s="676">
        <v>0.02</v>
      </c>
      <c r="L13" s="677">
        <v>0.02</v>
      </c>
    </row>
    <row r="14" spans="1:12" ht="15" hidden="1" customHeight="1" outlineLevel="1">
      <c r="B14" s="288" t="s">
        <v>165</v>
      </c>
      <c r="D14" s="451"/>
      <c r="E14" s="451"/>
      <c r="F14" s="451"/>
      <c r="G14" s="451"/>
      <c r="H14" s="672">
        <v>1.4999999999999999E-2</v>
      </c>
      <c r="I14" s="673">
        <v>1.4999999999999999E-2</v>
      </c>
      <c r="J14" s="673">
        <v>1.4999999999999999E-2</v>
      </c>
      <c r="K14" s="673">
        <v>0.01</v>
      </c>
      <c r="L14" s="674">
        <v>5.0000000000000001E-3</v>
      </c>
    </row>
    <row r="15" spans="1:12" ht="15" hidden="1" customHeight="1" outlineLevel="1">
      <c r="B15" s="288"/>
      <c r="C15" s="287"/>
      <c r="D15" s="287"/>
      <c r="E15" s="287"/>
      <c r="F15" s="287"/>
      <c r="G15" s="287"/>
      <c r="H15" s="452"/>
      <c r="I15" s="425"/>
      <c r="J15" s="420"/>
      <c r="K15" s="421"/>
      <c r="L15" s="421"/>
    </row>
    <row r="16" spans="1:12" ht="15" hidden="1" customHeight="1" outlineLevel="1">
      <c r="B16" s="16"/>
      <c r="C16" s="287"/>
      <c r="D16" s="287"/>
      <c r="E16" s="287"/>
      <c r="F16" s="287"/>
      <c r="G16" s="287"/>
      <c r="H16" s="452"/>
      <c r="I16" s="425"/>
      <c r="J16" s="420"/>
      <c r="K16" s="421"/>
      <c r="L16" s="421"/>
    </row>
    <row r="17" spans="2:12" ht="15" hidden="1" customHeight="1" outlineLevel="1">
      <c r="B17" s="16" t="s">
        <v>17</v>
      </c>
      <c r="C17" s="287"/>
      <c r="D17" s="287"/>
      <c r="E17" s="287"/>
      <c r="F17" s="287"/>
      <c r="G17" s="287"/>
      <c r="H17" s="738" cm="1">
        <f t="array" ref="H17">INDEX(H19:H21,$E$7)</f>
        <v>3.5000000000000003E-2</v>
      </c>
      <c r="I17" s="739" cm="1">
        <f t="array" ref="I17">INDEX(I19:I21,$E$7)</f>
        <v>3.5000000000000003E-2</v>
      </c>
      <c r="J17" s="739" cm="1">
        <f t="array" ref="J17">INDEX(J19:J21,$E$7)</f>
        <v>0.03</v>
      </c>
      <c r="K17" s="739" cm="1">
        <f t="array" ref="K17">INDEX(K19:K21,$E$7)</f>
        <v>0.03</v>
      </c>
      <c r="L17" s="740" cm="1">
        <f t="array" ref="L17">INDEX(L19:L21,$E$7)</f>
        <v>2.5000000000000001E-2</v>
      </c>
    </row>
    <row r="18" spans="2:12" ht="15" hidden="1" customHeight="1" outlineLevel="1">
      <c r="B18" s="16"/>
      <c r="C18" s="287"/>
      <c r="D18" s="287"/>
      <c r="E18" s="287"/>
      <c r="F18" s="287"/>
      <c r="G18" s="287"/>
      <c r="H18" s="452"/>
      <c r="I18" s="425"/>
      <c r="J18" s="420"/>
      <c r="K18" s="421"/>
      <c r="L18" s="421"/>
    </row>
    <row r="19" spans="2:12" ht="15" hidden="1" customHeight="1" outlineLevel="1">
      <c r="B19" s="288" t="str">
        <f>$B$12</f>
        <v>Best Case</v>
      </c>
      <c r="D19" s="451"/>
      <c r="E19" s="451"/>
      <c r="F19" s="451"/>
      <c r="G19" s="451"/>
      <c r="H19" s="422">
        <v>2.5000000000000001E-2</v>
      </c>
      <c r="I19" s="423">
        <v>2.5000000000000001E-2</v>
      </c>
      <c r="J19" s="423">
        <v>0.02</v>
      </c>
      <c r="K19" s="423">
        <v>0.02</v>
      </c>
      <c r="L19" s="424">
        <v>0.02</v>
      </c>
    </row>
    <row r="20" spans="2:12" ht="15" hidden="1" customHeight="1" outlineLevel="1">
      <c r="B20" s="288" t="str">
        <f>$B$13</f>
        <v>Base Case</v>
      </c>
      <c r="D20" s="451"/>
      <c r="E20" s="451"/>
      <c r="F20" s="451"/>
      <c r="G20" s="451"/>
      <c r="H20" s="675">
        <v>3.5000000000000003E-2</v>
      </c>
      <c r="I20" s="676">
        <v>3.5000000000000003E-2</v>
      </c>
      <c r="J20" s="676">
        <v>0.03</v>
      </c>
      <c r="K20" s="676">
        <v>0.03</v>
      </c>
      <c r="L20" s="677">
        <v>2.5000000000000001E-2</v>
      </c>
    </row>
    <row r="21" spans="2:12" ht="15" hidden="1" customHeight="1" outlineLevel="1">
      <c r="B21" s="288" t="str">
        <f>$B$14</f>
        <v>Worst Case</v>
      </c>
      <c r="D21" s="451"/>
      <c r="E21" s="451"/>
      <c r="F21" s="451"/>
      <c r="G21" s="451"/>
      <c r="H21" s="672">
        <v>4.4999999999999998E-2</v>
      </c>
      <c r="I21" s="673">
        <v>4.4999999999999998E-2</v>
      </c>
      <c r="J21" s="673">
        <v>3.5000000000000003E-2</v>
      </c>
      <c r="K21" s="673">
        <v>3.5000000000000003E-2</v>
      </c>
      <c r="L21" s="674">
        <v>0.03</v>
      </c>
    </row>
    <row r="22" spans="2:12" ht="15" hidden="1" customHeight="1" outlineLevel="1">
      <c r="B22" s="285"/>
      <c r="C22" s="285"/>
      <c r="D22" s="285"/>
      <c r="E22" s="285"/>
      <c r="F22" s="285"/>
      <c r="G22" s="285"/>
      <c r="H22" s="741"/>
      <c r="I22" s="741"/>
      <c r="J22" s="741"/>
      <c r="K22" s="741"/>
      <c r="L22" s="741"/>
    </row>
    <row r="23" spans="2:12" ht="15" hidden="1" customHeight="1" outlineLevel="1">
      <c r="B23" s="285"/>
      <c r="C23" s="285"/>
      <c r="D23" s="285"/>
      <c r="E23" s="285"/>
      <c r="F23" s="285"/>
      <c r="G23" s="285"/>
      <c r="H23" s="741"/>
      <c r="I23" s="741"/>
      <c r="J23" s="741"/>
      <c r="K23" s="741"/>
      <c r="L23" s="741"/>
    </row>
    <row r="24" spans="2:12" ht="15" hidden="1" customHeight="1" outlineLevel="1">
      <c r="B24" s="16" t="s">
        <v>164</v>
      </c>
      <c r="C24" s="287"/>
      <c r="D24" s="287"/>
      <c r="E24" s="287"/>
      <c r="F24" s="287"/>
      <c r="G24" s="287"/>
      <c r="H24" s="738" cm="1">
        <f t="array" ref="H24">INDEX(H26:H28,$E$7)</f>
        <v>3.5000000000000003E-2</v>
      </c>
      <c r="I24" s="739" cm="1">
        <f t="array" ref="I24">INDEX(I26:I28,$E$7)</f>
        <v>0.03</v>
      </c>
      <c r="J24" s="739" cm="1">
        <f t="array" ref="J24">INDEX(J26:J28,$E$7)</f>
        <v>0.03</v>
      </c>
      <c r="K24" s="739" cm="1">
        <f t="array" ref="K24">INDEX(K26:K28,$E$7)</f>
        <v>2.5000000000000001E-2</v>
      </c>
      <c r="L24" s="740" cm="1">
        <f t="array" ref="L24">INDEX(L26:L28,$E$7)</f>
        <v>2.5000000000000001E-2</v>
      </c>
    </row>
    <row r="25" spans="2:12" ht="15" hidden="1" customHeight="1" outlineLevel="1">
      <c r="B25" s="285"/>
      <c r="C25" s="285"/>
      <c r="D25" s="285"/>
      <c r="E25" s="285"/>
      <c r="F25" s="285"/>
      <c r="G25" s="285"/>
      <c r="H25" s="741"/>
      <c r="I25" s="741"/>
      <c r="J25" s="741"/>
      <c r="K25" s="741"/>
      <c r="L25" s="741"/>
    </row>
    <row r="26" spans="2:12" ht="15" hidden="1" customHeight="1" outlineLevel="1">
      <c r="B26" s="288" t="str">
        <f>$B$12</f>
        <v>Best Case</v>
      </c>
      <c r="C26" s="285"/>
      <c r="D26" s="285"/>
      <c r="E26" s="285"/>
      <c r="F26" s="451"/>
      <c r="G26" s="285"/>
      <c r="H26" s="422">
        <v>2.5000000000000001E-2</v>
      </c>
      <c r="I26" s="423">
        <v>0.02</v>
      </c>
      <c r="J26" s="423">
        <v>0.02</v>
      </c>
      <c r="K26" s="423">
        <v>1.4999999999999999E-2</v>
      </c>
      <c r="L26" s="424">
        <v>1.4999999999999999E-2</v>
      </c>
    </row>
    <row r="27" spans="2:12" ht="15" hidden="1" customHeight="1" outlineLevel="1">
      <c r="B27" s="288" t="str">
        <f>$B$13</f>
        <v>Base Case</v>
      </c>
      <c r="C27" s="285"/>
      <c r="D27" s="285"/>
      <c r="E27" s="285"/>
      <c r="F27" s="451"/>
      <c r="G27" s="285"/>
      <c r="H27" s="675">
        <v>3.5000000000000003E-2</v>
      </c>
      <c r="I27" s="676">
        <v>0.03</v>
      </c>
      <c r="J27" s="676">
        <v>0.03</v>
      </c>
      <c r="K27" s="676">
        <v>2.5000000000000001E-2</v>
      </c>
      <c r="L27" s="677">
        <v>2.5000000000000001E-2</v>
      </c>
    </row>
    <row r="28" spans="2:12" ht="15" hidden="1" customHeight="1" outlineLevel="1">
      <c r="B28" s="288" t="str">
        <f>$B$14</f>
        <v>Worst Case</v>
      </c>
      <c r="C28" s="285"/>
      <c r="D28" s="285"/>
      <c r="E28" s="285"/>
      <c r="F28" s="451"/>
      <c r="G28" s="285"/>
      <c r="H28" s="672">
        <v>4.4999999999999998E-2</v>
      </c>
      <c r="I28" s="673">
        <v>0.04</v>
      </c>
      <c r="J28" s="673">
        <v>3.5000000000000003E-2</v>
      </c>
      <c r="K28" s="673">
        <v>0.03</v>
      </c>
      <c r="L28" s="674">
        <v>0.03</v>
      </c>
    </row>
    <row r="29" spans="2:12" ht="15" hidden="1" customHeight="1" outlineLevel="1">
      <c r="B29" s="16"/>
      <c r="C29" s="287"/>
      <c r="D29" s="287"/>
      <c r="E29" s="287"/>
      <c r="F29" s="287"/>
      <c r="G29" s="287"/>
      <c r="H29" s="453"/>
      <c r="I29" s="321"/>
      <c r="J29" s="322"/>
      <c r="K29" s="323"/>
      <c r="L29" s="323"/>
    </row>
    <row r="30" spans="2:12" ht="15" hidden="1" customHeight="1" outlineLevel="1">
      <c r="B30" s="16"/>
      <c r="C30" s="287"/>
      <c r="D30" s="287"/>
      <c r="E30" s="287"/>
      <c r="F30" s="287"/>
      <c r="G30" s="287"/>
      <c r="H30" s="453"/>
      <c r="I30" s="321"/>
      <c r="J30" s="322"/>
      <c r="K30" s="323"/>
      <c r="L30" s="323"/>
    </row>
    <row r="31" spans="2:12" ht="15" hidden="1" customHeight="1" outlineLevel="1">
      <c r="B31" s="16" t="s">
        <v>51</v>
      </c>
      <c r="C31" s="287"/>
      <c r="D31" s="287"/>
      <c r="E31" s="287"/>
      <c r="F31" s="287"/>
      <c r="G31" s="287"/>
      <c r="H31" s="742" cm="1">
        <f t="array" ref="H31">INDEX(H33:H35,$E$43)</f>
        <v>4100</v>
      </c>
      <c r="I31" s="743" cm="1">
        <f t="array" ref="I31">INDEX(I33:I35,$E$43)</f>
        <v>4300</v>
      </c>
      <c r="J31" s="743" cm="1">
        <f t="array" ref="J31">INDEX(J33:J35,$E$43)</f>
        <v>4400</v>
      </c>
      <c r="K31" s="743" cm="1">
        <f t="array" ref="K31">INDEX(K33:K35,$E$43)</f>
        <v>4600</v>
      </c>
      <c r="L31" s="744" cm="1">
        <f t="array" ref="L31">INDEX(L33:L35,$E$43)</f>
        <v>4800</v>
      </c>
    </row>
    <row r="32" spans="2:12" ht="15" hidden="1" customHeight="1" outlineLevel="1">
      <c r="B32" s="16"/>
      <c r="C32" s="287"/>
      <c r="D32" s="287"/>
      <c r="E32" s="287"/>
      <c r="F32" s="287"/>
      <c r="G32" s="287"/>
      <c r="H32" s="455"/>
      <c r="I32" s="324"/>
      <c r="J32" s="325"/>
      <c r="K32" s="326"/>
      <c r="L32" s="326"/>
    </row>
    <row r="33" spans="1:12" ht="15" hidden="1" customHeight="1" outlineLevel="1">
      <c r="B33" s="288" t="str">
        <f>$B$12</f>
        <v>Best Case</v>
      </c>
      <c r="D33" s="451"/>
      <c r="E33" s="451"/>
      <c r="F33" s="451"/>
      <c r="G33" s="451"/>
      <c r="H33" s="745">
        <v>3500</v>
      </c>
      <c r="I33" s="746">
        <v>3900</v>
      </c>
      <c r="J33" s="746">
        <v>4100</v>
      </c>
      <c r="K33" s="746">
        <v>4300</v>
      </c>
      <c r="L33" s="747">
        <v>4500</v>
      </c>
    </row>
    <row r="34" spans="1:12" ht="15" hidden="1" customHeight="1" outlineLevel="1">
      <c r="B34" s="288" t="str">
        <f>$B$13</f>
        <v>Base Case</v>
      </c>
      <c r="D34" s="451"/>
      <c r="E34" s="451"/>
      <c r="F34" s="451"/>
      <c r="G34" s="451"/>
      <c r="H34" s="748">
        <v>4100</v>
      </c>
      <c r="I34" s="327">
        <v>4300</v>
      </c>
      <c r="J34" s="327">
        <v>4400</v>
      </c>
      <c r="K34" s="327">
        <v>4600</v>
      </c>
      <c r="L34" s="749">
        <v>4800</v>
      </c>
    </row>
    <row r="35" spans="1:12" ht="15" hidden="1" customHeight="1" outlineLevel="1">
      <c r="B35" s="288" t="str">
        <f>$B$14</f>
        <v>Worst Case</v>
      </c>
      <c r="D35" s="451"/>
      <c r="E35" s="451"/>
      <c r="F35" s="451"/>
      <c r="G35" s="451"/>
      <c r="H35" s="750">
        <v>4500</v>
      </c>
      <c r="I35" s="751">
        <v>4700</v>
      </c>
      <c r="J35" s="751">
        <v>4700</v>
      </c>
      <c r="K35" s="751">
        <v>4900</v>
      </c>
      <c r="L35" s="752">
        <v>5100</v>
      </c>
    </row>
    <row r="36" spans="1:12" ht="15" hidden="1" customHeight="1" outlineLevel="1"/>
    <row r="37" spans="1:12" ht="15" hidden="1" customHeight="1" outlineLevel="1">
      <c r="B37" s="328"/>
      <c r="C37" s="329"/>
      <c r="D37" s="329"/>
      <c r="E37" s="329"/>
      <c r="F37" s="329"/>
      <c r="G37" s="329"/>
      <c r="H37" s="330"/>
      <c r="I37" s="330"/>
      <c r="J37" s="330"/>
      <c r="K37" s="330"/>
      <c r="L37" s="330"/>
    </row>
    <row r="38" spans="1:12" ht="15" customHeight="1" collapsed="1">
      <c r="B38" s="286"/>
      <c r="C38" s="287"/>
      <c r="D38" s="287"/>
      <c r="E38" s="287"/>
      <c r="F38" s="287"/>
      <c r="G38" s="287"/>
      <c r="H38" s="285"/>
      <c r="I38" s="285"/>
      <c r="J38" s="285"/>
      <c r="K38" s="285"/>
      <c r="L38" s="285"/>
    </row>
    <row r="39" spans="1:12" ht="15" customHeight="1">
      <c r="A39" s="143" t="s">
        <v>91</v>
      </c>
      <c r="B39" s="530" t="s">
        <v>320</v>
      </c>
      <c r="C39" s="76"/>
      <c r="D39" s="77"/>
      <c r="E39" s="77"/>
      <c r="F39" s="78"/>
      <c r="G39" s="78"/>
      <c r="H39" s="79"/>
      <c r="I39" s="79"/>
      <c r="J39" s="79"/>
      <c r="K39" s="79"/>
      <c r="L39" s="79"/>
    </row>
    <row r="40" spans="1:12" ht="15" hidden="1" customHeight="1" outlineLevel="1">
      <c r="B40" s="286"/>
      <c r="C40" s="287"/>
      <c r="D40" s="287"/>
      <c r="E40" s="287"/>
      <c r="F40" s="287"/>
      <c r="G40" s="287"/>
      <c r="H40" s="285"/>
      <c r="I40" s="285"/>
      <c r="J40" s="285"/>
      <c r="K40" s="285"/>
      <c r="L40" s="285"/>
    </row>
    <row r="41" spans="1:12" ht="15" hidden="1" customHeight="1" outlineLevel="1" thickBot="1">
      <c r="B41" s="531" t="s">
        <v>19</v>
      </c>
      <c r="C41" s="10"/>
      <c r="D41" s="7"/>
      <c r="E41" s="7"/>
      <c r="F41" s="11"/>
      <c r="G41" s="11"/>
      <c r="H41" s="75">
        <f>H$5</f>
        <v>2023</v>
      </c>
      <c r="I41" s="75">
        <f>I$5</f>
        <v>2024</v>
      </c>
      <c r="J41" s="75">
        <f>J$5</f>
        <v>2025</v>
      </c>
      <c r="K41" s="75">
        <f>K$5</f>
        <v>2026</v>
      </c>
      <c r="L41" s="75">
        <f>L$5</f>
        <v>2027</v>
      </c>
    </row>
    <row r="42" spans="1:12" ht="15" hidden="1" customHeight="1" outlineLevel="1">
      <c r="B42" s="286"/>
      <c r="C42" s="287"/>
      <c r="D42" s="287"/>
      <c r="E42" s="287"/>
      <c r="F42" s="287"/>
      <c r="G42" s="287"/>
      <c r="H42" s="285"/>
      <c r="I42" s="285"/>
      <c r="J42" s="285"/>
      <c r="K42" s="285"/>
      <c r="L42" s="285"/>
    </row>
    <row r="43" spans="1:12" ht="15" hidden="1" customHeight="1" outlineLevel="1">
      <c r="B43" s="16" t="s">
        <v>167</v>
      </c>
      <c r="C43" s="287"/>
      <c r="D43" s="360"/>
      <c r="E43" s="292">
        <f>$E$7</f>
        <v>2</v>
      </c>
      <c r="F43" s="360"/>
      <c r="G43" s="292"/>
      <c r="H43" s="285"/>
      <c r="I43" s="285"/>
      <c r="J43" s="285"/>
      <c r="K43" s="285"/>
      <c r="L43" s="285"/>
    </row>
    <row r="44" spans="1:12" ht="15" hidden="1" customHeight="1" outlineLevel="1">
      <c r="B44" s="286"/>
      <c r="C44" s="287"/>
      <c r="D44" s="287"/>
      <c r="E44" s="287"/>
      <c r="F44" s="287"/>
      <c r="G44" s="287"/>
      <c r="H44" s="285"/>
      <c r="I44" s="285"/>
      <c r="J44" s="285"/>
      <c r="K44" s="285"/>
      <c r="L44" s="285"/>
    </row>
    <row r="45" spans="1:12" ht="15" hidden="1" customHeight="1" outlineLevel="1">
      <c r="B45" s="16"/>
      <c r="C45" s="287"/>
      <c r="D45" s="287"/>
      <c r="E45" s="287"/>
      <c r="F45" s="287"/>
      <c r="G45" s="287"/>
      <c r="H45" s="453"/>
      <c r="I45" s="321"/>
      <c r="J45" s="322"/>
      <c r="K45" s="323"/>
      <c r="L45" s="323"/>
    </row>
    <row r="46" spans="1:12" ht="15" hidden="1" customHeight="1" outlineLevel="1">
      <c r="B46" s="25" t="s">
        <v>2</v>
      </c>
      <c r="C46" s="287"/>
      <c r="D46" s="489" t="s">
        <v>3</v>
      </c>
      <c r="E46" s="287"/>
      <c r="G46" s="287"/>
      <c r="H46" s="364" cm="1">
        <f t="array" ref="H46">INDEX(H48:H50,$E$43)</f>
        <v>45</v>
      </c>
      <c r="I46" s="365" cm="1">
        <f t="array" ref="I46">INDEX(I48:I50,$E$43)</f>
        <v>45</v>
      </c>
      <c r="J46" s="365" cm="1">
        <f t="array" ref="J46">INDEX(J48:J50,$E$43)</f>
        <v>45</v>
      </c>
      <c r="K46" s="365" cm="1">
        <f t="array" ref="K46">INDEX(K48:K50,$E$43)</f>
        <v>45</v>
      </c>
      <c r="L46" s="366" cm="1">
        <f t="array" ref="L46">INDEX(L48:L50,$E$43)</f>
        <v>45</v>
      </c>
    </row>
    <row r="47" spans="1:12" ht="15" hidden="1" customHeight="1" outlineLevel="1">
      <c r="B47" s="16"/>
      <c r="C47" s="287"/>
      <c r="D47" s="665"/>
      <c r="E47" s="287"/>
      <c r="G47" s="287"/>
      <c r="H47" s="454"/>
      <c r="I47" s="367"/>
      <c r="J47" s="368"/>
      <c r="K47" s="369"/>
      <c r="L47" s="369"/>
    </row>
    <row r="48" spans="1:12" ht="15" hidden="1" customHeight="1" outlineLevel="1">
      <c r="B48" s="288" t="str">
        <f>$B$12</f>
        <v>Best Case</v>
      </c>
      <c r="C48" s="287"/>
      <c r="D48" s="489" t="s">
        <v>3</v>
      </c>
      <c r="E48" s="287"/>
      <c r="F48" s="451"/>
      <c r="G48" s="287"/>
      <c r="H48" s="348">
        <v>40</v>
      </c>
      <c r="I48" s="349">
        <v>35</v>
      </c>
      <c r="J48" s="349">
        <v>35</v>
      </c>
      <c r="K48" s="349">
        <v>30</v>
      </c>
      <c r="L48" s="350">
        <v>30</v>
      </c>
    </row>
    <row r="49" spans="2:12" ht="15" hidden="1" customHeight="1" outlineLevel="1">
      <c r="B49" s="288" t="str">
        <f>$B$13</f>
        <v>Base Case</v>
      </c>
      <c r="C49" s="287"/>
      <c r="D49" s="489" t="s">
        <v>3</v>
      </c>
      <c r="E49" s="287"/>
      <c r="F49" s="451"/>
      <c r="G49" s="287"/>
      <c r="H49" s="351">
        <v>45</v>
      </c>
      <c r="I49" s="352">
        <v>45</v>
      </c>
      <c r="J49" s="352">
        <v>45</v>
      </c>
      <c r="K49" s="352">
        <v>45</v>
      </c>
      <c r="L49" s="353">
        <v>45</v>
      </c>
    </row>
    <row r="50" spans="2:12" ht="15" hidden="1" customHeight="1" outlineLevel="1">
      <c r="B50" s="288" t="str">
        <f>$B$14</f>
        <v>Worst Case</v>
      </c>
      <c r="C50" s="287"/>
      <c r="D50" s="489" t="s">
        <v>3</v>
      </c>
      <c r="E50" s="287"/>
      <c r="F50" s="451"/>
      <c r="G50" s="287"/>
      <c r="H50" s="354">
        <v>60</v>
      </c>
      <c r="I50" s="355">
        <v>60</v>
      </c>
      <c r="J50" s="355">
        <v>60</v>
      </c>
      <c r="K50" s="355">
        <v>60</v>
      </c>
      <c r="L50" s="356">
        <v>60</v>
      </c>
    </row>
    <row r="51" spans="2:12" ht="15" hidden="1" customHeight="1" outlineLevel="1">
      <c r="B51" s="16"/>
      <c r="C51" s="287"/>
      <c r="D51" s="489"/>
      <c r="E51" s="287"/>
      <c r="G51" s="287"/>
      <c r="H51" s="352"/>
      <c r="I51" s="352"/>
      <c r="J51" s="352"/>
      <c r="K51" s="352"/>
      <c r="L51" s="352"/>
    </row>
    <row r="52" spans="2:12" ht="15" hidden="1" customHeight="1" outlineLevel="1">
      <c r="B52" s="16"/>
      <c r="C52" s="287"/>
      <c r="D52" s="665"/>
      <c r="E52" s="287"/>
      <c r="G52" s="287"/>
      <c r="H52" s="352"/>
      <c r="I52" s="352"/>
      <c r="J52" s="352"/>
      <c r="K52" s="352"/>
      <c r="L52" s="352"/>
    </row>
    <row r="53" spans="2:12" ht="15" hidden="1" customHeight="1" outlineLevel="1">
      <c r="B53" s="16" t="s">
        <v>4</v>
      </c>
      <c r="C53" s="287"/>
      <c r="D53" s="489" t="s">
        <v>3</v>
      </c>
      <c r="E53" s="287"/>
      <c r="G53" s="287"/>
      <c r="H53" s="345" cm="1">
        <f t="array" ref="H53">INDEX(H55:H57,$E$43)</f>
        <v>25</v>
      </c>
      <c r="I53" s="346" cm="1">
        <f t="array" ref="I53">INDEX(I55:I57,$E$43)</f>
        <v>25</v>
      </c>
      <c r="J53" s="346" cm="1">
        <f t="array" ref="J53">INDEX(J55:J57,$E$43)</f>
        <v>25</v>
      </c>
      <c r="K53" s="346" cm="1">
        <f t="array" ref="K53">INDEX(K55:K57,$E$43)</f>
        <v>25</v>
      </c>
      <c r="L53" s="347" cm="1">
        <f t="array" ref="L53">INDEX(L55:L57,$E$43)</f>
        <v>25</v>
      </c>
    </row>
    <row r="54" spans="2:12" ht="15" hidden="1" customHeight="1" outlineLevel="1">
      <c r="B54" s="16"/>
      <c r="C54" s="287"/>
      <c r="D54" s="665"/>
      <c r="E54" s="287"/>
      <c r="G54" s="287"/>
      <c r="H54" s="357"/>
      <c r="I54" s="357"/>
      <c r="J54" s="357"/>
      <c r="K54" s="357"/>
      <c r="L54" s="357"/>
    </row>
    <row r="55" spans="2:12" ht="15" hidden="1" customHeight="1" outlineLevel="1">
      <c r="B55" s="288" t="str">
        <f>$B$12</f>
        <v>Best Case</v>
      </c>
      <c r="C55" s="287"/>
      <c r="D55" s="489" t="s">
        <v>3</v>
      </c>
      <c r="E55" s="287"/>
      <c r="F55" s="451"/>
      <c r="G55" s="287"/>
      <c r="H55" s="348">
        <v>20</v>
      </c>
      <c r="I55" s="349">
        <v>17.5</v>
      </c>
      <c r="J55" s="349">
        <v>17.5</v>
      </c>
      <c r="K55" s="349">
        <v>15</v>
      </c>
      <c r="L55" s="350">
        <v>15</v>
      </c>
    </row>
    <row r="56" spans="2:12" ht="15" hidden="1" customHeight="1" outlineLevel="1">
      <c r="B56" s="288" t="str">
        <f>$B$13</f>
        <v>Base Case</v>
      </c>
      <c r="C56" s="287"/>
      <c r="D56" s="489" t="s">
        <v>3</v>
      </c>
      <c r="E56" s="287"/>
      <c r="F56" s="451"/>
      <c r="G56" s="287"/>
      <c r="H56" s="351">
        <v>25</v>
      </c>
      <c r="I56" s="352">
        <v>25</v>
      </c>
      <c r="J56" s="352">
        <v>25</v>
      </c>
      <c r="K56" s="352">
        <v>25</v>
      </c>
      <c r="L56" s="353">
        <v>25</v>
      </c>
    </row>
    <row r="57" spans="2:12" ht="15" hidden="1" customHeight="1" outlineLevel="1">
      <c r="B57" s="288" t="str">
        <f>$B$14</f>
        <v>Worst Case</v>
      </c>
      <c r="C57" s="287"/>
      <c r="D57" s="489" t="s">
        <v>3</v>
      </c>
      <c r="E57" s="287"/>
      <c r="F57" s="451"/>
      <c r="G57" s="287"/>
      <c r="H57" s="354">
        <v>30</v>
      </c>
      <c r="I57" s="355">
        <v>30</v>
      </c>
      <c r="J57" s="355">
        <v>30</v>
      </c>
      <c r="K57" s="355">
        <v>30</v>
      </c>
      <c r="L57" s="356">
        <v>30</v>
      </c>
    </row>
    <row r="58" spans="2:12" ht="15" hidden="1" customHeight="1" outlineLevel="1">
      <c r="B58" s="16"/>
      <c r="C58" s="287"/>
      <c r="D58" s="665"/>
      <c r="E58" s="287"/>
      <c r="G58" s="287"/>
      <c r="H58" s="352"/>
      <c r="I58" s="352"/>
      <c r="J58" s="352"/>
      <c r="K58" s="352"/>
      <c r="L58" s="352"/>
    </row>
    <row r="59" spans="2:12" ht="15" hidden="1" customHeight="1" outlineLevel="1">
      <c r="B59" s="16"/>
      <c r="C59" s="287"/>
      <c r="D59" s="665"/>
      <c r="E59" s="287"/>
      <c r="G59" s="287"/>
      <c r="H59" s="352"/>
      <c r="I59" s="352"/>
      <c r="J59" s="352"/>
      <c r="K59" s="352"/>
      <c r="L59" s="352"/>
    </row>
    <row r="60" spans="2:12" ht="15" hidden="1" customHeight="1" outlineLevel="1">
      <c r="B60" s="16" t="s">
        <v>5</v>
      </c>
      <c r="C60" s="287"/>
      <c r="D60" s="489" t="s">
        <v>3</v>
      </c>
      <c r="E60" s="287"/>
      <c r="G60" s="287"/>
      <c r="H60" s="345" cm="1">
        <f t="array" ref="H60">INDEX(H62:H64,$E$43)</f>
        <v>40</v>
      </c>
      <c r="I60" s="346" cm="1">
        <f t="array" ref="I60">INDEX(I62:I64,$E$43)</f>
        <v>40</v>
      </c>
      <c r="J60" s="346" cm="1">
        <f t="array" ref="J60">INDEX(J62:J64,$E$43)</f>
        <v>40</v>
      </c>
      <c r="K60" s="346" cm="1">
        <f t="array" ref="K60">INDEX(K62:K64,$E$43)</f>
        <v>40</v>
      </c>
      <c r="L60" s="347" cm="1">
        <f t="array" ref="L60">INDEX(L62:L64,$E$43)</f>
        <v>40</v>
      </c>
    </row>
    <row r="61" spans="2:12" ht="15" hidden="1" customHeight="1" outlineLevel="1">
      <c r="B61" s="16"/>
      <c r="C61" s="287"/>
      <c r="D61" s="666"/>
      <c r="E61" s="287"/>
      <c r="G61" s="287"/>
      <c r="H61" s="357"/>
      <c r="I61" s="357"/>
      <c r="J61" s="357"/>
      <c r="K61" s="357"/>
      <c r="L61" s="357"/>
    </row>
    <row r="62" spans="2:12" ht="15" hidden="1" customHeight="1" outlineLevel="1">
      <c r="B62" s="288" t="str">
        <f>$B$12</f>
        <v>Best Case</v>
      </c>
      <c r="C62" s="287"/>
      <c r="D62" s="489" t="s">
        <v>3</v>
      </c>
      <c r="E62" s="287"/>
      <c r="F62" s="451"/>
      <c r="G62" s="287"/>
      <c r="H62" s="348">
        <v>45</v>
      </c>
      <c r="I62" s="349">
        <v>50</v>
      </c>
      <c r="J62" s="349">
        <v>50</v>
      </c>
      <c r="K62" s="349">
        <v>55</v>
      </c>
      <c r="L62" s="350">
        <v>55</v>
      </c>
    </row>
    <row r="63" spans="2:12" ht="15" hidden="1" customHeight="1" outlineLevel="1">
      <c r="B63" s="288" t="str">
        <f>$B$13</f>
        <v>Base Case</v>
      </c>
      <c r="C63" s="287"/>
      <c r="D63" s="489" t="s">
        <v>3</v>
      </c>
      <c r="E63" s="287"/>
      <c r="F63" s="451"/>
      <c r="G63" s="287"/>
      <c r="H63" s="351">
        <v>40</v>
      </c>
      <c r="I63" s="352">
        <v>40</v>
      </c>
      <c r="J63" s="352">
        <v>40</v>
      </c>
      <c r="K63" s="352">
        <v>40</v>
      </c>
      <c r="L63" s="353">
        <v>40</v>
      </c>
    </row>
    <row r="64" spans="2:12" ht="15" hidden="1" customHeight="1" outlineLevel="1">
      <c r="B64" s="288" t="str">
        <f>$B$14</f>
        <v>Worst Case</v>
      </c>
      <c r="C64" s="287"/>
      <c r="D64" s="489" t="s">
        <v>3</v>
      </c>
      <c r="E64" s="287"/>
      <c r="F64" s="451"/>
      <c r="G64" s="287"/>
      <c r="H64" s="354">
        <v>30</v>
      </c>
      <c r="I64" s="355">
        <v>30</v>
      </c>
      <c r="J64" s="355">
        <v>30</v>
      </c>
      <c r="K64" s="355">
        <v>30</v>
      </c>
      <c r="L64" s="356">
        <v>30</v>
      </c>
    </row>
    <row r="65" spans="1:12" ht="15" hidden="1" customHeight="1" outlineLevel="1">
      <c r="B65" s="288"/>
      <c r="D65" s="451"/>
      <c r="E65" s="451"/>
      <c r="F65" s="451"/>
      <c r="G65" s="451"/>
      <c r="H65" s="327"/>
      <c r="I65" s="327"/>
      <c r="J65" s="327"/>
      <c r="K65" s="327"/>
      <c r="L65" s="327"/>
    </row>
    <row r="66" spans="1:12" ht="15" hidden="1" customHeight="1" outlineLevel="1">
      <c r="B66" s="363" t="s">
        <v>91</v>
      </c>
      <c r="C66" s="330"/>
      <c r="D66" s="330"/>
      <c r="E66" s="330"/>
      <c r="F66" s="330"/>
      <c r="G66" s="330"/>
      <c r="H66" s="330"/>
      <c r="I66" s="330"/>
      <c r="J66" s="330"/>
      <c r="K66" s="330"/>
      <c r="L66" s="330"/>
    </row>
    <row r="67" spans="1:12" ht="15" customHeight="1" collapsed="1">
      <c r="B67" s="362"/>
      <c r="C67" s="285"/>
      <c r="D67" s="285"/>
      <c r="E67" s="285"/>
      <c r="F67" s="285"/>
      <c r="G67" s="285"/>
      <c r="H67" s="285"/>
      <c r="I67" s="285"/>
      <c r="J67" s="285"/>
      <c r="K67" s="285"/>
      <c r="L67" s="285"/>
    </row>
    <row r="68" spans="1:12" ht="15" customHeight="1">
      <c r="A68" s="143" t="s">
        <v>91</v>
      </c>
      <c r="B68" s="530" t="s">
        <v>321</v>
      </c>
      <c r="C68" s="76"/>
      <c r="D68" s="77"/>
      <c r="E68" s="77"/>
      <c r="F68" s="78"/>
      <c r="G68" s="78"/>
      <c r="H68" s="79"/>
      <c r="I68" s="79"/>
      <c r="J68" s="79"/>
      <c r="K68" s="79"/>
      <c r="L68" s="79"/>
    </row>
    <row r="69" spans="1:12" ht="15" hidden="1" customHeight="1" outlineLevel="1">
      <c r="B69" s="286"/>
      <c r="C69" s="287"/>
      <c r="D69" s="287"/>
      <c r="E69" s="287"/>
      <c r="F69" s="287"/>
      <c r="G69" s="287"/>
      <c r="H69" s="285"/>
      <c r="I69" s="285"/>
      <c r="J69" s="285"/>
      <c r="K69" s="285"/>
      <c r="L69" s="285"/>
    </row>
    <row r="70" spans="1:12" ht="15" hidden="1" customHeight="1" outlineLevel="1" thickBot="1">
      <c r="B70" s="531" t="s">
        <v>19</v>
      </c>
      <c r="C70" s="10"/>
      <c r="D70" s="7"/>
      <c r="E70" s="7"/>
      <c r="F70" s="11"/>
      <c r="G70" s="11"/>
      <c r="H70" s="75">
        <f>H$5</f>
        <v>2023</v>
      </c>
      <c r="I70" s="75">
        <f>I$5</f>
        <v>2024</v>
      </c>
      <c r="J70" s="75">
        <f>J$5</f>
        <v>2025</v>
      </c>
      <c r="K70" s="75">
        <f>K$5</f>
        <v>2026</v>
      </c>
      <c r="L70" s="75">
        <f>L$5</f>
        <v>2027</v>
      </c>
    </row>
    <row r="71" spans="1:12" ht="15" hidden="1" customHeight="1" outlineLevel="1">
      <c r="B71" s="286"/>
      <c r="C71" s="287"/>
      <c r="D71" s="287"/>
      <c r="E71" s="287"/>
      <c r="F71" s="287"/>
      <c r="G71" s="287"/>
      <c r="H71" s="285"/>
      <c r="I71" s="285"/>
      <c r="J71" s="285"/>
      <c r="K71" s="285"/>
      <c r="L71" s="285"/>
    </row>
    <row r="72" spans="1:12" ht="15" hidden="1" customHeight="1" outlineLevel="1">
      <c r="B72" s="16" t="s">
        <v>167</v>
      </c>
      <c r="C72" s="287"/>
      <c r="D72" s="360"/>
      <c r="E72" s="292">
        <f>$E$7</f>
        <v>2</v>
      </c>
      <c r="F72" s="360"/>
      <c r="G72" s="292"/>
      <c r="H72" s="285"/>
      <c r="I72" s="285"/>
      <c r="J72" s="285"/>
      <c r="K72" s="285"/>
      <c r="L72" s="285"/>
    </row>
    <row r="73" spans="1:12" ht="15" hidden="1" customHeight="1" outlineLevel="1">
      <c r="B73" s="286"/>
      <c r="C73" s="287"/>
      <c r="D73" s="287"/>
      <c r="E73" s="287"/>
      <c r="F73" s="287"/>
      <c r="G73" s="287"/>
      <c r="H73" s="285"/>
      <c r="I73" s="285"/>
      <c r="J73" s="285"/>
      <c r="K73" s="285"/>
      <c r="L73" s="285"/>
    </row>
    <row r="74" spans="1:12" ht="15" hidden="1" customHeight="1" outlineLevel="1">
      <c r="B74" s="16"/>
      <c r="C74" s="287"/>
      <c r="D74" s="287"/>
      <c r="E74" s="287"/>
      <c r="F74" s="287"/>
      <c r="G74" s="287"/>
      <c r="H74" s="453"/>
      <c r="I74" s="321"/>
      <c r="J74" s="322"/>
      <c r="K74" s="323"/>
      <c r="L74" s="323"/>
    </row>
    <row r="75" spans="1:12" ht="15" hidden="1" customHeight="1" outlineLevel="1">
      <c r="B75" s="25" t="s">
        <v>261</v>
      </c>
      <c r="C75" s="287"/>
      <c r="D75" s="489" t="s">
        <v>260</v>
      </c>
      <c r="E75" s="287"/>
      <c r="G75" s="287"/>
      <c r="H75" s="370" cm="1">
        <f t="array" ref="H75">INDEX(H77:H79,$E$72)</f>
        <v>55</v>
      </c>
      <c r="I75" s="371" cm="1">
        <f t="array" ref="I75">INDEX(I77:I79,$E$72)</f>
        <v>75</v>
      </c>
      <c r="J75" s="371" cm="1">
        <f t="array" ref="J75">INDEX(J77:J79,$E$72)</f>
        <v>95</v>
      </c>
      <c r="K75" s="371" cm="1">
        <f t="array" ref="K75">INDEX(K77:K79,$E$72)</f>
        <v>115</v>
      </c>
      <c r="L75" s="372" cm="1">
        <f t="array" ref="L75">INDEX(L77:L79,$E$72)</f>
        <v>135</v>
      </c>
    </row>
    <row r="76" spans="1:12" ht="15" hidden="1" customHeight="1" outlineLevel="1">
      <c r="B76" s="16"/>
      <c r="C76" s="287"/>
      <c r="D76" s="666"/>
      <c r="E76" s="287"/>
      <c r="G76" s="287"/>
      <c r="H76" s="456"/>
      <c r="I76" s="373"/>
      <c r="J76" s="374"/>
      <c r="K76" s="375"/>
      <c r="L76" s="375"/>
    </row>
    <row r="77" spans="1:12" ht="15" hidden="1" customHeight="1" outlineLevel="1">
      <c r="B77" s="288" t="str">
        <f>$B$12</f>
        <v>Best Case</v>
      </c>
      <c r="C77" s="287"/>
      <c r="D77" s="489" t="s">
        <v>260</v>
      </c>
      <c r="E77" s="287"/>
      <c r="F77" s="451"/>
      <c r="G77" s="287"/>
      <c r="H77" s="376">
        <v>35</v>
      </c>
      <c r="I77" s="377">
        <v>55</v>
      </c>
      <c r="J77" s="377">
        <v>75</v>
      </c>
      <c r="K77" s="377">
        <v>95</v>
      </c>
      <c r="L77" s="378">
        <v>115</v>
      </c>
    </row>
    <row r="78" spans="1:12" ht="15" hidden="1" customHeight="1" outlineLevel="1">
      <c r="B78" s="288" t="str">
        <f>$B$13</f>
        <v>Base Case</v>
      </c>
      <c r="C78" s="287"/>
      <c r="D78" s="489" t="s">
        <v>260</v>
      </c>
      <c r="E78" s="287"/>
      <c r="F78" s="451"/>
      <c r="G78" s="287"/>
      <c r="H78" s="379">
        <v>55</v>
      </c>
      <c r="I78" s="93">
        <v>75</v>
      </c>
      <c r="J78" s="93">
        <v>95</v>
      </c>
      <c r="K78" s="93">
        <v>115</v>
      </c>
      <c r="L78" s="380">
        <v>135</v>
      </c>
    </row>
    <row r="79" spans="1:12" ht="15" hidden="1" customHeight="1" outlineLevel="1">
      <c r="B79" s="288" t="str">
        <f>$B$14</f>
        <v>Worst Case</v>
      </c>
      <c r="C79" s="287"/>
      <c r="D79" s="489" t="s">
        <v>260</v>
      </c>
      <c r="E79" s="287"/>
      <c r="F79" s="451"/>
      <c r="G79" s="287"/>
      <c r="H79" s="381">
        <v>75</v>
      </c>
      <c r="I79" s="108">
        <v>95</v>
      </c>
      <c r="J79" s="108">
        <v>115</v>
      </c>
      <c r="K79" s="108">
        <v>135</v>
      </c>
      <c r="L79" s="382">
        <v>155</v>
      </c>
    </row>
    <row r="80" spans="1:12" ht="15" hidden="1" customHeight="1" outlineLevel="1">
      <c r="B80" s="16"/>
      <c r="C80" s="287"/>
      <c r="D80" s="667"/>
      <c r="E80" s="287"/>
      <c r="G80" s="287"/>
      <c r="H80" s="93"/>
      <c r="I80" s="93"/>
      <c r="J80" s="93"/>
      <c r="K80" s="93"/>
      <c r="L80" s="93"/>
    </row>
    <row r="81" spans="2:13" ht="15" hidden="1" customHeight="1" outlineLevel="1">
      <c r="B81" s="16"/>
      <c r="C81" s="287"/>
      <c r="D81" s="666"/>
      <c r="E81" s="287"/>
      <c r="G81" s="287"/>
      <c r="H81" s="93"/>
      <c r="I81" s="93"/>
      <c r="J81" s="93"/>
      <c r="K81" s="93"/>
      <c r="L81" s="93"/>
    </row>
    <row r="82" spans="2:13" ht="15" hidden="1" customHeight="1" outlineLevel="1">
      <c r="B82" s="16" t="s">
        <v>197</v>
      </c>
      <c r="C82" s="287"/>
      <c r="D82" s="489"/>
      <c r="E82" s="287"/>
      <c r="G82" s="287"/>
      <c r="H82" s="370" cm="1">
        <f t="array" ref="H82">INDEX(H84:H86,$E$72)</f>
        <v>0</v>
      </c>
      <c r="I82" s="371" cm="1">
        <f t="array" ref="I82">INDEX(I84:I86,$E$72)</f>
        <v>0</v>
      </c>
      <c r="J82" s="371" cm="1">
        <f t="array" ref="J82">INDEX(J84:J86,$E$72)</f>
        <v>0</v>
      </c>
      <c r="K82" s="371" cm="1">
        <f t="array" ref="K82">INDEX(K84:K86,$E$72)</f>
        <v>0</v>
      </c>
      <c r="L82" s="372" cm="1">
        <f t="array" ref="L82">INDEX(L84:L86,$E$72)</f>
        <v>0</v>
      </c>
    </row>
    <row r="83" spans="2:13" ht="15" hidden="1" customHeight="1" outlineLevel="1">
      <c r="B83" s="16"/>
      <c r="C83" s="287"/>
      <c r="D83" s="666"/>
      <c r="E83" s="287"/>
      <c r="G83" s="287"/>
      <c r="H83" s="455"/>
      <c r="I83" s="324"/>
      <c r="J83" s="325"/>
      <c r="K83" s="326"/>
      <c r="L83" s="326"/>
    </row>
    <row r="84" spans="2:13" ht="15" hidden="1" customHeight="1" outlineLevel="1">
      <c r="B84" s="288" t="str">
        <f>$B$12</f>
        <v>Best Case</v>
      </c>
      <c r="D84" s="489" t="s">
        <v>312</v>
      </c>
      <c r="E84" s="451"/>
      <c r="F84" s="451"/>
      <c r="G84" s="451"/>
      <c r="H84" s="376">
        <v>0</v>
      </c>
      <c r="I84" s="377">
        <v>0</v>
      </c>
      <c r="J84" s="377">
        <v>0</v>
      </c>
      <c r="K84" s="377">
        <v>0</v>
      </c>
      <c r="L84" s="378">
        <v>0</v>
      </c>
    </row>
    <row r="85" spans="2:13" hidden="1" outlineLevel="1">
      <c r="B85" s="288" t="str">
        <f>$B$13</f>
        <v>Base Case</v>
      </c>
      <c r="D85" s="489" t="s">
        <v>312</v>
      </c>
      <c r="E85" s="451"/>
      <c r="F85" s="451"/>
      <c r="G85" s="451"/>
      <c r="H85" s="379">
        <v>0</v>
      </c>
      <c r="I85" s="93">
        <v>0</v>
      </c>
      <c r="J85" s="93">
        <v>0</v>
      </c>
      <c r="K85" s="93">
        <v>0</v>
      </c>
      <c r="L85" s="380">
        <v>0</v>
      </c>
    </row>
    <row r="86" spans="2:13" hidden="1" outlineLevel="1">
      <c r="B86" s="288" t="str">
        <f>$B$14</f>
        <v>Worst Case</v>
      </c>
      <c r="D86" s="489" t="s">
        <v>312</v>
      </c>
      <c r="E86" s="451"/>
      <c r="F86" s="451"/>
      <c r="G86" s="451"/>
      <c r="H86" s="381">
        <v>0</v>
      </c>
      <c r="I86" s="108">
        <v>0</v>
      </c>
      <c r="J86" s="108">
        <v>0</v>
      </c>
      <c r="K86" s="108">
        <v>0</v>
      </c>
      <c r="L86" s="382">
        <v>0</v>
      </c>
    </row>
    <row r="87" spans="2:13" hidden="1" outlineLevel="1">
      <c r="B87" s="288"/>
      <c r="D87" s="668"/>
      <c r="E87" s="451"/>
      <c r="G87" s="451"/>
      <c r="H87" s="93"/>
      <c r="I87" s="93"/>
      <c r="J87" s="93"/>
      <c r="K87" s="93"/>
      <c r="L87" s="93"/>
    </row>
    <row r="88" spans="2:13" hidden="1" outlineLevel="1">
      <c r="D88" s="669"/>
      <c r="H88" s="180"/>
      <c r="I88" s="180"/>
      <c r="J88" s="180"/>
      <c r="K88" s="180"/>
      <c r="L88" s="180"/>
    </row>
    <row r="89" spans="2:13" ht="15" hidden="1" customHeight="1" outlineLevel="1">
      <c r="B89" s="16" t="s">
        <v>317</v>
      </c>
      <c r="C89" s="287"/>
      <c r="D89" s="667"/>
      <c r="E89" s="287"/>
      <c r="G89" s="287"/>
      <c r="H89" s="370" cm="1">
        <f t="array" ref="H89">INDEX(H91:H93,$E$72)</f>
        <v>0</v>
      </c>
      <c r="I89" s="371" cm="1">
        <f t="array" ref="I89">INDEX(I91:I93,$E$72)</f>
        <v>0</v>
      </c>
      <c r="J89" s="371" cm="1">
        <f t="array" ref="J89">INDEX(J91:J93,$E$72)</f>
        <v>0</v>
      </c>
      <c r="K89" s="371" cm="1">
        <f t="array" ref="K89">INDEX(K91:K93,$E$72)</f>
        <v>0</v>
      </c>
      <c r="L89" s="372" cm="1">
        <f t="array" ref="L89">INDEX(L91:L93,$E$72)</f>
        <v>0</v>
      </c>
      <c r="M89" s="559"/>
    </row>
    <row r="90" spans="2:13" ht="15" hidden="1" customHeight="1" outlineLevel="1">
      <c r="B90" s="16"/>
      <c r="C90" s="287"/>
      <c r="D90" s="666"/>
      <c r="E90" s="287"/>
      <c r="G90" s="287"/>
      <c r="H90" s="383"/>
      <c r="I90" s="383"/>
      <c r="J90" s="383"/>
      <c r="K90" s="383"/>
      <c r="L90" s="383"/>
      <c r="M90" s="560"/>
    </row>
    <row r="91" spans="2:13" ht="15" hidden="1" customHeight="1" outlineLevel="1">
      <c r="B91" s="288" t="str">
        <f>$B$12</f>
        <v>Best Case</v>
      </c>
      <c r="C91" s="287"/>
      <c r="D91" s="489" t="s">
        <v>313</v>
      </c>
      <c r="E91" s="287"/>
      <c r="F91" s="451"/>
      <c r="G91" s="287"/>
      <c r="H91" s="376">
        <v>0</v>
      </c>
      <c r="I91" s="377">
        <v>0</v>
      </c>
      <c r="J91" s="377">
        <v>0</v>
      </c>
      <c r="K91" s="377">
        <v>0</v>
      </c>
      <c r="L91" s="378">
        <v>0</v>
      </c>
      <c r="M91" s="559"/>
    </row>
    <row r="92" spans="2:13" ht="15" hidden="1" customHeight="1" outlineLevel="1">
      <c r="B92" s="288" t="str">
        <f>$B$13</f>
        <v>Base Case</v>
      </c>
      <c r="C92" s="287"/>
      <c r="D92" s="489" t="s">
        <v>313</v>
      </c>
      <c r="E92" s="287"/>
      <c r="F92" s="451"/>
      <c r="G92" s="287"/>
      <c r="H92" s="379">
        <v>0</v>
      </c>
      <c r="I92" s="93">
        <v>0</v>
      </c>
      <c r="J92" s="93">
        <v>0</v>
      </c>
      <c r="K92" s="93">
        <v>0</v>
      </c>
      <c r="L92" s="380">
        <v>0</v>
      </c>
    </row>
    <row r="93" spans="2:13" ht="15" hidden="1" customHeight="1" outlineLevel="1">
      <c r="B93" s="288" t="str">
        <f>$B$14</f>
        <v>Worst Case</v>
      </c>
      <c r="C93" s="287"/>
      <c r="D93" s="489" t="s">
        <v>313</v>
      </c>
      <c r="E93" s="287"/>
      <c r="F93" s="451"/>
      <c r="G93" s="287"/>
      <c r="H93" s="381">
        <v>0</v>
      </c>
      <c r="I93" s="108">
        <v>0</v>
      </c>
      <c r="J93" s="108">
        <v>0</v>
      </c>
      <c r="K93" s="108">
        <v>0</v>
      </c>
      <c r="L93" s="382">
        <v>0</v>
      </c>
    </row>
    <row r="94" spans="2:13" ht="15" hidden="1" customHeight="1" outlineLevel="1">
      <c r="B94" s="16"/>
      <c r="C94" s="287"/>
      <c r="D94" s="666"/>
      <c r="E94" s="287"/>
      <c r="G94" s="287"/>
      <c r="H94" s="93"/>
      <c r="I94" s="93"/>
      <c r="J94" s="93"/>
      <c r="K94" s="93"/>
      <c r="L94" s="93"/>
    </row>
    <row r="95" spans="2:13" ht="15" hidden="1" customHeight="1" outlineLevel="1">
      <c r="B95" s="16"/>
      <c r="C95" s="287"/>
      <c r="D95" s="666"/>
      <c r="E95" s="287"/>
      <c r="G95" s="287"/>
      <c r="H95" s="93"/>
      <c r="I95" s="93"/>
      <c r="J95" s="93"/>
      <c r="K95" s="93"/>
      <c r="L95" s="93"/>
    </row>
    <row r="96" spans="2:13" ht="15" hidden="1" customHeight="1" outlineLevel="1">
      <c r="B96" s="16" t="s">
        <v>318</v>
      </c>
      <c r="C96" s="287"/>
      <c r="D96" s="667"/>
      <c r="E96" s="287"/>
      <c r="G96" s="287"/>
      <c r="H96" s="370" cm="1">
        <f t="array" ref="H96">INDEX(H98:H100,$E$72)</f>
        <v>0</v>
      </c>
      <c r="I96" s="371" cm="1">
        <f t="array" ref="I96">INDEX(I98:I100,$E$72)</f>
        <v>0</v>
      </c>
      <c r="J96" s="371" cm="1">
        <f t="array" ref="J96">INDEX(J98:J100,$E$72)</f>
        <v>0</v>
      </c>
      <c r="K96" s="371" cm="1">
        <f t="array" ref="K96">INDEX(K98:K100,$E$72)</f>
        <v>0</v>
      </c>
      <c r="L96" s="372" cm="1">
        <f t="array" ref="L96">INDEX(L98:L100,$E$72)</f>
        <v>0</v>
      </c>
    </row>
    <row r="97" spans="2:12" ht="15" hidden="1" customHeight="1" outlineLevel="1">
      <c r="B97" s="16"/>
      <c r="C97" s="287"/>
      <c r="D97" s="666"/>
      <c r="E97" s="287"/>
      <c r="G97" s="287"/>
      <c r="H97" s="383"/>
      <c r="I97" s="383"/>
      <c r="J97" s="383"/>
      <c r="K97" s="383"/>
      <c r="L97" s="383"/>
    </row>
    <row r="98" spans="2:12" ht="15" hidden="1" customHeight="1" outlineLevel="1">
      <c r="B98" s="288" t="str">
        <f>$B$12</f>
        <v>Best Case</v>
      </c>
      <c r="C98" s="287"/>
      <c r="D98" s="489" t="s">
        <v>312</v>
      </c>
      <c r="E98" s="287"/>
      <c r="F98" s="451"/>
      <c r="G98" s="287"/>
      <c r="H98" s="376">
        <v>0</v>
      </c>
      <c r="I98" s="377">
        <v>0</v>
      </c>
      <c r="J98" s="377">
        <v>0</v>
      </c>
      <c r="K98" s="377">
        <v>0</v>
      </c>
      <c r="L98" s="378">
        <v>0</v>
      </c>
    </row>
    <row r="99" spans="2:12" ht="15" hidden="1" customHeight="1" outlineLevel="1">
      <c r="B99" s="288" t="str">
        <f>$B$13</f>
        <v>Base Case</v>
      </c>
      <c r="C99" s="287"/>
      <c r="D99" s="489" t="s">
        <v>312</v>
      </c>
      <c r="E99" s="287"/>
      <c r="F99" s="451"/>
      <c r="G99" s="287"/>
      <c r="H99" s="379">
        <v>0</v>
      </c>
      <c r="I99" s="93">
        <v>0</v>
      </c>
      <c r="J99" s="93">
        <v>0</v>
      </c>
      <c r="K99" s="93">
        <v>0</v>
      </c>
      <c r="L99" s="380">
        <v>0</v>
      </c>
    </row>
    <row r="100" spans="2:12" ht="15" hidden="1" customHeight="1" outlineLevel="1">
      <c r="B100" s="288" t="str">
        <f>$B$14</f>
        <v>Worst Case</v>
      </c>
      <c r="C100" s="287"/>
      <c r="D100" s="489" t="s">
        <v>312</v>
      </c>
      <c r="E100" s="287"/>
      <c r="F100" s="451"/>
      <c r="G100" s="287"/>
      <c r="H100" s="381">
        <v>0</v>
      </c>
      <c r="I100" s="108">
        <v>0</v>
      </c>
      <c r="J100" s="108">
        <v>0</v>
      </c>
      <c r="K100" s="108">
        <v>0</v>
      </c>
      <c r="L100" s="382">
        <v>0</v>
      </c>
    </row>
    <row r="101" spans="2:12" ht="15" hidden="1" customHeight="1" outlineLevel="1">
      <c r="B101" s="288"/>
      <c r="C101" s="287"/>
      <c r="D101" s="489"/>
      <c r="E101" s="287"/>
      <c r="F101" s="451"/>
      <c r="G101" s="287"/>
      <c r="H101" s="93"/>
      <c r="I101" s="93"/>
      <c r="J101" s="93"/>
      <c r="K101" s="93"/>
      <c r="L101" s="93"/>
    </row>
    <row r="102" spans="2:12" hidden="1" outlineLevel="1">
      <c r="B102" s="202"/>
      <c r="C102" s="202"/>
      <c r="D102" s="202"/>
      <c r="E102" s="202"/>
      <c r="F102" s="202"/>
      <c r="G102" s="202"/>
      <c r="H102" s="202"/>
      <c r="I102" s="202"/>
      <c r="J102" s="202"/>
      <c r="K102" s="202"/>
      <c r="L102" s="202" t="s">
        <v>91</v>
      </c>
    </row>
    <row r="103" spans="2:12" collapsed="1"/>
  </sheetData>
  <conditionalFormatting sqref="H2:K2 I6:L6 H7:L8 H9:K11 H12:L12 H22:L23 H24:K24 H25:L25 H26:K35 H37:L38 H40:L40 H42:L44 H45:K45 H65:K65">
    <cfRule type="containsText" dxfId="24" priority="33" operator="containsText" text="OK">
      <formula>NOT(ISERROR(SEARCH("OK",H2)))</formula>
    </cfRule>
    <cfRule type="containsText" dxfId="23" priority="34" operator="containsText" text="ERROR">
      <formula>NOT(ISERROR(SEARCH("ERROR",H2)))</formula>
    </cfRule>
  </conditionalFormatting>
  <conditionalFormatting sqref="H13:K21">
    <cfRule type="containsText" dxfId="22" priority="23" operator="containsText" text="OK">
      <formula>NOT(ISERROR(SEARCH("OK",H13)))</formula>
    </cfRule>
    <cfRule type="containsText" dxfId="21" priority="24" operator="containsText" text="ERROR">
      <formula>NOT(ISERROR(SEARCH("ERROR",H13)))</formula>
    </cfRule>
  </conditionalFormatting>
  <conditionalFormatting sqref="H47:K47 H48:L48 H50:L50">
    <cfRule type="containsText" dxfId="20" priority="21" operator="containsText" text="OK">
      <formula>NOT(ISERROR(SEARCH("OK",H47)))</formula>
    </cfRule>
    <cfRule type="containsText" dxfId="19" priority="22" operator="containsText" text="ERROR">
      <formula>NOT(ISERROR(SEARCH("ERROR",H47)))</formula>
    </cfRule>
  </conditionalFormatting>
  <conditionalFormatting sqref="H51:K52 H54:K54 H55:L57 H58:K59 H61:K61 H62:L64 I66:L67 H80:K88 H90:K90 H94:K95 H97:K97">
    <cfRule type="containsText" dxfId="18" priority="28" operator="containsText" text="ERROR">
      <formula>NOT(ISERROR(SEARCH("ERROR",H51)))</formula>
    </cfRule>
  </conditionalFormatting>
  <conditionalFormatting sqref="H76:K76 H77:L77 H79:L79">
    <cfRule type="containsText" dxfId="17" priority="3" operator="containsText" text="OK">
      <formula>NOT(ISERROR(SEARCH("OK",H76)))</formula>
    </cfRule>
    <cfRule type="containsText" dxfId="16" priority="4" operator="containsText" text="ERROR">
      <formula>NOT(ISERROR(SEARCH("ERROR",H76)))</formula>
    </cfRule>
  </conditionalFormatting>
  <conditionalFormatting sqref="H80:K88 H51:K52 H54:K54 H55:L57 H58:K59 H61:K61 H62:L64 I66:L67 H90:K90 H94:K95 H97:K97">
    <cfRule type="containsText" dxfId="15" priority="27" operator="containsText" text="OK">
      <formula>NOT(ISERROR(SEARCH("OK",H51)))</formula>
    </cfRule>
  </conditionalFormatting>
  <conditionalFormatting sqref="H69:L69 H71:L73 H74:K74">
    <cfRule type="containsText" dxfId="14" priority="19" operator="containsText" text="OK">
      <formula>NOT(ISERROR(SEARCH("OK",H69)))</formula>
    </cfRule>
    <cfRule type="containsText" dxfId="13" priority="20" operator="containsText" text="ERROR">
      <formula>NOT(ISERROR(SEARCH("ERROR",H69)))</formula>
    </cfRule>
  </conditionalFormatting>
  <conditionalFormatting sqref="H84:L84 H86:L87">
    <cfRule type="containsText" dxfId="12" priority="11" operator="containsText" text="OK">
      <formula>NOT(ISERROR(SEARCH("OK",H84)))</formula>
    </cfRule>
    <cfRule type="containsText" dxfId="11" priority="12" operator="containsText" text="ERROR">
      <formula>NOT(ISERROR(SEARCH("ERROR",H84)))</formula>
    </cfRule>
  </conditionalFormatting>
  <conditionalFormatting sqref="H91:L91 H93:L93">
    <cfRule type="containsText" dxfId="10" priority="15" operator="containsText" text="OK">
      <formula>NOT(ISERROR(SEARCH("OK",H91)))</formula>
    </cfRule>
    <cfRule type="containsText" dxfId="9" priority="16" operator="containsText" text="ERROR">
      <formula>NOT(ISERROR(SEARCH("ERROR",H91)))</formula>
    </cfRule>
  </conditionalFormatting>
  <conditionalFormatting sqref="H98:L98 H100:L101">
    <cfRule type="containsText" dxfId="8" priority="13" operator="containsText" text="OK">
      <formula>NOT(ISERROR(SEARCH("OK",H98)))</formula>
    </cfRule>
    <cfRule type="containsText" dxfId="7" priority="14" operator="containsText" text="ERROR">
      <formula>NOT(ISERROR(SEARCH("ERROR",H98)))</formula>
    </cfRule>
  </conditionalFormatting>
  <printOptions horizontalCentered="1"/>
  <pageMargins left="0.11811023622047245" right="0.11811023622047245" top="0.11811023622047245" bottom="0.11811023622047245" header="0.11811023622047245" footer="0.11811023622047245"/>
  <pageSetup scale="85" fitToHeight="0" orientation="landscape" r:id="rId1"/>
  <headerFooter>
    <oddFooter>&amp;L&amp;"Open Sans,Bold"&amp;K002060Leveraged Buyout Modeling&amp;C&amp;"Open Sans,Bold"&amp;K002060Page &amp;P of &amp;N&amp;R&amp;"Open Sans,Regular"&amp;G</oddFooter>
  </headerFooter>
  <drawing r:id="rId2"/>
  <legacyDrawing r:id="rId3"/>
  <legacyDrawingHF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110" r:id="rId5" name="Drop Down 14">
              <controlPr defaultSize="0" autoLine="0" autoPict="0">
                <anchor moveWithCells="1" sizeWithCells="1">
                  <from>
                    <xdr:col>2</xdr:col>
                    <xdr:colOff>1133475</xdr:colOff>
                    <xdr:row>6</xdr:row>
                    <xdr:rowOff>0</xdr:rowOff>
                  </from>
                  <to>
                    <xdr:col>4</xdr:col>
                    <xdr:colOff>190500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1" r:id="rId6" name="Drop Down 45">
              <controlPr defaultSize="0" autoLine="0" autoPict="0">
                <anchor moveWithCells="1" sizeWithCells="1">
                  <from>
                    <xdr:col>2</xdr:col>
                    <xdr:colOff>1133475</xdr:colOff>
                    <xdr:row>42</xdr:row>
                    <xdr:rowOff>0</xdr:rowOff>
                  </from>
                  <to>
                    <xdr:col>4</xdr:col>
                    <xdr:colOff>190500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3" r:id="rId7" name="Drop Down 47">
              <controlPr defaultSize="0" autoLine="0" autoPict="0">
                <anchor moveWithCells="1" sizeWithCells="1">
                  <from>
                    <xdr:col>3</xdr:col>
                    <xdr:colOff>9525</xdr:colOff>
                    <xdr:row>71</xdr:row>
                    <xdr:rowOff>0</xdr:rowOff>
                  </from>
                  <to>
                    <xdr:col>4</xdr:col>
                    <xdr:colOff>190500</xdr:colOff>
                    <xdr:row>72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xr2:uid="{04845461-7980-426B-BD97-4632FBA34642}">
          <x14:colorSeries rgb="FF132E57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Inputs!H100:L100</xm:f>
              <xm:sqref>F100</xm:sqref>
            </x14:sparkline>
            <x14:sparkline>
              <xm:f>Inputs!H101:L101</xm:f>
              <xm:sqref>F101</xm:sqref>
            </x14:sparkline>
          </x14:sparklines>
        </x14:sparklineGroup>
        <x14:sparklineGroup type="column" displayEmptyCellsAs="gap" xr2:uid="{CD490D2C-61AA-4657-BC4F-A7F60054E0EC}">
          <x14:colorSeries rgb="FF132E57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Inputs!H99:L99</xm:f>
              <xm:sqref>F99</xm:sqref>
            </x14:sparkline>
          </x14:sparklines>
        </x14:sparklineGroup>
        <x14:sparklineGroup type="column" displayEmptyCellsAs="gap" xr2:uid="{8D7C43C4-44B6-47CE-B501-F7461A04DAC0}">
          <x14:colorSeries rgb="FF132E57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Inputs!H98:L98</xm:f>
              <xm:sqref>F98</xm:sqref>
            </x14:sparkline>
          </x14:sparklines>
        </x14:sparklineGroup>
        <x14:sparklineGroup type="column" displayEmptyCellsAs="gap" xr2:uid="{6EF9ACC5-A251-48A2-9300-D66956DC9C41}">
          <x14:colorSeries rgb="FF132E57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Inputs!H93:L93</xm:f>
              <xm:sqref>F93</xm:sqref>
            </x14:sparkline>
          </x14:sparklines>
        </x14:sparklineGroup>
        <x14:sparklineGroup type="column" displayEmptyCellsAs="gap" xr2:uid="{D6B9760A-45A0-4A62-8A76-6D07CC8E4A1B}">
          <x14:colorSeries rgb="FF132E57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Inputs!H92:L92</xm:f>
              <xm:sqref>F92</xm:sqref>
            </x14:sparkline>
          </x14:sparklines>
        </x14:sparklineGroup>
        <x14:sparklineGroup type="column" displayEmptyCellsAs="gap" xr2:uid="{CC92B995-4823-4729-BDF9-2207D86EB59C}">
          <x14:colorSeries rgb="FF132E57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Inputs!H91:L91</xm:f>
              <xm:sqref>F91</xm:sqref>
            </x14:sparkline>
          </x14:sparklines>
        </x14:sparklineGroup>
        <x14:sparklineGroup type="column" displayEmptyCellsAs="gap" xr2:uid="{B3473A2F-FEBB-43B0-8944-4B491D991956}">
          <x14:colorSeries rgb="FF132E57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Inputs!H86:L86</xm:f>
              <xm:sqref>F86</xm:sqref>
            </x14:sparkline>
          </x14:sparklines>
        </x14:sparklineGroup>
        <x14:sparklineGroup type="column" displayEmptyCellsAs="gap" xr2:uid="{1B77156F-C792-4C33-BB0A-5689B58DCF87}">
          <x14:colorSeries rgb="FF132E57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Inputs!H85:L85</xm:f>
              <xm:sqref>F85</xm:sqref>
            </x14:sparkline>
          </x14:sparklines>
        </x14:sparklineGroup>
        <x14:sparklineGroup type="column" displayEmptyCellsAs="gap" xr2:uid="{54BE958F-ED98-4FE8-A36B-872364032E43}">
          <x14:colorSeries rgb="FF132E57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Inputs!H84:L84</xm:f>
              <xm:sqref>F84</xm:sqref>
            </x14:sparkline>
          </x14:sparklines>
        </x14:sparklineGroup>
        <x14:sparklineGroup type="column" displayEmptyCellsAs="gap" xr2:uid="{ECBF1E3B-555E-47D4-A1FF-8FF5C6726237}">
          <x14:colorSeries rgb="FF132E57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Inputs!H79:L79</xm:f>
              <xm:sqref>F79</xm:sqref>
            </x14:sparkline>
          </x14:sparklines>
        </x14:sparklineGroup>
        <x14:sparklineGroup type="column" displayEmptyCellsAs="gap" xr2:uid="{5D9287A4-25B5-4487-80DF-9E07C49A9689}">
          <x14:colorSeries rgb="FF132E57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Inputs!H78:L78</xm:f>
              <xm:sqref>F78</xm:sqref>
            </x14:sparkline>
          </x14:sparklines>
        </x14:sparklineGroup>
        <x14:sparklineGroup type="column" displayEmptyCellsAs="gap" xr2:uid="{C76006B8-00F4-43A0-875C-A87880F2681C}">
          <x14:colorSeries rgb="FF132E57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Inputs!H77:L77</xm:f>
              <xm:sqref>F77</xm:sqref>
            </x14:sparkline>
          </x14:sparklines>
        </x14:sparklineGroup>
        <x14:sparklineGroup type="column" displayEmptyCellsAs="gap" xr2:uid="{FF13F5BD-002D-4DE7-8709-ADFC3717F9BD}">
          <x14:colorSeries rgb="FF132E57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Inputs!H64:L64</xm:f>
              <xm:sqref>F64</xm:sqref>
            </x14:sparkline>
          </x14:sparklines>
        </x14:sparklineGroup>
        <x14:sparklineGroup type="column" displayEmptyCellsAs="gap" xr2:uid="{0E993D03-E1B0-4C44-B1F2-75AD7B33F14E}">
          <x14:colorSeries rgb="FF132E57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Inputs!H63:L63</xm:f>
              <xm:sqref>F63</xm:sqref>
            </x14:sparkline>
          </x14:sparklines>
        </x14:sparklineGroup>
        <x14:sparklineGroup type="column" displayEmptyCellsAs="gap" xr2:uid="{22EFBC09-D1CB-4C60-B7DF-6794FF681B83}">
          <x14:colorSeries rgb="FF132E57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Inputs!H62:L62</xm:f>
              <xm:sqref>F62</xm:sqref>
            </x14:sparkline>
          </x14:sparklines>
        </x14:sparklineGroup>
        <x14:sparklineGroup type="column" displayEmptyCellsAs="gap" xr2:uid="{090B9752-06B5-465E-8777-0D14B1376B91}">
          <x14:colorSeries rgb="FF132E57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Inputs!H57:L57</xm:f>
              <xm:sqref>F57</xm:sqref>
            </x14:sparkline>
          </x14:sparklines>
        </x14:sparklineGroup>
        <x14:sparklineGroup type="column" displayEmptyCellsAs="gap" xr2:uid="{A68F6AC8-ABE0-4D5F-9D7F-FAC0619A23EE}">
          <x14:colorSeries rgb="FF132E57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Inputs!H56:L56</xm:f>
              <xm:sqref>F56</xm:sqref>
            </x14:sparkline>
          </x14:sparklines>
        </x14:sparklineGroup>
        <x14:sparklineGroup type="column" displayEmptyCellsAs="gap" xr2:uid="{3BBCE616-8701-4D62-AFBE-DF8AF57FA6BF}">
          <x14:colorSeries rgb="FF132E57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Inputs!H55:L55</xm:f>
              <xm:sqref>F55</xm:sqref>
            </x14:sparkline>
          </x14:sparklines>
        </x14:sparklineGroup>
        <x14:sparklineGroup type="column" displayEmptyCellsAs="gap" xr2:uid="{29DC0CC3-E7AD-4146-95DE-1290A86153B8}">
          <x14:colorSeries rgb="FF132E57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Inputs!H50:L50</xm:f>
              <xm:sqref>F50</xm:sqref>
            </x14:sparkline>
          </x14:sparklines>
        </x14:sparklineGroup>
        <x14:sparklineGroup type="column" displayEmptyCellsAs="gap" xr2:uid="{271E07D2-848B-41E9-9E6B-C0572AEE418E}">
          <x14:colorSeries rgb="FF132E57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Inputs!H49:L49</xm:f>
              <xm:sqref>F49</xm:sqref>
            </x14:sparkline>
          </x14:sparklines>
        </x14:sparklineGroup>
        <x14:sparklineGroup type="column" displayEmptyCellsAs="gap" xr2:uid="{08C628EE-831D-4F89-8B21-0258E6C3026C}">
          <x14:colorSeries rgb="FF132E57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Inputs!H48:L48</xm:f>
              <xm:sqref>F48</xm:sqref>
            </x14:sparkline>
          </x14:sparklines>
        </x14:sparklineGroup>
        <x14:sparklineGroup type="column" displayEmptyCellsAs="gap" xr2:uid="{3ADEFFC5-87E9-4717-8EE1-0D8DC0D7268C}">
          <x14:colorSeries rgb="FF132E57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Inputs!H35:L35</xm:f>
              <xm:sqref>F35</xm:sqref>
            </x14:sparkline>
          </x14:sparklines>
        </x14:sparklineGroup>
        <x14:sparklineGroup type="column" displayEmptyCellsAs="gap" xr2:uid="{7AFFAF78-9297-4465-B855-E1354118FD56}">
          <x14:colorSeries rgb="FF132E57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Inputs!H34:L34</xm:f>
              <xm:sqref>F34</xm:sqref>
            </x14:sparkline>
          </x14:sparklines>
        </x14:sparklineGroup>
        <x14:sparklineGroup type="column" displayEmptyCellsAs="gap" xr2:uid="{1297F924-13E5-486C-B3F2-C216A292855F}">
          <x14:colorSeries rgb="FF132E57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Inputs!H33:L33</xm:f>
              <xm:sqref>F33</xm:sqref>
            </x14:sparkline>
          </x14:sparklines>
        </x14:sparklineGroup>
        <x14:sparklineGroup type="column" displayEmptyCellsAs="gap" xr2:uid="{F23806CA-0A7B-476D-BF24-02746B0F0D10}">
          <x14:colorSeries rgb="FF132E57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Inputs!H28:L28</xm:f>
              <xm:sqref>F28</xm:sqref>
            </x14:sparkline>
          </x14:sparklines>
        </x14:sparklineGroup>
        <x14:sparklineGroup type="column" displayEmptyCellsAs="gap" xr2:uid="{805F64EC-54E9-47C5-BE6F-E78A6FFE21A9}">
          <x14:colorSeries rgb="FF132E57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Inputs!H27:L27</xm:f>
              <xm:sqref>F27</xm:sqref>
            </x14:sparkline>
          </x14:sparklines>
        </x14:sparklineGroup>
        <x14:sparklineGroup type="column" displayEmptyCellsAs="gap" xr2:uid="{68CAC37D-CEB4-43E0-9D8B-0DA5781B9DE6}">
          <x14:colorSeries rgb="FF132E57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Inputs!H26:L26</xm:f>
              <xm:sqref>F26</xm:sqref>
            </x14:sparkline>
          </x14:sparklines>
        </x14:sparklineGroup>
        <x14:sparklineGroup type="column" displayEmptyCellsAs="gap" xr2:uid="{73080D32-FD12-434B-B22D-72BE0E7C5DA2}">
          <x14:colorSeries rgb="FF132E57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Inputs!H21:L21</xm:f>
              <xm:sqref>F21</xm:sqref>
            </x14:sparkline>
          </x14:sparklines>
        </x14:sparklineGroup>
        <x14:sparklineGroup type="column" displayEmptyCellsAs="gap" xr2:uid="{4B4CBA94-5EF0-4EE0-83F4-8D21C6FD346B}">
          <x14:colorSeries rgb="FF132E57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Inputs!H20:L20</xm:f>
              <xm:sqref>F20</xm:sqref>
            </x14:sparkline>
          </x14:sparklines>
        </x14:sparklineGroup>
        <x14:sparklineGroup type="column" displayEmptyCellsAs="gap" xr2:uid="{FBDAD014-AE12-4E09-9DBE-798B11D9EF82}">
          <x14:colorSeries rgb="FF132E57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Inputs!H19:L19</xm:f>
              <xm:sqref>F19</xm:sqref>
            </x14:sparkline>
          </x14:sparklines>
        </x14:sparklineGroup>
        <x14:sparklineGroup type="column" displayEmptyCellsAs="gap" xr2:uid="{1E43F809-A36C-4EEF-B1B0-9353C62B6676}">
          <x14:colorSeries rgb="FF132E57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Inputs!H14:L14</xm:f>
              <xm:sqref>F14</xm:sqref>
            </x14:sparkline>
          </x14:sparklines>
        </x14:sparklineGroup>
        <x14:sparklineGroup type="column" displayEmptyCellsAs="gap" xr2:uid="{5A2064A6-C4BF-4885-93C1-ED91FE7E2667}">
          <x14:colorSeries rgb="FF132E57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Inputs!H13:L13</xm:f>
              <xm:sqref>F13</xm:sqref>
            </x14:sparkline>
          </x14:sparklines>
        </x14:sparklineGroup>
        <x14:sparklineGroup type="column" displayEmptyCellsAs="gap" xr2:uid="{19B48750-7E65-4E23-9CA9-0C398E40C881}">
          <x14:colorSeries rgb="FF132E57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Inputs!H12:L12</xm:f>
              <xm:sqref>F12</xm:sqref>
            </x14:sparkline>
          </x14:sparklines>
        </x14:sparklineGroup>
      </x14:sparklineGroup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>
    <pageSetUpPr autoPageBreaks="0"/>
  </sheetPr>
  <dimension ref="A1:P577"/>
  <sheetViews>
    <sheetView showGridLines="0" tabSelected="1" zoomScaleNormal="100" zoomScaleSheetLayoutView="90" workbookViewId="0">
      <pane ySplit="1" topLeftCell="A474" activePane="bottomLeft" state="frozen"/>
      <selection pane="bottomLeft" activeCell="L548" sqref="L548"/>
    </sheetView>
  </sheetViews>
  <sheetFormatPr defaultColWidth="9.140625" defaultRowHeight="15" customHeight="1" outlineLevelRow="1"/>
  <cols>
    <col min="1" max="1" width="9.140625" style="427"/>
    <col min="2" max="3" width="1.7109375" style="427" customWidth="1"/>
    <col min="4" max="4" width="15.7109375" style="427" customWidth="1"/>
    <col min="5" max="5" width="10.7109375" style="427" customWidth="1"/>
    <col min="6" max="6" width="15.7109375" style="427" customWidth="1"/>
    <col min="7" max="7" width="1.7109375" style="427" customWidth="1"/>
    <col min="8" max="9" width="10.28515625" style="427" customWidth="1"/>
    <col min="10" max="15" width="10.7109375" style="427" customWidth="1"/>
    <col min="16" max="16" width="10.7109375" style="427" bestFit="1" customWidth="1"/>
    <col min="17" max="16384" width="9.140625" style="427"/>
  </cols>
  <sheetData>
    <row r="1" spans="1:16" ht="50.1" customHeight="1">
      <c r="A1" s="12"/>
      <c r="B1" s="426"/>
      <c r="C1" s="426"/>
      <c r="D1" s="426"/>
      <c r="E1" s="426"/>
      <c r="F1" s="426"/>
      <c r="G1" s="426"/>
      <c r="H1" s="60"/>
      <c r="I1" s="60"/>
      <c r="J1" s="60"/>
      <c r="K1" s="426"/>
      <c r="L1" s="426"/>
      <c r="M1" s="426"/>
      <c r="N1" s="426"/>
      <c r="O1" s="426"/>
      <c r="P1" s="36"/>
    </row>
    <row r="2" spans="1:16" ht="15" customHeight="1">
      <c r="A2" s="1"/>
      <c r="B2" s="1"/>
      <c r="C2" s="1"/>
      <c r="D2" s="2"/>
      <c r="E2" s="2"/>
      <c r="F2" s="2"/>
      <c r="G2" s="2"/>
      <c r="H2" s="3"/>
      <c r="I2" s="3"/>
      <c r="J2" s="4"/>
      <c r="K2" s="4"/>
      <c r="L2" s="4"/>
      <c r="M2" s="4"/>
      <c r="N2" s="4"/>
      <c r="O2" s="1"/>
      <c r="P2" s="36"/>
    </row>
    <row r="3" spans="1:16" ht="15" customHeight="1">
      <c r="A3" s="1" t="s">
        <v>91</v>
      </c>
      <c r="B3" s="530" t="s">
        <v>18</v>
      </c>
      <c r="C3" s="76"/>
      <c r="D3" s="77"/>
      <c r="E3" s="77"/>
      <c r="F3" s="78"/>
      <c r="G3" s="78"/>
      <c r="H3" s="79"/>
      <c r="I3" s="79"/>
      <c r="J3" s="79"/>
      <c r="K3" s="79"/>
      <c r="L3" s="79"/>
      <c r="M3" s="79"/>
      <c r="N3" s="79"/>
      <c r="O3" s="79"/>
      <c r="P3" s="36"/>
    </row>
    <row r="4" spans="1:16" ht="15" hidden="1" customHeight="1" outlineLevel="1">
      <c r="A4" s="1"/>
      <c r="B4" s="6"/>
      <c r="C4" s="6"/>
      <c r="D4" s="7"/>
      <c r="E4" s="7"/>
      <c r="F4" s="8"/>
      <c r="G4" s="8"/>
      <c r="H4" s="9"/>
      <c r="I4" s="9"/>
      <c r="J4" s="9"/>
      <c r="K4" s="9"/>
      <c r="L4" s="9"/>
      <c r="M4" s="9"/>
      <c r="N4" s="9"/>
      <c r="O4" s="9"/>
    </row>
    <row r="5" spans="1:16" ht="15" hidden="1" customHeight="1" outlineLevel="1" thickBot="1">
      <c r="A5" s="1"/>
      <c r="B5" s="10" t="s">
        <v>19</v>
      </c>
      <c r="C5" s="10"/>
      <c r="D5" s="7"/>
      <c r="E5" s="7"/>
      <c r="F5" s="11"/>
      <c r="G5" s="11"/>
      <c r="H5" s="83">
        <f>I5-1</f>
        <v>2020</v>
      </c>
      <c r="I5" s="83">
        <f>J5-1</f>
        <v>2021</v>
      </c>
      <c r="J5" s="641">
        <f>K5-1</f>
        <v>2022</v>
      </c>
      <c r="K5" s="75">
        <f>Transaction!$I$25</f>
        <v>2023</v>
      </c>
      <c r="L5" s="75">
        <f>K5+1</f>
        <v>2024</v>
      </c>
      <c r="M5" s="75">
        <f>L5+1</f>
        <v>2025</v>
      </c>
      <c r="N5" s="75">
        <f>M5+1</f>
        <v>2026</v>
      </c>
      <c r="O5" s="75">
        <f>N5+1</f>
        <v>2027</v>
      </c>
      <c r="P5" s="36"/>
    </row>
    <row r="6" spans="1:16" ht="15" hidden="1" customHeight="1" outlineLevel="1">
      <c r="A6" s="1"/>
      <c r="B6" s="10" t="str" cm="1">
        <f t="array" ref="B6">CONCATENATE("Model Running: ",INDEX(Inputs!$B$12:$B$14,Inputs!$E$7)," Drivers")</f>
        <v>Model Running: Base Case Drivers</v>
      </c>
      <c r="C6" s="10"/>
      <c r="D6" s="7"/>
      <c r="E6" s="7"/>
      <c r="F6" s="11"/>
      <c r="G6" s="11"/>
      <c r="H6" s="11"/>
      <c r="I6" s="11"/>
      <c r="J6" s="11"/>
      <c r="K6" s="33"/>
      <c r="L6" s="33"/>
      <c r="M6" s="33"/>
      <c r="N6" s="33"/>
      <c r="O6" s="33"/>
      <c r="P6" s="36"/>
    </row>
    <row r="7" spans="1:16" ht="15" hidden="1" customHeight="1" outlineLevel="1">
      <c r="A7" s="5"/>
      <c r="B7" s="10"/>
      <c r="C7" s="10"/>
      <c r="D7" s="7"/>
      <c r="E7" s="7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6" s="12" customFormat="1" ht="15" hidden="1" customHeight="1" outlineLevel="1">
      <c r="B8" s="115" t="s">
        <v>1</v>
      </c>
      <c r="C8" s="474"/>
      <c r="D8" s="475"/>
      <c r="E8" s="551">
        <f>Transaction!$I$27</f>
        <v>365</v>
      </c>
      <c r="F8" s="22"/>
      <c r="G8" s="14"/>
      <c r="H8" s="87">
        <v>365</v>
      </c>
      <c r="I8" s="72">
        <v>365</v>
      </c>
      <c r="J8" s="72">
        <v>365</v>
      </c>
      <c r="K8" s="753">
        <f>$E$8</f>
        <v>365</v>
      </c>
      <c r="L8" s="753">
        <f>$E$8</f>
        <v>365</v>
      </c>
      <c r="M8" s="753">
        <f>$E$8</f>
        <v>365</v>
      </c>
      <c r="N8" s="753">
        <f>$E$8</f>
        <v>365</v>
      </c>
      <c r="O8" s="754">
        <f>$E$8</f>
        <v>365</v>
      </c>
    </row>
    <row r="9" spans="1:16" s="12" customFormat="1" ht="15" hidden="1" customHeight="1" outlineLevel="1">
      <c r="B9" s="61" t="s">
        <v>9</v>
      </c>
      <c r="C9" s="429"/>
      <c r="D9" s="32"/>
      <c r="E9" s="552">
        <f>Transaction!$I$38</f>
        <v>1550</v>
      </c>
      <c r="F9" s="22"/>
      <c r="G9" s="14"/>
      <c r="H9" s="40"/>
      <c r="I9" s="40"/>
      <c r="J9" s="40"/>
      <c r="K9" s="40"/>
      <c r="L9" s="40"/>
      <c r="M9" s="40"/>
      <c r="N9" s="40"/>
      <c r="O9" s="40"/>
    </row>
    <row r="10" spans="1:16" s="12" customFormat="1" ht="15" hidden="1" customHeight="1" outlineLevel="1">
      <c r="B10" s="13"/>
      <c r="D10" s="21"/>
      <c r="E10" s="21"/>
      <c r="F10" s="22"/>
      <c r="G10" s="14"/>
      <c r="H10" s="40"/>
      <c r="I10" s="40"/>
      <c r="J10" s="40"/>
      <c r="K10" s="40"/>
      <c r="L10" s="40"/>
      <c r="M10" s="40"/>
      <c r="N10" s="40"/>
      <c r="O10" s="40"/>
    </row>
    <row r="11" spans="1:16" ht="15" hidden="1" customHeight="1" outlineLevel="1">
      <c r="A11" s="5"/>
      <c r="B11" s="10"/>
      <c r="C11" s="10"/>
      <c r="D11" s="7"/>
      <c r="E11" s="7"/>
      <c r="F11" s="11"/>
      <c r="G11" s="11"/>
      <c r="H11" s="11"/>
      <c r="I11" s="11"/>
      <c r="J11" s="11"/>
      <c r="K11" s="5"/>
      <c r="L11" s="5"/>
      <c r="M11" s="5"/>
      <c r="N11" s="5"/>
      <c r="O11" s="5"/>
      <c r="P11" s="36"/>
    </row>
    <row r="12" spans="1:16" s="12" customFormat="1" ht="15" hidden="1" customHeight="1" outlineLevel="1">
      <c r="B12" s="16" t="s">
        <v>80</v>
      </c>
      <c r="D12" s="21"/>
      <c r="E12" s="21"/>
      <c r="F12" s="22"/>
      <c r="G12" s="14"/>
      <c r="H12" s="94"/>
      <c r="I12" s="20"/>
      <c r="J12" s="20"/>
      <c r="K12" s="5"/>
      <c r="L12" s="5"/>
      <c r="M12" s="5"/>
      <c r="N12" s="5"/>
      <c r="O12" s="5"/>
      <c r="P12" s="36"/>
    </row>
    <row r="13" spans="1:16" s="12" customFormat="1" ht="15" hidden="1" customHeight="1" outlineLevel="1">
      <c r="B13" s="13"/>
      <c r="D13" s="21"/>
      <c r="E13" s="21"/>
      <c r="F13" s="22"/>
      <c r="G13" s="14"/>
      <c r="H13" s="20"/>
      <c r="I13" s="20"/>
      <c r="J13" s="20"/>
      <c r="K13" s="20"/>
      <c r="L13" s="20"/>
      <c r="M13" s="20"/>
      <c r="N13" s="20"/>
      <c r="O13" s="20"/>
      <c r="P13" s="36"/>
    </row>
    <row r="14" spans="1:16" ht="15" hidden="1" customHeight="1" outlineLevel="1">
      <c r="A14" s="5"/>
      <c r="C14" s="13" t="s">
        <v>11</v>
      </c>
      <c r="D14" s="7"/>
      <c r="E14" s="7"/>
      <c r="F14" s="11"/>
      <c r="G14" s="11"/>
      <c r="H14" s="11"/>
      <c r="I14" s="73">
        <f>I16/H16-1</f>
        <v>1.9650655021834051E-2</v>
      </c>
      <c r="J14" s="73">
        <f>J16/I16-1</f>
        <v>2.0699500356887945E-2</v>
      </c>
      <c r="K14" s="244">
        <f>Inputs!H10</f>
        <v>0.02</v>
      </c>
      <c r="L14" s="244">
        <f>Inputs!I10</f>
        <v>0.02</v>
      </c>
      <c r="M14" s="244">
        <f>Inputs!J10</f>
        <v>0.02</v>
      </c>
      <c r="N14" s="244">
        <f>Inputs!K10</f>
        <v>0.02</v>
      </c>
      <c r="O14" s="244">
        <f>Inputs!L10</f>
        <v>0.02</v>
      </c>
      <c r="P14" s="36"/>
    </row>
    <row r="15" spans="1:16" ht="15" hidden="1" customHeight="1" outlineLevel="1">
      <c r="A15" s="5"/>
      <c r="C15" s="13"/>
      <c r="D15" s="7"/>
      <c r="E15" s="7"/>
      <c r="F15" s="11"/>
      <c r="G15" s="11"/>
      <c r="H15" s="11"/>
      <c r="I15" s="73"/>
      <c r="J15" s="73"/>
      <c r="K15" s="86"/>
      <c r="L15" s="86"/>
      <c r="M15" s="86"/>
      <c r="N15" s="86"/>
      <c r="O15" s="86"/>
    </row>
    <row r="16" spans="1:16" ht="15" hidden="1" customHeight="1" outlineLevel="1">
      <c r="A16" s="5"/>
      <c r="C16" s="13" t="s">
        <v>12</v>
      </c>
      <c r="D16" s="7"/>
      <c r="E16" s="7"/>
      <c r="F16" s="22" t="s">
        <v>10</v>
      </c>
      <c r="G16" s="11"/>
      <c r="H16" s="34">
        <v>1374</v>
      </c>
      <c r="I16" s="34">
        <v>1401</v>
      </c>
      <c r="J16" s="34">
        <v>1430</v>
      </c>
      <c r="K16" s="85">
        <f>J16*(1+K14)</f>
        <v>1458.6000000000001</v>
      </c>
      <c r="L16" s="85">
        <f>K16*(1+L14)</f>
        <v>1487.7720000000002</v>
      </c>
      <c r="M16" s="85">
        <f>L16*(1+M14)</f>
        <v>1517.5274400000003</v>
      </c>
      <c r="N16" s="85">
        <f>M16*(1+N14)</f>
        <v>1547.8779888000004</v>
      </c>
      <c r="O16" s="85">
        <f>N16*(1+O14)</f>
        <v>1578.8355485760003</v>
      </c>
    </row>
    <row r="17" spans="1:16" s="12" customFormat="1" ht="15" hidden="1" customHeight="1" outlineLevel="1">
      <c r="C17" s="13" t="s">
        <v>9</v>
      </c>
      <c r="D17" s="21"/>
      <c r="E17" s="21"/>
      <c r="F17" s="22" t="s">
        <v>10</v>
      </c>
      <c r="G17" s="14"/>
      <c r="H17" s="15">
        <v>1550</v>
      </c>
      <c r="I17" s="15">
        <v>1550</v>
      </c>
      <c r="J17" s="15">
        <v>1550</v>
      </c>
      <c r="K17" s="224">
        <f>$E$9</f>
        <v>1550</v>
      </c>
      <c r="L17" s="224">
        <f>$E$9</f>
        <v>1550</v>
      </c>
      <c r="M17" s="224">
        <f>$E$9</f>
        <v>1550</v>
      </c>
      <c r="N17" s="224">
        <f>$E$9</f>
        <v>1550</v>
      </c>
      <c r="O17" s="224">
        <f>$E$9</f>
        <v>1550</v>
      </c>
      <c r="P17" s="427"/>
    </row>
    <row r="18" spans="1:16" s="12" customFormat="1" ht="15" hidden="1" customHeight="1" outlineLevel="1">
      <c r="C18" s="13" t="s">
        <v>13</v>
      </c>
      <c r="D18" s="7"/>
      <c r="E18" s="7"/>
      <c r="F18" s="11"/>
      <c r="G18" s="11"/>
      <c r="H18" s="73">
        <f t="shared" ref="H18:O18" si="0">H16/H17</f>
        <v>0.88645161290322583</v>
      </c>
      <c r="I18" s="73">
        <f t="shared" si="0"/>
        <v>0.90387096774193554</v>
      </c>
      <c r="J18" s="73">
        <f t="shared" si="0"/>
        <v>0.92258064516129035</v>
      </c>
      <c r="K18" s="73">
        <f t="shared" si="0"/>
        <v>0.94103225806451618</v>
      </c>
      <c r="L18" s="73">
        <f t="shared" si="0"/>
        <v>0.95985290322580652</v>
      </c>
      <c r="M18" s="73">
        <f t="shared" si="0"/>
        <v>0.97904996129032273</v>
      </c>
      <c r="N18" s="73">
        <f t="shared" si="0"/>
        <v>0.99863096051612932</v>
      </c>
      <c r="O18" s="73">
        <f t="shared" si="0"/>
        <v>1.0186035797264519</v>
      </c>
      <c r="P18" s="427"/>
    </row>
    <row r="19" spans="1:16" ht="15" hidden="1" customHeight="1" outlineLevel="1">
      <c r="A19" s="5"/>
      <c r="C19" s="13"/>
      <c r="D19" s="7"/>
      <c r="E19" s="7"/>
      <c r="F19" s="22"/>
      <c r="G19" s="11"/>
      <c r="H19" s="85"/>
      <c r="I19" s="85"/>
      <c r="J19" s="85"/>
      <c r="K19" s="85"/>
      <c r="L19" s="85"/>
      <c r="M19" s="85"/>
      <c r="N19" s="85"/>
      <c r="O19" s="85"/>
    </row>
    <row r="20" spans="1:16" ht="15" hidden="1" customHeight="1" outlineLevel="1">
      <c r="A20" s="5"/>
      <c r="C20" s="30"/>
      <c r="D20" s="28"/>
      <c r="E20" s="28"/>
      <c r="F20" s="31"/>
      <c r="G20" s="29"/>
      <c r="H20" s="82"/>
      <c r="I20" s="82"/>
      <c r="J20" s="82"/>
      <c r="K20" s="82"/>
      <c r="L20" s="82"/>
      <c r="M20" s="82"/>
      <c r="N20" s="82"/>
      <c r="O20" s="82"/>
    </row>
    <row r="21" spans="1:16" ht="15" hidden="1" customHeight="1" outlineLevel="1">
      <c r="A21" s="5"/>
      <c r="B21" s="10"/>
      <c r="C21" s="10"/>
      <c r="D21" s="7"/>
      <c r="E21" s="7"/>
      <c r="F21" s="11"/>
      <c r="G21" s="11"/>
      <c r="H21" s="11"/>
      <c r="I21" s="11"/>
      <c r="J21" s="11"/>
      <c r="K21" s="5"/>
      <c r="L21" s="5"/>
      <c r="M21" s="5"/>
      <c r="N21" s="5"/>
      <c r="O21" s="5"/>
    </row>
    <row r="22" spans="1:16" ht="15" hidden="1" customHeight="1" outlineLevel="1">
      <c r="A22" s="5"/>
      <c r="B22" s="10"/>
      <c r="C22" s="10"/>
      <c r="D22" s="7"/>
      <c r="E22" s="7"/>
      <c r="F22" s="11"/>
      <c r="G22" s="11"/>
      <c r="H22" s="11"/>
      <c r="I22" s="11"/>
      <c r="J22" s="11"/>
      <c r="K22" s="5"/>
      <c r="L22" s="5"/>
      <c r="M22" s="5"/>
      <c r="N22" s="5"/>
      <c r="O22" s="5"/>
    </row>
    <row r="23" spans="1:16" s="12" customFormat="1" ht="15" hidden="1" customHeight="1" outlineLevel="1">
      <c r="B23" s="16" t="s">
        <v>75</v>
      </c>
      <c r="D23" s="21"/>
      <c r="E23" s="21"/>
      <c r="F23" s="22"/>
      <c r="G23" s="14"/>
      <c r="H23" s="20"/>
      <c r="I23" s="20"/>
      <c r="J23" s="20"/>
      <c r="K23" s="20"/>
      <c r="L23" s="20"/>
      <c r="M23" s="20"/>
      <c r="N23" s="20"/>
      <c r="O23" s="20"/>
      <c r="P23" s="36"/>
    </row>
    <row r="24" spans="1:16" s="12" customFormat="1" ht="15" hidden="1" customHeight="1" outlineLevel="1">
      <c r="B24" s="13"/>
      <c r="D24" s="21"/>
      <c r="E24" s="21"/>
      <c r="F24" s="22"/>
      <c r="G24" s="14"/>
      <c r="H24" s="20"/>
      <c r="I24" s="20"/>
      <c r="J24" s="20"/>
      <c r="K24" s="20"/>
      <c r="L24" s="20"/>
      <c r="M24" s="20"/>
      <c r="N24" s="20"/>
      <c r="O24" s="20"/>
      <c r="P24" s="36"/>
    </row>
    <row r="25" spans="1:16" ht="15" hidden="1" customHeight="1" outlineLevel="1">
      <c r="A25" s="5"/>
      <c r="C25" s="13" t="s">
        <v>1</v>
      </c>
      <c r="D25" s="7"/>
      <c r="E25" s="7"/>
      <c r="F25" s="11"/>
      <c r="G25" s="11"/>
      <c r="H25" s="20">
        <f t="shared" ref="H25:O25" si="1">H8</f>
        <v>365</v>
      </c>
      <c r="I25" s="20">
        <f t="shared" si="1"/>
        <v>365</v>
      </c>
      <c r="J25" s="20">
        <f t="shared" si="1"/>
        <v>365</v>
      </c>
      <c r="K25" s="20">
        <f t="shared" si="1"/>
        <v>365</v>
      </c>
      <c r="L25" s="20">
        <f t="shared" si="1"/>
        <v>365</v>
      </c>
      <c r="M25" s="20">
        <f t="shared" si="1"/>
        <v>365</v>
      </c>
      <c r="N25" s="20">
        <f t="shared" si="1"/>
        <v>365</v>
      </c>
      <c r="O25" s="20">
        <f t="shared" si="1"/>
        <v>365</v>
      </c>
      <c r="P25" s="36"/>
    </row>
    <row r="26" spans="1:16" ht="15" hidden="1" customHeight="1" outlineLevel="1">
      <c r="A26" s="5"/>
      <c r="C26" s="13" t="s">
        <v>12</v>
      </c>
      <c r="D26" s="7"/>
      <c r="E26" s="7"/>
      <c r="F26" s="22" t="s">
        <v>10</v>
      </c>
      <c r="G26" s="11"/>
      <c r="H26" s="82">
        <f t="shared" ref="H26:O26" si="2">H16</f>
        <v>1374</v>
      </c>
      <c r="I26" s="82">
        <f t="shared" si="2"/>
        <v>1401</v>
      </c>
      <c r="J26" s="82">
        <f t="shared" si="2"/>
        <v>1430</v>
      </c>
      <c r="K26" s="85">
        <f t="shared" si="2"/>
        <v>1458.6000000000001</v>
      </c>
      <c r="L26" s="82">
        <f t="shared" si="2"/>
        <v>1487.7720000000002</v>
      </c>
      <c r="M26" s="82">
        <f t="shared" si="2"/>
        <v>1517.5274400000003</v>
      </c>
      <c r="N26" s="82">
        <f t="shared" si="2"/>
        <v>1547.8779888000004</v>
      </c>
      <c r="O26" s="82">
        <f t="shared" si="2"/>
        <v>1578.8355485760003</v>
      </c>
      <c r="P26" s="36"/>
    </row>
    <row r="27" spans="1:16" ht="15" hidden="1" customHeight="1" outlineLevel="1">
      <c r="A27" s="5"/>
      <c r="C27" s="13" t="s">
        <v>12</v>
      </c>
      <c r="D27" s="7"/>
      <c r="E27" s="7"/>
      <c r="F27" s="22" t="s">
        <v>14</v>
      </c>
      <c r="G27" s="11"/>
      <c r="H27" s="85">
        <f t="shared" ref="H27:O27" si="3">H26*H25</f>
        <v>501510</v>
      </c>
      <c r="I27" s="85">
        <f t="shared" si="3"/>
        <v>511365</v>
      </c>
      <c r="J27" s="85">
        <f t="shared" si="3"/>
        <v>521950</v>
      </c>
      <c r="K27" s="219">
        <f t="shared" si="3"/>
        <v>532389</v>
      </c>
      <c r="L27" s="85">
        <f t="shared" si="3"/>
        <v>543036.78</v>
      </c>
      <c r="M27" s="85">
        <f t="shared" si="3"/>
        <v>553897.51560000016</v>
      </c>
      <c r="N27" s="85">
        <f t="shared" si="3"/>
        <v>564975.46591200016</v>
      </c>
      <c r="O27" s="85">
        <f t="shared" si="3"/>
        <v>576274.97523024015</v>
      </c>
    </row>
    <row r="28" spans="1:16" ht="15" hidden="1" customHeight="1" outlineLevel="1">
      <c r="A28" s="5"/>
      <c r="B28" s="13"/>
      <c r="C28" s="10"/>
      <c r="D28" s="7"/>
      <c r="E28" s="7"/>
      <c r="F28" s="22"/>
      <c r="G28" s="11"/>
      <c r="H28" s="85"/>
      <c r="I28" s="85"/>
      <c r="J28" s="85"/>
      <c r="K28" s="103"/>
      <c r="L28" s="103"/>
      <c r="M28" s="103"/>
      <c r="N28" s="103"/>
      <c r="O28" s="103"/>
    </row>
    <row r="29" spans="1:16" ht="15" hidden="1" customHeight="1" outlineLevel="1">
      <c r="A29" s="5"/>
      <c r="B29" s="13"/>
      <c r="C29" s="10"/>
      <c r="D29" s="7"/>
      <c r="E29" s="7"/>
      <c r="F29" s="22"/>
      <c r="G29" s="22"/>
      <c r="H29" s="22"/>
      <c r="I29" s="22"/>
      <c r="J29" s="22"/>
      <c r="K29" s="22"/>
      <c r="L29" s="22"/>
      <c r="M29" s="22"/>
      <c r="N29" s="22"/>
      <c r="O29" s="85"/>
    </row>
    <row r="30" spans="1:16" s="12" customFormat="1" ht="15" hidden="1" customHeight="1" outlineLevel="1">
      <c r="B30" s="16" t="s">
        <v>74</v>
      </c>
      <c r="D30" s="21"/>
      <c r="E30" s="21"/>
      <c r="F30" s="22"/>
      <c r="G30" s="22"/>
      <c r="H30" s="22"/>
      <c r="I30" s="22"/>
      <c r="J30" s="22"/>
      <c r="K30" s="22"/>
      <c r="L30" s="22"/>
      <c r="M30" s="22"/>
      <c r="N30" s="22"/>
      <c r="O30" s="85"/>
      <c r="P30" s="36"/>
    </row>
    <row r="31" spans="1:16" s="12" customFormat="1" ht="15" hidden="1" customHeight="1" outlineLevel="1">
      <c r="B31" s="13"/>
      <c r="D31" s="21"/>
      <c r="E31" s="21"/>
      <c r="F31" s="22"/>
      <c r="G31" s="14"/>
      <c r="H31" s="20"/>
      <c r="I31" s="20"/>
      <c r="J31" s="20"/>
      <c r="K31" s="20"/>
      <c r="L31" s="20"/>
      <c r="M31" s="20"/>
      <c r="N31" s="20"/>
      <c r="O31" s="20"/>
      <c r="P31" s="36"/>
    </row>
    <row r="32" spans="1:16" ht="15" hidden="1" customHeight="1" outlineLevel="1">
      <c r="A32" s="5"/>
      <c r="C32" s="13" t="s">
        <v>17</v>
      </c>
      <c r="D32" s="7"/>
      <c r="E32" s="7"/>
      <c r="F32" s="11"/>
      <c r="G32" s="11"/>
      <c r="H32" s="29"/>
      <c r="I32" s="220">
        <f>I33/H33-1</f>
        <v>1.701341629399189E-2</v>
      </c>
      <c r="J32" s="220">
        <f>J33/I33-1</f>
        <v>2.1030494216614182E-2</v>
      </c>
      <c r="K32" s="220">
        <f>Inputs!H17</f>
        <v>3.5000000000000003E-2</v>
      </c>
      <c r="L32" s="220">
        <f>Inputs!I17</f>
        <v>3.5000000000000003E-2</v>
      </c>
      <c r="M32" s="220">
        <f>Inputs!J17</f>
        <v>0.03</v>
      </c>
      <c r="N32" s="220">
        <f>Inputs!K17</f>
        <v>0.03</v>
      </c>
      <c r="O32" s="220">
        <f>Inputs!L17</f>
        <v>2.5000000000000001E-2</v>
      </c>
      <c r="P32" s="36"/>
    </row>
    <row r="33" spans="1:16" ht="15" hidden="1" customHeight="1" outlineLevel="1">
      <c r="A33" s="5"/>
      <c r="C33" s="13" t="s">
        <v>15</v>
      </c>
      <c r="D33" s="7"/>
      <c r="E33" s="7"/>
      <c r="F33" s="22" t="s">
        <v>16</v>
      </c>
      <c r="G33" s="11"/>
      <c r="H33" s="84">
        <v>102.86</v>
      </c>
      <c r="I33" s="84">
        <v>104.61</v>
      </c>
      <c r="J33" s="84">
        <v>106.81</v>
      </c>
      <c r="K33" s="88">
        <f>J33*(1+K32)</f>
        <v>110.54835</v>
      </c>
      <c r="L33" s="88">
        <f>K33*(1+L32)</f>
        <v>114.41754225</v>
      </c>
      <c r="M33" s="88">
        <f>L33*(1+M32)</f>
        <v>117.85006851750001</v>
      </c>
      <c r="N33" s="88">
        <f>M33*(1+N32)</f>
        <v>121.38557057302501</v>
      </c>
      <c r="O33" s="88">
        <f>N33*(1+O32)</f>
        <v>124.42020983735063</v>
      </c>
    </row>
    <row r="34" spans="1:16" ht="15" hidden="1" customHeight="1" outlineLevel="1">
      <c r="A34" s="5"/>
      <c r="C34" s="13"/>
      <c r="D34" s="7"/>
      <c r="E34" s="7"/>
      <c r="F34" s="22"/>
      <c r="G34" s="11"/>
      <c r="H34" s="84"/>
      <c r="I34" s="84"/>
      <c r="J34" s="84"/>
      <c r="K34" s="88"/>
      <c r="L34" s="88"/>
      <c r="M34" s="88"/>
      <c r="N34" s="88"/>
      <c r="O34" s="88"/>
    </row>
    <row r="35" spans="1:16" ht="15" hidden="1" customHeight="1" outlineLevel="1">
      <c r="A35" s="5"/>
      <c r="C35" s="13"/>
      <c r="D35" s="7"/>
      <c r="E35" s="7"/>
      <c r="F35" s="22"/>
      <c r="G35" s="11"/>
      <c r="H35" s="84"/>
      <c r="I35" s="84"/>
      <c r="J35" s="84"/>
      <c r="K35" s="88"/>
      <c r="L35" s="88"/>
      <c r="M35" s="88"/>
      <c r="N35" s="88"/>
      <c r="O35" s="88"/>
    </row>
    <row r="36" spans="1:16" s="12" customFormat="1" ht="15" hidden="1" customHeight="1" outlineLevel="1">
      <c r="B36" s="16" t="s">
        <v>73</v>
      </c>
      <c r="D36" s="21"/>
      <c r="E36" s="21"/>
      <c r="F36" s="22"/>
      <c r="G36" s="14"/>
      <c r="H36" s="20"/>
      <c r="I36" s="20"/>
      <c r="J36" s="20"/>
      <c r="K36" s="20"/>
      <c r="L36" s="20"/>
      <c r="M36" s="20"/>
      <c r="N36" s="20"/>
      <c r="O36" s="20"/>
      <c r="P36" s="36"/>
    </row>
    <row r="37" spans="1:16" s="12" customFormat="1" ht="15" hidden="1" customHeight="1" outlineLevel="1">
      <c r="B37" s="13"/>
      <c r="D37" s="21"/>
      <c r="E37" s="21"/>
      <c r="F37" s="22"/>
      <c r="G37" s="14"/>
      <c r="H37" s="20"/>
      <c r="I37" s="20"/>
      <c r="J37" s="20"/>
      <c r="K37" s="20"/>
      <c r="L37" s="20"/>
      <c r="M37" s="20"/>
      <c r="N37" s="20"/>
      <c r="O37" s="20"/>
      <c r="P37" s="36"/>
    </row>
    <row r="38" spans="1:16" ht="15" hidden="1" customHeight="1" outlineLevel="1">
      <c r="A38" s="5"/>
      <c r="C38" s="13" t="s">
        <v>12</v>
      </c>
      <c r="D38" s="7"/>
      <c r="E38" s="7"/>
      <c r="F38" s="22" t="s">
        <v>14</v>
      </c>
      <c r="G38" s="11"/>
      <c r="H38" s="85">
        <f t="shared" ref="H38:O38" si="4">H27</f>
        <v>501510</v>
      </c>
      <c r="I38" s="85">
        <f t="shared" si="4"/>
        <v>511365</v>
      </c>
      <c r="J38" s="85">
        <f t="shared" si="4"/>
        <v>521950</v>
      </c>
      <c r="K38" s="85">
        <f t="shared" si="4"/>
        <v>532389</v>
      </c>
      <c r="L38" s="85">
        <f t="shared" si="4"/>
        <v>543036.78</v>
      </c>
      <c r="M38" s="85">
        <f t="shared" si="4"/>
        <v>553897.51560000016</v>
      </c>
      <c r="N38" s="85">
        <f t="shared" si="4"/>
        <v>564975.46591200016</v>
      </c>
      <c r="O38" s="85">
        <f t="shared" si="4"/>
        <v>576274.97523024015</v>
      </c>
    </row>
    <row r="39" spans="1:16" ht="15" hidden="1" customHeight="1" outlineLevel="1">
      <c r="A39" s="5"/>
      <c r="C39" s="13" t="s">
        <v>72</v>
      </c>
      <c r="D39" s="7"/>
      <c r="E39" s="7"/>
      <c r="F39" s="22" t="s">
        <v>16</v>
      </c>
      <c r="G39" s="11"/>
      <c r="H39" s="92">
        <f t="shared" ref="H39:O39" si="5">H33</f>
        <v>102.86</v>
      </c>
      <c r="I39" s="92">
        <f t="shared" si="5"/>
        <v>104.61</v>
      </c>
      <c r="J39" s="92">
        <f t="shared" si="5"/>
        <v>106.81</v>
      </c>
      <c r="K39" s="92">
        <f t="shared" si="5"/>
        <v>110.54835</v>
      </c>
      <c r="L39" s="92">
        <f t="shared" si="5"/>
        <v>114.41754225</v>
      </c>
      <c r="M39" s="92">
        <f t="shared" si="5"/>
        <v>117.85006851750001</v>
      </c>
      <c r="N39" s="92">
        <f t="shared" si="5"/>
        <v>121.38557057302501</v>
      </c>
      <c r="O39" s="92">
        <f t="shared" si="5"/>
        <v>124.42020983735063</v>
      </c>
    </row>
    <row r="40" spans="1:16" ht="15" hidden="1" customHeight="1" outlineLevel="1" thickBot="1">
      <c r="A40" s="5"/>
      <c r="C40" s="13" t="s">
        <v>0</v>
      </c>
      <c r="D40" s="7"/>
      <c r="E40" s="7"/>
      <c r="F40" s="22"/>
      <c r="G40" s="11"/>
      <c r="H40" s="221">
        <f t="shared" ref="H40:O40" si="6">H38*H39/1000</f>
        <v>51585.318599999999</v>
      </c>
      <c r="I40" s="221">
        <f t="shared" si="6"/>
        <v>53493.892650000002</v>
      </c>
      <c r="J40" s="221">
        <f t="shared" si="6"/>
        <v>55749.479500000001</v>
      </c>
      <c r="K40" s="221">
        <f t="shared" si="6"/>
        <v>58854.725508149997</v>
      </c>
      <c r="L40" s="221">
        <f t="shared" si="6"/>
        <v>62132.933718953958</v>
      </c>
      <c r="M40" s="221">
        <f t="shared" si="6"/>
        <v>65276.860165133046</v>
      </c>
      <c r="N40" s="221">
        <f t="shared" si="6"/>
        <v>68579.869289488779</v>
      </c>
      <c r="O40" s="221">
        <f t="shared" si="6"/>
        <v>71700.253342160504</v>
      </c>
      <c r="P40" s="36"/>
    </row>
    <row r="41" spans="1:16" ht="15" hidden="1" customHeight="1" outlineLevel="1">
      <c r="A41" s="5"/>
      <c r="C41" s="13"/>
      <c r="D41" s="7"/>
      <c r="E41" s="7"/>
      <c r="F41" s="22"/>
      <c r="G41" s="11"/>
      <c r="H41" s="85"/>
      <c r="I41" s="85"/>
      <c r="J41" s="85"/>
      <c r="K41" s="85"/>
      <c r="L41" s="85"/>
      <c r="M41" s="85"/>
      <c r="N41" s="85"/>
      <c r="O41" s="85"/>
      <c r="P41" s="36"/>
    </row>
    <row r="42" spans="1:16" ht="15" hidden="1" customHeight="1" outlineLevel="1">
      <c r="A42" s="5"/>
      <c r="C42" s="13"/>
      <c r="D42" s="7"/>
      <c r="E42" s="7"/>
      <c r="F42" s="22"/>
      <c r="G42" s="11"/>
      <c r="H42" s="85"/>
      <c r="I42" s="85"/>
      <c r="J42" s="85"/>
      <c r="K42" s="85"/>
      <c r="L42" s="85"/>
      <c r="M42" s="85"/>
      <c r="N42" s="85"/>
      <c r="O42" s="85"/>
      <c r="P42" s="36"/>
    </row>
    <row r="43" spans="1:16" ht="15" hidden="1" customHeight="1" outlineLevel="1">
      <c r="A43" s="5"/>
      <c r="B43" s="13" t="s">
        <v>221</v>
      </c>
      <c r="D43" s="7"/>
      <c r="E43" s="7"/>
      <c r="F43" s="22"/>
      <c r="G43" s="11"/>
      <c r="H43" s="471">
        <f t="shared" ref="H43:O43" si="7">IF(H18&gt;=1,1,0)</f>
        <v>0</v>
      </c>
      <c r="I43" s="549">
        <f t="shared" si="7"/>
        <v>0</v>
      </c>
      <c r="J43" s="549">
        <f t="shared" si="7"/>
        <v>0</v>
      </c>
      <c r="K43" s="549">
        <f t="shared" si="7"/>
        <v>0</v>
      </c>
      <c r="L43" s="549">
        <f t="shared" si="7"/>
        <v>0</v>
      </c>
      <c r="M43" s="549">
        <f t="shared" si="7"/>
        <v>0</v>
      </c>
      <c r="N43" s="549">
        <f t="shared" si="7"/>
        <v>0</v>
      </c>
      <c r="O43" s="550">
        <f t="shared" si="7"/>
        <v>1</v>
      </c>
    </row>
    <row r="44" spans="1:16" ht="15" hidden="1" customHeight="1" outlineLevel="1">
      <c r="A44" s="5"/>
      <c r="B44" s="10"/>
      <c r="C44" s="10"/>
      <c r="D44" s="7"/>
      <c r="E44" s="7"/>
      <c r="F44" s="11"/>
      <c r="G44" s="11"/>
      <c r="H44" s="11"/>
      <c r="I44" s="11"/>
      <c r="J44" s="11"/>
      <c r="K44" s="11"/>
      <c r="L44" s="5"/>
      <c r="M44" s="5"/>
      <c r="N44" s="5"/>
      <c r="O44" s="5"/>
      <c r="P44" s="36"/>
    </row>
    <row r="45" spans="1:16" ht="15" hidden="1" customHeight="1" outlineLevel="1">
      <c r="B45" s="428"/>
      <c r="C45" s="428"/>
      <c r="D45" s="428"/>
      <c r="E45" s="428"/>
      <c r="F45" s="428"/>
      <c r="G45" s="428"/>
      <c r="H45" s="428"/>
      <c r="I45" s="428"/>
      <c r="J45" s="428"/>
      <c r="K45" s="428"/>
      <c r="L45" s="428"/>
      <c r="M45" s="428"/>
      <c r="N45" s="428"/>
      <c r="O45" s="428"/>
    </row>
    <row r="46" spans="1:16" s="12" customFormat="1" ht="15" customHeight="1" collapsed="1"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</row>
    <row r="47" spans="1:16" ht="15" customHeight="1">
      <c r="A47" s="12" t="s">
        <v>91</v>
      </c>
      <c r="B47" s="530" t="s">
        <v>20</v>
      </c>
      <c r="C47" s="76"/>
      <c r="D47" s="77"/>
      <c r="E47" s="77"/>
      <c r="F47" s="78"/>
      <c r="G47" s="78"/>
      <c r="H47" s="79"/>
      <c r="I47" s="79"/>
      <c r="J47" s="79"/>
      <c r="K47" s="79"/>
      <c r="L47" s="79"/>
      <c r="M47" s="79"/>
      <c r="N47" s="79"/>
      <c r="O47" s="79"/>
    </row>
    <row r="48" spans="1:16" ht="15" hidden="1" customHeight="1" outlineLevel="1">
      <c r="A48" s="12"/>
      <c r="B48" s="6"/>
      <c r="C48" s="6"/>
      <c r="D48" s="7"/>
      <c r="E48" s="7"/>
      <c r="F48" s="8"/>
      <c r="G48" s="8"/>
      <c r="H48" s="9"/>
      <c r="I48" s="9"/>
      <c r="J48" s="9"/>
      <c r="K48" s="9"/>
      <c r="L48" s="9"/>
      <c r="M48" s="9"/>
      <c r="N48" s="9"/>
      <c r="O48" s="9"/>
    </row>
    <row r="49" spans="1:16" ht="15" hidden="1" customHeight="1" outlineLevel="1" thickBot="1">
      <c r="A49" s="12"/>
      <c r="B49" s="10" t="s">
        <v>19</v>
      </c>
      <c r="C49" s="10"/>
      <c r="D49" s="7"/>
      <c r="E49" s="7"/>
      <c r="F49" s="11"/>
      <c r="G49" s="11"/>
      <c r="H49" s="83">
        <f>I49-1</f>
        <v>2020</v>
      </c>
      <c r="I49" s="83">
        <f>J49-1</f>
        <v>2021</v>
      </c>
      <c r="J49" s="641">
        <f>K49-1</f>
        <v>2022</v>
      </c>
      <c r="K49" s="75">
        <f>$K$5</f>
        <v>2023</v>
      </c>
      <c r="L49" s="75">
        <f>K49+1</f>
        <v>2024</v>
      </c>
      <c r="M49" s="75">
        <f>L49+1</f>
        <v>2025</v>
      </c>
      <c r="N49" s="75">
        <f>M49+1</f>
        <v>2026</v>
      </c>
      <c r="O49" s="75">
        <f>N49+1</f>
        <v>2027</v>
      </c>
      <c r="P49" s="36"/>
    </row>
    <row r="50" spans="1:16" ht="15" hidden="1" customHeight="1" outlineLevel="1">
      <c r="A50" s="12"/>
      <c r="B50" s="10" t="str">
        <f>$B$6</f>
        <v>Model Running: Base Case Drivers</v>
      </c>
      <c r="C50" s="10"/>
      <c r="D50" s="7"/>
      <c r="E50" s="7"/>
      <c r="F50" s="11"/>
      <c r="G50" s="11"/>
      <c r="H50" s="11"/>
      <c r="I50" s="11"/>
      <c r="J50" s="11"/>
      <c r="K50" s="5"/>
      <c r="L50" s="5"/>
      <c r="M50" s="5"/>
      <c r="N50" s="5"/>
      <c r="O50" s="5"/>
    </row>
    <row r="51" spans="1:16" ht="15" hidden="1" customHeight="1" outlineLevel="1">
      <c r="A51" s="12"/>
      <c r="B51" s="10"/>
      <c r="C51" s="10"/>
      <c r="D51" s="7"/>
      <c r="E51" s="7"/>
      <c r="F51" s="11"/>
      <c r="G51" s="11"/>
      <c r="H51" s="11"/>
      <c r="I51" s="11"/>
      <c r="J51" s="11"/>
      <c r="K51" s="5"/>
      <c r="L51" s="5"/>
      <c r="M51" s="5"/>
      <c r="N51" s="5"/>
      <c r="O51" s="5"/>
    </row>
    <row r="52" spans="1:16" ht="15" hidden="1" customHeight="1" outlineLevel="1">
      <c r="A52" s="12"/>
      <c r="B52" s="13" t="s">
        <v>12</v>
      </c>
      <c r="C52" s="10"/>
      <c r="D52" s="7"/>
      <c r="E52" s="7"/>
      <c r="F52" s="22"/>
      <c r="G52" s="11"/>
      <c r="H52" s="562">
        <f t="shared" ref="H52:O52" si="8">H27</f>
        <v>501510</v>
      </c>
      <c r="I52" s="402">
        <f t="shared" si="8"/>
        <v>511365</v>
      </c>
      <c r="J52" s="402">
        <f t="shared" si="8"/>
        <v>521950</v>
      </c>
      <c r="K52" s="402">
        <f t="shared" si="8"/>
        <v>532389</v>
      </c>
      <c r="L52" s="402">
        <f t="shared" si="8"/>
        <v>543036.78</v>
      </c>
      <c r="M52" s="402">
        <f t="shared" si="8"/>
        <v>553897.51560000016</v>
      </c>
      <c r="N52" s="402">
        <f t="shared" si="8"/>
        <v>564975.46591200016</v>
      </c>
      <c r="O52" s="403">
        <f t="shared" si="8"/>
        <v>576274.97523024015</v>
      </c>
    </row>
    <row r="53" spans="1:16" ht="15" hidden="1" customHeight="1" outlineLevel="1">
      <c r="A53" s="12"/>
      <c r="B53" s="13" t="s">
        <v>27</v>
      </c>
      <c r="C53" s="10"/>
      <c r="D53" s="7"/>
      <c r="E53" s="7"/>
      <c r="F53" s="11"/>
      <c r="G53" s="11"/>
      <c r="H53" s="95">
        <v>2.4E-2</v>
      </c>
      <c r="I53" s="90">
        <v>2.1999999999999999E-2</v>
      </c>
      <c r="J53" s="90">
        <v>2.3E-2</v>
      </c>
      <c r="K53" s="220">
        <f>Inputs!H24</f>
        <v>3.5000000000000003E-2</v>
      </c>
      <c r="L53" s="220">
        <f>Inputs!I24</f>
        <v>0.03</v>
      </c>
      <c r="M53" s="220">
        <f>Inputs!J24</f>
        <v>0.03</v>
      </c>
      <c r="N53" s="220">
        <f>Inputs!K24</f>
        <v>2.5000000000000001E-2</v>
      </c>
      <c r="O53" s="755">
        <f>Inputs!L24</f>
        <v>2.5000000000000001E-2</v>
      </c>
      <c r="P53" s="36"/>
    </row>
    <row r="54" spans="1:16" s="12" customFormat="1" ht="15" hidden="1" customHeight="1" outlineLevel="1">
      <c r="B54" s="13"/>
      <c r="D54" s="21"/>
      <c r="E54" s="21"/>
      <c r="F54" s="99"/>
      <c r="G54" s="100"/>
      <c r="H54" s="101"/>
      <c r="I54" s="102"/>
      <c r="J54" s="102"/>
      <c r="K54" s="20"/>
      <c r="L54" s="20"/>
      <c r="M54" s="20"/>
      <c r="N54" s="20"/>
      <c r="O54" s="20"/>
      <c r="P54" s="427"/>
    </row>
    <row r="55" spans="1:16" s="12" customFormat="1" ht="15" hidden="1" customHeight="1" outlineLevel="1">
      <c r="B55" s="16" t="s">
        <v>82</v>
      </c>
      <c r="D55" s="21"/>
      <c r="E55" s="21"/>
      <c r="F55" s="22"/>
      <c r="G55" s="14"/>
      <c r="H55" s="98"/>
      <c r="I55" s="98"/>
      <c r="J55" s="98"/>
      <c r="K55" s="20"/>
      <c r="L55" s="20"/>
      <c r="M55" s="20"/>
      <c r="N55" s="20"/>
      <c r="O55" s="20"/>
      <c r="P55" s="36"/>
    </row>
    <row r="56" spans="1:16" s="12" customFormat="1" ht="15" hidden="1" customHeight="1" outlineLevel="1">
      <c r="B56" s="13"/>
      <c r="D56" s="21"/>
      <c r="E56" s="21"/>
      <c r="F56" s="22"/>
      <c r="G56" s="14"/>
      <c r="H56" s="20"/>
      <c r="I56" s="20"/>
      <c r="J56" s="20"/>
      <c r="K56" s="20"/>
      <c r="L56" s="20"/>
      <c r="M56" s="20"/>
      <c r="N56" s="20"/>
      <c r="O56" s="20"/>
      <c r="P56" s="427"/>
    </row>
    <row r="57" spans="1:16" s="12" customFormat="1" ht="15" hidden="1" customHeight="1" outlineLevel="1">
      <c r="C57" s="13" t="s">
        <v>77</v>
      </c>
      <c r="E57" s="7"/>
      <c r="F57" s="22" t="s">
        <v>16</v>
      </c>
      <c r="G57" s="11"/>
      <c r="H57" s="84">
        <v>9.51</v>
      </c>
      <c r="I57" s="84">
        <v>9.7200000000000006</v>
      </c>
      <c r="J57" s="84">
        <v>9.91</v>
      </c>
      <c r="K57" s="88">
        <f>J57*(1+K$53)</f>
        <v>10.25685</v>
      </c>
      <c r="L57" s="88">
        <f t="shared" ref="L57:O59" si="9">K57*(1+L$53)</f>
        <v>10.564555500000001</v>
      </c>
      <c r="M57" s="88">
        <f t="shared" si="9"/>
        <v>10.881492165000001</v>
      </c>
      <c r="N57" s="88">
        <f t="shared" si="9"/>
        <v>11.153529469125001</v>
      </c>
      <c r="O57" s="88">
        <f t="shared" si="9"/>
        <v>11.432367705853125</v>
      </c>
      <c r="P57" s="427"/>
    </row>
    <row r="58" spans="1:16" s="12" customFormat="1" ht="15" hidden="1" customHeight="1" outlineLevel="1">
      <c r="C58" s="13" t="s">
        <v>22</v>
      </c>
      <c r="E58" s="7"/>
      <c r="F58" s="22" t="s">
        <v>16</v>
      </c>
      <c r="G58" s="11"/>
      <c r="H58" s="84">
        <v>0.82</v>
      </c>
      <c r="I58" s="84">
        <v>0.84</v>
      </c>
      <c r="J58" s="84">
        <v>0.86</v>
      </c>
      <c r="K58" s="88">
        <f>J58*(1+K$53)</f>
        <v>0.89009999999999989</v>
      </c>
      <c r="L58" s="88">
        <f t="shared" si="9"/>
        <v>0.91680299999999992</v>
      </c>
      <c r="M58" s="88">
        <f t="shared" si="9"/>
        <v>0.9443070899999999</v>
      </c>
      <c r="N58" s="88">
        <f t="shared" si="9"/>
        <v>0.96791476724999981</v>
      </c>
      <c r="O58" s="88">
        <f t="shared" si="9"/>
        <v>0.99211263643124969</v>
      </c>
      <c r="P58" s="427"/>
    </row>
    <row r="59" spans="1:16" s="12" customFormat="1" ht="15" hidden="1" customHeight="1" outlineLevel="1">
      <c r="C59" s="13" t="s">
        <v>28</v>
      </c>
      <c r="E59" s="7"/>
      <c r="F59" s="22" t="s">
        <v>16</v>
      </c>
      <c r="G59" s="11"/>
      <c r="H59" s="91">
        <v>1.54</v>
      </c>
      <c r="I59" s="91">
        <v>1.58</v>
      </c>
      <c r="J59" s="91">
        <v>1.62</v>
      </c>
      <c r="K59" s="222">
        <f>J59*(1+K$53)</f>
        <v>1.6767000000000001</v>
      </c>
      <c r="L59" s="222">
        <f t="shared" si="9"/>
        <v>1.7270010000000002</v>
      </c>
      <c r="M59" s="222">
        <f t="shared" si="9"/>
        <v>1.7788110300000002</v>
      </c>
      <c r="N59" s="222">
        <f t="shared" si="9"/>
        <v>1.8232813057500001</v>
      </c>
      <c r="O59" s="222">
        <f t="shared" si="9"/>
        <v>1.8688633383937501</v>
      </c>
      <c r="P59" s="427"/>
    </row>
    <row r="60" spans="1:16" s="12" customFormat="1" ht="15" hidden="1" customHeight="1" outlineLevel="1">
      <c r="C60" s="13" t="s">
        <v>29</v>
      </c>
      <c r="E60" s="21"/>
      <c r="F60" s="22"/>
      <c r="G60" s="14"/>
      <c r="H60" s="92">
        <f t="shared" ref="H60:O60" si="10">SUM(H57:H59)</f>
        <v>11.870000000000001</v>
      </c>
      <c r="I60" s="92">
        <f t="shared" si="10"/>
        <v>12.14</v>
      </c>
      <c r="J60" s="92">
        <f t="shared" si="10"/>
        <v>12.39</v>
      </c>
      <c r="K60" s="92">
        <f>SUM(K57:K59)</f>
        <v>12.823650000000001</v>
      </c>
      <c r="L60" s="92">
        <f t="shared" si="10"/>
        <v>13.2083595</v>
      </c>
      <c r="M60" s="92">
        <f t="shared" si="10"/>
        <v>13.604610285000001</v>
      </c>
      <c r="N60" s="92">
        <f t="shared" si="10"/>
        <v>13.944725542124999</v>
      </c>
      <c r="O60" s="92">
        <f t="shared" si="10"/>
        <v>14.293343680678124</v>
      </c>
      <c r="P60" s="427"/>
    </row>
    <row r="61" spans="1:16" s="12" customFormat="1" ht="15" hidden="1" customHeight="1" outlineLevel="1">
      <c r="B61" s="13"/>
      <c r="C61" s="21"/>
      <c r="E61" s="21"/>
      <c r="F61" s="22"/>
      <c r="G61" s="14"/>
      <c r="H61" s="92"/>
      <c r="I61" s="92"/>
      <c r="J61" s="92"/>
      <c r="K61" s="92"/>
      <c r="L61" s="92"/>
      <c r="M61" s="92"/>
      <c r="N61" s="92"/>
      <c r="O61" s="92"/>
      <c r="P61" s="427"/>
    </row>
    <row r="62" spans="1:16" s="12" customFormat="1" ht="15" hidden="1" customHeight="1" outlineLevel="1">
      <c r="C62" s="13" t="s">
        <v>77</v>
      </c>
      <c r="E62" s="7"/>
      <c r="F62" s="22"/>
      <c r="G62" s="11"/>
      <c r="H62" s="85">
        <f t="shared" ref="H62:O64" si="11">H57*H$52/1000</f>
        <v>4769.3600999999999</v>
      </c>
      <c r="I62" s="85">
        <f t="shared" si="11"/>
        <v>4970.4678000000004</v>
      </c>
      <c r="J62" s="85">
        <f t="shared" si="11"/>
        <v>5172.5245000000004</v>
      </c>
      <c r="K62" s="85">
        <f t="shared" si="11"/>
        <v>5460.6341146499999</v>
      </c>
      <c r="L62" s="85">
        <f t="shared" si="11"/>
        <v>5736.9422008512902</v>
      </c>
      <c r="M62" s="85">
        <f t="shared" si="11"/>
        <v>6027.2314762143678</v>
      </c>
      <c r="N62" s="85">
        <f t="shared" si="11"/>
        <v>6301.4705083821209</v>
      </c>
      <c r="O62" s="85">
        <f t="shared" si="11"/>
        <v>6588.1874165135059</v>
      </c>
      <c r="P62" s="36"/>
    </row>
    <row r="63" spans="1:16" s="12" customFormat="1" ht="15" hidden="1" customHeight="1" outlineLevel="1">
      <c r="C63" s="13" t="s">
        <v>22</v>
      </c>
      <c r="E63" s="7"/>
      <c r="F63" s="22"/>
      <c r="G63" s="11"/>
      <c r="H63" s="85">
        <f t="shared" si="11"/>
        <v>411.23819999999995</v>
      </c>
      <c r="I63" s="85">
        <f t="shared" si="11"/>
        <v>429.54659999999996</v>
      </c>
      <c r="J63" s="85">
        <f t="shared" si="11"/>
        <v>448.87700000000001</v>
      </c>
      <c r="K63" s="85">
        <f t="shared" si="11"/>
        <v>473.87944889999994</v>
      </c>
      <c r="L63" s="85">
        <f t="shared" si="11"/>
        <v>497.85774901434002</v>
      </c>
      <c r="M63" s="85">
        <f t="shared" si="11"/>
        <v>523.04935111446571</v>
      </c>
      <c r="N63" s="85">
        <f t="shared" si="11"/>
        <v>546.84809659017378</v>
      </c>
      <c r="O63" s="85">
        <f t="shared" si="11"/>
        <v>571.72968498502667</v>
      </c>
      <c r="P63" s="427"/>
    </row>
    <row r="64" spans="1:16" s="12" customFormat="1" ht="15" hidden="1" customHeight="1" outlineLevel="1">
      <c r="C64" s="13" t="s">
        <v>28</v>
      </c>
      <c r="E64" s="7"/>
      <c r="F64" s="22"/>
      <c r="G64" s="11"/>
      <c r="H64" s="82">
        <f t="shared" si="11"/>
        <v>772.32540000000006</v>
      </c>
      <c r="I64" s="82">
        <f t="shared" si="11"/>
        <v>807.95670000000007</v>
      </c>
      <c r="J64" s="82">
        <f t="shared" si="11"/>
        <v>845.55899999999997</v>
      </c>
      <c r="K64" s="82">
        <f t="shared" si="11"/>
        <v>892.65663630000006</v>
      </c>
      <c r="L64" s="82">
        <f t="shared" si="11"/>
        <v>937.82506209678013</v>
      </c>
      <c r="M64" s="82">
        <f t="shared" si="11"/>
        <v>985.2790102388775</v>
      </c>
      <c r="N64" s="82">
        <f t="shared" si="11"/>
        <v>1030.1092052047463</v>
      </c>
      <c r="O64" s="82">
        <f t="shared" si="11"/>
        <v>1076.9791740415621</v>
      </c>
      <c r="P64" s="427"/>
    </row>
    <row r="65" spans="2:16" s="12" customFormat="1" ht="15" hidden="1" customHeight="1" outlineLevel="1">
      <c r="C65" s="13" t="s">
        <v>29</v>
      </c>
      <c r="E65" s="21"/>
      <c r="F65" s="22"/>
      <c r="G65" s="14"/>
      <c r="H65" s="85">
        <f t="shared" ref="H65:O65" si="12">SUM(H62:H64)</f>
        <v>5952.9236999999994</v>
      </c>
      <c r="I65" s="85">
        <f t="shared" si="12"/>
        <v>6207.9710999999998</v>
      </c>
      <c r="J65" s="85">
        <f t="shared" si="12"/>
        <v>6466.960500000001</v>
      </c>
      <c r="K65" s="85">
        <f t="shared" si="12"/>
        <v>6827.1701998500002</v>
      </c>
      <c r="L65" s="85">
        <f t="shared" si="12"/>
        <v>7172.6250119624101</v>
      </c>
      <c r="M65" s="85">
        <f t="shared" si="12"/>
        <v>7535.5598375677109</v>
      </c>
      <c r="N65" s="85">
        <f t="shared" si="12"/>
        <v>7878.4278101770406</v>
      </c>
      <c r="O65" s="85">
        <f t="shared" si="12"/>
        <v>8236.8962755400935</v>
      </c>
      <c r="P65" s="427"/>
    </row>
    <row r="66" spans="2:16" s="12" customFormat="1" ht="15" hidden="1" customHeight="1" outlineLevel="1">
      <c r="B66" s="13"/>
      <c r="C66" s="429"/>
      <c r="D66" s="32"/>
      <c r="E66" s="32"/>
      <c r="F66" s="31"/>
      <c r="G66" s="26"/>
      <c r="H66" s="71"/>
      <c r="I66" s="71"/>
      <c r="J66" s="71"/>
      <c r="K66" s="71"/>
      <c r="L66" s="71"/>
      <c r="M66" s="71"/>
      <c r="N66" s="71"/>
      <c r="O66" s="71"/>
      <c r="P66" s="427"/>
    </row>
    <row r="67" spans="2:16" s="12" customFormat="1" ht="15" hidden="1" customHeight="1" outlineLevel="1">
      <c r="B67" s="13"/>
      <c r="D67" s="21"/>
      <c r="E67" s="21"/>
      <c r="F67" s="22"/>
      <c r="G67" s="14"/>
      <c r="H67" s="20"/>
      <c r="I67" s="20"/>
      <c r="J67" s="20"/>
      <c r="K67" s="20"/>
      <c r="L67" s="20"/>
      <c r="M67" s="20"/>
      <c r="N67" s="20"/>
      <c r="O67" s="20"/>
      <c r="P67" s="427"/>
    </row>
    <row r="68" spans="2:16" s="12" customFormat="1" ht="15" hidden="1" customHeight="1" outlineLevel="1">
      <c r="B68" s="16" t="s">
        <v>81</v>
      </c>
      <c r="D68" s="21"/>
      <c r="E68" s="21"/>
      <c r="F68" s="22"/>
      <c r="G68" s="14"/>
      <c r="H68" s="20"/>
      <c r="I68" s="20"/>
      <c r="J68" s="20"/>
      <c r="K68" s="20"/>
      <c r="L68" s="20"/>
      <c r="M68" s="20"/>
      <c r="N68" s="20"/>
      <c r="O68" s="20"/>
      <c r="P68" s="427"/>
    </row>
    <row r="69" spans="2:16" s="12" customFormat="1" ht="15" hidden="1" customHeight="1" outlineLevel="1">
      <c r="B69" s="97"/>
      <c r="D69" s="21"/>
      <c r="E69" s="21"/>
      <c r="F69" s="22"/>
      <c r="G69" s="14"/>
      <c r="H69" s="20"/>
      <c r="I69" s="20"/>
      <c r="J69" s="20"/>
      <c r="K69" s="20"/>
      <c r="L69" s="20"/>
      <c r="M69" s="20"/>
      <c r="N69" s="20"/>
      <c r="O69" s="20"/>
      <c r="P69" s="427"/>
    </row>
    <row r="70" spans="2:16" s="12" customFormat="1" ht="15" hidden="1" customHeight="1" outlineLevel="1">
      <c r="C70" s="13" t="s">
        <v>26</v>
      </c>
      <c r="E70" s="7"/>
      <c r="F70" s="22" t="s">
        <v>16</v>
      </c>
      <c r="G70" s="11"/>
      <c r="H70" s="92">
        <f t="shared" ref="H70:O72" si="13">(H75*1000)/H$52</f>
        <v>31.165879045283244</v>
      </c>
      <c r="I70" s="92">
        <f t="shared" si="13"/>
        <v>31.236005592873976</v>
      </c>
      <c r="J70" s="92">
        <f t="shared" si="13"/>
        <v>31.307596513075964</v>
      </c>
      <c r="K70" s="92">
        <f t="shared" si="13"/>
        <v>31.768002344150606</v>
      </c>
      <c r="L70" s="92">
        <f t="shared" si="13"/>
        <v>32.079453347524634</v>
      </c>
      <c r="M70" s="92">
        <f t="shared" si="13"/>
        <v>32.393957792108203</v>
      </c>
      <c r="N70" s="92">
        <f t="shared" si="13"/>
        <v>32.552751702853833</v>
      </c>
      <c r="O70" s="92">
        <f t="shared" si="13"/>
        <v>32.712324015122725</v>
      </c>
      <c r="P70" s="36"/>
    </row>
    <row r="71" spans="2:16" s="12" customFormat="1" ht="15" hidden="1" customHeight="1" outlineLevel="1">
      <c r="C71" s="13" t="s">
        <v>25</v>
      </c>
      <c r="E71" s="7"/>
      <c r="F71" s="22" t="s">
        <v>16</v>
      </c>
      <c r="G71" s="11"/>
      <c r="H71" s="92">
        <f t="shared" si="13"/>
        <v>7.2800143566429387</v>
      </c>
      <c r="I71" s="92">
        <f t="shared" si="13"/>
        <v>7.2961583213555876</v>
      </c>
      <c r="J71" s="92">
        <f t="shared" si="13"/>
        <v>7.312961011591149</v>
      </c>
      <c r="K71" s="92">
        <f t="shared" si="13"/>
        <v>7.4205045558792539</v>
      </c>
      <c r="L71" s="92">
        <f t="shared" si="13"/>
        <v>7.493254600544736</v>
      </c>
      <c r="M71" s="92">
        <f t="shared" si="13"/>
        <v>7.5667178809422326</v>
      </c>
      <c r="N71" s="92">
        <f t="shared" si="13"/>
        <v>7.6038096352605757</v>
      </c>
      <c r="O71" s="92">
        <f t="shared" si="13"/>
        <v>7.64108321190401</v>
      </c>
      <c r="P71" s="427"/>
    </row>
    <row r="72" spans="2:16" s="12" customFormat="1" ht="15" hidden="1" customHeight="1" outlineLevel="1">
      <c r="C72" s="13" t="s">
        <v>24</v>
      </c>
      <c r="E72" s="7"/>
      <c r="F72" s="22" t="s">
        <v>16</v>
      </c>
      <c r="G72" s="11"/>
      <c r="H72" s="223">
        <f t="shared" si="13"/>
        <v>4.9111682718191059</v>
      </c>
      <c r="I72" s="223">
        <f t="shared" si="13"/>
        <v>4.9221202076794466</v>
      </c>
      <c r="J72" s="223">
        <f t="shared" si="13"/>
        <v>4.9334227416419196</v>
      </c>
      <c r="K72" s="223">
        <f t="shared" si="13"/>
        <v>5.0059730760778303</v>
      </c>
      <c r="L72" s="223">
        <f t="shared" si="13"/>
        <v>5.0550512434903574</v>
      </c>
      <c r="M72" s="223">
        <f t="shared" si="13"/>
        <v>5.1046105694069288</v>
      </c>
      <c r="N72" s="223">
        <f t="shared" si="13"/>
        <v>5.129633170237355</v>
      </c>
      <c r="O72" s="223">
        <f t="shared" si="13"/>
        <v>5.1547784308757736</v>
      </c>
      <c r="P72" s="427"/>
    </row>
    <row r="73" spans="2:16" s="12" customFormat="1" ht="15" hidden="1" customHeight="1" outlineLevel="1">
      <c r="C73" s="13" t="s">
        <v>29</v>
      </c>
      <c r="E73" s="21"/>
      <c r="F73" s="22"/>
      <c r="G73" s="14"/>
      <c r="H73" s="92">
        <f t="shared" ref="H73:O73" si="14">SUM(H70:H72)</f>
        <v>43.357061673745292</v>
      </c>
      <c r="I73" s="92">
        <f t="shared" si="14"/>
        <v>43.454284121909012</v>
      </c>
      <c r="J73" s="92">
        <f t="shared" si="14"/>
        <v>43.553980266309033</v>
      </c>
      <c r="K73" s="92">
        <f t="shared" si="14"/>
        <v>44.194479976107687</v>
      </c>
      <c r="L73" s="92">
        <f t="shared" si="14"/>
        <v>44.627759191559733</v>
      </c>
      <c r="M73" s="92">
        <f t="shared" si="14"/>
        <v>45.065286242457368</v>
      </c>
      <c r="N73" s="92">
        <f t="shared" si="14"/>
        <v>45.286194508351763</v>
      </c>
      <c r="O73" s="92">
        <f t="shared" si="14"/>
        <v>45.508185657902509</v>
      </c>
      <c r="P73" s="427"/>
    </row>
    <row r="74" spans="2:16" s="12" customFormat="1" ht="15" hidden="1" customHeight="1" outlineLevel="1">
      <c r="B74" s="13"/>
      <c r="C74" s="21"/>
      <c r="E74" s="21"/>
      <c r="F74" s="22"/>
      <c r="G74" s="14"/>
      <c r="H74" s="20"/>
      <c r="I74" s="20"/>
      <c r="J74" s="20"/>
      <c r="K74" s="20"/>
      <c r="L74" s="20"/>
      <c r="M74" s="20"/>
      <c r="N74" s="20"/>
      <c r="O74" s="20"/>
      <c r="P74" s="427"/>
    </row>
    <row r="75" spans="2:16" s="12" customFormat="1" ht="15" hidden="1" customHeight="1" outlineLevel="1">
      <c r="C75" s="13" t="s">
        <v>26</v>
      </c>
      <c r="E75" s="7"/>
      <c r="F75" s="34"/>
      <c r="G75" s="11"/>
      <c r="H75" s="34">
        <v>15630</v>
      </c>
      <c r="I75" s="34">
        <v>15973</v>
      </c>
      <c r="J75" s="34">
        <v>16341</v>
      </c>
      <c r="K75" s="35">
        <f t="shared" ref="K75:O77" si="15">J75*(1+K$53)</f>
        <v>16912.934999999998</v>
      </c>
      <c r="L75" s="35">
        <f t="shared" si="15"/>
        <v>17420.323049999999</v>
      </c>
      <c r="M75" s="35">
        <f t="shared" si="15"/>
        <v>17942.932741500001</v>
      </c>
      <c r="N75" s="35">
        <f t="shared" si="15"/>
        <v>18391.5060600375</v>
      </c>
      <c r="O75" s="35">
        <f t="shared" si="15"/>
        <v>18851.293711538437</v>
      </c>
      <c r="P75" s="427"/>
    </row>
    <row r="76" spans="2:16" s="12" customFormat="1" ht="15" hidden="1" customHeight="1" outlineLevel="1">
      <c r="C76" s="13" t="s">
        <v>25</v>
      </c>
      <c r="E76" s="7"/>
      <c r="F76" s="22"/>
      <c r="G76" s="11"/>
      <c r="H76" s="34">
        <v>3651</v>
      </c>
      <c r="I76" s="34">
        <v>3731</v>
      </c>
      <c r="J76" s="34">
        <v>3817</v>
      </c>
      <c r="K76" s="35">
        <f t="shared" si="15"/>
        <v>3950.5949999999998</v>
      </c>
      <c r="L76" s="35">
        <f t="shared" si="15"/>
        <v>4069.11285</v>
      </c>
      <c r="M76" s="35">
        <f t="shared" si="15"/>
        <v>4191.1862355000003</v>
      </c>
      <c r="N76" s="35">
        <f t="shared" si="15"/>
        <v>4295.9658913875001</v>
      </c>
      <c r="O76" s="35">
        <f t="shared" si="15"/>
        <v>4403.3650386721874</v>
      </c>
      <c r="P76" s="427"/>
    </row>
    <row r="77" spans="2:16" s="12" customFormat="1" ht="15" hidden="1" customHeight="1" outlineLevel="1">
      <c r="C77" s="13" t="s">
        <v>24</v>
      </c>
      <c r="E77" s="7"/>
      <c r="F77" s="22"/>
      <c r="G77" s="11"/>
      <c r="H77" s="15">
        <v>2463</v>
      </c>
      <c r="I77" s="15">
        <v>2517</v>
      </c>
      <c r="J77" s="15">
        <v>2575</v>
      </c>
      <c r="K77" s="224">
        <f t="shared" si="15"/>
        <v>2665.125</v>
      </c>
      <c r="L77" s="224">
        <f t="shared" si="15"/>
        <v>2745.0787500000001</v>
      </c>
      <c r="M77" s="224">
        <f t="shared" si="15"/>
        <v>2827.4311125000004</v>
      </c>
      <c r="N77" s="224">
        <f t="shared" si="15"/>
        <v>2898.1168903125003</v>
      </c>
      <c r="O77" s="224">
        <f t="shared" si="15"/>
        <v>2970.5698125703125</v>
      </c>
      <c r="P77" s="427"/>
    </row>
    <row r="78" spans="2:16" s="12" customFormat="1" ht="15" hidden="1" customHeight="1" outlineLevel="1">
      <c r="C78" s="13" t="s">
        <v>29</v>
      </c>
      <c r="E78" s="21"/>
      <c r="F78" s="22"/>
      <c r="G78" s="14"/>
      <c r="H78" s="85">
        <f t="shared" ref="H78:O78" si="16">SUM(H75:H77)</f>
        <v>21744</v>
      </c>
      <c r="I78" s="85">
        <f t="shared" si="16"/>
        <v>22221</v>
      </c>
      <c r="J78" s="85">
        <f t="shared" si="16"/>
        <v>22733</v>
      </c>
      <c r="K78" s="85">
        <f t="shared" si="16"/>
        <v>23528.654999999999</v>
      </c>
      <c r="L78" s="85">
        <f t="shared" si="16"/>
        <v>24234.514650000001</v>
      </c>
      <c r="M78" s="85">
        <f t="shared" si="16"/>
        <v>24961.5500895</v>
      </c>
      <c r="N78" s="85">
        <f>SUM(N75:N77)</f>
        <v>25585.588841737499</v>
      </c>
      <c r="O78" s="85">
        <f t="shared" si="16"/>
        <v>26225.22856278094</v>
      </c>
      <c r="P78" s="427"/>
    </row>
    <row r="79" spans="2:16" s="12" customFormat="1" ht="15" hidden="1" customHeight="1" outlineLevel="1">
      <c r="B79" s="13"/>
      <c r="C79" s="429"/>
      <c r="D79" s="32"/>
      <c r="E79" s="32"/>
      <c r="F79" s="31"/>
      <c r="G79" s="26"/>
      <c r="H79" s="71"/>
      <c r="I79" s="104"/>
      <c r="J79" s="104"/>
      <c r="K79" s="71"/>
      <c r="L79" s="71"/>
      <c r="M79" s="71"/>
      <c r="N79" s="71"/>
      <c r="O79" s="71"/>
      <c r="P79" s="427"/>
    </row>
    <row r="80" spans="2:16" s="12" customFormat="1" ht="15" hidden="1" customHeight="1" outlineLevel="1">
      <c r="B80" s="13"/>
      <c r="D80" s="21"/>
      <c r="E80" s="21"/>
      <c r="F80" s="22"/>
      <c r="G80" s="14"/>
      <c r="H80" s="20"/>
      <c r="I80" s="103"/>
      <c r="J80" s="103"/>
      <c r="K80" s="20"/>
      <c r="L80" s="20"/>
      <c r="M80" s="20"/>
      <c r="N80" s="20"/>
      <c r="O80" s="20"/>
      <c r="P80" s="427"/>
    </row>
    <row r="81" spans="1:16" s="12" customFormat="1" ht="15" hidden="1" customHeight="1" outlineLevel="1">
      <c r="B81" s="16" t="s">
        <v>83</v>
      </c>
      <c r="D81" s="21"/>
      <c r="E81" s="21"/>
      <c r="F81" s="22"/>
      <c r="G81" s="14"/>
      <c r="H81" s="20"/>
      <c r="I81" s="20"/>
      <c r="J81" s="20"/>
      <c r="K81" s="20"/>
      <c r="P81" s="427"/>
    </row>
    <row r="82" spans="1:16" s="12" customFormat="1" ht="15" hidden="1" customHeight="1" outlineLevel="1">
      <c r="B82" s="16"/>
      <c r="D82" s="21"/>
      <c r="E82" s="21"/>
      <c r="F82" s="22"/>
      <c r="G82" s="14"/>
      <c r="H82" s="20"/>
      <c r="I82" s="20"/>
      <c r="J82" s="20"/>
      <c r="K82" s="20"/>
      <c r="L82" s="20"/>
      <c r="M82" s="20"/>
      <c r="N82" s="20"/>
      <c r="O82" s="20"/>
      <c r="P82" s="427"/>
    </row>
    <row r="83" spans="1:16" s="12" customFormat="1" ht="15" hidden="1" customHeight="1" outlineLevel="1">
      <c r="B83" s="16"/>
      <c r="C83" s="13" t="s">
        <v>21</v>
      </c>
      <c r="E83" s="21"/>
      <c r="F83" s="22" t="s">
        <v>16</v>
      </c>
      <c r="G83" s="14"/>
      <c r="H83" s="92">
        <f t="shared" ref="H83:O83" si="17">H60</f>
        <v>11.870000000000001</v>
      </c>
      <c r="I83" s="92">
        <f t="shared" si="17"/>
        <v>12.14</v>
      </c>
      <c r="J83" s="92">
        <f t="shared" si="17"/>
        <v>12.39</v>
      </c>
      <c r="K83" s="92">
        <f t="shared" si="17"/>
        <v>12.823650000000001</v>
      </c>
      <c r="L83" s="92">
        <f t="shared" si="17"/>
        <v>13.2083595</v>
      </c>
      <c r="M83" s="92">
        <f t="shared" si="17"/>
        <v>13.604610285000001</v>
      </c>
      <c r="N83" s="92">
        <f t="shared" si="17"/>
        <v>13.944725542124999</v>
      </c>
      <c r="O83" s="92">
        <f t="shared" si="17"/>
        <v>14.293343680678124</v>
      </c>
      <c r="P83" s="427"/>
    </row>
    <row r="84" spans="1:16" s="12" customFormat="1" ht="15" hidden="1" customHeight="1" outlineLevel="1">
      <c r="B84" s="16"/>
      <c r="C84" s="13" t="s">
        <v>23</v>
      </c>
      <c r="E84" s="21"/>
      <c r="F84" s="22" t="s">
        <v>16</v>
      </c>
      <c r="G84" s="14"/>
      <c r="H84" s="223">
        <f t="shared" ref="H84:O84" si="18">H73</f>
        <v>43.357061673745292</v>
      </c>
      <c r="I84" s="223">
        <f t="shared" si="18"/>
        <v>43.454284121909012</v>
      </c>
      <c r="J84" s="223">
        <f t="shared" si="18"/>
        <v>43.553980266309033</v>
      </c>
      <c r="K84" s="223">
        <f t="shared" si="18"/>
        <v>44.194479976107687</v>
      </c>
      <c r="L84" s="223">
        <f t="shared" si="18"/>
        <v>44.627759191559733</v>
      </c>
      <c r="M84" s="223">
        <f t="shared" si="18"/>
        <v>45.065286242457368</v>
      </c>
      <c r="N84" s="223">
        <f t="shared" si="18"/>
        <v>45.286194508351763</v>
      </c>
      <c r="O84" s="223">
        <f t="shared" si="18"/>
        <v>45.508185657902509</v>
      </c>
      <c r="P84" s="427"/>
    </row>
    <row r="85" spans="1:16" s="12" customFormat="1" ht="15" hidden="1" customHeight="1" outlineLevel="1">
      <c r="B85" s="16"/>
      <c r="C85" s="13" t="s">
        <v>30</v>
      </c>
      <c r="E85" s="21"/>
      <c r="F85" s="22" t="s">
        <v>16</v>
      </c>
      <c r="G85" s="14"/>
      <c r="H85" s="92">
        <f t="shared" ref="H85:O85" si="19">SUM(H83:H84)</f>
        <v>55.227061673745297</v>
      </c>
      <c r="I85" s="92">
        <f t="shared" si="19"/>
        <v>55.594284121909013</v>
      </c>
      <c r="J85" s="92">
        <f t="shared" si="19"/>
        <v>55.943980266309033</v>
      </c>
      <c r="K85" s="92">
        <f t="shared" si="19"/>
        <v>57.018129976107687</v>
      </c>
      <c r="L85" s="92">
        <f t="shared" si="19"/>
        <v>57.836118691559733</v>
      </c>
      <c r="M85" s="92">
        <f t="shared" si="19"/>
        <v>58.669896527457368</v>
      </c>
      <c r="N85" s="92">
        <f t="shared" si="19"/>
        <v>59.230920050476762</v>
      </c>
      <c r="O85" s="92">
        <f t="shared" si="19"/>
        <v>59.801529338580636</v>
      </c>
      <c r="P85" s="427"/>
    </row>
    <row r="86" spans="1:16" s="12" customFormat="1" ht="15" hidden="1" customHeight="1" outlineLevel="1">
      <c r="B86" s="16"/>
      <c r="C86" s="13"/>
      <c r="E86" s="21"/>
      <c r="F86" s="22"/>
      <c r="G86" s="14"/>
      <c r="H86" s="92"/>
      <c r="I86" s="92"/>
      <c r="J86" s="92"/>
      <c r="K86" s="92"/>
      <c r="L86" s="92"/>
      <c r="M86" s="92"/>
      <c r="N86" s="92"/>
      <c r="O86" s="92"/>
      <c r="P86" s="427"/>
    </row>
    <row r="87" spans="1:16" s="12" customFormat="1" ht="15" hidden="1" customHeight="1" outlineLevel="1">
      <c r="B87" s="16"/>
      <c r="C87" s="13" t="s">
        <v>21</v>
      </c>
      <c r="E87" s="21"/>
      <c r="F87" s="22"/>
      <c r="G87" s="14"/>
      <c r="H87" s="85">
        <f t="shared" ref="H87:O87" si="20">H65</f>
        <v>5952.9236999999994</v>
      </c>
      <c r="I87" s="85">
        <f t="shared" si="20"/>
        <v>6207.9710999999998</v>
      </c>
      <c r="J87" s="85">
        <f t="shared" si="20"/>
        <v>6466.960500000001</v>
      </c>
      <c r="K87" s="85">
        <f t="shared" si="20"/>
        <v>6827.1701998500002</v>
      </c>
      <c r="L87" s="85">
        <f t="shared" si="20"/>
        <v>7172.6250119624101</v>
      </c>
      <c r="M87" s="85">
        <f t="shared" si="20"/>
        <v>7535.5598375677109</v>
      </c>
      <c r="N87" s="85">
        <f t="shared" si="20"/>
        <v>7878.4278101770406</v>
      </c>
      <c r="O87" s="85">
        <f t="shared" si="20"/>
        <v>8236.8962755400935</v>
      </c>
      <c r="P87" s="427"/>
    </row>
    <row r="88" spans="1:16" s="12" customFormat="1" ht="15" hidden="1" customHeight="1" outlineLevel="1">
      <c r="B88" s="16"/>
      <c r="C88" s="13" t="s">
        <v>23</v>
      </c>
      <c r="E88" s="21"/>
      <c r="F88" s="22"/>
      <c r="G88" s="14"/>
      <c r="H88" s="85">
        <f t="shared" ref="H88:O88" si="21">H78</f>
        <v>21744</v>
      </c>
      <c r="I88" s="85">
        <f t="shared" si="21"/>
        <v>22221</v>
      </c>
      <c r="J88" s="85">
        <f t="shared" si="21"/>
        <v>22733</v>
      </c>
      <c r="K88" s="85">
        <f t="shared" si="21"/>
        <v>23528.654999999999</v>
      </c>
      <c r="L88" s="85">
        <f t="shared" si="21"/>
        <v>24234.514650000001</v>
      </c>
      <c r="M88" s="85">
        <f t="shared" si="21"/>
        <v>24961.5500895</v>
      </c>
      <c r="N88" s="85">
        <f t="shared" si="21"/>
        <v>25585.588841737499</v>
      </c>
      <c r="O88" s="85">
        <f t="shared" si="21"/>
        <v>26225.22856278094</v>
      </c>
      <c r="P88" s="427"/>
    </row>
    <row r="89" spans="1:16" s="12" customFormat="1" ht="15" hidden="1" customHeight="1" outlineLevel="1" thickBot="1">
      <c r="B89" s="16"/>
      <c r="C89" s="13" t="s">
        <v>30</v>
      </c>
      <c r="E89" s="21"/>
      <c r="F89" s="22"/>
      <c r="G89" s="14"/>
      <c r="H89" s="225">
        <f t="shared" ref="H89:O89" si="22">SUM(H87:H88)</f>
        <v>27696.923699999999</v>
      </c>
      <c r="I89" s="225">
        <f t="shared" si="22"/>
        <v>28428.971099999999</v>
      </c>
      <c r="J89" s="225">
        <f t="shared" si="22"/>
        <v>29199.960500000001</v>
      </c>
      <c r="K89" s="225">
        <f t="shared" si="22"/>
        <v>30355.825199849998</v>
      </c>
      <c r="L89" s="225">
        <f t="shared" si="22"/>
        <v>31407.13966196241</v>
      </c>
      <c r="M89" s="225">
        <f t="shared" si="22"/>
        <v>32497.109927067711</v>
      </c>
      <c r="N89" s="225">
        <f t="shared" si="22"/>
        <v>33464.016651914542</v>
      </c>
      <c r="O89" s="225">
        <f t="shared" si="22"/>
        <v>34462.124838321033</v>
      </c>
      <c r="P89" s="427"/>
    </row>
    <row r="90" spans="1:16" s="12" customFormat="1" ht="15" hidden="1" customHeight="1" outlineLevel="1">
      <c r="B90" s="16"/>
      <c r="D90" s="21"/>
      <c r="E90" s="21"/>
      <c r="F90" s="22"/>
      <c r="G90" s="14"/>
      <c r="H90" s="20"/>
      <c r="I90" s="20"/>
      <c r="J90" s="20"/>
      <c r="K90" s="20"/>
      <c r="L90" s="20"/>
      <c r="M90" s="20"/>
      <c r="N90" s="20"/>
      <c r="O90" s="20"/>
      <c r="P90" s="427"/>
    </row>
    <row r="91" spans="1:16" s="12" customFormat="1" ht="15" hidden="1" customHeight="1" outlineLevel="1">
      <c r="B91" s="30"/>
      <c r="C91" s="30"/>
      <c r="D91" s="28"/>
      <c r="E91" s="28"/>
      <c r="F91" s="31"/>
      <c r="G91" s="29"/>
      <c r="H91" s="15"/>
      <c r="I91" s="15"/>
      <c r="J91" s="105"/>
      <c r="K91" s="105"/>
      <c r="L91" s="105"/>
      <c r="M91" s="105"/>
      <c r="N91" s="105"/>
      <c r="O91" s="105"/>
    </row>
    <row r="92" spans="1:16" s="12" customFormat="1" ht="15" customHeight="1" collapsed="1">
      <c r="B92" s="13"/>
      <c r="C92" s="13"/>
      <c r="D92" s="7"/>
      <c r="E92" s="7"/>
      <c r="F92" s="22"/>
      <c r="G92" s="11"/>
      <c r="H92" s="34"/>
      <c r="I92" s="34"/>
      <c r="J92" s="34"/>
      <c r="K92" s="35"/>
      <c r="L92" s="35"/>
      <c r="M92" s="35"/>
      <c r="N92" s="35"/>
      <c r="O92" s="35"/>
    </row>
    <row r="93" spans="1:16" s="5" customFormat="1" ht="15" customHeight="1">
      <c r="A93" s="12" t="s">
        <v>91</v>
      </c>
      <c r="B93" s="530" t="s">
        <v>34</v>
      </c>
      <c r="C93" s="76"/>
      <c r="D93" s="77"/>
      <c r="E93" s="77"/>
      <c r="F93" s="78"/>
      <c r="G93" s="78"/>
      <c r="H93" s="79"/>
      <c r="I93" s="79"/>
      <c r="J93" s="79"/>
      <c r="K93" s="79"/>
      <c r="L93" s="79"/>
      <c r="M93" s="79"/>
      <c r="N93" s="79"/>
      <c r="O93" s="79"/>
      <c r="P93" s="12"/>
    </row>
    <row r="94" spans="1:16" s="5" customFormat="1" ht="15" hidden="1" customHeight="1" outlineLevel="1">
      <c r="B94" s="6"/>
      <c r="C94" s="6"/>
      <c r="D94" s="7"/>
      <c r="E94" s="7"/>
      <c r="F94" s="8"/>
      <c r="G94" s="8"/>
      <c r="H94" s="9"/>
      <c r="I94" s="9"/>
      <c r="J94" s="9"/>
      <c r="K94" s="9"/>
      <c r="L94" s="9"/>
      <c r="M94" s="9"/>
      <c r="N94" s="9"/>
      <c r="O94" s="9"/>
    </row>
    <row r="95" spans="1:16" s="5" customFormat="1" ht="15" hidden="1" customHeight="1" outlineLevel="1" thickBot="1">
      <c r="B95" s="10" t="s">
        <v>19</v>
      </c>
      <c r="C95" s="10"/>
      <c r="D95" s="7"/>
      <c r="E95" s="7"/>
      <c r="F95" s="11"/>
      <c r="G95" s="11"/>
      <c r="H95" s="83">
        <f>I95-1</f>
        <v>2020</v>
      </c>
      <c r="I95" s="83">
        <f>J95-1</f>
        <v>2021</v>
      </c>
      <c r="J95" s="641">
        <f>K95-1</f>
        <v>2022</v>
      </c>
      <c r="K95" s="75">
        <f>$K$5</f>
        <v>2023</v>
      </c>
      <c r="L95" s="75">
        <f>K95+1</f>
        <v>2024</v>
      </c>
      <c r="M95" s="75">
        <f>L95+1</f>
        <v>2025</v>
      </c>
      <c r="N95" s="75">
        <f>M95+1</f>
        <v>2026</v>
      </c>
      <c r="O95" s="75">
        <f>N95+1</f>
        <v>2027</v>
      </c>
    </row>
    <row r="96" spans="1:16" s="5" customFormat="1" ht="15" hidden="1" customHeight="1" outlineLevel="1">
      <c r="B96" s="10" t="str">
        <f>$B$6</f>
        <v>Model Running: Base Case Drivers</v>
      </c>
      <c r="C96" s="10"/>
      <c r="D96" s="7"/>
      <c r="E96" s="7"/>
      <c r="F96" s="11"/>
      <c r="G96" s="11"/>
      <c r="H96" s="406"/>
      <c r="I96" s="406"/>
      <c r="J96" s="406"/>
      <c r="P96" s="36"/>
    </row>
    <row r="97" spans="1:16" s="5" customFormat="1" ht="15" hidden="1" customHeight="1" outlineLevel="1">
      <c r="B97" s="10"/>
      <c r="C97" s="10"/>
      <c r="D97" s="7"/>
      <c r="E97" s="7"/>
      <c r="F97" s="11"/>
      <c r="G97" s="11"/>
      <c r="H97" s="11"/>
      <c r="I97" s="11"/>
      <c r="J97" s="11"/>
      <c r="P97" s="36"/>
    </row>
    <row r="98" spans="1:16" ht="15" hidden="1" customHeight="1" outlineLevel="1">
      <c r="A98" s="12"/>
      <c r="B98" s="13" t="s">
        <v>27</v>
      </c>
      <c r="C98" s="10"/>
      <c r="D98" s="7"/>
      <c r="E98" s="7"/>
      <c r="F98" s="11"/>
      <c r="G98" s="11"/>
      <c r="H98" s="294">
        <f>H53</f>
        <v>2.4E-2</v>
      </c>
      <c r="I98" s="295">
        <f t="shared" ref="I98:O98" si="23">I53</f>
        <v>2.1999999999999999E-2</v>
      </c>
      <c r="J98" s="295">
        <f t="shared" si="23"/>
        <v>2.3E-2</v>
      </c>
      <c r="K98" s="295">
        <f t="shared" si="23"/>
        <v>3.5000000000000003E-2</v>
      </c>
      <c r="L98" s="295">
        <f t="shared" si="23"/>
        <v>0.03</v>
      </c>
      <c r="M98" s="295">
        <f t="shared" si="23"/>
        <v>0.03</v>
      </c>
      <c r="N98" s="295">
        <f t="shared" si="23"/>
        <v>2.5000000000000001E-2</v>
      </c>
      <c r="O98" s="296">
        <f t="shared" si="23"/>
        <v>2.5000000000000001E-2</v>
      </c>
      <c r="P98" s="36"/>
    </row>
    <row r="99" spans="1:16" ht="15" hidden="1" customHeight="1" outlineLevel="1">
      <c r="A99" s="12"/>
      <c r="B99" s="13"/>
      <c r="C99" s="10"/>
      <c r="D99" s="7"/>
      <c r="E99" s="7"/>
      <c r="F99" s="11"/>
      <c r="G99" s="11"/>
      <c r="H99" s="89"/>
      <c r="I99" s="89"/>
      <c r="J99" s="89"/>
      <c r="K99" s="89"/>
      <c r="L99" s="89"/>
      <c r="M99" s="89"/>
      <c r="N99" s="89"/>
      <c r="O99" s="89"/>
    </row>
    <row r="100" spans="1:16" s="12" customFormat="1" ht="15" hidden="1" customHeight="1" outlineLevel="1">
      <c r="B100" s="13" t="s">
        <v>0</v>
      </c>
      <c r="C100" s="13"/>
      <c r="D100" s="14"/>
      <c r="E100" s="14"/>
      <c r="F100" s="11"/>
      <c r="G100" s="14"/>
      <c r="H100" s="93">
        <v>51585.318599999999</v>
      </c>
      <c r="I100" s="93">
        <v>53493.892650000002</v>
      </c>
      <c r="J100" s="93">
        <v>55749.479500000001</v>
      </c>
      <c r="K100" s="231">
        <f t="shared" ref="K100:O100" si="24">K40</f>
        <v>58854.725508149997</v>
      </c>
      <c r="L100" s="231">
        <f t="shared" si="24"/>
        <v>62132.933718953958</v>
      </c>
      <c r="M100" s="231">
        <f t="shared" si="24"/>
        <v>65276.860165133046</v>
      </c>
      <c r="N100" s="231">
        <f t="shared" si="24"/>
        <v>68579.869289488779</v>
      </c>
      <c r="O100" s="231">
        <f t="shared" si="24"/>
        <v>71700.253342160504</v>
      </c>
      <c r="P100" s="36"/>
    </row>
    <row r="101" spans="1:16" s="12" customFormat="1" ht="15" hidden="1" customHeight="1" outlineLevel="1">
      <c r="B101" s="13" t="s">
        <v>79</v>
      </c>
      <c r="C101" s="13"/>
      <c r="D101" s="14"/>
      <c r="E101" s="14"/>
      <c r="F101" s="14"/>
      <c r="G101" s="14"/>
      <c r="H101" s="108">
        <v>27696.923699999999</v>
      </c>
      <c r="I101" s="108">
        <v>28428.971099999999</v>
      </c>
      <c r="J101" s="108">
        <v>29199.960500000001</v>
      </c>
      <c r="K101" s="756">
        <f t="shared" ref="K101:O101" si="25">K89</f>
        <v>30355.825199849998</v>
      </c>
      <c r="L101" s="756">
        <f t="shared" si="25"/>
        <v>31407.13966196241</v>
      </c>
      <c r="M101" s="756">
        <f t="shared" si="25"/>
        <v>32497.109927067711</v>
      </c>
      <c r="N101" s="756">
        <f t="shared" si="25"/>
        <v>33464.016651914542</v>
      </c>
      <c r="O101" s="756">
        <f t="shared" si="25"/>
        <v>34462.124838321033</v>
      </c>
      <c r="P101" s="36"/>
    </row>
    <row r="102" spans="1:16" s="12" customFormat="1" ht="15" hidden="1" customHeight="1" outlineLevel="1">
      <c r="B102" s="16" t="s">
        <v>35</v>
      </c>
      <c r="C102" s="16"/>
      <c r="D102" s="17"/>
      <c r="E102" s="17"/>
      <c r="F102" s="14"/>
      <c r="G102" s="14"/>
      <c r="H102" s="226">
        <f t="shared" ref="H102:O102" si="26">H100-H101</f>
        <v>23888.394899999999</v>
      </c>
      <c r="I102" s="226">
        <f>I100-I101</f>
        <v>25064.921550000003</v>
      </c>
      <c r="J102" s="226">
        <f t="shared" si="26"/>
        <v>26549.519</v>
      </c>
      <c r="K102" s="226">
        <f t="shared" si="26"/>
        <v>28498.900308299999</v>
      </c>
      <c r="L102" s="226">
        <f t="shared" si="26"/>
        <v>30725.794056991548</v>
      </c>
      <c r="M102" s="226">
        <f t="shared" si="26"/>
        <v>32779.750238065331</v>
      </c>
      <c r="N102" s="226">
        <f t="shared" si="26"/>
        <v>35115.852637574237</v>
      </c>
      <c r="O102" s="226">
        <f t="shared" si="26"/>
        <v>37238.128503839471</v>
      </c>
      <c r="P102" s="36"/>
    </row>
    <row r="103" spans="1:16" s="12" customFormat="1" ht="15" hidden="1" customHeight="1" outlineLevel="1">
      <c r="B103" s="16"/>
      <c r="C103" s="16"/>
      <c r="D103" s="17"/>
      <c r="E103" s="17"/>
      <c r="F103" s="14"/>
      <c r="G103" s="14"/>
      <c r="H103" s="227"/>
      <c r="I103" s="227"/>
      <c r="J103" s="227"/>
      <c r="K103" s="226"/>
      <c r="L103" s="226"/>
      <c r="M103" s="226"/>
      <c r="N103" s="226"/>
      <c r="O103" s="226"/>
      <c r="P103" s="36"/>
    </row>
    <row r="104" spans="1:16" s="12" customFormat="1" ht="15" hidden="1" customHeight="1" outlineLevel="1">
      <c r="B104" s="13"/>
      <c r="C104" s="13"/>
      <c r="D104" s="14"/>
      <c r="E104" s="14"/>
      <c r="F104" s="14"/>
      <c r="G104" s="14"/>
      <c r="H104" s="228"/>
      <c r="I104" s="228"/>
      <c r="J104" s="228"/>
      <c r="K104" s="229"/>
      <c r="L104" s="229"/>
      <c r="M104" s="229"/>
      <c r="N104" s="229"/>
      <c r="O104" s="230"/>
    </row>
    <row r="105" spans="1:16" s="12" customFormat="1" ht="15" hidden="1" customHeight="1" outlineLevel="1">
      <c r="B105" s="13" t="s">
        <v>76</v>
      </c>
      <c r="C105" s="13"/>
      <c r="D105" s="14"/>
      <c r="E105" s="14"/>
      <c r="F105" s="93"/>
      <c r="G105" s="14"/>
      <c r="H105" s="93">
        <v>5877</v>
      </c>
      <c r="I105" s="93">
        <v>6006</v>
      </c>
      <c r="J105" s="93">
        <v>6144</v>
      </c>
      <c r="K105" s="231">
        <f t="shared" ref="K105:O106" si="27">J105*(1+K$98)</f>
        <v>6359.0399999999991</v>
      </c>
      <c r="L105" s="231">
        <f t="shared" si="27"/>
        <v>6549.8111999999992</v>
      </c>
      <c r="M105" s="231">
        <f t="shared" si="27"/>
        <v>6746.3055359999989</v>
      </c>
      <c r="N105" s="231">
        <f t="shared" si="27"/>
        <v>6914.963174399998</v>
      </c>
      <c r="O105" s="231">
        <f t="shared" si="27"/>
        <v>7087.8372537599971</v>
      </c>
    </row>
    <row r="106" spans="1:16" s="12" customFormat="1" ht="15" hidden="1" customHeight="1" outlineLevel="1">
      <c r="B106" s="13" t="s">
        <v>43</v>
      </c>
      <c r="C106" s="13"/>
      <c r="D106" s="14"/>
      <c r="E106" s="14"/>
      <c r="F106" s="14"/>
      <c r="G106" s="14"/>
      <c r="H106" s="108">
        <v>1764</v>
      </c>
      <c r="I106" s="108">
        <v>1931</v>
      </c>
      <c r="J106" s="108">
        <v>2026</v>
      </c>
      <c r="K106" s="756">
        <f>J106*(1+K$98)</f>
        <v>2096.91</v>
      </c>
      <c r="L106" s="756">
        <f t="shared" si="27"/>
        <v>2159.8172999999997</v>
      </c>
      <c r="M106" s="756">
        <f t="shared" si="27"/>
        <v>2224.6118189999997</v>
      </c>
      <c r="N106" s="756">
        <f t="shared" si="27"/>
        <v>2280.2271144749993</v>
      </c>
      <c r="O106" s="756">
        <f t="shared" si="27"/>
        <v>2337.2327923368739</v>
      </c>
    </row>
    <row r="107" spans="1:16" s="12" customFormat="1" ht="15" hidden="1" customHeight="1" outlineLevel="1">
      <c r="B107" s="16" t="s">
        <v>36</v>
      </c>
      <c r="C107" s="16"/>
      <c r="D107" s="17"/>
      <c r="E107" s="17"/>
      <c r="F107" s="14"/>
      <c r="G107" s="14"/>
      <c r="H107" s="226">
        <f t="shared" ref="H107:O107" si="28">H102-SUM(H105:H106)</f>
        <v>16247.394899999999</v>
      </c>
      <c r="I107" s="226">
        <f t="shared" si="28"/>
        <v>17127.921550000003</v>
      </c>
      <c r="J107" s="226">
        <f t="shared" si="28"/>
        <v>18379.519</v>
      </c>
      <c r="K107" s="226">
        <f t="shared" si="28"/>
        <v>20042.950308300002</v>
      </c>
      <c r="L107" s="226">
        <f t="shared" si="28"/>
        <v>22016.165556991549</v>
      </c>
      <c r="M107" s="226">
        <f t="shared" si="28"/>
        <v>23808.832883065334</v>
      </c>
      <c r="N107" s="226">
        <f t="shared" si="28"/>
        <v>25920.662348699239</v>
      </c>
      <c r="O107" s="226">
        <f t="shared" si="28"/>
        <v>27813.058457742598</v>
      </c>
    </row>
    <row r="108" spans="1:16" s="12" customFormat="1" ht="15" hidden="1" customHeight="1" outlineLevel="1">
      <c r="B108" s="16"/>
      <c r="C108" s="16"/>
      <c r="D108" s="17"/>
      <c r="E108" s="17"/>
      <c r="F108" s="14"/>
      <c r="G108" s="14"/>
      <c r="H108" s="227"/>
      <c r="I108" s="227"/>
      <c r="J108" s="227"/>
      <c r="K108" s="226"/>
      <c r="L108" s="226"/>
      <c r="M108" s="226"/>
      <c r="N108" s="226"/>
      <c r="O108" s="226"/>
    </row>
    <row r="109" spans="1:16" s="12" customFormat="1" ht="15" hidden="1" customHeight="1" outlineLevel="1">
      <c r="B109" s="13"/>
      <c r="C109" s="13"/>
      <c r="D109" s="14"/>
      <c r="E109" s="14"/>
      <c r="F109" s="14"/>
      <c r="G109" s="14"/>
      <c r="H109" s="226"/>
      <c r="I109" s="226"/>
      <c r="J109" s="226"/>
      <c r="K109" s="226"/>
      <c r="L109" s="226"/>
      <c r="M109" s="226"/>
      <c r="N109" s="226"/>
      <c r="O109" s="226"/>
    </row>
    <row r="110" spans="1:16" s="12" customFormat="1" ht="15" hidden="1" customHeight="1" outlineLevel="1">
      <c r="B110" s="13" t="s">
        <v>37</v>
      </c>
      <c r="C110" s="13"/>
      <c r="D110" s="14"/>
      <c r="E110" s="14"/>
      <c r="F110" s="14"/>
      <c r="G110" s="14"/>
      <c r="H110" s="108">
        <v>2960</v>
      </c>
      <c r="I110" s="108">
        <v>3196</v>
      </c>
      <c r="J110" s="108">
        <v>3452</v>
      </c>
      <c r="K110" s="756">
        <f>K233</f>
        <v>4165.875</v>
      </c>
      <c r="L110" s="756">
        <f>L233</f>
        <v>4375.875</v>
      </c>
      <c r="M110" s="756">
        <f>M233</f>
        <v>4593.375</v>
      </c>
      <c r="N110" s="756">
        <f>N233</f>
        <v>4818.375</v>
      </c>
      <c r="O110" s="756">
        <f>O233</f>
        <v>5053.375</v>
      </c>
      <c r="P110" s="36"/>
    </row>
    <row r="111" spans="1:16" s="12" customFormat="1" ht="15" hidden="1" customHeight="1" outlineLevel="1">
      <c r="B111" s="16" t="s">
        <v>38</v>
      </c>
      <c r="C111" s="16"/>
      <c r="D111" s="17"/>
      <c r="E111" s="17"/>
      <c r="F111" s="14"/>
      <c r="G111" s="14"/>
      <c r="H111" s="226">
        <f t="shared" ref="H111:O111" si="29">H107-H110</f>
        <v>13287.394899999999</v>
      </c>
      <c r="I111" s="226">
        <f t="shared" si="29"/>
        <v>13931.921550000003</v>
      </c>
      <c r="J111" s="226">
        <f t="shared" si="29"/>
        <v>14927.519</v>
      </c>
      <c r="K111" s="226">
        <f t="shared" si="29"/>
        <v>15877.075308300002</v>
      </c>
      <c r="L111" s="226">
        <f t="shared" si="29"/>
        <v>17640.290556991549</v>
      </c>
      <c r="M111" s="226">
        <f t="shared" si="29"/>
        <v>19215.457883065334</v>
      </c>
      <c r="N111" s="226">
        <f t="shared" si="29"/>
        <v>21102.287348699239</v>
      </c>
      <c r="O111" s="226">
        <f t="shared" si="29"/>
        <v>22759.683457742598</v>
      </c>
    </row>
    <row r="112" spans="1:16" s="12" customFormat="1" ht="15" hidden="1" customHeight="1" outlineLevel="1">
      <c r="B112" s="16"/>
      <c r="C112" s="16"/>
      <c r="D112" s="17"/>
      <c r="E112" s="17"/>
      <c r="F112" s="14"/>
      <c r="G112" s="14"/>
      <c r="H112" s="226"/>
      <c r="I112" s="226"/>
      <c r="J112" s="226"/>
      <c r="K112" s="226"/>
      <c r="L112" s="226"/>
      <c r="M112" s="226"/>
      <c r="N112" s="226"/>
      <c r="O112" s="226"/>
    </row>
    <row r="113" spans="1:16" s="12" customFormat="1" ht="15" hidden="1" customHeight="1" outlineLevel="1">
      <c r="B113" s="13" t="s">
        <v>290</v>
      </c>
      <c r="C113" s="13"/>
      <c r="D113" s="14"/>
      <c r="E113" s="14"/>
      <c r="F113" s="14"/>
      <c r="G113" s="14"/>
      <c r="H113" s="93">
        <v>1488</v>
      </c>
      <c r="I113" s="93">
        <v>2580</v>
      </c>
      <c r="J113" s="93">
        <v>2448</v>
      </c>
      <c r="K113" s="231">
        <f t="shared" ref="K113:O114" ca="1" si="30">K468</f>
        <v>6581.0514619381729</v>
      </c>
      <c r="L113" s="231">
        <f t="shared" ca="1" si="30"/>
        <v>6280.176639957217</v>
      </c>
      <c r="M113" s="231">
        <f t="shared" ca="1" si="30"/>
        <v>5871.3610288104155</v>
      </c>
      <c r="N113" s="231">
        <f t="shared" ca="1" si="30"/>
        <v>5352.2654606404203</v>
      </c>
      <c r="O113" s="231">
        <f t="shared" ca="1" si="30"/>
        <v>4632.6747981800054</v>
      </c>
    </row>
    <row r="114" spans="1:16" s="12" customFormat="1" ht="15" hidden="1" customHeight="1" outlineLevel="1">
      <c r="B114" s="13" t="s">
        <v>311</v>
      </c>
      <c r="C114" s="16"/>
      <c r="D114" s="17"/>
      <c r="E114" s="17"/>
      <c r="F114" s="14"/>
      <c r="G114" s="14"/>
      <c r="H114" s="108">
        <v>0</v>
      </c>
      <c r="I114" s="108">
        <v>0</v>
      </c>
      <c r="J114" s="108">
        <v>0</v>
      </c>
      <c r="K114" s="756">
        <f t="shared" ca="1" si="30"/>
        <v>2059.1162365145228</v>
      </c>
      <c r="L114" s="756">
        <f t="shared" ca="1" si="30"/>
        <v>2212.9091504450676</v>
      </c>
      <c r="M114" s="756">
        <f t="shared" ca="1" si="30"/>
        <v>2378.1886720550729</v>
      </c>
      <c r="N114" s="756">
        <f t="shared" ca="1" si="30"/>
        <v>2555.8127222500575</v>
      </c>
      <c r="O114" s="756">
        <f t="shared" ca="1" si="30"/>
        <v>2746.7032990156217</v>
      </c>
    </row>
    <row r="115" spans="1:16" s="12" customFormat="1" ht="15" hidden="1" customHeight="1" outlineLevel="1">
      <c r="B115" s="13" t="s">
        <v>288</v>
      </c>
      <c r="C115" s="13"/>
      <c r="D115" s="14"/>
      <c r="E115" s="14"/>
      <c r="F115" s="14"/>
      <c r="G115" s="14"/>
      <c r="H115" s="231">
        <f t="shared" ref="H115:J115" si="31">SUM(H113:H114)</f>
        <v>1488</v>
      </c>
      <c r="I115" s="231">
        <f t="shared" si="31"/>
        <v>2580</v>
      </c>
      <c r="J115" s="231">
        <f t="shared" si="31"/>
        <v>2448</v>
      </c>
      <c r="K115" s="231">
        <f ca="1">SUM(K113:K114)</f>
        <v>8640.1676984526966</v>
      </c>
      <c r="L115" s="231">
        <f ca="1">SUM(L113:L114)</f>
        <v>8493.0857904022851</v>
      </c>
      <c r="M115" s="231">
        <f ca="1">SUM(M113:M114)</f>
        <v>8249.5497008654893</v>
      </c>
      <c r="N115" s="231">
        <f ca="1">SUM(N113:N114)</f>
        <v>7908.0781828904783</v>
      </c>
      <c r="O115" s="231">
        <f ca="1">SUM(O113:O114)</f>
        <v>7379.3780971956276</v>
      </c>
      <c r="P115" s="36"/>
    </row>
    <row r="116" spans="1:16" s="12" customFormat="1" ht="15" hidden="1" customHeight="1" outlineLevel="1">
      <c r="B116" s="13"/>
      <c r="C116" s="13"/>
      <c r="D116" s="14"/>
      <c r="E116" s="14"/>
      <c r="F116" s="14"/>
      <c r="G116" s="14"/>
      <c r="H116" s="93"/>
      <c r="I116" s="93"/>
      <c r="J116" s="93"/>
      <c r="K116" s="231"/>
      <c r="L116" s="231"/>
      <c r="M116" s="231"/>
      <c r="N116" s="231"/>
      <c r="O116" s="231"/>
      <c r="P116" s="36"/>
    </row>
    <row r="117" spans="1:16" s="12" customFormat="1" ht="15" hidden="1" customHeight="1" outlineLevel="1">
      <c r="B117" s="16" t="s">
        <v>31</v>
      </c>
      <c r="C117" s="16"/>
      <c r="D117" s="17"/>
      <c r="E117" s="17"/>
      <c r="F117" s="14"/>
      <c r="G117" s="14"/>
      <c r="H117" s="226">
        <f>H111-H115</f>
        <v>11799.394899999999</v>
      </c>
      <c r="I117" s="226">
        <f t="shared" ref="I117:J117" si="32">I111-I115</f>
        <v>11351.921550000003</v>
      </c>
      <c r="J117" s="226">
        <f t="shared" si="32"/>
        <v>12479.519</v>
      </c>
      <c r="K117" s="226">
        <f ca="1">K111-K115</f>
        <v>7236.9076098473051</v>
      </c>
      <c r="L117" s="226">
        <f ca="1">L111-L115</f>
        <v>9147.2047665892642</v>
      </c>
      <c r="M117" s="226">
        <f ca="1">M111-M115</f>
        <v>10965.908182199844</v>
      </c>
      <c r="N117" s="226">
        <f ca="1">N111-N115</f>
        <v>13194.209165808761</v>
      </c>
      <c r="O117" s="226">
        <f ca="1">O111-O115</f>
        <v>15380.30536054697</v>
      </c>
      <c r="P117" s="36"/>
    </row>
    <row r="118" spans="1:16" s="12" customFormat="1" ht="15" hidden="1" customHeight="1" outlineLevel="1">
      <c r="B118" s="16"/>
      <c r="C118" s="16"/>
      <c r="D118" s="17"/>
      <c r="E118" s="17"/>
      <c r="F118" s="14"/>
      <c r="G118" s="14"/>
      <c r="H118" s="226"/>
      <c r="I118" s="226"/>
      <c r="J118" s="226"/>
      <c r="K118" s="226"/>
      <c r="L118" s="226"/>
      <c r="M118" s="226"/>
      <c r="N118" s="226"/>
      <c r="O118" s="226"/>
    </row>
    <row r="119" spans="1:16" s="12" customFormat="1" ht="15" hidden="1" customHeight="1" outlineLevel="1">
      <c r="B119" s="13" t="s">
        <v>39</v>
      </c>
      <c r="C119" s="13"/>
      <c r="D119" s="14"/>
      <c r="E119" s="14"/>
      <c r="F119" s="14"/>
      <c r="G119" s="14"/>
      <c r="H119" s="93">
        <v>0</v>
      </c>
      <c r="I119" s="93">
        <v>0</v>
      </c>
      <c r="J119" s="93">
        <v>0</v>
      </c>
      <c r="K119" s="231">
        <f t="shared" ref="K119:O120" ca="1" si="33">K304</f>
        <v>0</v>
      </c>
      <c r="L119" s="231">
        <f t="shared" ca="1" si="33"/>
        <v>0</v>
      </c>
      <c r="M119" s="231">
        <f t="shared" ca="1" si="33"/>
        <v>0</v>
      </c>
      <c r="N119" s="231">
        <f t="shared" ca="1" si="33"/>
        <v>2786.1074014237934</v>
      </c>
      <c r="O119" s="231">
        <f t="shared" ca="1" si="33"/>
        <v>3766.4563445898671</v>
      </c>
      <c r="P119" s="36"/>
    </row>
    <row r="120" spans="1:16" s="12" customFormat="1" ht="15" hidden="1" customHeight="1" outlineLevel="1">
      <c r="B120" s="13" t="s">
        <v>40</v>
      </c>
      <c r="C120" s="13"/>
      <c r="D120" s="14"/>
      <c r="E120" s="14"/>
      <c r="F120" s="14"/>
      <c r="G120" s="14"/>
      <c r="H120" s="108">
        <v>3155</v>
      </c>
      <c r="I120" s="108">
        <v>2861</v>
      </c>
      <c r="J120" s="108">
        <v>3012</v>
      </c>
      <c r="K120" s="756">
        <f t="shared" ca="1" si="33"/>
        <v>1809.2269024618263</v>
      </c>
      <c r="L120" s="756">
        <f t="shared" ca="1" si="33"/>
        <v>2286.801191647316</v>
      </c>
      <c r="M120" s="756">
        <f t="shared" ca="1" si="33"/>
        <v>2741.4770455499611</v>
      </c>
      <c r="N120" s="756">
        <f t="shared" ca="1" si="33"/>
        <v>512.44489002839691</v>
      </c>
      <c r="O120" s="756">
        <f t="shared" ca="1" si="33"/>
        <v>78.619995546875543</v>
      </c>
    </row>
    <row r="121" spans="1:16" s="12" customFormat="1" ht="15" hidden="1" customHeight="1" outlineLevel="1">
      <c r="B121" s="13" t="s">
        <v>41</v>
      </c>
      <c r="C121" s="13"/>
      <c r="D121" s="14"/>
      <c r="E121" s="14"/>
      <c r="F121" s="14"/>
      <c r="G121" s="14"/>
      <c r="H121" s="232">
        <f t="shared" ref="H121:J121" si="34">SUM(H119:H120)</f>
        <v>3155</v>
      </c>
      <c r="I121" s="232">
        <f t="shared" si="34"/>
        <v>2861</v>
      </c>
      <c r="J121" s="232">
        <f t="shared" si="34"/>
        <v>3012</v>
      </c>
      <c r="K121" s="232">
        <f ca="1">SUM(K119:K120)</f>
        <v>1809.2269024618263</v>
      </c>
      <c r="L121" s="232">
        <f ca="1">SUM(L119:L120)</f>
        <v>2286.801191647316</v>
      </c>
      <c r="M121" s="232">
        <f ca="1">SUM(M119:M120)</f>
        <v>2741.4770455499611</v>
      </c>
      <c r="N121" s="232">
        <f ca="1">SUM(N119:N120)</f>
        <v>3298.5522914521903</v>
      </c>
      <c r="O121" s="232">
        <f ca="1">SUM(O119:O120)</f>
        <v>3845.0763401367426</v>
      </c>
    </row>
    <row r="122" spans="1:16" s="12" customFormat="1" ht="15" hidden="1" customHeight="1" outlineLevel="1">
      <c r="B122" s="13"/>
      <c r="C122" s="13"/>
      <c r="D122" s="14"/>
      <c r="E122" s="14"/>
      <c r="F122" s="14"/>
      <c r="G122" s="14"/>
      <c r="H122" s="233"/>
      <c r="I122" s="233"/>
      <c r="J122" s="233"/>
      <c r="K122" s="234"/>
      <c r="L122" s="234"/>
      <c r="M122" s="234"/>
      <c r="N122" s="234"/>
      <c r="O122" s="231"/>
    </row>
    <row r="123" spans="1:16" s="12" customFormat="1" ht="15" hidden="1" customHeight="1" outlineLevel="1" thickBot="1">
      <c r="B123" s="16" t="s">
        <v>42</v>
      </c>
      <c r="C123" s="16"/>
      <c r="D123" s="17"/>
      <c r="E123" s="17"/>
      <c r="F123" s="14"/>
      <c r="G123" s="14"/>
      <c r="H123" s="235">
        <f t="shared" ref="H123:J123" si="35">H117-H121</f>
        <v>8644.3948999999993</v>
      </c>
      <c r="I123" s="235">
        <f t="shared" si="35"/>
        <v>8490.9215500000028</v>
      </c>
      <c r="J123" s="235">
        <f t="shared" si="35"/>
        <v>9467.5190000000002</v>
      </c>
      <c r="K123" s="235">
        <f ca="1">K117-K121</f>
        <v>5427.6807073854789</v>
      </c>
      <c r="L123" s="235">
        <f ca="1">L117-L121</f>
        <v>6860.4035749419481</v>
      </c>
      <c r="M123" s="235">
        <f ca="1">M117-M121</f>
        <v>8224.4311366498841</v>
      </c>
      <c r="N123" s="235">
        <f ca="1">N117-N121</f>
        <v>9895.6568743565713</v>
      </c>
      <c r="O123" s="235">
        <f ca="1">O117-O121</f>
        <v>11535.229020410228</v>
      </c>
    </row>
    <row r="124" spans="1:16" s="12" customFormat="1" ht="15" hidden="1" customHeight="1" outlineLevel="1">
      <c r="B124" s="17"/>
      <c r="C124" s="17"/>
      <c r="D124" s="17"/>
      <c r="E124" s="17"/>
      <c r="F124" s="14"/>
      <c r="G124" s="14"/>
      <c r="H124" s="18"/>
      <c r="I124" s="18"/>
      <c r="J124" s="18"/>
      <c r="K124" s="18"/>
      <c r="L124" s="18"/>
      <c r="M124" s="18"/>
      <c r="N124" s="18"/>
      <c r="O124" s="18"/>
    </row>
    <row r="125" spans="1:16" s="12" customFormat="1" ht="15" hidden="1" customHeight="1" outlineLevel="1">
      <c r="B125" s="37"/>
      <c r="C125" s="37"/>
      <c r="D125" s="37"/>
      <c r="E125" s="37"/>
      <c r="F125" s="26"/>
      <c r="G125" s="26"/>
      <c r="H125" s="38"/>
      <c r="I125" s="38"/>
      <c r="J125" s="38"/>
      <c r="K125" s="38"/>
      <c r="L125" s="38"/>
      <c r="M125" s="38"/>
      <c r="N125" s="38"/>
      <c r="O125" s="38"/>
    </row>
    <row r="126" spans="1:16" s="12" customFormat="1" ht="15" customHeight="1" collapsed="1">
      <c r="B126" s="17"/>
      <c r="C126" s="17"/>
      <c r="D126" s="17"/>
      <c r="E126" s="17"/>
      <c r="F126" s="14"/>
      <c r="G126" s="14"/>
      <c r="H126" s="18"/>
      <c r="I126" s="18"/>
      <c r="J126" s="18"/>
      <c r="K126" s="18"/>
      <c r="L126" s="18"/>
      <c r="M126" s="18"/>
      <c r="N126" s="18"/>
      <c r="O126" s="18"/>
    </row>
    <row r="127" spans="1:16" ht="15" customHeight="1">
      <c r="A127" s="427" t="s">
        <v>91</v>
      </c>
      <c r="B127" s="528" t="s">
        <v>131</v>
      </c>
      <c r="C127" s="164"/>
      <c r="D127" s="165"/>
      <c r="E127" s="165"/>
      <c r="F127" s="166"/>
      <c r="G127" s="166"/>
      <c r="H127" s="166"/>
      <c r="I127" s="166"/>
      <c r="J127" s="166"/>
      <c r="K127" s="166"/>
      <c r="L127" s="166"/>
      <c r="M127" s="166"/>
      <c r="N127" s="166"/>
      <c r="O127" s="166"/>
    </row>
    <row r="128" spans="1:16" ht="15" hidden="1" customHeight="1" outlineLevel="1">
      <c r="B128" s="167"/>
      <c r="C128" s="168"/>
      <c r="D128" s="169"/>
      <c r="E128" s="170"/>
      <c r="F128" s="170"/>
      <c r="G128" s="170"/>
      <c r="H128" s="170"/>
      <c r="I128" s="170"/>
      <c r="J128" s="170"/>
      <c r="K128" s="170"/>
      <c r="L128" s="170"/>
      <c r="M128" s="170"/>
      <c r="N128" s="170"/>
      <c r="O128" s="170"/>
    </row>
    <row r="129" spans="2:15" ht="15" hidden="1" customHeight="1" outlineLevel="1" thickBot="1">
      <c r="B129" s="10" t="s">
        <v>19</v>
      </c>
      <c r="C129" s="168"/>
      <c r="D129" s="171"/>
      <c r="E129" s="171"/>
      <c r="F129" s="171"/>
      <c r="G129" s="171"/>
      <c r="H129" s="264"/>
      <c r="I129" s="11"/>
      <c r="J129" s="170"/>
      <c r="K129" s="75">
        <f>$K$5</f>
        <v>2023</v>
      </c>
      <c r="L129" s="75">
        <f>K129+1</f>
        <v>2024</v>
      </c>
      <c r="M129" s="75">
        <f>L129+1</f>
        <v>2025</v>
      </c>
      <c r="N129" s="75">
        <f>M129+1</f>
        <v>2026</v>
      </c>
      <c r="O129" s="75">
        <f>N129+1</f>
        <v>2027</v>
      </c>
    </row>
    <row r="130" spans="2:15" ht="15" hidden="1" customHeight="1" outlineLevel="1">
      <c r="B130" s="10" t="str">
        <f>$B$6</f>
        <v>Model Running: Base Case Drivers</v>
      </c>
      <c r="C130" s="168"/>
      <c r="D130" s="171"/>
      <c r="E130" s="171"/>
      <c r="F130" s="171"/>
      <c r="G130" s="171"/>
      <c r="H130" s="171"/>
      <c r="I130" s="162"/>
      <c r="J130" s="162"/>
      <c r="K130" s="162"/>
      <c r="L130" s="162"/>
      <c r="M130" s="162"/>
      <c r="N130" s="162"/>
      <c r="O130" s="162"/>
    </row>
    <row r="131" spans="2:15" ht="15" hidden="1" customHeight="1" outlineLevel="1">
      <c r="B131" s="10"/>
      <c r="C131" s="168"/>
      <c r="D131" s="171"/>
      <c r="E131" s="171"/>
      <c r="F131" s="171"/>
      <c r="G131" s="171"/>
      <c r="H131" s="171"/>
      <c r="I131" s="162"/>
      <c r="J131" s="162"/>
      <c r="K131" s="162"/>
      <c r="L131" s="162"/>
      <c r="M131" s="162"/>
      <c r="N131" s="162"/>
      <c r="O131" s="162"/>
    </row>
    <row r="132" spans="2:15" ht="15" hidden="1" customHeight="1" outlineLevel="1">
      <c r="B132" s="181" t="s">
        <v>155</v>
      </c>
      <c r="C132" s="146"/>
      <c r="D132" s="175"/>
      <c r="E132" s="159"/>
      <c r="F132" s="159"/>
      <c r="G132" s="158"/>
      <c r="H132" s="158"/>
      <c r="I132" s="158"/>
      <c r="J132" s="150"/>
      <c r="K132" s="150"/>
      <c r="L132" s="150"/>
      <c r="M132" s="150"/>
      <c r="N132" s="150"/>
      <c r="O132" s="150"/>
    </row>
    <row r="133" spans="2:15" ht="15" hidden="1" customHeight="1" outlineLevel="1">
      <c r="C133" s="23" t="s">
        <v>42</v>
      </c>
      <c r="D133" s="23"/>
      <c r="E133" s="173"/>
      <c r="F133" s="173"/>
      <c r="G133" s="191"/>
      <c r="H133" s="191"/>
      <c r="I133" s="191"/>
      <c r="J133" s="191"/>
      <c r="K133" s="191">
        <f ca="1">K123</f>
        <v>5427.6807073854789</v>
      </c>
      <c r="L133" s="173">
        <f ca="1">L123</f>
        <v>6860.4035749419481</v>
      </c>
      <c r="M133" s="173">
        <f ca="1">M123</f>
        <v>8224.4311366498841</v>
      </c>
      <c r="N133" s="173">
        <f ca="1">N123</f>
        <v>9895.6568743565713</v>
      </c>
      <c r="O133" s="173">
        <f ca="1">O123</f>
        <v>11535.229020410228</v>
      </c>
    </row>
    <row r="134" spans="2:15" ht="15" hidden="1" customHeight="1" outlineLevel="1">
      <c r="C134" s="23" t="s">
        <v>133</v>
      </c>
      <c r="D134" s="23"/>
      <c r="E134" s="173"/>
      <c r="F134" s="173"/>
      <c r="G134" s="191"/>
      <c r="H134" s="191"/>
      <c r="I134" s="191"/>
      <c r="J134" s="191"/>
      <c r="K134" s="191">
        <f>K110</f>
        <v>4165.875</v>
      </c>
      <c r="L134" s="173">
        <f>L110</f>
        <v>4375.875</v>
      </c>
      <c r="M134" s="173">
        <f>M110</f>
        <v>4593.375</v>
      </c>
      <c r="N134" s="173">
        <f>N110</f>
        <v>4818.375</v>
      </c>
      <c r="O134" s="173">
        <f>O110</f>
        <v>5053.375</v>
      </c>
    </row>
    <row r="135" spans="2:15" ht="15" hidden="1" customHeight="1" outlineLevel="1">
      <c r="C135" s="23" t="s">
        <v>246</v>
      </c>
      <c r="D135" s="23"/>
      <c r="E135" s="173"/>
      <c r="F135" s="173"/>
      <c r="G135" s="191"/>
      <c r="H135" s="191"/>
      <c r="I135" s="191"/>
      <c r="J135" s="191"/>
      <c r="K135" s="191">
        <f ca="1">K114</f>
        <v>2059.1162365145228</v>
      </c>
      <c r="L135" s="191">
        <f ca="1">L114</f>
        <v>2212.9091504450676</v>
      </c>
      <c r="M135" s="191">
        <f ca="1">M114</f>
        <v>2378.1886720550729</v>
      </c>
      <c r="N135" s="191">
        <f ca="1">N114</f>
        <v>2555.8127222500575</v>
      </c>
      <c r="O135" s="191">
        <f ca="1">O114</f>
        <v>2746.7032990156217</v>
      </c>
    </row>
    <row r="136" spans="2:15" ht="15" hidden="1" customHeight="1" outlineLevel="1">
      <c r="C136" s="23" t="s">
        <v>262</v>
      </c>
      <c r="D136" s="23"/>
      <c r="E136" s="173"/>
      <c r="F136" s="173"/>
      <c r="G136" s="191"/>
      <c r="H136" s="191"/>
      <c r="I136" s="191"/>
      <c r="J136" s="191"/>
      <c r="K136" s="191">
        <f ca="1">K120</f>
        <v>1809.2269024618263</v>
      </c>
      <c r="L136" s="191">
        <f ca="1">L120</f>
        <v>2286.801191647316</v>
      </c>
      <c r="M136" s="191">
        <f ca="1">M120</f>
        <v>2741.4770455499611</v>
      </c>
      <c r="N136" s="191">
        <f ca="1">N120</f>
        <v>512.44489002839691</v>
      </c>
      <c r="O136" s="191">
        <f ca="1">O120</f>
        <v>78.619995546875543</v>
      </c>
    </row>
    <row r="137" spans="2:15" ht="15" hidden="1" customHeight="1" outlineLevel="1">
      <c r="C137" s="23" t="s">
        <v>134</v>
      </c>
      <c r="D137" s="23"/>
      <c r="E137" s="191"/>
      <c r="F137" s="191"/>
      <c r="G137" s="191"/>
      <c r="H137" s="190"/>
      <c r="I137" s="191"/>
      <c r="J137" s="191"/>
      <c r="K137" s="267">
        <f>K191</f>
        <v>-564.5623832027386</v>
      </c>
      <c r="L137" s="267">
        <f>L191</f>
        <v>-360.95795220408945</v>
      </c>
      <c r="M137" s="267">
        <f>M191</f>
        <v>-342.81407151090298</v>
      </c>
      <c r="N137" s="267">
        <f>N191</f>
        <v>-367.48441020083374</v>
      </c>
      <c r="O137" s="267">
        <f>O191</f>
        <v>-343.68673855926318</v>
      </c>
    </row>
    <row r="138" spans="2:15" ht="15" hidden="1" customHeight="1" outlineLevel="1">
      <c r="C138" s="23" t="s">
        <v>29</v>
      </c>
      <c r="D138" s="23"/>
      <c r="E138" s="191"/>
      <c r="F138" s="191"/>
      <c r="G138" s="191"/>
      <c r="H138" s="191"/>
      <c r="I138" s="191"/>
      <c r="J138" s="191"/>
      <c r="K138" s="730">
        <f ca="1">SUM(K133:K137)</f>
        <v>12897.336463159092</v>
      </c>
      <c r="L138" s="730">
        <f ca="1">SUM(L133:L137)</f>
        <v>15375.030964830245</v>
      </c>
      <c r="M138" s="730">
        <f ca="1">SUM(M133:M137)</f>
        <v>17594.657782744012</v>
      </c>
      <c r="N138" s="730">
        <f ca="1">SUM(N133:N137)</f>
        <v>17414.80507643419</v>
      </c>
      <c r="O138" s="730">
        <f ca="1">SUM(O133:O137)</f>
        <v>19070.240576413464</v>
      </c>
    </row>
    <row r="139" spans="2:15" ht="15" hidden="1" customHeight="1" outlineLevel="1">
      <c r="B139" s="189"/>
      <c r="C139" s="150"/>
      <c r="D139" s="187"/>
      <c r="E139" s="193"/>
      <c r="F139" s="193"/>
      <c r="G139" s="193"/>
      <c r="H139" s="193"/>
      <c r="I139" s="191"/>
      <c r="J139" s="192"/>
      <c r="K139" s="191"/>
      <c r="L139" s="173"/>
      <c r="M139" s="173"/>
      <c r="N139" s="173"/>
      <c r="O139" s="173"/>
    </row>
    <row r="140" spans="2:15" ht="15" hidden="1" customHeight="1" outlineLevel="1">
      <c r="B140" s="189"/>
      <c r="C140" s="150"/>
      <c r="D140" s="187"/>
      <c r="E140" s="193"/>
      <c r="F140" s="193"/>
      <c r="G140" s="193"/>
      <c r="H140" s="193"/>
      <c r="I140" s="191"/>
      <c r="J140" s="192"/>
      <c r="K140" s="191"/>
      <c r="L140" s="173"/>
      <c r="M140" s="173"/>
      <c r="N140" s="173"/>
      <c r="O140" s="173"/>
    </row>
    <row r="141" spans="2:15" ht="15" hidden="1" customHeight="1" outlineLevel="1">
      <c r="B141" s="151" t="s">
        <v>156</v>
      </c>
      <c r="C141" s="150"/>
      <c r="D141" s="187"/>
      <c r="E141" s="191"/>
      <c r="F141" s="191"/>
      <c r="G141" s="191"/>
      <c r="H141" s="191"/>
      <c r="I141" s="191"/>
      <c r="J141" s="192"/>
      <c r="K141" s="191"/>
      <c r="L141" s="173"/>
      <c r="M141" s="173"/>
      <c r="N141" s="173"/>
      <c r="O141" s="173"/>
    </row>
    <row r="142" spans="2:15" ht="15" hidden="1" customHeight="1" outlineLevel="1">
      <c r="C142" s="23" t="s">
        <v>136</v>
      </c>
      <c r="D142" s="23"/>
      <c r="E142" s="200"/>
      <c r="F142" s="200"/>
      <c r="G142" s="200"/>
      <c r="H142" s="265"/>
      <c r="I142" s="256"/>
      <c r="J142" s="256"/>
      <c r="K142" s="757">
        <f>-K246</f>
        <v>-4100</v>
      </c>
      <c r="L142" s="757">
        <f>-L246</f>
        <v>-4300</v>
      </c>
      <c r="M142" s="757">
        <f>-M246</f>
        <v>-4400</v>
      </c>
      <c r="N142" s="757">
        <f>-N246</f>
        <v>-4600</v>
      </c>
      <c r="O142" s="757">
        <f>-O246</f>
        <v>-4800</v>
      </c>
    </row>
    <row r="143" spans="2:15" ht="15" hidden="1" customHeight="1" outlineLevel="1">
      <c r="C143" s="23" t="s">
        <v>29</v>
      </c>
      <c r="D143" s="23"/>
      <c r="E143" s="191"/>
      <c r="F143" s="191"/>
      <c r="G143" s="191"/>
      <c r="H143" s="191"/>
      <c r="I143" s="191"/>
      <c r="J143" s="191"/>
      <c r="K143" s="191">
        <f>SUM(K142:K142)</f>
        <v>-4100</v>
      </c>
      <c r="L143" s="191">
        <f>SUM(L142:L142)</f>
        <v>-4300</v>
      </c>
      <c r="M143" s="191">
        <f>SUM(M142:M142)</f>
        <v>-4400</v>
      </c>
      <c r="N143" s="191">
        <f>SUM(N142:N142)</f>
        <v>-4600</v>
      </c>
      <c r="O143" s="191">
        <f>SUM(O142:O142)</f>
        <v>-4800</v>
      </c>
    </row>
    <row r="144" spans="2:15" ht="15" hidden="1" customHeight="1" outlineLevel="1">
      <c r="B144" s="189"/>
      <c r="C144" s="150"/>
      <c r="D144" s="187"/>
      <c r="E144" s="203"/>
      <c r="F144" s="203"/>
      <c r="G144" s="203"/>
      <c r="H144" s="203"/>
      <c r="I144" s="201"/>
      <c r="J144" s="198"/>
      <c r="K144" s="201"/>
      <c r="L144" s="758"/>
      <c r="M144" s="758"/>
      <c r="N144" s="758"/>
      <c r="O144" s="758"/>
    </row>
    <row r="145" spans="2:15" ht="15" hidden="1" customHeight="1" outlineLevel="1">
      <c r="B145" s="189"/>
      <c r="C145" s="150"/>
      <c r="D145" s="187"/>
      <c r="E145" s="203"/>
      <c r="F145" s="203"/>
      <c r="G145" s="203"/>
      <c r="H145" s="203"/>
      <c r="I145" s="201"/>
      <c r="J145" s="198"/>
      <c r="K145" s="201"/>
      <c r="L145" s="758"/>
      <c r="M145" s="758"/>
      <c r="N145" s="758"/>
      <c r="O145" s="758"/>
    </row>
    <row r="146" spans="2:15" ht="15" hidden="1" customHeight="1" outlineLevel="1">
      <c r="B146" s="151" t="s">
        <v>157</v>
      </c>
      <c r="C146" s="150"/>
      <c r="D146" s="187"/>
      <c r="E146" s="201"/>
      <c r="F146" s="201"/>
      <c r="G146" s="201"/>
      <c r="H146" s="201"/>
      <c r="I146" s="201"/>
      <c r="J146" s="198"/>
      <c r="K146" s="201"/>
      <c r="L146" s="758"/>
      <c r="M146" s="758"/>
      <c r="N146" s="758"/>
      <c r="O146" s="758"/>
    </row>
    <row r="147" spans="2:15" ht="15" hidden="1" customHeight="1" outlineLevel="1">
      <c r="C147" s="23" t="s">
        <v>380</v>
      </c>
      <c r="D147" s="23"/>
      <c r="E147" s="200"/>
      <c r="F147" s="200"/>
      <c r="G147" s="200">
        <v>0</v>
      </c>
      <c r="H147" s="200"/>
      <c r="I147" s="191"/>
      <c r="J147" s="191"/>
      <c r="K147" s="191">
        <f ca="1">K335</f>
        <v>760.01341684090767</v>
      </c>
      <c r="L147" s="173">
        <f ca="1">L335</f>
        <v>-1517.681084830243</v>
      </c>
      <c r="M147" s="173">
        <f ca="1">M335</f>
        <v>-3637.3079027440126</v>
      </c>
      <c r="N147" s="173">
        <f ca="1">N335</f>
        <v>-199.90417926665214</v>
      </c>
      <c r="O147" s="173">
        <f ca="1">O335</f>
        <v>0</v>
      </c>
    </row>
    <row r="148" spans="2:15" ht="15" hidden="1" customHeight="1" outlineLevel="1">
      <c r="C148" s="23" t="s">
        <v>331</v>
      </c>
      <c r="D148" s="23"/>
      <c r="E148" s="200"/>
      <c r="F148" s="200"/>
      <c r="G148" s="200"/>
      <c r="H148" s="200"/>
      <c r="I148" s="191"/>
      <c r="J148" s="191"/>
      <c r="K148" s="191">
        <f ca="1">SUM(K373:K374)</f>
        <v>-9189.7595000000001</v>
      </c>
      <c r="L148" s="191">
        <f ca="1">SUM(L373:L374)</f>
        <v>-9189.7595000000001</v>
      </c>
      <c r="M148" s="191">
        <f ca="1">SUM(M373:M374)</f>
        <v>-9189.7595000000001</v>
      </c>
      <c r="N148" s="191">
        <f ca="1">SUM(N373:N374)</f>
        <v>-12247.310517167538</v>
      </c>
      <c r="O148" s="191">
        <f ca="1">SUM(O373:O374)</f>
        <v>-6132.2084828324623</v>
      </c>
    </row>
    <row r="149" spans="2:15" ht="15" hidden="1" customHeight="1" outlineLevel="1">
      <c r="C149" s="23" t="s">
        <v>332</v>
      </c>
      <c r="D149" s="23"/>
      <c r="E149" s="200"/>
      <c r="F149" s="200"/>
      <c r="G149" s="200"/>
      <c r="H149" s="200"/>
      <c r="I149" s="191"/>
      <c r="J149" s="191"/>
      <c r="K149" s="191">
        <f ca="1">SUM(K389:K390)</f>
        <v>-367.59038000000004</v>
      </c>
      <c r="L149" s="191">
        <f ca="1">SUM(L389:L390)</f>
        <v>-367.59038000000004</v>
      </c>
      <c r="M149" s="191">
        <f ca="1">SUM(M389:M390)</f>
        <v>-367.59038000000004</v>
      </c>
      <c r="N149" s="191">
        <f ca="1">SUM(N389:N390)</f>
        <v>-367.59038000000004</v>
      </c>
      <c r="O149" s="191">
        <f ca="1">SUM(O389:O390)</f>
        <v>-8138.0320935810014</v>
      </c>
    </row>
    <row r="150" spans="2:15" ht="15" hidden="1" customHeight="1" outlineLevel="1">
      <c r="C150" s="23" t="s">
        <v>333</v>
      </c>
      <c r="D150" s="23"/>
      <c r="E150" s="200"/>
      <c r="F150" s="200"/>
      <c r="G150" s="200"/>
      <c r="H150" s="200"/>
      <c r="I150" s="191"/>
      <c r="J150" s="191"/>
      <c r="K150" s="191">
        <f>K408</f>
        <v>0</v>
      </c>
      <c r="L150" s="191">
        <f ca="1">L408</f>
        <v>0</v>
      </c>
      <c r="M150" s="191">
        <f ca="1">M408</f>
        <v>0</v>
      </c>
      <c r="N150" s="191">
        <f ca="1">N408</f>
        <v>0</v>
      </c>
      <c r="O150" s="191">
        <f ca="1">O408</f>
        <v>0</v>
      </c>
    </row>
    <row r="151" spans="2:15" ht="15" hidden="1" customHeight="1" outlineLevel="1">
      <c r="C151" s="23" t="s">
        <v>137</v>
      </c>
      <c r="D151" s="23"/>
      <c r="E151" s="191"/>
      <c r="F151" s="191"/>
      <c r="G151" s="191"/>
      <c r="H151" s="191"/>
      <c r="I151" s="191"/>
      <c r="J151" s="191"/>
      <c r="K151" s="191">
        <f>SUM(K482:K483)</f>
        <v>0</v>
      </c>
      <c r="L151" s="191">
        <f>SUM(L482:L483)</f>
        <v>0</v>
      </c>
      <c r="M151" s="191">
        <f>SUM(M482:M483)</f>
        <v>0</v>
      </c>
      <c r="N151" s="191">
        <f>SUM(N482:N483)</f>
        <v>0</v>
      </c>
      <c r="O151" s="191">
        <f>SUM(O482:O483)</f>
        <v>0</v>
      </c>
    </row>
    <row r="152" spans="2:15" ht="15" hidden="1" customHeight="1" outlineLevel="1">
      <c r="C152" s="23" t="s">
        <v>138</v>
      </c>
      <c r="D152" s="23"/>
      <c r="E152" s="191"/>
      <c r="F152" s="191"/>
      <c r="G152" s="191"/>
      <c r="H152" s="191"/>
      <c r="I152" s="191"/>
      <c r="J152" s="191"/>
      <c r="K152" s="191">
        <f>K490</f>
        <v>0</v>
      </c>
      <c r="L152" s="191">
        <f>L490</f>
        <v>0</v>
      </c>
      <c r="M152" s="191">
        <f>M490</f>
        <v>0</v>
      </c>
      <c r="N152" s="191">
        <f>N490</f>
        <v>0</v>
      </c>
      <c r="O152" s="191">
        <f>O490</f>
        <v>0</v>
      </c>
    </row>
    <row r="153" spans="2:15" ht="15" hidden="1" customHeight="1" outlineLevel="1">
      <c r="C153" s="23" t="s">
        <v>29</v>
      </c>
      <c r="D153" s="23"/>
      <c r="E153" s="191"/>
      <c r="F153" s="191"/>
      <c r="G153" s="191"/>
      <c r="H153" s="191"/>
      <c r="I153" s="191"/>
      <c r="J153" s="191"/>
      <c r="K153" s="730">
        <f ca="1">SUM(K147:K152)</f>
        <v>-8797.3364631590921</v>
      </c>
      <c r="L153" s="730">
        <f ca="1">SUM(L147:L152)</f>
        <v>-11075.030964830243</v>
      </c>
      <c r="M153" s="730">
        <f ca="1">SUM(M147:M152)</f>
        <v>-13194.657782744012</v>
      </c>
      <c r="N153" s="730">
        <f ca="1">SUM(N147:N152)</f>
        <v>-12814.80507643419</v>
      </c>
      <c r="O153" s="730">
        <f ca="1">SUM(O147:O152)</f>
        <v>-14270.240576413464</v>
      </c>
    </row>
    <row r="154" spans="2:15" ht="15" hidden="1" customHeight="1" outlineLevel="1">
      <c r="C154" s="23"/>
      <c r="D154" s="23"/>
      <c r="E154" s="191"/>
      <c r="F154" s="191"/>
      <c r="G154" s="191"/>
      <c r="H154" s="191"/>
      <c r="I154" s="191"/>
      <c r="J154" s="191"/>
      <c r="K154" s="191"/>
      <c r="L154" s="191"/>
      <c r="M154" s="191"/>
      <c r="N154" s="191"/>
      <c r="O154" s="191"/>
    </row>
    <row r="155" spans="2:15" ht="15" hidden="1" customHeight="1" outlineLevel="1">
      <c r="B155" s="189"/>
      <c r="C155" s="150"/>
      <c r="D155" s="187"/>
      <c r="E155" s="193"/>
      <c r="F155" s="193"/>
      <c r="G155" s="193"/>
      <c r="H155" s="193"/>
      <c r="I155" s="191"/>
      <c r="J155" s="192"/>
      <c r="K155" s="191"/>
      <c r="L155" s="173"/>
      <c r="M155" s="173"/>
      <c r="N155" s="173"/>
      <c r="O155" s="173"/>
    </row>
    <row r="156" spans="2:15" ht="15" hidden="1" customHeight="1" outlineLevel="1">
      <c r="B156" s="189" t="s">
        <v>158</v>
      </c>
      <c r="C156" s="150"/>
      <c r="D156" s="187"/>
      <c r="E156" s="193"/>
      <c r="F156" s="193"/>
      <c r="G156" s="193"/>
      <c r="H156" s="193"/>
      <c r="I156" s="191"/>
      <c r="J156" s="192"/>
      <c r="K156" s="191"/>
      <c r="L156" s="173"/>
      <c r="M156" s="173"/>
      <c r="N156" s="173"/>
      <c r="O156" s="173"/>
    </row>
    <row r="157" spans="2:15" ht="15" hidden="1" customHeight="1" outlineLevel="1">
      <c r="C157" s="23" t="s">
        <v>7</v>
      </c>
      <c r="D157" s="23"/>
      <c r="E157" s="200"/>
      <c r="F157" s="191"/>
      <c r="G157" s="191"/>
      <c r="H157" s="191"/>
      <c r="I157" s="191"/>
      <c r="J157" s="200"/>
      <c r="K157" s="759">
        <f>Transaction!I29</f>
        <v>5000</v>
      </c>
      <c r="L157" s="173">
        <f ca="1">K159</f>
        <v>5000</v>
      </c>
      <c r="M157" s="173">
        <f ca="1">L159</f>
        <v>5000</v>
      </c>
      <c r="N157" s="173">
        <f ca="1">M159</f>
        <v>5000</v>
      </c>
      <c r="O157" s="173">
        <f ca="1">N159</f>
        <v>5000</v>
      </c>
    </row>
    <row r="158" spans="2:15" ht="15" hidden="1" customHeight="1" outlineLevel="1">
      <c r="C158" s="23" t="s">
        <v>139</v>
      </c>
      <c r="D158" s="23"/>
      <c r="E158" s="191"/>
      <c r="F158" s="191"/>
      <c r="G158" s="191"/>
      <c r="H158" s="191"/>
      <c r="I158" s="191"/>
      <c r="J158" s="191"/>
      <c r="K158" s="191">
        <f ca="1">K138+K143+K153</f>
        <v>0</v>
      </c>
      <c r="L158" s="191">
        <f ca="1">L138+L143+L153</f>
        <v>0</v>
      </c>
      <c r="M158" s="191">
        <f ca="1">M138+M143+M153</f>
        <v>0</v>
      </c>
      <c r="N158" s="191">
        <f ca="1">N138+N143+N153</f>
        <v>0</v>
      </c>
      <c r="O158" s="191">
        <f ca="1">O138+O143+O153</f>
        <v>0</v>
      </c>
    </row>
    <row r="159" spans="2:15" ht="15" hidden="1" customHeight="1" outlineLevel="1" thickBot="1">
      <c r="C159" s="16" t="s">
        <v>8</v>
      </c>
      <c r="D159" s="16"/>
      <c r="E159" s="193"/>
      <c r="F159" s="193"/>
      <c r="G159" s="193"/>
      <c r="H159" s="193"/>
      <c r="I159" s="193"/>
      <c r="J159" s="191"/>
      <c r="K159" s="760">
        <f ca="1">SUM(K157:K158)</f>
        <v>5000</v>
      </c>
      <c r="L159" s="760">
        <f ca="1">SUM(L157:L158)</f>
        <v>5000</v>
      </c>
      <c r="M159" s="760">
        <f ca="1">SUM(M157:M158)</f>
        <v>5000</v>
      </c>
      <c r="N159" s="760">
        <f ca="1">SUM(N157:N158)</f>
        <v>5000</v>
      </c>
      <c r="O159" s="760">
        <f ca="1">SUM(O157:O158)</f>
        <v>5000</v>
      </c>
    </row>
    <row r="160" spans="2:15" ht="15" hidden="1" customHeight="1" outlineLevel="1">
      <c r="C160" s="16"/>
      <c r="D160" s="16"/>
      <c r="E160" s="193"/>
      <c r="F160" s="193"/>
      <c r="G160" s="193"/>
      <c r="H160" s="193"/>
      <c r="I160" s="193"/>
      <c r="J160" s="191"/>
      <c r="K160" s="193"/>
      <c r="L160" s="193"/>
      <c r="M160" s="193"/>
      <c r="N160" s="193"/>
      <c r="O160" s="193"/>
    </row>
    <row r="161" spans="1:16" ht="15" hidden="1" customHeight="1" outlineLevel="1">
      <c r="B161" s="202"/>
      <c r="C161" s="202"/>
      <c r="D161" s="202"/>
      <c r="E161" s="202"/>
      <c r="F161" s="202"/>
      <c r="G161" s="202"/>
      <c r="H161" s="202"/>
      <c r="I161" s="202"/>
      <c r="J161" s="202"/>
      <c r="K161" s="266"/>
      <c r="L161" s="202"/>
      <c r="M161" s="202"/>
      <c r="N161" s="202"/>
      <c r="O161" s="202"/>
    </row>
    <row r="162" spans="1:16" ht="15" customHeight="1" collapsed="1">
      <c r="B162" s="143"/>
      <c r="C162" s="143"/>
      <c r="D162" s="143"/>
      <c r="E162" s="143"/>
      <c r="F162" s="143"/>
      <c r="G162" s="143"/>
      <c r="H162" s="143"/>
      <c r="I162" s="143"/>
      <c r="J162" s="143"/>
      <c r="K162" s="180"/>
      <c r="L162" s="143"/>
      <c r="M162" s="143"/>
      <c r="N162" s="143"/>
      <c r="O162" s="143"/>
    </row>
    <row r="163" spans="1:16" s="5" customFormat="1" ht="15" customHeight="1">
      <c r="A163" s="5" t="s">
        <v>91</v>
      </c>
      <c r="B163" s="530" t="s">
        <v>89</v>
      </c>
      <c r="C163" s="76"/>
      <c r="D163" s="77"/>
      <c r="E163" s="77"/>
      <c r="F163" s="430"/>
      <c r="G163" s="430"/>
      <c r="H163" s="79"/>
      <c r="I163" s="79"/>
      <c r="J163" s="79"/>
      <c r="K163" s="80"/>
      <c r="L163" s="81"/>
      <c r="M163" s="81"/>
      <c r="N163" s="81"/>
      <c r="O163" s="81"/>
    </row>
    <row r="164" spans="1:16" s="5" customFormat="1" ht="15" hidden="1" customHeight="1" outlineLevel="1">
      <c r="B164" s="6"/>
      <c r="C164" s="6"/>
      <c r="D164" s="7"/>
      <c r="E164" s="7"/>
      <c r="F164" s="8"/>
      <c r="G164" s="8"/>
      <c r="H164" s="9"/>
      <c r="I164" s="9"/>
      <c r="J164" s="9"/>
      <c r="K164" s="9"/>
      <c r="L164" s="9"/>
      <c r="M164" s="9"/>
      <c r="N164" s="9"/>
      <c r="O164" s="9"/>
    </row>
    <row r="165" spans="1:16" s="5" customFormat="1" ht="15" hidden="1" customHeight="1" outlineLevel="1" thickBot="1">
      <c r="B165" s="10" t="s">
        <v>19</v>
      </c>
      <c r="C165" s="10"/>
      <c r="D165" s="7"/>
      <c r="E165" s="7"/>
      <c r="F165" s="11"/>
      <c r="G165" s="11"/>
      <c r="H165" s="83">
        <f>I165-1</f>
        <v>2020</v>
      </c>
      <c r="I165" s="83">
        <f>J165-1</f>
        <v>2021</v>
      </c>
      <c r="J165" s="641">
        <f>K165-1</f>
        <v>2022</v>
      </c>
      <c r="K165" s="75">
        <f>$K$5</f>
        <v>2023</v>
      </c>
      <c r="L165" s="75">
        <f>K165+1</f>
        <v>2024</v>
      </c>
      <c r="M165" s="75">
        <f>L165+1</f>
        <v>2025</v>
      </c>
      <c r="N165" s="75">
        <f>M165+1</f>
        <v>2026</v>
      </c>
      <c r="O165" s="75">
        <f>N165+1</f>
        <v>2027</v>
      </c>
      <c r="P165" s="36"/>
    </row>
    <row r="166" spans="1:16" s="5" customFormat="1" ht="15" hidden="1" customHeight="1" outlineLevel="1">
      <c r="B166" s="10" t="str">
        <f>$B$6</f>
        <v>Model Running: Base Case Drivers</v>
      </c>
      <c r="C166" s="10"/>
      <c r="D166" s="7"/>
      <c r="E166" s="7"/>
      <c r="F166" s="11"/>
      <c r="G166" s="11"/>
      <c r="H166" s="11"/>
      <c r="I166" s="11"/>
      <c r="J166" s="11"/>
      <c r="P166" s="36"/>
    </row>
    <row r="167" spans="1:16" s="5" customFormat="1" ht="15" hidden="1" customHeight="1" outlineLevel="1">
      <c r="B167" s="10"/>
      <c r="C167" s="10"/>
      <c r="D167" s="7"/>
      <c r="E167" s="7"/>
      <c r="F167" s="11"/>
      <c r="G167" s="11"/>
      <c r="H167" s="11"/>
      <c r="I167" s="11"/>
      <c r="J167" s="11"/>
      <c r="P167" s="36"/>
    </row>
    <row r="168" spans="1:16" s="12" customFormat="1" ht="15" hidden="1" customHeight="1" outlineLevel="1">
      <c r="B168" s="13" t="s">
        <v>1</v>
      </c>
      <c r="D168" s="21"/>
      <c r="E168" s="21"/>
      <c r="F168" s="22"/>
      <c r="G168" s="14"/>
      <c r="H168" s="407">
        <f>H$8</f>
        <v>365</v>
      </c>
      <c r="I168" s="408">
        <f t="shared" ref="I168:O168" si="36">I$8</f>
        <v>365</v>
      </c>
      <c r="J168" s="408">
        <f t="shared" si="36"/>
        <v>365</v>
      </c>
      <c r="K168" s="408">
        <f t="shared" si="36"/>
        <v>365</v>
      </c>
      <c r="L168" s="408">
        <f t="shared" si="36"/>
        <v>365</v>
      </c>
      <c r="M168" s="408">
        <f t="shared" si="36"/>
        <v>365</v>
      </c>
      <c r="N168" s="408">
        <f t="shared" si="36"/>
        <v>365</v>
      </c>
      <c r="O168" s="409">
        <f t="shared" si="36"/>
        <v>365</v>
      </c>
    </row>
    <row r="169" spans="1:16" s="12" customFormat="1" ht="15" hidden="1" customHeight="1" outlineLevel="1">
      <c r="B169" s="13" t="s">
        <v>0</v>
      </c>
      <c r="D169" s="14"/>
      <c r="E169" s="14"/>
      <c r="F169" s="14"/>
      <c r="G169" s="14"/>
      <c r="H169" s="410">
        <f t="shared" ref="H169:O170" si="37">H100</f>
        <v>51585.318599999999</v>
      </c>
      <c r="I169" s="19">
        <f t="shared" si="37"/>
        <v>53493.892650000002</v>
      </c>
      <c r="J169" s="19">
        <f t="shared" si="37"/>
        <v>55749.479500000001</v>
      </c>
      <c r="K169" s="19">
        <f t="shared" si="37"/>
        <v>58854.725508149997</v>
      </c>
      <c r="L169" s="19">
        <f t="shared" si="37"/>
        <v>62132.933718953958</v>
      </c>
      <c r="M169" s="19">
        <f t="shared" si="37"/>
        <v>65276.860165133046</v>
      </c>
      <c r="N169" s="19">
        <f t="shared" si="37"/>
        <v>68579.869289488779</v>
      </c>
      <c r="O169" s="411">
        <f t="shared" si="37"/>
        <v>71700.253342160504</v>
      </c>
    </row>
    <row r="170" spans="1:16" s="12" customFormat="1" ht="15" hidden="1" customHeight="1" outlineLevel="1">
      <c r="B170" s="13" t="s">
        <v>79</v>
      </c>
      <c r="D170" s="14"/>
      <c r="E170" s="14"/>
      <c r="F170" s="14"/>
      <c r="G170" s="14"/>
      <c r="H170" s="412">
        <f t="shared" si="37"/>
        <v>27696.923699999999</v>
      </c>
      <c r="I170" s="293">
        <f t="shared" si="37"/>
        <v>28428.971099999999</v>
      </c>
      <c r="J170" s="293">
        <f t="shared" si="37"/>
        <v>29199.960500000001</v>
      </c>
      <c r="K170" s="293">
        <f t="shared" si="37"/>
        <v>30355.825199849998</v>
      </c>
      <c r="L170" s="293">
        <f t="shared" si="37"/>
        <v>31407.13966196241</v>
      </c>
      <c r="M170" s="293">
        <f t="shared" si="37"/>
        <v>32497.109927067711</v>
      </c>
      <c r="N170" s="293">
        <f t="shared" si="37"/>
        <v>33464.016651914542</v>
      </c>
      <c r="O170" s="413">
        <f t="shared" si="37"/>
        <v>34462.124838321033</v>
      </c>
    </row>
    <row r="171" spans="1:16" s="12" customFormat="1" ht="15" hidden="1" customHeight="1" outlineLevel="1">
      <c r="C171" s="23"/>
      <c r="D171" s="17"/>
      <c r="E171" s="17"/>
      <c r="F171" s="14"/>
      <c r="G171" s="14"/>
      <c r="H171" s="14"/>
      <c r="I171" s="14"/>
      <c r="J171" s="14"/>
      <c r="K171" s="19"/>
      <c r="L171" s="19"/>
      <c r="M171" s="19"/>
      <c r="N171" s="19"/>
      <c r="O171" s="19"/>
    </row>
    <row r="172" spans="1:16" s="12" customFormat="1" ht="15" hidden="1" customHeight="1" outlineLevel="1">
      <c r="C172" s="23"/>
      <c r="D172" s="17"/>
      <c r="E172" s="17"/>
      <c r="F172" s="14"/>
      <c r="G172" s="14"/>
      <c r="H172" s="14"/>
      <c r="I172" s="14"/>
      <c r="J172" s="14"/>
      <c r="K172" s="19"/>
      <c r="L172" s="19"/>
      <c r="M172" s="19"/>
      <c r="N172" s="19"/>
      <c r="O172" s="19"/>
    </row>
    <row r="173" spans="1:16" s="12" customFormat="1" ht="15" hidden="1" customHeight="1" outlineLevel="1">
      <c r="B173" s="16" t="s">
        <v>88</v>
      </c>
      <c r="C173" s="23"/>
      <c r="D173" s="17"/>
      <c r="E173" s="17"/>
      <c r="F173" s="14"/>
      <c r="G173" s="14"/>
      <c r="H173" s="14"/>
      <c r="I173" s="14"/>
      <c r="J173" s="14"/>
      <c r="K173" s="19"/>
      <c r="L173" s="19"/>
      <c r="M173" s="19"/>
      <c r="N173" s="19"/>
      <c r="O173" s="19"/>
    </row>
    <row r="174" spans="1:16" s="12" customFormat="1" ht="15" hidden="1" customHeight="1" outlineLevel="1">
      <c r="C174" s="23" t="s">
        <v>2</v>
      </c>
      <c r="D174" s="14"/>
      <c r="E174" s="14"/>
      <c r="F174" s="22" t="s">
        <v>3</v>
      </c>
      <c r="G174" s="22"/>
      <c r="H174" s="236">
        <f>(H180/H169)*H168</f>
        <v>40.3878478711189</v>
      </c>
      <c r="I174" s="236">
        <f>(I180/I169)*I168</f>
        <v>43.211381439821238</v>
      </c>
      <c r="J174" s="236">
        <f>(J180/J169)*J168</f>
        <v>44.35036922631717</v>
      </c>
      <c r="K174" s="19">
        <f>Inputs!H46</f>
        <v>45</v>
      </c>
      <c r="L174" s="19">
        <f>Inputs!I46</f>
        <v>45</v>
      </c>
      <c r="M174" s="19">
        <f>Inputs!J46</f>
        <v>45</v>
      </c>
      <c r="N174" s="19">
        <f>Inputs!K46</f>
        <v>45</v>
      </c>
      <c r="O174" s="19">
        <f>Inputs!L46</f>
        <v>45</v>
      </c>
      <c r="P174" s="36"/>
    </row>
    <row r="175" spans="1:16" s="12" customFormat="1" ht="15" hidden="1" customHeight="1" outlineLevel="1">
      <c r="C175" s="23" t="s">
        <v>4</v>
      </c>
      <c r="D175" s="14"/>
      <c r="E175" s="14"/>
      <c r="F175" s="22" t="s">
        <v>3</v>
      </c>
      <c r="G175" s="22"/>
      <c r="H175" s="236">
        <f>(H181/H170)*H168</f>
        <v>23.61561908768951</v>
      </c>
      <c r="I175" s="236">
        <f>(I181/I170)*I168</f>
        <v>24.689426765782603</v>
      </c>
      <c r="J175" s="236">
        <f>(J181/J170)*J168</f>
        <v>24.862533632536934</v>
      </c>
      <c r="K175" s="19">
        <f>Inputs!H53</f>
        <v>25</v>
      </c>
      <c r="L175" s="19">
        <f>Inputs!I53</f>
        <v>25</v>
      </c>
      <c r="M175" s="19">
        <f>Inputs!J53</f>
        <v>25</v>
      </c>
      <c r="N175" s="19">
        <f>Inputs!K53</f>
        <v>25</v>
      </c>
      <c r="O175" s="19">
        <f>Inputs!L53</f>
        <v>25</v>
      </c>
    </row>
    <row r="176" spans="1:16" s="12" customFormat="1" ht="15" hidden="1" customHeight="1" outlineLevel="1">
      <c r="C176" s="23" t="s">
        <v>5</v>
      </c>
      <c r="D176" s="14"/>
      <c r="E176" s="14"/>
      <c r="F176" s="22" t="s">
        <v>3</v>
      </c>
      <c r="G176" s="22"/>
      <c r="H176" s="236">
        <f>(H182/H170)*H168</f>
        <v>39.851357210476053</v>
      </c>
      <c r="I176" s="236">
        <f>(I182/I170)*I168</f>
        <v>41.149044609637663</v>
      </c>
      <c r="J176" s="236">
        <f>(J182/J170)*J168</f>
        <v>41.487556121865303</v>
      </c>
      <c r="K176" s="19">
        <f>Inputs!H60</f>
        <v>40</v>
      </c>
      <c r="L176" s="19">
        <f>Inputs!I60</f>
        <v>40</v>
      </c>
      <c r="M176" s="19">
        <f>Inputs!J60</f>
        <v>40</v>
      </c>
      <c r="N176" s="19">
        <f>Inputs!K60</f>
        <v>40</v>
      </c>
      <c r="O176" s="19">
        <f>Inputs!L60</f>
        <v>40</v>
      </c>
      <c r="P176" s="59"/>
    </row>
    <row r="177" spans="2:16" s="12" customFormat="1" ht="15" hidden="1" customHeight="1" outlineLevel="1">
      <c r="C177" s="23"/>
      <c r="D177" s="14"/>
      <c r="E177" s="14"/>
      <c r="F177" s="24"/>
      <c r="G177" s="24"/>
      <c r="H177" s="237"/>
      <c r="I177" s="236"/>
      <c r="J177" s="236"/>
      <c r="K177" s="238"/>
      <c r="L177" s="238"/>
      <c r="M177" s="238"/>
      <c r="N177" s="238"/>
      <c r="O177" s="238"/>
      <c r="P177" s="59"/>
    </row>
    <row r="178" spans="2:16" s="12" customFormat="1" ht="15" hidden="1" customHeight="1" outlineLevel="1">
      <c r="C178" s="23"/>
      <c r="D178" s="14"/>
      <c r="E178" s="14"/>
      <c r="F178" s="24"/>
      <c r="G178" s="24"/>
      <c r="H178" s="237"/>
      <c r="I178" s="236"/>
      <c r="J178" s="236"/>
      <c r="K178" s="238"/>
      <c r="L178" s="238"/>
      <c r="M178" s="238"/>
      <c r="N178" s="238"/>
      <c r="O178" s="238"/>
      <c r="P178" s="59"/>
    </row>
    <row r="179" spans="2:16" s="12" customFormat="1" ht="15" hidden="1" customHeight="1" outlineLevel="1">
      <c r="B179" s="16" t="s">
        <v>78</v>
      </c>
      <c r="C179" s="25"/>
      <c r="D179" s="17"/>
      <c r="E179" s="17"/>
      <c r="F179" s="14"/>
      <c r="G179" s="14"/>
      <c r="H179" s="14"/>
      <c r="I179" s="14"/>
      <c r="J179" s="14"/>
      <c r="K179" s="19"/>
      <c r="L179" s="19"/>
      <c r="M179" s="19"/>
      <c r="N179" s="19"/>
      <c r="O179" s="19"/>
    </row>
    <row r="180" spans="2:16" s="12" customFormat="1" ht="15" hidden="1" customHeight="1" outlineLevel="1">
      <c r="C180" s="23" t="s">
        <v>2</v>
      </c>
      <c r="D180" s="14"/>
      <c r="E180" s="14"/>
      <c r="F180" s="14"/>
      <c r="G180" s="14"/>
      <c r="H180" s="40">
        <v>5708</v>
      </c>
      <c r="I180" s="40">
        <v>6333</v>
      </c>
      <c r="J180" s="40">
        <v>6774</v>
      </c>
      <c r="K180" s="20">
        <f>(K174/K168)*K169</f>
        <v>7256.0620489499988</v>
      </c>
      <c r="L180" s="20">
        <f>(L174/L168)*L169</f>
        <v>7660.2247050765154</v>
      </c>
      <c r="M180" s="20">
        <f>(M174/M168)*M169</f>
        <v>8047.8320751533893</v>
      </c>
      <c r="N180" s="20">
        <f>(N174/N168)*N169</f>
        <v>8455.0523781561496</v>
      </c>
      <c r="O180" s="20">
        <f>(O174/O168)*O169</f>
        <v>8839.7572613622542</v>
      </c>
    </row>
    <row r="181" spans="2:16" s="12" customFormat="1" ht="15" hidden="1" customHeight="1" outlineLevel="1">
      <c r="C181" s="23" t="s">
        <v>4</v>
      </c>
      <c r="D181" s="14"/>
      <c r="E181" s="14"/>
      <c r="F181" s="14"/>
      <c r="G181" s="14"/>
      <c r="H181" s="40">
        <v>1792</v>
      </c>
      <c r="I181" s="40">
        <v>1923</v>
      </c>
      <c r="J181" s="40">
        <v>1989</v>
      </c>
      <c r="K181" s="20">
        <f>(K175/K168)*K170</f>
        <v>2079.1661095787667</v>
      </c>
      <c r="L181" s="20">
        <f>(L175/L168)*L170</f>
        <v>2151.17394944948</v>
      </c>
      <c r="M181" s="20">
        <f>(M175/M168)*M170</f>
        <v>2225.8294470594324</v>
      </c>
      <c r="N181" s="20">
        <f>(N175/N168)*N170</f>
        <v>2292.0559350626399</v>
      </c>
      <c r="O181" s="20">
        <f>(O175/O168)*O170</f>
        <v>2360.419509474043</v>
      </c>
    </row>
    <row r="182" spans="2:16" s="12" customFormat="1" ht="15" hidden="1" customHeight="1" outlineLevel="1">
      <c r="C182" s="23" t="s">
        <v>5</v>
      </c>
      <c r="D182" s="14"/>
      <c r="E182" s="14"/>
      <c r="F182" s="14"/>
      <c r="G182" s="14"/>
      <c r="H182" s="40">
        <v>3024</v>
      </c>
      <c r="I182" s="40">
        <v>3205</v>
      </c>
      <c r="J182" s="40">
        <v>3319</v>
      </c>
      <c r="K182" s="20">
        <f>(K176/K168)*K170</f>
        <v>3326.665775326027</v>
      </c>
      <c r="L182" s="20">
        <f>(L176/L168)*L170</f>
        <v>3441.8783191191678</v>
      </c>
      <c r="M182" s="20">
        <f>(M176/M168)*M170</f>
        <v>3561.3271152950915</v>
      </c>
      <c r="N182" s="20">
        <f>(N176/N168)*N170</f>
        <v>3667.2894961002235</v>
      </c>
      <c r="O182" s="20">
        <f>(O176/O168)*O170</f>
        <v>3776.6712151584693</v>
      </c>
    </row>
    <row r="183" spans="2:16" s="12" customFormat="1" ht="15" hidden="1" customHeight="1" outlineLevel="1">
      <c r="C183" s="25"/>
      <c r="D183" s="17"/>
      <c r="E183" s="17"/>
      <c r="F183" s="14"/>
      <c r="G183" s="14"/>
      <c r="H183" s="14"/>
      <c r="I183" s="14"/>
      <c r="J183" s="14"/>
      <c r="K183" s="19"/>
      <c r="L183" s="19"/>
      <c r="M183" s="19"/>
      <c r="N183" s="19"/>
      <c r="O183" s="19"/>
    </row>
    <row r="184" spans="2:16" s="12" customFormat="1" ht="15" hidden="1" customHeight="1" outlineLevel="1">
      <c r="C184" s="25"/>
      <c r="D184" s="17"/>
      <c r="E184" s="17"/>
      <c r="F184" s="14"/>
      <c r="G184" s="14"/>
      <c r="H184" s="14"/>
      <c r="I184" s="14"/>
      <c r="J184" s="14"/>
      <c r="K184" s="19"/>
      <c r="L184" s="19"/>
      <c r="M184" s="19"/>
      <c r="N184" s="19"/>
      <c r="O184" s="19"/>
    </row>
    <row r="185" spans="2:16" s="12" customFormat="1" ht="15" hidden="1" customHeight="1" outlineLevel="1">
      <c r="B185" s="16" t="s">
        <v>87</v>
      </c>
      <c r="C185" s="25"/>
      <c r="D185" s="17"/>
      <c r="E185" s="17"/>
      <c r="F185" s="14"/>
      <c r="G185" s="14"/>
      <c r="H185" s="14"/>
      <c r="I185" s="14"/>
      <c r="J185" s="14"/>
      <c r="K185" s="19"/>
      <c r="L185" s="19"/>
      <c r="M185" s="19"/>
      <c r="N185" s="19"/>
      <c r="O185" s="19"/>
    </row>
    <row r="186" spans="2:16" s="12" customFormat="1" ht="15" hidden="1" customHeight="1" outlineLevel="1">
      <c r="C186" s="23" t="s">
        <v>84</v>
      </c>
      <c r="D186" s="14"/>
      <c r="E186" s="14"/>
      <c r="F186" s="14"/>
      <c r="G186" s="14"/>
      <c r="H186" s="20">
        <f t="shared" ref="H186:O186" si="38">SUM(H180:H181)</f>
        <v>7500</v>
      </c>
      <c r="I186" s="20">
        <f t="shared" si="38"/>
        <v>8256</v>
      </c>
      <c r="J186" s="20">
        <f t="shared" si="38"/>
        <v>8763</v>
      </c>
      <c r="K186" s="20">
        <f t="shared" si="38"/>
        <v>9335.2281585287656</v>
      </c>
      <c r="L186" s="20">
        <f t="shared" si="38"/>
        <v>9811.3986545259959</v>
      </c>
      <c r="M186" s="20">
        <f t="shared" si="38"/>
        <v>10273.661522212822</v>
      </c>
      <c r="N186" s="20">
        <f t="shared" si="38"/>
        <v>10747.108313218789</v>
      </c>
      <c r="O186" s="20">
        <f t="shared" si="38"/>
        <v>11200.176770836297</v>
      </c>
    </row>
    <row r="187" spans="2:16" s="12" customFormat="1" ht="15" hidden="1" customHeight="1" outlineLevel="1">
      <c r="C187" s="23" t="s">
        <v>85</v>
      </c>
      <c r="D187" s="14"/>
      <c r="E187" s="14"/>
      <c r="F187" s="14"/>
      <c r="G187" s="14"/>
      <c r="H187" s="71">
        <f t="shared" ref="H187:O187" si="39">SUM(H182)</f>
        <v>3024</v>
      </c>
      <c r="I187" s="71">
        <f t="shared" si="39"/>
        <v>3205</v>
      </c>
      <c r="J187" s="71">
        <f t="shared" si="39"/>
        <v>3319</v>
      </c>
      <c r="K187" s="71">
        <f t="shared" si="39"/>
        <v>3326.665775326027</v>
      </c>
      <c r="L187" s="71">
        <f t="shared" si="39"/>
        <v>3441.8783191191678</v>
      </c>
      <c r="M187" s="71">
        <f t="shared" si="39"/>
        <v>3561.3271152950915</v>
      </c>
      <c r="N187" s="71">
        <f t="shared" si="39"/>
        <v>3667.2894961002235</v>
      </c>
      <c r="O187" s="71">
        <f t="shared" si="39"/>
        <v>3776.6712151584693</v>
      </c>
    </row>
    <row r="188" spans="2:16" s="12" customFormat="1" ht="15" hidden="1" customHeight="1" outlineLevel="1">
      <c r="C188" s="23" t="s">
        <v>6</v>
      </c>
      <c r="D188" s="14"/>
      <c r="E188" s="14"/>
      <c r="F188" s="14"/>
      <c r="G188" s="14"/>
      <c r="H188" s="20">
        <f t="shared" ref="H188:O188" si="40">H186-H187</f>
        <v>4476</v>
      </c>
      <c r="I188" s="20">
        <f t="shared" si="40"/>
        <v>5051</v>
      </c>
      <c r="J188" s="20">
        <f t="shared" si="40"/>
        <v>5444</v>
      </c>
      <c r="K188" s="20">
        <f t="shared" si="40"/>
        <v>6008.5623832027386</v>
      </c>
      <c r="L188" s="20">
        <f t="shared" si="40"/>
        <v>6369.5203354068281</v>
      </c>
      <c r="M188" s="20">
        <f t="shared" si="40"/>
        <v>6712.334406917731</v>
      </c>
      <c r="N188" s="20">
        <f t="shared" si="40"/>
        <v>7079.8188171185648</v>
      </c>
      <c r="O188" s="20">
        <f t="shared" si="40"/>
        <v>7423.5055556778279</v>
      </c>
    </row>
    <row r="189" spans="2:16" s="12" customFormat="1" ht="15" hidden="1" customHeight="1" outlineLevel="1">
      <c r="C189" s="25"/>
      <c r="D189" s="17"/>
      <c r="E189" s="17"/>
      <c r="F189" s="14"/>
      <c r="G189" s="14"/>
      <c r="H189" s="14"/>
      <c r="I189" s="14"/>
      <c r="J189" s="14"/>
      <c r="K189" s="19"/>
      <c r="L189" s="19"/>
      <c r="M189" s="19"/>
      <c r="N189" s="19"/>
      <c r="O189" s="19"/>
    </row>
    <row r="190" spans="2:16" s="12" customFormat="1" ht="15" hidden="1" customHeight="1" outlineLevel="1">
      <c r="C190" s="25"/>
      <c r="D190" s="17"/>
      <c r="E190" s="17"/>
      <c r="F190" s="14"/>
      <c r="G190" s="14"/>
      <c r="H190" s="14"/>
      <c r="I190" s="14"/>
      <c r="J190" s="14"/>
      <c r="K190" s="19"/>
      <c r="L190" s="19"/>
      <c r="M190" s="19"/>
      <c r="N190" s="19"/>
      <c r="O190" s="19"/>
    </row>
    <row r="191" spans="2:16" s="12" customFormat="1" ht="15" hidden="1" customHeight="1" outlineLevel="1" thickBot="1">
      <c r="C191" s="25" t="s">
        <v>86</v>
      </c>
      <c r="D191" s="17"/>
      <c r="E191" s="17"/>
      <c r="F191" s="17"/>
      <c r="G191" s="17"/>
      <c r="H191" s="17"/>
      <c r="I191" s="271"/>
      <c r="J191" s="271"/>
      <c r="K191" s="239">
        <f>J188-K188</f>
        <v>-564.5623832027386</v>
      </c>
      <c r="L191" s="239">
        <f>K188-L188</f>
        <v>-360.95795220408945</v>
      </c>
      <c r="M191" s="239">
        <f>L188-M188</f>
        <v>-342.81407151090298</v>
      </c>
      <c r="N191" s="239">
        <f>M188-N188</f>
        <v>-367.48441020083374</v>
      </c>
      <c r="O191" s="239">
        <f>N188-O188</f>
        <v>-343.68673855926318</v>
      </c>
    </row>
    <row r="192" spans="2:16" s="12" customFormat="1" ht="15" hidden="1" customHeight="1" outlineLevel="1">
      <c r="C192" s="25"/>
      <c r="D192" s="17"/>
      <c r="E192" s="17"/>
      <c r="F192" s="17"/>
      <c r="G192" s="17"/>
      <c r="H192" s="17"/>
      <c r="I192" s="271"/>
      <c r="J192" s="271"/>
      <c r="K192" s="271"/>
      <c r="L192" s="271"/>
      <c r="M192" s="271"/>
      <c r="N192" s="271"/>
      <c r="O192" s="271"/>
    </row>
    <row r="193" spans="1:16" s="12" customFormat="1" ht="15" hidden="1" customHeight="1" outlineLevel="1"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</row>
    <row r="194" spans="1:16" s="12" customFormat="1" ht="15" customHeight="1" collapsed="1">
      <c r="B194" s="13"/>
      <c r="D194" s="21"/>
      <c r="E194" s="21"/>
      <c r="F194" s="22"/>
      <c r="G194" s="14"/>
      <c r="H194" s="20"/>
      <c r="I194" s="20"/>
      <c r="J194" s="20"/>
      <c r="K194" s="20"/>
      <c r="L194" s="20"/>
      <c r="M194" s="20"/>
      <c r="N194" s="20"/>
      <c r="O194" s="20"/>
    </row>
    <row r="195" spans="1:16" s="5" customFormat="1" ht="15" customHeight="1">
      <c r="A195" s="5" t="s">
        <v>91</v>
      </c>
      <c r="B195" s="530" t="s">
        <v>90</v>
      </c>
      <c r="C195" s="76"/>
      <c r="D195" s="77"/>
      <c r="E195" s="77"/>
      <c r="F195" s="430"/>
      <c r="G195" s="430"/>
      <c r="H195" s="79"/>
      <c r="I195" s="79"/>
      <c r="J195" s="79"/>
      <c r="K195" s="80"/>
      <c r="L195" s="81"/>
      <c r="M195" s="81"/>
      <c r="N195" s="81"/>
      <c r="O195" s="81"/>
      <c r="P195" s="36"/>
    </row>
    <row r="196" spans="1:16" s="5" customFormat="1" ht="15" hidden="1" customHeight="1" outlineLevel="1">
      <c r="B196" s="6"/>
      <c r="C196" s="6"/>
      <c r="D196" s="7"/>
      <c r="E196" s="7"/>
      <c r="F196" s="8"/>
      <c r="G196" s="8"/>
      <c r="H196" s="9"/>
      <c r="I196" s="9"/>
      <c r="J196" s="9"/>
      <c r="K196" s="9"/>
      <c r="L196" s="9"/>
      <c r="M196" s="9"/>
      <c r="N196" s="9"/>
      <c r="O196" s="9"/>
      <c r="P196" s="36"/>
    </row>
    <row r="197" spans="1:16" s="5" customFormat="1" ht="15" hidden="1" customHeight="1" outlineLevel="1" thickBot="1">
      <c r="B197" s="10" t="s">
        <v>19</v>
      </c>
      <c r="C197" s="10"/>
      <c r="D197" s="7"/>
      <c r="E197" s="7"/>
      <c r="F197" s="11"/>
      <c r="G197" s="11"/>
      <c r="H197" s="83">
        <f>I197-1</f>
        <v>2020</v>
      </c>
      <c r="I197" s="83">
        <f>J197-1</f>
        <v>2021</v>
      </c>
      <c r="J197" s="641">
        <f>K197-1</f>
        <v>2022</v>
      </c>
      <c r="K197" s="75">
        <f>$K$5</f>
        <v>2023</v>
      </c>
      <c r="L197" s="75">
        <f>K197+1</f>
        <v>2024</v>
      </c>
      <c r="M197" s="75">
        <f>L197+1</f>
        <v>2025</v>
      </c>
      <c r="N197" s="75">
        <f>M197+1</f>
        <v>2026</v>
      </c>
      <c r="O197" s="75">
        <f>N197+1</f>
        <v>2027</v>
      </c>
    </row>
    <row r="198" spans="1:16" s="5" customFormat="1" ht="15" hidden="1" customHeight="1" outlineLevel="1">
      <c r="B198" s="10" t="str">
        <f>$B$6</f>
        <v>Model Running: Base Case Drivers</v>
      </c>
      <c r="C198" s="10"/>
      <c r="D198" s="7"/>
      <c r="E198" s="7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36"/>
    </row>
    <row r="199" spans="1:16" s="5" customFormat="1" ht="15" hidden="1" customHeight="1" outlineLevel="1">
      <c r="B199" s="10"/>
      <c r="C199" s="10"/>
      <c r="D199" s="7"/>
      <c r="E199" s="7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36"/>
    </row>
    <row r="200" spans="1:16" s="5" customFormat="1" ht="15" hidden="1" customHeight="1" outlineLevel="1">
      <c r="B200" s="503" t="s">
        <v>51</v>
      </c>
      <c r="D200" s="7"/>
      <c r="E200" s="7"/>
      <c r="F200" s="11"/>
      <c r="G200" s="11"/>
      <c r="H200" s="504">
        <v>4982</v>
      </c>
      <c r="I200" s="394">
        <v>5199</v>
      </c>
      <c r="J200" s="394">
        <v>4400</v>
      </c>
      <c r="K200" s="395">
        <f>Inputs!H31</f>
        <v>4100</v>
      </c>
      <c r="L200" s="395">
        <f>Inputs!I31</f>
        <v>4300</v>
      </c>
      <c r="M200" s="395">
        <f>Inputs!J31</f>
        <v>4400</v>
      </c>
      <c r="N200" s="395">
        <f>Inputs!K31</f>
        <v>4600</v>
      </c>
      <c r="O200" s="396">
        <f>Inputs!L31</f>
        <v>4800</v>
      </c>
      <c r="P200" s="36"/>
    </row>
    <row r="201" spans="1:16" s="5" customFormat="1" ht="15" hidden="1" customHeight="1" outlineLevel="1">
      <c r="B201" s="23"/>
      <c r="D201" s="7"/>
      <c r="E201" s="7"/>
      <c r="F201" s="11"/>
      <c r="G201" s="11"/>
      <c r="H201" s="40"/>
      <c r="I201" s="40"/>
      <c r="J201" s="40"/>
      <c r="K201" s="20"/>
      <c r="L201" s="20"/>
      <c r="M201" s="20"/>
      <c r="N201" s="20"/>
      <c r="O201" s="20"/>
      <c r="P201" s="36"/>
    </row>
    <row r="202" spans="1:16" s="5" customFormat="1" ht="15" hidden="1" customHeight="1" outlineLevel="1">
      <c r="B202" s="10"/>
      <c r="C202" s="10"/>
      <c r="D202" s="7"/>
      <c r="E202" s="7"/>
      <c r="F202" s="11"/>
      <c r="G202" s="11"/>
      <c r="H202" s="11"/>
      <c r="I202" s="11"/>
      <c r="J202" s="11"/>
      <c r="K202" s="33"/>
      <c r="L202" s="33"/>
      <c r="M202" s="33"/>
      <c r="N202" s="33"/>
      <c r="O202" s="33"/>
      <c r="P202" s="39"/>
    </row>
    <row r="203" spans="1:16" s="5" customFormat="1" ht="15" hidden="1" customHeight="1" outlineLevel="1">
      <c r="B203" s="25" t="s">
        <v>208</v>
      </c>
      <c r="C203" s="10"/>
      <c r="F203" s="55" t="s">
        <v>65</v>
      </c>
      <c r="G203" s="11"/>
      <c r="H203" s="11"/>
      <c r="I203" s="11"/>
      <c r="J203" s="11"/>
      <c r="K203" s="52" t="s">
        <v>69</v>
      </c>
      <c r="L203" s="53"/>
      <c r="M203" s="53"/>
      <c r="N203" s="53"/>
      <c r="O203" s="431"/>
      <c r="P203" s="36"/>
    </row>
    <row r="204" spans="1:16" s="5" customFormat="1" ht="15" hidden="1" customHeight="1" outlineLevel="1">
      <c r="B204" s="44" t="s">
        <v>70</v>
      </c>
      <c r="C204" s="432"/>
      <c r="D204" s="432"/>
      <c r="E204" s="432"/>
      <c r="F204" s="494">
        <f>Transaction!$I$36</f>
        <v>16</v>
      </c>
      <c r="G204" s="11"/>
      <c r="H204" s="56"/>
      <c r="I204" s="11"/>
      <c r="J204" s="11"/>
      <c r="K204" s="64">
        <v>1</v>
      </c>
      <c r="L204" s="64">
        <f>K204+1</f>
        <v>2</v>
      </c>
      <c r="M204" s="64">
        <f>L204+1</f>
        <v>3</v>
      </c>
      <c r="N204" s="64">
        <f>M204+1</f>
        <v>4</v>
      </c>
      <c r="O204" s="64">
        <f>N204+1</f>
        <v>5</v>
      </c>
      <c r="P204" s="39"/>
    </row>
    <row r="205" spans="1:16" s="5" customFormat="1" ht="15" hidden="1" customHeight="1" outlineLevel="1">
      <c r="B205" s="61" t="str">
        <f>CONCATENATE("PP&amp;E at End of ",$J$197)</f>
        <v>PP&amp;E at End of 2022</v>
      </c>
      <c r="C205" s="433"/>
      <c r="D205" s="433"/>
      <c r="E205" s="433"/>
      <c r="F205" s="646">
        <f>+Transaction!I35</f>
        <v>65014</v>
      </c>
      <c r="G205" s="11"/>
      <c r="H205" s="56"/>
      <c r="I205" s="11"/>
      <c r="J205" s="40"/>
      <c r="K205" s="397">
        <f>MIN($F204-SUM($J205:J205),1)</f>
        <v>1</v>
      </c>
      <c r="L205" s="240">
        <f>MIN($F204-SUM($J205:K205),1)</f>
        <v>1</v>
      </c>
      <c r="M205" s="240">
        <f>MIN($F204-SUM($J205:L205),1)</f>
        <v>1</v>
      </c>
      <c r="N205" s="240">
        <f>MIN($F204-SUM($J205:M205),1)</f>
        <v>1</v>
      </c>
      <c r="O205" s="241">
        <f>MIN($F204-SUM($J205:N205),1)</f>
        <v>1</v>
      </c>
      <c r="P205" s="39"/>
    </row>
    <row r="206" spans="1:16" s="5" customFormat="1" ht="15" hidden="1" customHeight="1" outlineLevel="1">
      <c r="B206" s="23"/>
      <c r="C206" s="10"/>
      <c r="D206" s="57"/>
      <c r="E206" s="57"/>
      <c r="F206" s="74"/>
      <c r="G206" s="11"/>
      <c r="H206" s="11"/>
      <c r="I206" s="11"/>
      <c r="J206" s="11"/>
      <c r="K206" s="58"/>
      <c r="L206" s="58"/>
      <c r="M206" s="58"/>
      <c r="N206" s="58"/>
      <c r="O206" s="58"/>
      <c r="P206" s="39"/>
    </row>
    <row r="207" spans="1:16" s="5" customFormat="1" ht="15" hidden="1" customHeight="1" outlineLevel="1">
      <c r="B207" s="27"/>
      <c r="C207" s="54"/>
      <c r="D207" s="28"/>
      <c r="E207" s="28"/>
      <c r="F207" s="29"/>
      <c r="G207" s="29"/>
      <c r="H207" s="29"/>
      <c r="I207" s="29"/>
      <c r="J207" s="29"/>
      <c r="K207" s="42"/>
      <c r="L207" s="42"/>
      <c r="M207" s="42"/>
      <c r="N207" s="42"/>
      <c r="O207" s="42"/>
      <c r="P207" s="39"/>
    </row>
    <row r="208" spans="1:16" s="5" customFormat="1" ht="15" hidden="1" customHeight="1" outlineLevel="1">
      <c r="B208" s="10"/>
      <c r="C208" s="10"/>
      <c r="D208" s="7"/>
      <c r="E208" s="7"/>
      <c r="F208" s="11"/>
      <c r="G208" s="11"/>
      <c r="H208" s="11"/>
      <c r="I208" s="11"/>
      <c r="J208" s="11"/>
      <c r="K208" s="33"/>
      <c r="L208" s="33"/>
      <c r="M208" s="33"/>
      <c r="N208" s="33"/>
      <c r="O208" s="33"/>
      <c r="P208" s="39"/>
    </row>
    <row r="209" spans="2:16" s="5" customFormat="1" ht="15" hidden="1" customHeight="1" outlineLevel="1">
      <c r="B209" s="25" t="s">
        <v>209</v>
      </c>
      <c r="C209" s="10"/>
      <c r="F209" s="55" t="s">
        <v>65</v>
      </c>
      <c r="G209" s="11"/>
      <c r="H209" s="11"/>
      <c r="I209" s="11"/>
      <c r="J209" s="11"/>
      <c r="K209" s="52" t="s">
        <v>69</v>
      </c>
      <c r="L209" s="53"/>
      <c r="M209" s="53"/>
      <c r="N209" s="53"/>
      <c r="O209" s="431"/>
      <c r="P209" s="39"/>
    </row>
    <row r="210" spans="2:16" s="5" customFormat="1" ht="15" hidden="1" customHeight="1" outlineLevel="1">
      <c r="B210" s="44" t="s">
        <v>71</v>
      </c>
      <c r="C210" s="43"/>
      <c r="D210" s="432"/>
      <c r="E210" s="432"/>
      <c r="F210" s="494">
        <f>Transaction!$I$37</f>
        <v>20</v>
      </c>
      <c r="G210" s="11"/>
      <c r="H210" s="11"/>
      <c r="I210" s="11"/>
      <c r="J210" s="11"/>
      <c r="K210" s="64">
        <v>1</v>
      </c>
      <c r="L210" s="64">
        <f>K210+1</f>
        <v>2</v>
      </c>
      <c r="M210" s="64">
        <f>L210+1</f>
        <v>3</v>
      </c>
      <c r="N210" s="64">
        <f>M210+1</f>
        <v>4</v>
      </c>
      <c r="O210" s="64">
        <f>N210+1</f>
        <v>5</v>
      </c>
      <c r="P210" s="39"/>
    </row>
    <row r="211" spans="2:16" s="5" customFormat="1" ht="15" hidden="1" customHeight="1" outlineLevel="1">
      <c r="B211" s="61" t="s">
        <v>67</v>
      </c>
      <c r="C211" s="433"/>
      <c r="D211" s="433"/>
      <c r="E211" s="433"/>
      <c r="F211" s="495">
        <f>Transaction!$I$34</f>
        <v>0.5</v>
      </c>
      <c r="G211" s="11"/>
      <c r="H211" s="11"/>
      <c r="I211" s="11"/>
      <c r="J211" s="11"/>
      <c r="K211" s="397">
        <f>IF(J211="",$F$211,MIN($F210-SUM($J211:J211),1))</f>
        <v>0.5</v>
      </c>
      <c r="L211" s="240">
        <f>IF(K211="",$F$211,MIN($F210-SUM($J211:K211),1))</f>
        <v>1</v>
      </c>
      <c r="M211" s="240">
        <f>IF(L211="",$F$211,MIN($F210-SUM($J211:L211),1))</f>
        <v>1</v>
      </c>
      <c r="N211" s="240">
        <f>IF(M211="",$F$211,MIN($F210-SUM($J211:M211),1))</f>
        <v>1</v>
      </c>
      <c r="O211" s="241">
        <f>IF(N211="",$F$211,MIN($F210-SUM($J211:N211),1))</f>
        <v>1</v>
      </c>
      <c r="P211" s="39"/>
    </row>
    <row r="212" spans="2:16" s="5" customFormat="1" ht="15" hidden="1" customHeight="1" outlineLevel="1">
      <c r="B212" s="23"/>
      <c r="C212" s="23"/>
      <c r="F212" s="63"/>
      <c r="G212" s="11"/>
      <c r="H212" s="11"/>
      <c r="I212" s="11"/>
      <c r="J212" s="11"/>
      <c r="K212" s="58"/>
      <c r="L212" s="58"/>
      <c r="M212" s="58"/>
      <c r="N212" s="58"/>
      <c r="O212" s="58"/>
      <c r="P212" s="39"/>
    </row>
    <row r="213" spans="2:16" s="5" customFormat="1" ht="15" hidden="1" customHeight="1" outlineLevel="1">
      <c r="B213" s="10"/>
      <c r="C213" s="10"/>
      <c r="D213" s="7"/>
      <c r="E213" s="7"/>
      <c r="F213" s="11"/>
      <c r="G213" s="11"/>
      <c r="H213" s="11"/>
      <c r="I213" s="11"/>
      <c r="J213" s="11"/>
      <c r="K213" s="52" t="s">
        <v>69</v>
      </c>
      <c r="L213" s="53"/>
      <c r="M213" s="53"/>
      <c r="N213" s="53"/>
      <c r="O213" s="431"/>
    </row>
    <row r="214" spans="2:16" s="5" customFormat="1" ht="15" hidden="1" customHeight="1" outlineLevel="1">
      <c r="F214" s="25"/>
      <c r="H214" s="25" t="s">
        <v>59</v>
      </c>
      <c r="I214" s="25" t="s">
        <v>61</v>
      </c>
      <c r="J214" s="11"/>
      <c r="K214" s="279">
        <f>K$197</f>
        <v>2023</v>
      </c>
      <c r="L214" s="279">
        <f>L$197</f>
        <v>2024</v>
      </c>
      <c r="M214" s="279">
        <f>M$197</f>
        <v>2025</v>
      </c>
      <c r="N214" s="279">
        <f>N$197</f>
        <v>2026</v>
      </c>
      <c r="O214" s="279">
        <f>O$197</f>
        <v>2027</v>
      </c>
    </row>
    <row r="215" spans="2:16" s="5" customFormat="1" ht="15" hidden="1" customHeight="1" outlineLevel="1">
      <c r="B215" s="10"/>
      <c r="F215" s="25"/>
      <c r="H215" s="66">
        <f>K197</f>
        <v>2023</v>
      </c>
      <c r="I215" s="67">
        <f>F210</f>
        <v>20</v>
      </c>
      <c r="J215" s="399"/>
      <c r="K215" s="398">
        <f>K211</f>
        <v>0.5</v>
      </c>
      <c r="L215" s="242">
        <f>L211</f>
        <v>1</v>
      </c>
      <c r="M215" s="242">
        <f>M211</f>
        <v>1</v>
      </c>
      <c r="N215" s="242">
        <f>N211</f>
        <v>1</v>
      </c>
      <c r="O215" s="243">
        <f>O211</f>
        <v>1</v>
      </c>
    </row>
    <row r="216" spans="2:16" s="5" customFormat="1" ht="15" hidden="1" customHeight="1" outlineLevel="1">
      <c r="B216" s="10"/>
      <c r="F216" s="25"/>
      <c r="H216" s="68">
        <f>H215+1</f>
        <v>2024</v>
      </c>
      <c r="I216" s="65">
        <f>I215</f>
        <v>20</v>
      </c>
      <c r="J216" s="50"/>
      <c r="K216" s="400">
        <f t="shared" ref="K216:O219" si="41">J215</f>
        <v>0</v>
      </c>
      <c r="L216" s="244">
        <f t="shared" si="41"/>
        <v>0.5</v>
      </c>
      <c r="M216" s="244">
        <f t="shared" si="41"/>
        <v>1</v>
      </c>
      <c r="N216" s="244">
        <f t="shared" si="41"/>
        <v>1</v>
      </c>
      <c r="O216" s="245">
        <f t="shared" si="41"/>
        <v>1</v>
      </c>
    </row>
    <row r="217" spans="2:16" s="5" customFormat="1" ht="15" hidden="1" customHeight="1" outlineLevel="1">
      <c r="B217" s="10"/>
      <c r="F217" s="25"/>
      <c r="H217" s="68">
        <f>H216+1</f>
        <v>2025</v>
      </c>
      <c r="I217" s="65">
        <f>I216</f>
        <v>20</v>
      </c>
      <c r="J217" s="50"/>
      <c r="K217" s="400">
        <f t="shared" si="41"/>
        <v>0</v>
      </c>
      <c r="L217" s="244">
        <f t="shared" si="41"/>
        <v>0</v>
      </c>
      <c r="M217" s="244">
        <f t="shared" si="41"/>
        <v>0.5</v>
      </c>
      <c r="N217" s="244">
        <f t="shared" si="41"/>
        <v>1</v>
      </c>
      <c r="O217" s="245">
        <f t="shared" si="41"/>
        <v>1</v>
      </c>
    </row>
    <row r="218" spans="2:16" s="5" customFormat="1" ht="15" hidden="1" customHeight="1" outlineLevel="1">
      <c r="B218" s="10"/>
      <c r="F218" s="25"/>
      <c r="H218" s="68">
        <f>H217+1</f>
        <v>2026</v>
      </c>
      <c r="I218" s="65">
        <f>I217</f>
        <v>20</v>
      </c>
      <c r="J218" s="50"/>
      <c r="K218" s="400">
        <f t="shared" si="41"/>
        <v>0</v>
      </c>
      <c r="L218" s="244">
        <f t="shared" si="41"/>
        <v>0</v>
      </c>
      <c r="M218" s="244">
        <f t="shared" si="41"/>
        <v>0</v>
      </c>
      <c r="N218" s="244">
        <f t="shared" si="41"/>
        <v>0.5</v>
      </c>
      <c r="O218" s="245">
        <f t="shared" si="41"/>
        <v>1</v>
      </c>
    </row>
    <row r="219" spans="2:16" s="5" customFormat="1" ht="15" hidden="1" customHeight="1" outlineLevel="1">
      <c r="B219" s="10"/>
      <c r="F219" s="25"/>
      <c r="H219" s="69">
        <f>H218+1</f>
        <v>2027</v>
      </c>
      <c r="I219" s="70">
        <f>I218</f>
        <v>20</v>
      </c>
      <c r="J219" s="54"/>
      <c r="K219" s="401">
        <f t="shared" si="41"/>
        <v>0</v>
      </c>
      <c r="L219" s="246">
        <f t="shared" si="41"/>
        <v>0</v>
      </c>
      <c r="M219" s="246">
        <f t="shared" si="41"/>
        <v>0</v>
      </c>
      <c r="N219" s="246">
        <f t="shared" si="41"/>
        <v>0</v>
      </c>
      <c r="O219" s="247">
        <f t="shared" si="41"/>
        <v>0.5</v>
      </c>
    </row>
    <row r="220" spans="2:16" s="5" customFormat="1" ht="15" hidden="1" customHeight="1" outlineLevel="1">
      <c r="B220" s="10"/>
      <c r="C220" s="50"/>
      <c r="D220" s="7"/>
      <c r="E220" s="7"/>
      <c r="F220" s="25"/>
      <c r="G220" s="11"/>
      <c r="H220" s="11"/>
      <c r="I220" s="11"/>
      <c r="J220" s="11"/>
      <c r="K220" s="33"/>
      <c r="L220" s="33"/>
      <c r="M220" s="33"/>
      <c r="N220" s="33"/>
      <c r="O220" s="33"/>
    </row>
    <row r="221" spans="2:16" s="5" customFormat="1" ht="15" hidden="1" customHeight="1" outlineLevel="1">
      <c r="B221" s="10"/>
      <c r="C221" s="50"/>
      <c r="D221" s="7"/>
      <c r="E221" s="7"/>
      <c r="F221" s="11"/>
      <c r="G221" s="11"/>
      <c r="H221" s="11"/>
      <c r="I221" s="11"/>
      <c r="J221" s="11"/>
      <c r="K221" s="52" t="s">
        <v>62</v>
      </c>
      <c r="L221" s="53"/>
      <c r="M221" s="53"/>
      <c r="N221" s="53"/>
      <c r="O221" s="431"/>
    </row>
    <row r="222" spans="2:16" s="5" customFormat="1" ht="15" hidden="1" customHeight="1" outlineLevel="1">
      <c r="G222" s="11"/>
      <c r="H222" s="25" t="s">
        <v>59</v>
      </c>
      <c r="I222" s="25" t="s">
        <v>60</v>
      </c>
      <c r="J222" s="25" t="s">
        <v>64</v>
      </c>
      <c r="K222" s="279">
        <f>K$197</f>
        <v>2023</v>
      </c>
      <c r="L222" s="279">
        <f>L$197</f>
        <v>2024</v>
      </c>
      <c r="M222" s="279">
        <f>M$197</f>
        <v>2025</v>
      </c>
      <c r="N222" s="279">
        <f>N$197</f>
        <v>2026</v>
      </c>
      <c r="O222" s="279">
        <f>O$197</f>
        <v>2027</v>
      </c>
    </row>
    <row r="223" spans="2:16" s="5" customFormat="1" ht="15" hidden="1" customHeight="1" outlineLevel="1">
      <c r="B223" s="10"/>
      <c r="G223" s="11"/>
      <c r="H223" s="66">
        <f>H215</f>
        <v>2023</v>
      </c>
      <c r="I223" s="248">
        <f>SUMIF($K$197:$O$197,H223,$K$200:$O$200)</f>
        <v>4100</v>
      </c>
      <c r="J223" s="249">
        <f>I223/I215</f>
        <v>205</v>
      </c>
      <c r="K223" s="389">
        <f t="shared" ref="K223:O227" si="42">$J223*K215</f>
        <v>102.5</v>
      </c>
      <c r="L223" s="389">
        <f t="shared" si="42"/>
        <v>205</v>
      </c>
      <c r="M223" s="389">
        <f t="shared" si="42"/>
        <v>205</v>
      </c>
      <c r="N223" s="389">
        <f t="shared" si="42"/>
        <v>205</v>
      </c>
      <c r="O223" s="390">
        <f t="shared" si="42"/>
        <v>205</v>
      </c>
    </row>
    <row r="224" spans="2:16" s="5" customFormat="1" ht="15" hidden="1" customHeight="1" outlineLevel="1">
      <c r="B224" s="10"/>
      <c r="G224" s="11"/>
      <c r="H224" s="68">
        <f>H216</f>
        <v>2024</v>
      </c>
      <c r="I224" s="250">
        <f>SUMIF($K$197:$O$197,H224,$K$200:$O$200)</f>
        <v>4300</v>
      </c>
      <c r="J224" s="251">
        <f>I224/I216</f>
        <v>215</v>
      </c>
      <c r="K224" s="232">
        <f t="shared" si="42"/>
        <v>0</v>
      </c>
      <c r="L224" s="232">
        <f t="shared" si="42"/>
        <v>107.5</v>
      </c>
      <c r="M224" s="232">
        <f t="shared" si="42"/>
        <v>215</v>
      </c>
      <c r="N224" s="232">
        <f t="shared" si="42"/>
        <v>215</v>
      </c>
      <c r="O224" s="391">
        <f t="shared" si="42"/>
        <v>215</v>
      </c>
    </row>
    <row r="225" spans="2:16" s="5" customFormat="1" ht="15" hidden="1" customHeight="1" outlineLevel="1">
      <c r="B225" s="10"/>
      <c r="G225" s="11"/>
      <c r="H225" s="68">
        <f>H217</f>
        <v>2025</v>
      </c>
      <c r="I225" s="250">
        <f>SUMIF($K$197:$O$197,H225,$K$200:$O$200)</f>
        <v>4400</v>
      </c>
      <c r="J225" s="251">
        <f>I225/I217</f>
        <v>220</v>
      </c>
      <c r="K225" s="232">
        <f t="shared" si="42"/>
        <v>0</v>
      </c>
      <c r="L225" s="232">
        <f t="shared" si="42"/>
        <v>0</v>
      </c>
      <c r="M225" s="232">
        <f t="shared" si="42"/>
        <v>110</v>
      </c>
      <c r="N225" s="232">
        <f t="shared" si="42"/>
        <v>220</v>
      </c>
      <c r="O225" s="391">
        <f t="shared" si="42"/>
        <v>220</v>
      </c>
      <c r="P225" s="39"/>
    </row>
    <row r="226" spans="2:16" s="5" customFormat="1" ht="15" hidden="1" customHeight="1" outlineLevel="1">
      <c r="B226" s="10"/>
      <c r="G226" s="11"/>
      <c r="H226" s="68">
        <f>H218</f>
        <v>2026</v>
      </c>
      <c r="I226" s="250">
        <f>SUMIF($K$197:$O$197,H226,$K$200:$O$200)</f>
        <v>4600</v>
      </c>
      <c r="J226" s="251">
        <f>I226/I218</f>
        <v>230</v>
      </c>
      <c r="K226" s="232">
        <f t="shared" si="42"/>
        <v>0</v>
      </c>
      <c r="L226" s="232">
        <f t="shared" si="42"/>
        <v>0</v>
      </c>
      <c r="M226" s="232">
        <f t="shared" si="42"/>
        <v>0</v>
      </c>
      <c r="N226" s="232">
        <f t="shared" si="42"/>
        <v>115</v>
      </c>
      <c r="O226" s="391">
        <f t="shared" si="42"/>
        <v>230</v>
      </c>
      <c r="P226" s="39"/>
    </row>
    <row r="227" spans="2:16" s="5" customFormat="1" ht="15" hidden="1" customHeight="1" outlineLevel="1">
      <c r="B227" s="10"/>
      <c r="G227" s="11"/>
      <c r="H227" s="69">
        <f>H219</f>
        <v>2027</v>
      </c>
      <c r="I227" s="252">
        <f>SUMIF($K$197:$O$197,H227,$K$200:$O$200)</f>
        <v>4800</v>
      </c>
      <c r="J227" s="253">
        <f>I227/I219</f>
        <v>240</v>
      </c>
      <c r="K227" s="392">
        <f t="shared" si="42"/>
        <v>0</v>
      </c>
      <c r="L227" s="392">
        <f t="shared" si="42"/>
        <v>0</v>
      </c>
      <c r="M227" s="392">
        <f t="shared" si="42"/>
        <v>0</v>
      </c>
      <c r="N227" s="392">
        <f t="shared" si="42"/>
        <v>0</v>
      </c>
      <c r="O227" s="393">
        <f t="shared" si="42"/>
        <v>120</v>
      </c>
      <c r="P227" s="39"/>
    </row>
    <row r="228" spans="2:16" s="5" customFormat="1" ht="15" hidden="1" customHeight="1" outlineLevel="1">
      <c r="B228" s="27"/>
      <c r="C228" s="54"/>
      <c r="D228" s="28"/>
      <c r="E228" s="28"/>
      <c r="F228" s="29"/>
      <c r="G228" s="29"/>
      <c r="H228" s="29"/>
      <c r="I228" s="29"/>
      <c r="J228" s="29"/>
      <c r="K228" s="42"/>
      <c r="L228" s="42"/>
      <c r="M228" s="42"/>
      <c r="N228" s="42"/>
      <c r="O228" s="42"/>
    </row>
    <row r="229" spans="2:16" s="5" customFormat="1" ht="15" hidden="1" customHeight="1" outlineLevel="1">
      <c r="B229" s="10"/>
      <c r="C229" s="10"/>
      <c r="D229" s="7"/>
      <c r="E229" s="7"/>
      <c r="F229" s="11"/>
      <c r="G229" s="11"/>
      <c r="H229" s="11"/>
      <c r="I229" s="11"/>
      <c r="J229" s="11"/>
      <c r="K229" s="33"/>
      <c r="L229" s="33"/>
      <c r="M229" s="33"/>
      <c r="N229" s="33"/>
      <c r="O229" s="33"/>
    </row>
    <row r="230" spans="2:16" s="5" customFormat="1" ht="15" hidden="1" customHeight="1" outlineLevel="1">
      <c r="B230" s="478" t="s">
        <v>210</v>
      </c>
      <c r="C230" s="10"/>
      <c r="D230" s="7"/>
      <c r="E230" s="7"/>
      <c r="F230" s="11"/>
      <c r="G230" s="11"/>
      <c r="H230" s="11"/>
      <c r="I230" s="11"/>
      <c r="J230" s="11"/>
      <c r="K230" s="33"/>
      <c r="L230" s="33"/>
      <c r="M230" s="33"/>
      <c r="N230" s="33"/>
      <c r="O230" s="33"/>
    </row>
    <row r="231" spans="2:16" s="5" customFormat="1" ht="15" hidden="1" customHeight="1" outlineLevel="1">
      <c r="B231" s="10"/>
      <c r="C231" s="23" t="s">
        <v>57</v>
      </c>
      <c r="D231" s="7"/>
      <c r="E231" s="7"/>
      <c r="F231" s="11"/>
      <c r="G231" s="11"/>
      <c r="H231" s="20"/>
      <c r="I231" s="20"/>
      <c r="J231" s="20"/>
      <c r="K231" s="85">
        <f>($F$205/$F$204)*K205</f>
        <v>4063.375</v>
      </c>
      <c r="L231" s="85">
        <f>($F$205/$F$204)*L205</f>
        <v>4063.375</v>
      </c>
      <c r="M231" s="85">
        <f>($F$205/$F$204)*M205</f>
        <v>4063.375</v>
      </c>
      <c r="N231" s="85">
        <f>($F$205/$F$204)*N205</f>
        <v>4063.375</v>
      </c>
      <c r="O231" s="85">
        <f>($F$205/$F$204)*O205</f>
        <v>4063.375</v>
      </c>
    </row>
    <row r="232" spans="2:16" s="5" customFormat="1" ht="15" hidden="1" customHeight="1" outlineLevel="1">
      <c r="B232" s="10"/>
      <c r="C232" s="23" t="s">
        <v>58</v>
      </c>
      <c r="D232" s="7"/>
      <c r="E232" s="7"/>
      <c r="F232" s="11"/>
      <c r="G232" s="11"/>
      <c r="H232" s="11"/>
      <c r="I232" s="11"/>
      <c r="J232" s="11"/>
      <c r="K232" s="85">
        <f>SUM(K223:K227)</f>
        <v>102.5</v>
      </c>
      <c r="L232" s="85">
        <f>SUM(L223:L227)</f>
        <v>312.5</v>
      </c>
      <c r="M232" s="85">
        <f>SUM(M223:M227)</f>
        <v>530</v>
      </c>
      <c r="N232" s="85">
        <f>SUM(N223:N227)</f>
        <v>755</v>
      </c>
      <c r="O232" s="85">
        <f>SUM(O223:O227)</f>
        <v>990</v>
      </c>
    </row>
    <row r="233" spans="2:16" s="5" customFormat="1" ht="15" hidden="1" customHeight="1" outlineLevel="1" thickBot="1">
      <c r="B233" s="10"/>
      <c r="C233" s="23" t="s">
        <v>63</v>
      </c>
      <c r="D233" s="7"/>
      <c r="E233" s="7"/>
      <c r="F233" s="11"/>
      <c r="G233" s="11"/>
      <c r="H233" s="11"/>
      <c r="I233" s="11"/>
      <c r="J233" s="11"/>
      <c r="K233" s="225">
        <f>SUM(K231:K232)</f>
        <v>4165.875</v>
      </c>
      <c r="L233" s="225">
        <f>SUM(L231:L232)</f>
        <v>4375.875</v>
      </c>
      <c r="M233" s="225">
        <f>SUM(M231:M232)</f>
        <v>4593.375</v>
      </c>
      <c r="N233" s="225">
        <f>SUM(N231:N232)</f>
        <v>4818.375</v>
      </c>
      <c r="O233" s="225">
        <f>SUM(O231:O232)</f>
        <v>5053.375</v>
      </c>
    </row>
    <row r="234" spans="2:16" s="5" customFormat="1" ht="15" hidden="1" customHeight="1" outlineLevel="1">
      <c r="B234" s="10"/>
      <c r="C234" s="23"/>
      <c r="D234" s="7"/>
      <c r="E234" s="7"/>
      <c r="F234" s="11"/>
      <c r="G234" s="11"/>
      <c r="H234" s="11"/>
      <c r="I234" s="11"/>
      <c r="J234" s="11"/>
      <c r="K234" s="20"/>
      <c r="L234" s="20"/>
      <c r="M234" s="20"/>
      <c r="N234" s="20"/>
      <c r="O234" s="20"/>
    </row>
    <row r="235" spans="2:16" s="5" customFormat="1" ht="15" hidden="1" customHeight="1" outlineLevel="1">
      <c r="B235" s="10"/>
      <c r="C235" s="23"/>
      <c r="D235" s="7"/>
      <c r="E235" s="7"/>
      <c r="F235" s="11"/>
      <c r="G235" s="11"/>
      <c r="H235" s="11"/>
      <c r="I235" s="11"/>
      <c r="J235" s="11"/>
      <c r="K235" s="20"/>
      <c r="L235" s="20"/>
      <c r="M235" s="20"/>
      <c r="N235" s="20"/>
      <c r="O235" s="20"/>
    </row>
    <row r="236" spans="2:16" s="5" customFormat="1" ht="15" hidden="1" customHeight="1" outlineLevel="1">
      <c r="C236" s="106"/>
      <c r="E236" s="7"/>
      <c r="F236" s="11"/>
      <c r="G236" s="11"/>
      <c r="H236" s="11"/>
      <c r="I236" s="11"/>
      <c r="J236" s="11"/>
      <c r="K236" s="33"/>
      <c r="L236" s="33"/>
      <c r="M236" s="33"/>
      <c r="N236" s="33"/>
      <c r="O236" s="476" t="s">
        <v>207</v>
      </c>
      <c r="P236" s="36"/>
    </row>
    <row r="237" spans="2:16" s="5" customFormat="1" ht="15" hidden="1" customHeight="1" outlineLevel="1">
      <c r="C237" s="106"/>
      <c r="E237" s="7"/>
      <c r="F237" s="11"/>
      <c r="G237" s="11"/>
      <c r="H237" s="11"/>
      <c r="I237" s="11"/>
      <c r="J237" s="11"/>
      <c r="K237" s="33"/>
      <c r="L237" s="33"/>
      <c r="M237" s="33"/>
      <c r="N237" s="33"/>
      <c r="O237" s="477" t="s">
        <v>304</v>
      </c>
      <c r="P237" s="36"/>
    </row>
    <row r="238" spans="2:16" s="5" customFormat="1" ht="15" hidden="1" customHeight="1" outlineLevel="1">
      <c r="C238" s="106"/>
      <c r="E238" s="7"/>
      <c r="F238" s="11"/>
      <c r="G238" s="11"/>
      <c r="H238" s="11"/>
      <c r="I238" s="11"/>
      <c r="J238" s="11"/>
      <c r="K238" s="33"/>
      <c r="L238" s="33"/>
      <c r="M238" s="33"/>
      <c r="N238" s="33"/>
      <c r="O238" s="477"/>
      <c r="P238" s="36"/>
    </row>
    <row r="239" spans="2:16" s="5" customFormat="1" ht="15" hidden="1" customHeight="1" outlineLevel="1">
      <c r="B239" s="27"/>
      <c r="C239" s="27"/>
      <c r="D239" s="28"/>
      <c r="E239" s="28"/>
      <c r="F239" s="29"/>
      <c r="G239" s="29"/>
      <c r="H239" s="29"/>
      <c r="I239" s="29"/>
      <c r="J239" s="29"/>
      <c r="K239" s="42"/>
      <c r="L239" s="42"/>
      <c r="M239" s="42"/>
      <c r="N239" s="42"/>
      <c r="O239" s="42"/>
    </row>
    <row r="240" spans="2:16" s="5" customFormat="1" ht="15" customHeight="1" collapsed="1">
      <c r="B240" s="10"/>
      <c r="C240" s="10"/>
      <c r="D240" s="7"/>
      <c r="E240" s="7"/>
      <c r="F240" s="11"/>
      <c r="G240" s="11"/>
      <c r="H240" s="11"/>
      <c r="I240" s="11"/>
      <c r="J240" s="11"/>
      <c r="K240" s="33"/>
      <c r="L240" s="33"/>
      <c r="M240" s="33"/>
      <c r="N240" s="33"/>
      <c r="O240" s="33"/>
    </row>
    <row r="241" spans="1:16" s="5" customFormat="1" ht="15" customHeight="1">
      <c r="A241" s="5" t="s">
        <v>91</v>
      </c>
      <c r="B241" s="530" t="s">
        <v>50</v>
      </c>
      <c r="C241" s="76"/>
      <c r="D241" s="77"/>
      <c r="E241" s="77"/>
      <c r="F241" s="430"/>
      <c r="G241" s="430"/>
      <c r="H241" s="79"/>
      <c r="I241" s="79"/>
      <c r="J241" s="79"/>
      <c r="K241" s="80"/>
      <c r="L241" s="81"/>
      <c r="M241" s="81"/>
      <c r="N241" s="81"/>
      <c r="O241" s="81"/>
    </row>
    <row r="242" spans="1:16" s="5" customFormat="1" ht="15" hidden="1" customHeight="1" outlineLevel="1">
      <c r="B242" s="6"/>
      <c r="C242" s="6"/>
      <c r="D242" s="7"/>
      <c r="E242" s="7"/>
      <c r="F242" s="8"/>
      <c r="G242" s="8"/>
      <c r="H242" s="9"/>
      <c r="I242" s="9"/>
      <c r="J242" s="9"/>
      <c r="K242" s="9"/>
      <c r="L242" s="9"/>
      <c r="M242" s="9"/>
      <c r="N242" s="9"/>
      <c r="O242" s="9"/>
    </row>
    <row r="243" spans="1:16" s="5" customFormat="1" ht="15" hidden="1" customHeight="1" outlineLevel="1" thickBot="1">
      <c r="B243" s="10" t="s">
        <v>19</v>
      </c>
      <c r="C243" s="10"/>
      <c r="D243" s="7"/>
      <c r="E243" s="7"/>
      <c r="F243" s="11"/>
      <c r="G243" s="11"/>
      <c r="H243" s="9"/>
      <c r="I243" s="11"/>
      <c r="J243" s="641">
        <f>K243-1</f>
        <v>2022</v>
      </c>
      <c r="K243" s="75">
        <f>$K$5</f>
        <v>2023</v>
      </c>
      <c r="L243" s="75">
        <f>K243+1</f>
        <v>2024</v>
      </c>
      <c r="M243" s="75">
        <f>L243+1</f>
        <v>2025</v>
      </c>
      <c r="N243" s="75">
        <f>M243+1</f>
        <v>2026</v>
      </c>
      <c r="O243" s="75">
        <f>N243+1</f>
        <v>2027</v>
      </c>
      <c r="P243" s="36"/>
    </row>
    <row r="244" spans="1:16" s="5" customFormat="1" ht="15" hidden="1" customHeight="1" outlineLevel="1">
      <c r="B244" s="10" t="str">
        <f>$B$6</f>
        <v>Model Running: Base Case Drivers</v>
      </c>
      <c r="C244" s="10"/>
      <c r="D244" s="7"/>
      <c r="E244" s="7"/>
      <c r="F244" s="11"/>
      <c r="G244" s="11"/>
      <c r="H244" s="11"/>
      <c r="I244" s="11"/>
      <c r="J244" s="11"/>
      <c r="K244" s="33"/>
      <c r="L244" s="33"/>
      <c r="M244" s="33"/>
      <c r="N244" s="33"/>
      <c r="O244" s="33"/>
    </row>
    <row r="245" spans="1:16" s="5" customFormat="1" ht="15" hidden="1" customHeight="1" outlineLevel="1">
      <c r="B245" s="10"/>
      <c r="C245" s="10"/>
      <c r="D245" s="7"/>
      <c r="E245" s="7"/>
      <c r="F245" s="11"/>
      <c r="G245" s="11"/>
      <c r="H245" s="11"/>
      <c r="I245" s="11"/>
      <c r="J245" s="11"/>
      <c r="K245" s="33"/>
      <c r="L245" s="33"/>
      <c r="M245" s="33"/>
      <c r="N245" s="33"/>
      <c r="O245" s="33"/>
    </row>
    <row r="246" spans="1:16" s="5" customFormat="1" ht="15" hidden="1" customHeight="1" outlineLevel="1">
      <c r="B246" s="23" t="s">
        <v>51</v>
      </c>
      <c r="D246" s="7"/>
      <c r="E246" s="7"/>
      <c r="F246" s="11"/>
      <c r="G246" s="11"/>
      <c r="H246" s="11"/>
      <c r="I246" s="505"/>
      <c r="J246" s="481">
        <f>J200</f>
        <v>4400</v>
      </c>
      <c r="K246" s="481">
        <f>Inputs!H31</f>
        <v>4100</v>
      </c>
      <c r="L246" s="481">
        <f>Inputs!I31</f>
        <v>4300</v>
      </c>
      <c r="M246" s="481">
        <f>Inputs!J31</f>
        <v>4400</v>
      </c>
      <c r="N246" s="481">
        <f>Inputs!K31</f>
        <v>4600</v>
      </c>
      <c r="O246" s="482">
        <f>Inputs!L31</f>
        <v>4800</v>
      </c>
      <c r="P246" s="36"/>
    </row>
    <row r="247" spans="1:16" s="5" customFormat="1" ht="15" hidden="1" customHeight="1" outlineLevel="1">
      <c r="B247" s="10"/>
      <c r="C247" s="10"/>
      <c r="D247" s="7"/>
      <c r="E247" s="7"/>
      <c r="F247" s="11"/>
      <c r="G247" s="11"/>
      <c r="H247" s="11"/>
      <c r="I247" s="11"/>
      <c r="J247" s="11"/>
      <c r="K247" s="33"/>
      <c r="L247" s="33"/>
      <c r="M247" s="33"/>
      <c r="N247" s="33"/>
      <c r="O247" s="33"/>
      <c r="P247" s="39"/>
    </row>
    <row r="248" spans="1:16" s="5" customFormat="1" ht="15" hidden="1" customHeight="1" outlineLevel="1">
      <c r="B248" s="115" t="s">
        <v>68</v>
      </c>
      <c r="C248" s="483"/>
      <c r="D248" s="483"/>
      <c r="E248" s="483"/>
      <c r="F248" s="499">
        <f>Transaction!$N$34</f>
        <v>0.5</v>
      </c>
      <c r="G248" s="11"/>
      <c r="H248" s="11"/>
      <c r="I248" s="11"/>
      <c r="J248" s="11"/>
      <c r="K248" s="33"/>
      <c r="L248" s="33"/>
      <c r="M248" s="33"/>
      <c r="N248" s="33"/>
      <c r="O248" s="33"/>
      <c r="P248" s="39"/>
    </row>
    <row r="249" spans="1:16" s="5" customFormat="1" ht="15" hidden="1" customHeight="1" outlineLevel="1">
      <c r="B249" s="45" t="s">
        <v>53</v>
      </c>
      <c r="C249" s="27"/>
      <c r="D249" s="28"/>
      <c r="E249" s="28"/>
      <c r="F249" s="501">
        <f>Transaction!$N$37</f>
        <v>0.15</v>
      </c>
      <c r="G249" s="11"/>
      <c r="H249" s="11"/>
      <c r="I249" s="11"/>
      <c r="J249" s="11"/>
      <c r="K249" s="33"/>
      <c r="L249" s="33"/>
      <c r="M249" s="33"/>
      <c r="N249" s="33"/>
      <c r="O249" s="33"/>
      <c r="P249" s="36"/>
    </row>
    <row r="250" spans="1:16" s="5" customFormat="1" ht="15" hidden="1" customHeight="1" outlineLevel="1">
      <c r="B250" s="13"/>
      <c r="C250" s="434"/>
      <c r="D250" s="434"/>
      <c r="E250" s="434"/>
      <c r="F250" s="62"/>
      <c r="G250" s="11"/>
      <c r="H250" s="11"/>
      <c r="I250" s="11"/>
      <c r="J250" s="11"/>
      <c r="K250" s="51"/>
      <c r="L250" s="51"/>
      <c r="M250" s="51"/>
      <c r="N250" s="51"/>
      <c r="O250" s="51"/>
      <c r="P250" s="36"/>
    </row>
    <row r="251" spans="1:16" s="5" customFormat="1" ht="15" hidden="1" customHeight="1" outlineLevel="1">
      <c r="B251" s="13"/>
      <c r="C251" s="434"/>
      <c r="D251" s="434"/>
      <c r="E251" s="434"/>
      <c r="F251" s="62"/>
      <c r="G251" s="11"/>
      <c r="H251" s="11"/>
      <c r="I251" s="11"/>
      <c r="J251" s="11"/>
      <c r="K251" s="51"/>
      <c r="L251" s="51"/>
      <c r="M251" s="51"/>
      <c r="N251" s="51"/>
      <c r="O251" s="51"/>
      <c r="P251" s="36"/>
    </row>
    <row r="252" spans="1:16" s="5" customFormat="1" ht="15" hidden="1" customHeight="1" outlineLevel="1">
      <c r="B252" s="480" t="s">
        <v>212</v>
      </c>
      <c r="D252" s="7"/>
      <c r="E252" s="7"/>
      <c r="F252" s="11"/>
      <c r="G252" s="11"/>
      <c r="H252" s="11"/>
      <c r="I252" s="11"/>
      <c r="J252" s="11"/>
      <c r="K252" s="33"/>
      <c r="L252" s="33"/>
      <c r="M252" s="33"/>
      <c r="N252" s="33"/>
      <c r="O252" s="33"/>
      <c r="P252" s="39"/>
    </row>
    <row r="253" spans="1:16" s="5" customFormat="1" ht="15" hidden="1" customHeight="1" outlineLevel="1">
      <c r="B253" s="23"/>
      <c r="C253" s="23" t="s">
        <v>7</v>
      </c>
      <c r="D253" s="7"/>
      <c r="E253" s="7"/>
      <c r="F253" s="11"/>
      <c r="G253" s="11"/>
      <c r="H253" s="11"/>
      <c r="I253" s="20"/>
      <c r="J253" s="85"/>
      <c r="K253" s="85">
        <f>J256</f>
        <v>65014</v>
      </c>
      <c r="L253" s="85">
        <f>K256</f>
        <v>64948.125</v>
      </c>
      <c r="M253" s="85">
        <f>L256</f>
        <v>64872.25</v>
      </c>
      <c r="N253" s="85">
        <f>M256</f>
        <v>64678.875</v>
      </c>
      <c r="O253" s="85">
        <f>N256</f>
        <v>64460.5</v>
      </c>
      <c r="P253" s="39"/>
    </row>
    <row r="254" spans="1:16" s="5" customFormat="1" ht="15" hidden="1" customHeight="1" outlineLevel="1">
      <c r="B254" s="23"/>
      <c r="C254" s="23" t="s">
        <v>51</v>
      </c>
      <c r="D254" s="7"/>
      <c r="E254" s="7"/>
      <c r="F254" s="11"/>
      <c r="G254" s="11"/>
      <c r="H254" s="11"/>
      <c r="I254" s="20"/>
      <c r="J254" s="388"/>
      <c r="K254" s="85">
        <f>K246</f>
        <v>4100</v>
      </c>
      <c r="L254" s="85">
        <f>L246</f>
        <v>4300</v>
      </c>
      <c r="M254" s="85">
        <f>M246</f>
        <v>4400</v>
      </c>
      <c r="N254" s="85">
        <f>N246</f>
        <v>4600</v>
      </c>
      <c r="O254" s="85">
        <f>O246</f>
        <v>4800</v>
      </c>
      <c r="P254" s="39"/>
    </row>
    <row r="255" spans="1:16" s="5" customFormat="1" ht="15" hidden="1" customHeight="1" outlineLevel="1">
      <c r="B255" s="23"/>
      <c r="C255" s="23" t="s">
        <v>52</v>
      </c>
      <c r="D255" s="7"/>
      <c r="E255" s="7"/>
      <c r="F255" s="11"/>
      <c r="G255" s="11"/>
      <c r="H255" s="11"/>
      <c r="I255" s="20"/>
      <c r="J255" s="82"/>
      <c r="K255" s="224">
        <f>-K233</f>
        <v>-4165.875</v>
      </c>
      <c r="L255" s="224">
        <f>-L233</f>
        <v>-4375.875</v>
      </c>
      <c r="M255" s="224">
        <f>-M233</f>
        <v>-4593.375</v>
      </c>
      <c r="N255" s="224">
        <f>-N233</f>
        <v>-4818.375</v>
      </c>
      <c r="O255" s="224">
        <f>-O233</f>
        <v>-5053.375</v>
      </c>
      <c r="P255" s="39"/>
    </row>
    <row r="256" spans="1:16" s="5" customFormat="1" ht="15" hidden="1" customHeight="1" outlineLevel="1">
      <c r="B256" s="23"/>
      <c r="C256" s="23" t="s">
        <v>8</v>
      </c>
      <c r="D256" s="7"/>
      <c r="E256" s="7"/>
      <c r="F256" s="11"/>
      <c r="G256" s="11"/>
      <c r="H256" s="96"/>
      <c r="I256" s="20"/>
      <c r="J256" s="85">
        <f>+Transaction!I35</f>
        <v>65014</v>
      </c>
      <c r="K256" s="85">
        <f>SUM(K253:K255)</f>
        <v>64948.125</v>
      </c>
      <c r="L256" s="85">
        <f>SUM(L253:L255)</f>
        <v>64872.25</v>
      </c>
      <c r="M256" s="85">
        <f>SUM(M253:M255)</f>
        <v>64678.875</v>
      </c>
      <c r="N256" s="85">
        <f>SUM(N253:N255)</f>
        <v>64460.5</v>
      </c>
      <c r="O256" s="85">
        <f>SUM(O253:O255)</f>
        <v>64207.125</v>
      </c>
      <c r="P256" s="39"/>
    </row>
    <row r="257" spans="1:16" s="5" customFormat="1" ht="15" hidden="1" customHeight="1" outlineLevel="1">
      <c r="B257" s="23"/>
      <c r="C257" s="23"/>
      <c r="D257" s="7"/>
      <c r="E257" s="7"/>
      <c r="F257" s="11"/>
      <c r="G257" s="11"/>
      <c r="H257" s="96"/>
      <c r="I257" s="20"/>
      <c r="J257" s="35"/>
      <c r="K257" s="85"/>
      <c r="L257" s="85"/>
      <c r="M257" s="85"/>
      <c r="N257" s="85"/>
      <c r="O257" s="85"/>
      <c r="P257" s="39"/>
    </row>
    <row r="258" spans="1:16" s="5" customFormat="1" ht="15" hidden="1" customHeight="1" outlineLevel="1">
      <c r="B258" s="10"/>
      <c r="C258" s="10"/>
      <c r="D258" s="7" t="s">
        <v>91</v>
      </c>
      <c r="E258" s="7"/>
      <c r="F258" s="11"/>
      <c r="G258" s="11"/>
      <c r="H258" s="11"/>
      <c r="I258" s="11"/>
      <c r="J258" s="226"/>
      <c r="K258" s="226"/>
      <c r="L258" s="226"/>
      <c r="M258" s="226"/>
      <c r="N258" s="226"/>
      <c r="O258" s="226"/>
      <c r="P258" s="33"/>
    </row>
    <row r="259" spans="1:16" s="5" customFormat="1" ht="15" hidden="1" customHeight="1" outlineLevel="1">
      <c r="B259" s="478" t="s">
        <v>213</v>
      </c>
      <c r="D259" s="7"/>
      <c r="E259" s="7"/>
      <c r="F259" s="11"/>
      <c r="G259" s="11"/>
      <c r="H259" s="11"/>
      <c r="I259" s="11"/>
      <c r="J259" s="226"/>
      <c r="K259" s="226"/>
      <c r="L259" s="226"/>
      <c r="M259" s="226"/>
      <c r="N259" s="226"/>
      <c r="O259" s="226"/>
      <c r="P259" s="33"/>
    </row>
    <row r="260" spans="1:16" s="5" customFormat="1" ht="15" hidden="1" customHeight="1" outlineLevel="1">
      <c r="B260" s="23"/>
      <c r="C260" s="23" t="s">
        <v>7</v>
      </c>
      <c r="D260" s="7"/>
      <c r="E260" s="7"/>
      <c r="F260" s="11"/>
      <c r="G260" s="11"/>
      <c r="H260" s="11"/>
      <c r="I260" s="20"/>
      <c r="J260" s="85"/>
      <c r="K260" s="85">
        <f>J263</f>
        <v>39211</v>
      </c>
      <c r="L260" s="85">
        <f>K263</f>
        <v>37121.85</v>
      </c>
      <c r="M260" s="85">
        <f>L263</f>
        <v>35531.072500000002</v>
      </c>
      <c r="N260" s="85">
        <f>M263</f>
        <v>34271.411625000001</v>
      </c>
      <c r="O260" s="85">
        <f>N263</f>
        <v>33385.699881250002</v>
      </c>
      <c r="P260" s="33"/>
    </row>
    <row r="261" spans="1:16" s="5" customFormat="1" ht="15" hidden="1" customHeight="1" outlineLevel="1">
      <c r="B261" s="23"/>
      <c r="C261" s="23" t="s">
        <v>51</v>
      </c>
      <c r="D261" s="7"/>
      <c r="E261" s="7"/>
      <c r="F261" s="11"/>
      <c r="G261" s="11"/>
      <c r="H261" s="11"/>
      <c r="I261" s="20"/>
      <c r="J261" s="85"/>
      <c r="K261" s="85">
        <f>K254</f>
        <v>4100</v>
      </c>
      <c r="L261" s="85">
        <f>L254</f>
        <v>4300</v>
      </c>
      <c r="M261" s="85">
        <f>M254</f>
        <v>4400</v>
      </c>
      <c r="N261" s="85">
        <f>N254</f>
        <v>4600</v>
      </c>
      <c r="O261" s="85">
        <f>O254</f>
        <v>4800</v>
      </c>
      <c r="P261" s="33"/>
    </row>
    <row r="262" spans="1:16" s="5" customFormat="1" ht="15" hidden="1" customHeight="1" outlineLevel="1">
      <c r="B262" s="23"/>
      <c r="C262" s="23" t="s">
        <v>242</v>
      </c>
      <c r="D262" s="7"/>
      <c r="E262" s="7"/>
      <c r="F262" s="11"/>
      <c r="G262" s="11"/>
      <c r="H262" s="11"/>
      <c r="I262" s="20"/>
      <c r="J262" s="82"/>
      <c r="K262" s="82">
        <f>-(K260+K261*$F$248)*$F$249</f>
        <v>-6189.15</v>
      </c>
      <c r="L262" s="82">
        <f>-(L260+L261*$F$248)*$F$249</f>
        <v>-5890.7774999999992</v>
      </c>
      <c r="M262" s="82">
        <f>-(M260+M261*$F$248)*$F$249</f>
        <v>-5659.6608750000005</v>
      </c>
      <c r="N262" s="82">
        <f>-(N260+N261*$F$248)*$F$249</f>
        <v>-5485.7117437500001</v>
      </c>
      <c r="O262" s="82">
        <f>-(O260+O261*$F$248)*$F$249</f>
        <v>-5367.8549821875004</v>
      </c>
      <c r="P262" s="33"/>
    </row>
    <row r="263" spans="1:16" s="5" customFormat="1" ht="15" hidden="1" customHeight="1" outlineLevel="1">
      <c r="B263" s="23"/>
      <c r="C263" s="23" t="s">
        <v>8</v>
      </c>
      <c r="D263" s="7"/>
      <c r="E263" s="7"/>
      <c r="F263" s="11"/>
      <c r="G263" s="11"/>
      <c r="H263" s="40"/>
      <c r="I263" s="20"/>
      <c r="J263" s="35">
        <f>+Transaction!N35</f>
        <v>39211</v>
      </c>
      <c r="K263" s="85">
        <f>SUM(K260:K262)</f>
        <v>37121.85</v>
      </c>
      <c r="L263" s="85">
        <f>SUM(L260:L262)</f>
        <v>35531.072500000002</v>
      </c>
      <c r="M263" s="85">
        <f>SUM(M260:M262)</f>
        <v>34271.411625000001</v>
      </c>
      <c r="N263" s="85">
        <f>SUM(N260:N262)</f>
        <v>33385.699881250002</v>
      </c>
      <c r="O263" s="85">
        <f>SUM(O260:O262)</f>
        <v>32817.844899062504</v>
      </c>
      <c r="P263" s="33"/>
    </row>
    <row r="264" spans="1:16" s="5" customFormat="1" ht="15" hidden="1" customHeight="1" outlineLevel="1">
      <c r="B264" s="10"/>
      <c r="C264" s="10"/>
      <c r="D264" s="7"/>
      <c r="E264" s="7"/>
      <c r="F264" s="11"/>
      <c r="G264" s="11"/>
      <c r="H264" s="11"/>
      <c r="I264" s="11"/>
      <c r="J264" s="11"/>
      <c r="K264" s="33"/>
      <c r="L264" s="33"/>
      <c r="M264" s="33"/>
      <c r="N264" s="33"/>
      <c r="O264" s="33"/>
    </row>
    <row r="265" spans="1:16" s="5" customFormat="1" ht="15" hidden="1" customHeight="1" outlineLevel="1">
      <c r="B265" s="10"/>
      <c r="C265" s="10"/>
      <c r="D265" s="7"/>
      <c r="E265" s="7"/>
      <c r="F265" s="11"/>
      <c r="G265" s="11"/>
      <c r="H265" s="11"/>
      <c r="I265" s="11"/>
      <c r="J265" s="11"/>
      <c r="K265" s="33"/>
      <c r="L265" s="33"/>
      <c r="M265" s="33"/>
      <c r="N265" s="33"/>
      <c r="O265" s="33"/>
    </row>
    <row r="266" spans="1:16" s="5" customFormat="1" ht="15" hidden="1" customHeight="1" outlineLevel="1">
      <c r="B266" s="10"/>
      <c r="C266" s="10"/>
      <c r="D266" s="7"/>
      <c r="E266" s="7"/>
      <c r="F266" s="11"/>
      <c r="G266" s="11"/>
      <c r="H266" s="11"/>
      <c r="I266" s="11"/>
      <c r="J266" s="11"/>
      <c r="K266" s="33"/>
      <c r="L266" s="33"/>
      <c r="M266" s="33"/>
      <c r="N266" s="33"/>
      <c r="O266" s="33"/>
    </row>
    <row r="267" spans="1:16" s="5" customFormat="1" ht="15" hidden="1" customHeight="1" outlineLevel="1">
      <c r="B267" s="10"/>
      <c r="C267" s="10"/>
      <c r="D267" s="7"/>
      <c r="E267" s="7"/>
      <c r="F267" s="11"/>
      <c r="G267" s="11"/>
      <c r="H267" s="11"/>
      <c r="I267" s="11"/>
      <c r="J267" s="11"/>
      <c r="K267" s="33"/>
      <c r="L267" s="33"/>
      <c r="M267" s="33"/>
      <c r="N267" s="33"/>
      <c r="O267" s="33"/>
    </row>
    <row r="268" spans="1:16" s="5" customFormat="1" ht="15" hidden="1" customHeight="1" outlineLevel="1">
      <c r="C268" s="106"/>
      <c r="E268" s="7"/>
      <c r="F268" s="11"/>
      <c r="G268" s="11"/>
      <c r="H268" s="11"/>
      <c r="I268" s="11"/>
      <c r="J268" s="11"/>
      <c r="K268" s="33"/>
      <c r="L268" s="33"/>
      <c r="M268" s="33"/>
      <c r="N268" s="33"/>
      <c r="O268" s="476" t="s">
        <v>211</v>
      </c>
      <c r="P268" s="36"/>
    </row>
    <row r="269" spans="1:16" s="5" customFormat="1" ht="15" hidden="1" customHeight="1" outlineLevel="1">
      <c r="B269" s="10"/>
      <c r="C269" s="10"/>
      <c r="D269" s="7"/>
      <c r="E269" s="7"/>
      <c r="F269" s="11"/>
      <c r="G269" s="11"/>
      <c r="H269" s="11"/>
      <c r="I269" s="11"/>
      <c r="J269" s="11"/>
      <c r="K269" s="33"/>
      <c r="L269" s="33"/>
      <c r="M269" s="33"/>
      <c r="N269" s="33"/>
      <c r="O269" s="477" t="s">
        <v>305</v>
      </c>
    </row>
    <row r="270" spans="1:16" s="5" customFormat="1" ht="15" hidden="1" customHeight="1" outlineLevel="1">
      <c r="B270" s="27"/>
      <c r="C270" s="27"/>
      <c r="D270" s="28"/>
      <c r="E270" s="28"/>
      <c r="F270" s="29"/>
      <c r="G270" s="29"/>
      <c r="H270" s="29"/>
      <c r="I270" s="29"/>
      <c r="J270" s="29"/>
      <c r="K270" s="42"/>
      <c r="L270" s="42"/>
      <c r="M270" s="42"/>
      <c r="N270" s="42"/>
      <c r="O270" s="42"/>
    </row>
    <row r="271" spans="1:16" s="5" customFormat="1" ht="15" customHeight="1" collapsed="1">
      <c r="B271" s="10"/>
      <c r="C271" s="10"/>
      <c r="D271" s="7"/>
      <c r="E271" s="7"/>
      <c r="F271" s="11"/>
      <c r="G271" s="11"/>
      <c r="H271" s="11"/>
      <c r="I271" s="11"/>
      <c r="J271" s="11"/>
      <c r="K271" s="33"/>
      <c r="L271" s="33"/>
      <c r="M271" s="33"/>
      <c r="N271" s="33"/>
      <c r="O271" s="33"/>
    </row>
    <row r="272" spans="1:16" s="5" customFormat="1" ht="15" customHeight="1">
      <c r="A272" s="5" t="s">
        <v>91</v>
      </c>
      <c r="B272" s="530" t="s">
        <v>66</v>
      </c>
      <c r="C272" s="76"/>
      <c r="D272" s="77"/>
      <c r="E272" s="77"/>
      <c r="F272" s="430"/>
      <c r="G272" s="430"/>
      <c r="H272" s="79"/>
      <c r="I272" s="79"/>
      <c r="J272" s="79"/>
      <c r="K272" s="80"/>
      <c r="L272" s="81"/>
      <c r="M272" s="81"/>
      <c r="N272" s="81"/>
      <c r="O272" s="81"/>
    </row>
    <row r="273" spans="1:16" s="5" customFormat="1" ht="15" hidden="1" customHeight="1" outlineLevel="1">
      <c r="B273" s="6"/>
      <c r="C273" s="6"/>
      <c r="D273" s="7"/>
      <c r="E273" s="7"/>
      <c r="F273" s="8"/>
      <c r="G273" s="8"/>
      <c r="H273" s="9"/>
      <c r="I273" s="9"/>
      <c r="J273" s="9"/>
      <c r="K273" s="9"/>
      <c r="L273" s="9"/>
      <c r="M273" s="9"/>
      <c r="N273" s="9"/>
      <c r="O273" s="9"/>
    </row>
    <row r="274" spans="1:16" s="5" customFormat="1" ht="15" hidden="1" customHeight="1" outlineLevel="1" thickBot="1">
      <c r="B274" s="10" t="s">
        <v>19</v>
      </c>
      <c r="C274" s="10"/>
      <c r="D274" s="7"/>
      <c r="E274" s="7"/>
      <c r="F274" s="11"/>
      <c r="G274" s="11"/>
      <c r="H274" s="11"/>
      <c r="I274" s="11"/>
      <c r="J274" s="641">
        <f>K274-1</f>
        <v>2022</v>
      </c>
      <c r="K274" s="75">
        <f>$K$5</f>
        <v>2023</v>
      </c>
      <c r="L274" s="75">
        <f>K274+1</f>
        <v>2024</v>
      </c>
      <c r="M274" s="75">
        <f>L274+1</f>
        <v>2025</v>
      </c>
      <c r="N274" s="75">
        <f>M274+1</f>
        <v>2026</v>
      </c>
      <c r="O274" s="75">
        <f>N274+1</f>
        <v>2027</v>
      </c>
      <c r="P274" s="36"/>
    </row>
    <row r="275" spans="1:16" s="5" customFormat="1" ht="15" hidden="1" customHeight="1" outlineLevel="1">
      <c r="B275" s="10" t="str">
        <f>$B$6</f>
        <v>Model Running: Base Case Drivers</v>
      </c>
      <c r="C275" s="10"/>
      <c r="D275" s="7"/>
      <c r="E275" s="7"/>
      <c r="F275" s="11"/>
      <c r="G275" s="11"/>
      <c r="H275" s="11"/>
      <c r="I275" s="11"/>
      <c r="J275" s="11"/>
      <c r="K275" s="33"/>
      <c r="L275" s="33"/>
      <c r="M275" s="33"/>
      <c r="N275" s="33"/>
      <c r="O275" s="33"/>
      <c r="P275" s="36"/>
    </row>
    <row r="276" spans="1:16" s="5" customFormat="1" ht="15" hidden="1" customHeight="1" outlineLevel="1">
      <c r="B276" s="10"/>
      <c r="C276" s="10"/>
      <c r="D276" s="7"/>
      <c r="E276" s="7"/>
      <c r="F276" s="11"/>
      <c r="G276" s="11"/>
      <c r="H276" s="11"/>
      <c r="I276" s="11"/>
      <c r="J276" s="11"/>
      <c r="K276" s="33"/>
      <c r="L276" s="33"/>
      <c r="M276" s="33"/>
      <c r="N276" s="33"/>
      <c r="O276" s="33"/>
      <c r="P276" s="36"/>
    </row>
    <row r="277" spans="1:16" s="5" customFormat="1" ht="15" hidden="1" customHeight="1" outlineLevel="1">
      <c r="B277" s="13" t="s">
        <v>56</v>
      </c>
      <c r="C277" s="23"/>
      <c r="D277" s="7"/>
      <c r="E277" s="7"/>
      <c r="F277" s="11"/>
      <c r="G277" s="11"/>
      <c r="H277" s="20"/>
      <c r="I277" s="20"/>
      <c r="J277" s="20"/>
      <c r="K277" s="562">
        <f ca="1">K117</f>
        <v>7236.9076098473051</v>
      </c>
      <c r="L277" s="402">
        <f ca="1">L117</f>
        <v>9147.2047665892642</v>
      </c>
      <c r="M277" s="402">
        <f ca="1">M117</f>
        <v>10965.908182199844</v>
      </c>
      <c r="N277" s="402">
        <f ca="1">N117</f>
        <v>13194.209165808761</v>
      </c>
      <c r="O277" s="403">
        <f ca="1">O117</f>
        <v>15380.30536054697</v>
      </c>
      <c r="P277" s="36"/>
    </row>
    <row r="278" spans="1:16" s="5" customFormat="1" ht="15" hidden="1" customHeight="1" outlineLevel="1">
      <c r="B278" s="23" t="s">
        <v>49</v>
      </c>
      <c r="C278" s="10"/>
      <c r="D278" s="7"/>
      <c r="E278" s="7"/>
      <c r="F278" s="11"/>
      <c r="G278" s="11"/>
      <c r="H278" s="11"/>
      <c r="I278" s="11"/>
      <c r="J278" s="11"/>
      <c r="K278" s="506">
        <f ca="1">IF(K288&gt;0,1,0)</f>
        <v>1</v>
      </c>
      <c r="L278" s="280">
        <f t="shared" ref="L278:O278" ca="1" si="43">IF(L288&gt;0,1,0)</f>
        <v>1</v>
      </c>
      <c r="M278" s="280">
        <f t="shared" ca="1" si="43"/>
        <v>1</v>
      </c>
      <c r="N278" s="280">
        <f t="shared" ca="1" si="43"/>
        <v>1</v>
      </c>
      <c r="O278" s="281">
        <f t="shared" ca="1" si="43"/>
        <v>1</v>
      </c>
      <c r="P278" s="109"/>
    </row>
    <row r="279" spans="1:16" s="5" customFormat="1" ht="15" hidden="1" customHeight="1" outlineLevel="1">
      <c r="B279" s="10"/>
      <c r="C279" s="10"/>
      <c r="D279" s="7"/>
      <c r="E279" s="7"/>
      <c r="F279" s="11"/>
      <c r="G279" s="11"/>
      <c r="H279" s="11"/>
      <c r="I279" s="11"/>
      <c r="O279" s="33"/>
    </row>
    <row r="280" spans="1:16" s="5" customFormat="1" ht="15" hidden="1" customHeight="1" outlineLevel="1">
      <c r="B280" s="115" t="s">
        <v>48</v>
      </c>
      <c r="C280" s="113"/>
      <c r="D280" s="114"/>
      <c r="E280" s="114"/>
      <c r="F280" s="457">
        <f>Transaction!$I$28</f>
        <v>0.25</v>
      </c>
      <c r="G280" s="11"/>
      <c r="H280" s="11"/>
      <c r="I280" s="11"/>
      <c r="O280" s="33"/>
    </row>
    <row r="281" spans="1:16" ht="15" hidden="1" customHeight="1" outlineLevel="1">
      <c r="A281" s="5"/>
      <c r="B281" s="484" t="s">
        <v>214</v>
      </c>
      <c r="C281" s="428"/>
      <c r="D281" s="28"/>
      <c r="E281" s="28"/>
      <c r="F281" s="553">
        <f ca="1">IF(O299=0,0,1)</f>
        <v>0</v>
      </c>
      <c r="G281" s="11"/>
      <c r="H281" s="85"/>
      <c r="I281" s="85"/>
      <c r="J281" s="85"/>
      <c r="K281" s="85"/>
      <c r="L281" s="85"/>
      <c r="M281" s="85"/>
      <c r="N281" s="85"/>
      <c r="P281" s="36"/>
    </row>
    <row r="282" spans="1:16" s="5" customFormat="1" ht="15" hidden="1" customHeight="1" outlineLevel="1">
      <c r="B282" s="13"/>
      <c r="C282" s="110"/>
      <c r="D282" s="111"/>
      <c r="E282" s="111"/>
      <c r="F282" s="112"/>
      <c r="G282" s="11"/>
      <c r="H282" s="11"/>
      <c r="I282" s="11"/>
      <c r="O282" s="33"/>
    </row>
    <row r="283" spans="1:16" s="5" customFormat="1" ht="15" hidden="1" customHeight="1" outlineLevel="1">
      <c r="B283" s="10"/>
      <c r="C283" s="10"/>
      <c r="D283" s="7"/>
      <c r="E283" s="7"/>
      <c r="F283" s="41"/>
      <c r="G283" s="11"/>
      <c r="H283" s="11"/>
      <c r="I283" s="11"/>
      <c r="J283" s="11"/>
      <c r="K283" s="33"/>
      <c r="L283" s="33"/>
      <c r="M283" s="33"/>
      <c r="N283" s="33"/>
      <c r="O283" s="33"/>
    </row>
    <row r="284" spans="1:16" s="5" customFormat="1" ht="15" hidden="1" customHeight="1" outlineLevel="1">
      <c r="B284" s="25" t="s">
        <v>202</v>
      </c>
      <c r="C284" s="10"/>
      <c r="D284" s="7"/>
      <c r="E284" s="7"/>
      <c r="F284" s="11"/>
      <c r="G284" s="11"/>
      <c r="H284" s="11"/>
      <c r="I284" s="11"/>
      <c r="J284" s="11"/>
      <c r="K284" s="33"/>
      <c r="L284" s="33"/>
      <c r="M284" s="33"/>
      <c r="N284" s="33"/>
      <c r="O284" s="33"/>
    </row>
    <row r="285" spans="1:16" s="5" customFormat="1" ht="15" hidden="1" customHeight="1" outlineLevel="1">
      <c r="B285" s="10"/>
      <c r="C285" s="23" t="s">
        <v>31</v>
      </c>
      <c r="D285" s="7"/>
      <c r="E285" s="7"/>
      <c r="F285" s="11"/>
      <c r="G285" s="11"/>
      <c r="H285" s="20"/>
      <c r="I285" s="20"/>
      <c r="J285" s="20"/>
      <c r="K285" s="85">
        <f ca="1">K277</f>
        <v>7236.9076098473051</v>
      </c>
      <c r="L285" s="85">
        <f ca="1">L277</f>
        <v>9147.2047665892642</v>
      </c>
      <c r="M285" s="85">
        <f ca="1">M277</f>
        <v>10965.908182199844</v>
      </c>
      <c r="N285" s="85">
        <f ca="1">N277</f>
        <v>13194.209165808761</v>
      </c>
      <c r="O285" s="85">
        <f ca="1">O277</f>
        <v>15380.30536054697</v>
      </c>
    </row>
    <row r="286" spans="1:16" s="5" customFormat="1" ht="15" hidden="1" customHeight="1" outlineLevel="1">
      <c r="B286" s="10"/>
      <c r="C286" s="23" t="s">
        <v>32</v>
      </c>
      <c r="D286" s="7"/>
      <c r="E286" s="7"/>
      <c r="F286" s="11"/>
      <c r="G286" s="11"/>
      <c r="H286" s="11"/>
      <c r="I286" s="11"/>
      <c r="J286" s="11"/>
      <c r="K286" s="35">
        <f>-K255</f>
        <v>4165.875</v>
      </c>
      <c r="L286" s="35">
        <f>-L255</f>
        <v>4375.875</v>
      </c>
      <c r="M286" s="35">
        <f>-M255</f>
        <v>4593.375</v>
      </c>
      <c r="N286" s="35">
        <f>-N255</f>
        <v>4818.375</v>
      </c>
      <c r="O286" s="35">
        <f>-O255</f>
        <v>5053.375</v>
      </c>
    </row>
    <row r="287" spans="1:16" s="5" customFormat="1" ht="15" hidden="1" customHeight="1" outlineLevel="1">
      <c r="B287" s="10"/>
      <c r="C287" s="23" t="s">
        <v>243</v>
      </c>
      <c r="D287" s="7"/>
      <c r="E287" s="7"/>
      <c r="F287" s="11"/>
      <c r="G287" s="11"/>
      <c r="H287" s="11"/>
      <c r="I287" s="11"/>
      <c r="J287" s="11"/>
      <c r="K287" s="224">
        <f>K262</f>
        <v>-6189.15</v>
      </c>
      <c r="L287" s="224">
        <f>L262</f>
        <v>-5890.7774999999992</v>
      </c>
      <c r="M287" s="224">
        <f>M262</f>
        <v>-5659.6608750000005</v>
      </c>
      <c r="N287" s="224">
        <f>N262</f>
        <v>-5485.7117437500001</v>
      </c>
      <c r="O287" s="224">
        <f>O262</f>
        <v>-5367.8549821875004</v>
      </c>
    </row>
    <row r="288" spans="1:16" s="5" customFormat="1" ht="15" hidden="1" customHeight="1" outlineLevel="1">
      <c r="B288" s="10"/>
      <c r="C288" s="23" t="s">
        <v>54</v>
      </c>
      <c r="D288" s="7"/>
      <c r="E288" s="7"/>
      <c r="F288" s="11"/>
      <c r="G288" s="11"/>
      <c r="H288" s="20"/>
      <c r="I288" s="20"/>
      <c r="J288" s="20"/>
      <c r="K288" s="85">
        <f ca="1">SUM(K285:K287)</f>
        <v>5213.6326098473055</v>
      </c>
      <c r="L288" s="85">
        <f ca="1">SUM(L285:L287)</f>
        <v>7632.3022665892649</v>
      </c>
      <c r="M288" s="85">
        <f ca="1">SUM(M285:M287)</f>
        <v>9899.6223071998429</v>
      </c>
      <c r="N288" s="85">
        <f ca="1">SUM(N285:N287)</f>
        <v>12526.872422058759</v>
      </c>
      <c r="O288" s="85">
        <f ca="1">SUM(O285:O287)</f>
        <v>15065.825378359468</v>
      </c>
      <c r="P288" s="559"/>
    </row>
    <row r="289" spans="2:16" s="5" customFormat="1" ht="15" hidden="1" customHeight="1" outlineLevel="1">
      <c r="B289" s="10"/>
      <c r="C289" s="23"/>
      <c r="D289" s="7"/>
      <c r="E289" s="7"/>
      <c r="F289" s="11"/>
      <c r="G289" s="11"/>
      <c r="H289" s="11"/>
      <c r="I289" s="11"/>
      <c r="J289" s="11"/>
      <c r="K289" s="85"/>
      <c r="L289" s="85"/>
      <c r="M289" s="85"/>
      <c r="N289" s="85"/>
      <c r="O289" s="85"/>
      <c r="P289" s="559"/>
    </row>
    <row r="290" spans="2:16" s="5" customFormat="1" ht="15" hidden="1" customHeight="1" outlineLevel="1">
      <c r="B290" s="25" t="s">
        <v>245</v>
      </c>
      <c r="C290" s="23"/>
      <c r="D290" s="7"/>
      <c r="E290" s="7"/>
      <c r="F290" s="11"/>
      <c r="G290" s="11"/>
      <c r="H290" s="11"/>
      <c r="I290" s="11"/>
      <c r="J290" s="11"/>
      <c r="K290" s="85"/>
      <c r="L290" s="85"/>
      <c r="M290" s="85"/>
      <c r="N290" s="85"/>
      <c r="O290" s="85"/>
      <c r="P290" s="559"/>
    </row>
    <row r="291" spans="2:16" s="5" customFormat="1" ht="15" hidden="1" customHeight="1" outlineLevel="1">
      <c r="B291" s="10"/>
      <c r="C291" s="23" t="s">
        <v>54</v>
      </c>
      <c r="D291" s="7"/>
      <c r="E291" s="7"/>
      <c r="F291" s="11"/>
      <c r="G291" s="11"/>
      <c r="H291" s="20"/>
      <c r="I291" s="20"/>
      <c r="J291" s="20"/>
      <c r="K291" s="85">
        <f ca="1">K288</f>
        <v>5213.6326098473055</v>
      </c>
      <c r="L291" s="85">
        <f ca="1">L288</f>
        <v>7632.3022665892649</v>
      </c>
      <c r="M291" s="85">
        <f ca="1">M288</f>
        <v>9899.6223071998429</v>
      </c>
      <c r="N291" s="85">
        <f ca="1">N288</f>
        <v>12526.872422058759</v>
      </c>
      <c r="O291" s="85">
        <f ca="1">O288</f>
        <v>15065.825378359468</v>
      </c>
    </row>
    <row r="292" spans="2:16" s="5" customFormat="1" ht="15" hidden="1" customHeight="1" outlineLevel="1">
      <c r="B292" s="10"/>
      <c r="C292" s="23" t="s">
        <v>244</v>
      </c>
      <c r="D292" s="7"/>
      <c r="E292" s="7"/>
      <c r="F292" s="11"/>
      <c r="G292" s="11"/>
      <c r="H292" s="11"/>
      <c r="I292" s="11"/>
      <c r="J292" s="11"/>
      <c r="K292" s="82">
        <f ca="1">K298</f>
        <v>-5213.6326098473055</v>
      </c>
      <c r="L292" s="82">
        <f ca="1">L298</f>
        <v>-7632.3022665892649</v>
      </c>
      <c r="M292" s="82">
        <f ca="1">M298</f>
        <v>-9899.6223071998429</v>
      </c>
      <c r="N292" s="82">
        <f ca="1">N298</f>
        <v>-1382.4428163635857</v>
      </c>
      <c r="O292" s="82">
        <f ca="1">O298</f>
        <v>0</v>
      </c>
    </row>
    <row r="293" spans="2:16" s="5" customFormat="1" ht="15" hidden="1" customHeight="1" outlineLevel="1">
      <c r="B293" s="10"/>
      <c r="C293" s="23" t="s">
        <v>33</v>
      </c>
      <c r="D293" s="7"/>
      <c r="E293" s="7"/>
      <c r="F293" s="11"/>
      <c r="G293" s="11"/>
      <c r="H293" s="11"/>
      <c r="I293" s="11"/>
      <c r="J293" s="11"/>
      <c r="K293" s="85">
        <f ca="1">MAX(SUM(K291:K292),0)</f>
        <v>0</v>
      </c>
      <c r="L293" s="85">
        <f ca="1">MAX(SUM(L291:L292),0)</f>
        <v>0</v>
      </c>
      <c r="M293" s="85">
        <f ca="1">MAX(SUM(M291:M292),0)</f>
        <v>0</v>
      </c>
      <c r="N293" s="85">
        <f ca="1">MAX(SUM(N291:N292),0)</f>
        <v>11144.429605695173</v>
      </c>
      <c r="O293" s="85">
        <f ca="1">MAX(SUM(O291:O292),0)</f>
        <v>15065.825378359468</v>
      </c>
    </row>
    <row r="294" spans="2:16" s="5" customFormat="1" ht="15" hidden="1" customHeight="1" outlineLevel="1">
      <c r="B294" s="10"/>
      <c r="C294" s="10"/>
      <c r="D294" s="7"/>
      <c r="E294" s="7"/>
      <c r="F294" s="11"/>
      <c r="G294" s="11"/>
      <c r="H294" s="11"/>
      <c r="I294" s="11"/>
      <c r="J294" s="11"/>
      <c r="K294" s="226"/>
      <c r="L294" s="226"/>
      <c r="M294" s="226"/>
      <c r="N294" s="226"/>
      <c r="O294" s="226"/>
    </row>
    <row r="295" spans="2:16" s="5" customFormat="1" ht="15" hidden="1" customHeight="1" outlineLevel="1">
      <c r="B295" s="25" t="s">
        <v>203</v>
      </c>
      <c r="C295" s="10"/>
      <c r="D295" s="7"/>
      <c r="E295" s="7"/>
      <c r="F295" s="11"/>
      <c r="G295" s="11"/>
      <c r="H295" s="11"/>
      <c r="I295" s="11"/>
      <c r="J295" s="11"/>
      <c r="K295" s="226"/>
      <c r="L295" s="226"/>
      <c r="M295" s="226"/>
      <c r="N295" s="226"/>
      <c r="O295" s="226"/>
    </row>
    <row r="296" spans="2:16" s="5" customFormat="1" ht="15" hidden="1" customHeight="1" outlineLevel="1">
      <c r="B296" s="10"/>
      <c r="C296" s="23" t="s">
        <v>7</v>
      </c>
      <c r="D296" s="7"/>
      <c r="E296" s="7"/>
      <c r="F296" s="11"/>
      <c r="G296" s="11"/>
      <c r="H296" s="11"/>
      <c r="I296" s="11"/>
      <c r="J296" s="11"/>
      <c r="K296" s="85">
        <f>J299</f>
        <v>24128</v>
      </c>
      <c r="L296" s="85">
        <f ca="1">K299</f>
        <v>18914.367390152693</v>
      </c>
      <c r="M296" s="85">
        <f ca="1">L299</f>
        <v>11282.065123563429</v>
      </c>
      <c r="N296" s="85">
        <f ca="1">M299</f>
        <v>1382.4428163635857</v>
      </c>
      <c r="O296" s="85">
        <f ca="1">N299</f>
        <v>0</v>
      </c>
    </row>
    <row r="297" spans="2:16" s="5" customFormat="1" ht="15" hidden="1" customHeight="1" outlineLevel="1">
      <c r="B297" s="10"/>
      <c r="C297" s="23" t="s">
        <v>44</v>
      </c>
      <c r="D297" s="7"/>
      <c r="E297" s="7"/>
      <c r="F297" s="11"/>
      <c r="G297" s="11"/>
      <c r="H297" s="11"/>
      <c r="I297" s="11"/>
      <c r="J297" s="11"/>
      <c r="K297" s="85">
        <f ca="1">-MIN(K285,0)</f>
        <v>0</v>
      </c>
      <c r="L297" s="85">
        <f ca="1">-MIN(L285,0)</f>
        <v>0</v>
      </c>
      <c r="M297" s="85">
        <f ca="1">-MIN(M285,0)</f>
        <v>0</v>
      </c>
      <c r="N297" s="85">
        <f ca="1">-MIN(N285,0)</f>
        <v>0</v>
      </c>
      <c r="O297" s="85">
        <f ca="1">-MIN(O285,0)</f>
        <v>0</v>
      </c>
      <c r="P297" s="559"/>
    </row>
    <row r="298" spans="2:16" s="5" customFormat="1" ht="15" hidden="1" customHeight="1" outlineLevel="1">
      <c r="B298" s="10"/>
      <c r="C298" s="23" t="s">
        <v>55</v>
      </c>
      <c r="D298" s="7"/>
      <c r="E298" s="7"/>
      <c r="F298" s="11"/>
      <c r="G298" s="11"/>
      <c r="H298" s="11"/>
      <c r="I298" s="11"/>
      <c r="J298" s="29"/>
      <c r="K298" s="82">
        <f ca="1">-MIN(K296,K291)*K278</f>
        <v>-5213.6326098473055</v>
      </c>
      <c r="L298" s="82">
        <f ca="1">-MIN(L296,L291)*L278</f>
        <v>-7632.3022665892649</v>
      </c>
      <c r="M298" s="82">
        <f ca="1">-MIN(M296,M291)*M278</f>
        <v>-9899.6223071998429</v>
      </c>
      <c r="N298" s="82">
        <f ca="1">-MIN(N296,N291)*N278</f>
        <v>-1382.4428163635857</v>
      </c>
      <c r="O298" s="82">
        <f ca="1">-MIN(O296,O291)*O278</f>
        <v>0</v>
      </c>
      <c r="P298" s="559"/>
    </row>
    <row r="299" spans="2:16" s="5" customFormat="1" ht="15" hidden="1" customHeight="1" outlineLevel="1">
      <c r="B299" s="10"/>
      <c r="C299" s="23" t="s">
        <v>8</v>
      </c>
      <c r="D299" s="7"/>
      <c r="E299" s="7"/>
      <c r="F299" s="11"/>
      <c r="G299" s="11"/>
      <c r="H299" s="11"/>
      <c r="I299" s="11"/>
      <c r="J299" s="35">
        <f>Transaction!$N$36</f>
        <v>24128</v>
      </c>
      <c r="K299" s="85">
        <f ca="1">SUM(K296:K298)</f>
        <v>18914.367390152693</v>
      </c>
      <c r="L299" s="85">
        <f ca="1">SUM(L296:L298)</f>
        <v>11282.065123563429</v>
      </c>
      <c r="M299" s="85">
        <f ca="1">SUM(M296:M298)</f>
        <v>1382.4428163635857</v>
      </c>
      <c r="N299" s="85">
        <f ca="1">SUM(N296:N298)</f>
        <v>0</v>
      </c>
      <c r="O299" s="85">
        <f ca="1">SUM(O296:O298)</f>
        <v>0</v>
      </c>
      <c r="P299" s="36"/>
    </row>
    <row r="300" spans="2:16" s="5" customFormat="1" ht="15" hidden="1" customHeight="1" outlineLevel="1">
      <c r="B300" s="10"/>
      <c r="C300" s="10"/>
      <c r="D300" s="7"/>
      <c r="E300" s="7"/>
      <c r="F300" s="11"/>
      <c r="G300" s="11"/>
      <c r="H300" s="11"/>
      <c r="I300" s="11"/>
      <c r="J300" s="11"/>
      <c r="K300" s="33"/>
      <c r="L300" s="33"/>
      <c r="M300" s="33"/>
      <c r="N300" s="33"/>
      <c r="O300" s="33"/>
    </row>
    <row r="301" spans="2:16" s="5" customFormat="1" ht="15" hidden="1" customHeight="1" outlineLevel="1">
      <c r="B301" s="46"/>
      <c r="C301" s="46"/>
      <c r="D301" s="47"/>
      <c r="E301" s="47"/>
      <c r="F301" s="48"/>
      <c r="G301" s="48"/>
      <c r="H301" s="48"/>
      <c r="I301" s="48"/>
      <c r="J301" s="48"/>
      <c r="K301" s="49"/>
      <c r="L301" s="49"/>
      <c r="M301" s="49"/>
      <c r="N301" s="49"/>
      <c r="O301" s="49"/>
      <c r="P301" s="36"/>
    </row>
    <row r="302" spans="2:16" s="5" customFormat="1" ht="15" hidden="1" customHeight="1" outlineLevel="1">
      <c r="B302" s="10"/>
      <c r="C302" s="10"/>
      <c r="D302" s="7"/>
      <c r="E302" s="7"/>
      <c r="F302" s="11"/>
      <c r="G302" s="11"/>
      <c r="H302" s="11"/>
      <c r="I302" s="11"/>
      <c r="J302" s="11"/>
      <c r="K302" s="33"/>
      <c r="L302" s="33"/>
      <c r="M302" s="33"/>
      <c r="N302" s="33"/>
      <c r="O302" s="33"/>
    </row>
    <row r="303" spans="2:16" s="5" customFormat="1" ht="15" hidden="1" customHeight="1" outlineLevel="1">
      <c r="B303" s="25" t="s">
        <v>204</v>
      </c>
      <c r="C303" s="10"/>
      <c r="D303" s="7"/>
      <c r="E303" s="7"/>
      <c r="F303" s="11"/>
      <c r="G303" s="11"/>
      <c r="H303" s="11"/>
      <c r="I303" s="11"/>
      <c r="J303" s="11"/>
      <c r="K303" s="33"/>
      <c r="L303" s="33"/>
      <c r="M303" s="33"/>
      <c r="N303" s="33"/>
      <c r="O303" s="33"/>
    </row>
    <row r="304" spans="2:16" s="5" customFormat="1" ht="15" hidden="1" customHeight="1" outlineLevel="1">
      <c r="B304" s="10"/>
      <c r="C304" s="23" t="s">
        <v>45</v>
      </c>
      <c r="D304" s="7"/>
      <c r="E304" s="7"/>
      <c r="F304" s="11"/>
      <c r="G304" s="11"/>
      <c r="H304" s="20"/>
      <c r="I304" s="20"/>
      <c r="J304" s="20"/>
      <c r="K304" s="85">
        <f ca="1">$F$280*K293</f>
        <v>0</v>
      </c>
      <c r="L304" s="232">
        <f ca="1">$F$280*L293</f>
        <v>0</v>
      </c>
      <c r="M304" s="85">
        <f ca="1">$F$280*M293</f>
        <v>0</v>
      </c>
      <c r="N304" s="85">
        <f ca="1">$F$280*N293</f>
        <v>2786.1074014237934</v>
      </c>
      <c r="O304" s="85">
        <f ca="1">$F$280*O293</f>
        <v>3766.4563445898671</v>
      </c>
    </row>
    <row r="305" spans="1:16" s="5" customFormat="1" ht="15" hidden="1" customHeight="1" outlineLevel="1">
      <c r="B305" s="10"/>
      <c r="C305" s="23" t="s">
        <v>46</v>
      </c>
      <c r="D305" s="7"/>
      <c r="E305" s="7"/>
      <c r="F305" s="11"/>
      <c r="G305" s="11"/>
      <c r="H305" s="11"/>
      <c r="I305" s="11"/>
      <c r="J305" s="11"/>
      <c r="K305" s="85">
        <f ca="1">K306-K304</f>
        <v>1809.2269024618263</v>
      </c>
      <c r="L305" s="85">
        <f ca="1">L306-L304</f>
        <v>2286.801191647316</v>
      </c>
      <c r="M305" s="85">
        <f ca="1">M306-M304</f>
        <v>2741.4770455499611</v>
      </c>
      <c r="N305" s="85">
        <f ca="1">N306-N304</f>
        <v>512.44489002839691</v>
      </c>
      <c r="O305" s="85">
        <f ca="1">O306-O304</f>
        <v>78.619995546875543</v>
      </c>
      <c r="P305" s="36"/>
    </row>
    <row r="306" spans="1:16" s="5" customFormat="1" ht="15" hidden="1" customHeight="1" outlineLevel="1" thickBot="1">
      <c r="B306" s="10"/>
      <c r="C306" s="23" t="s">
        <v>47</v>
      </c>
      <c r="D306" s="7"/>
      <c r="E306" s="7"/>
      <c r="F306" s="11"/>
      <c r="G306" s="11"/>
      <c r="H306" s="11"/>
      <c r="I306" s="11"/>
      <c r="J306" s="11"/>
      <c r="K306" s="225">
        <f ca="1">MAX($F$280*K285,0)</f>
        <v>1809.2269024618263</v>
      </c>
      <c r="L306" s="225">
        <f ca="1">MAX($F$280*L285,0)</f>
        <v>2286.801191647316</v>
      </c>
      <c r="M306" s="225">
        <f ca="1">MAX($F$280*M285,0)</f>
        <v>2741.4770455499611</v>
      </c>
      <c r="N306" s="225">
        <f ca="1">MAX($F$280*N285,0)</f>
        <v>3298.5522914521903</v>
      </c>
      <c r="O306" s="225">
        <f ca="1">MAX($F$280*O285,0)</f>
        <v>3845.0763401367426</v>
      </c>
      <c r="P306" s="36"/>
    </row>
    <row r="307" spans="1:16" s="5" customFormat="1" ht="15" hidden="1" customHeight="1" outlineLevel="1">
      <c r="B307" s="10"/>
      <c r="C307" s="23"/>
      <c r="D307" s="7"/>
      <c r="E307" s="7"/>
      <c r="F307" s="11"/>
      <c r="G307" s="11"/>
      <c r="H307" s="11"/>
      <c r="I307" s="11"/>
      <c r="J307" s="11"/>
      <c r="K307" s="85"/>
      <c r="L307" s="85"/>
      <c r="M307" s="85"/>
      <c r="N307" s="85"/>
      <c r="O307" s="85"/>
      <c r="P307" s="36"/>
    </row>
    <row r="308" spans="1:16" ht="15" hidden="1" customHeight="1" outlineLevel="1">
      <c r="A308" s="5"/>
      <c r="C308" s="13"/>
      <c r="D308" s="7"/>
      <c r="E308" s="7"/>
      <c r="F308" s="22"/>
      <c r="G308" s="11"/>
      <c r="H308" s="85"/>
      <c r="I308" s="85"/>
      <c r="J308" s="85"/>
      <c r="K308" s="85"/>
      <c r="L308" s="85"/>
      <c r="M308" s="85"/>
      <c r="N308" s="85"/>
      <c r="O308" s="85"/>
      <c r="P308" s="36"/>
    </row>
    <row r="309" spans="1:16" s="5" customFormat="1" ht="15" hidden="1" customHeight="1" outlineLevel="1">
      <c r="C309" s="106"/>
      <c r="E309" s="7"/>
      <c r="F309" s="11"/>
      <c r="G309" s="11"/>
      <c r="H309" s="11"/>
      <c r="I309" s="11"/>
      <c r="J309" s="11"/>
      <c r="K309" s="33"/>
      <c r="L309" s="33"/>
      <c r="M309" s="33"/>
      <c r="N309" s="33"/>
      <c r="O309" s="476" t="s">
        <v>305</v>
      </c>
      <c r="P309" s="36"/>
    </row>
    <row r="310" spans="1:16" s="5" customFormat="1" ht="15" hidden="1" customHeight="1" outlineLevel="1">
      <c r="C310" s="107"/>
      <c r="E310" s="7"/>
      <c r="F310" s="11"/>
      <c r="G310" s="11"/>
      <c r="H310" s="11"/>
      <c r="I310" s="11"/>
      <c r="J310" s="11"/>
      <c r="K310" s="33"/>
      <c r="L310" s="33"/>
      <c r="M310" s="33"/>
      <c r="N310" s="33"/>
      <c r="O310" s="477" t="s">
        <v>306</v>
      </c>
    </row>
    <row r="311" spans="1:16" s="5" customFormat="1" ht="15" hidden="1" customHeight="1" outlineLevel="1">
      <c r="C311" s="107"/>
      <c r="E311" s="7"/>
      <c r="F311" s="11"/>
      <c r="G311" s="11"/>
      <c r="H311" s="11"/>
      <c r="I311" s="11"/>
      <c r="J311" s="11"/>
      <c r="K311" s="33"/>
      <c r="L311" s="33"/>
      <c r="M311" s="33"/>
      <c r="N311" s="33"/>
      <c r="O311" s="563" t="s">
        <v>307</v>
      </c>
    </row>
    <row r="312" spans="1:16" ht="15" hidden="1" customHeight="1" outlineLevel="1">
      <c r="B312" s="202"/>
      <c r="C312" s="202"/>
      <c r="D312" s="202"/>
      <c r="E312" s="202"/>
      <c r="F312" s="202"/>
      <c r="G312" s="202"/>
      <c r="H312" s="202"/>
      <c r="I312" s="202"/>
      <c r="J312" s="202"/>
      <c r="K312" s="266"/>
      <c r="L312" s="202"/>
      <c r="M312" s="202"/>
      <c r="N312" s="202"/>
      <c r="O312" s="202"/>
    </row>
    <row r="313" spans="1:16" ht="15" customHeight="1" collapsed="1">
      <c r="B313" s="143"/>
      <c r="C313" s="143"/>
      <c r="D313" s="143"/>
      <c r="E313" s="143"/>
      <c r="F313" s="143"/>
      <c r="G313" s="143"/>
      <c r="H313" s="143"/>
      <c r="I313" s="143"/>
      <c r="J313" s="143"/>
      <c r="K313" s="180"/>
      <c r="L313" s="143"/>
      <c r="M313" s="143"/>
      <c r="N313" s="143"/>
      <c r="O313" s="143"/>
    </row>
    <row r="314" spans="1:16" ht="15" customHeight="1">
      <c r="A314" s="427" t="s">
        <v>91</v>
      </c>
      <c r="B314" s="528" t="s">
        <v>338</v>
      </c>
      <c r="C314" s="164"/>
      <c r="D314" s="165"/>
      <c r="E314" s="205"/>
      <c r="F314" s="206"/>
      <c r="G314" s="206"/>
      <c r="H314" s="206"/>
      <c r="I314" s="206"/>
      <c r="J314" s="206"/>
      <c r="K314" s="206"/>
      <c r="L314" s="206"/>
      <c r="M314" s="206"/>
      <c r="N314" s="206"/>
      <c r="O314" s="206"/>
    </row>
    <row r="315" spans="1:16" ht="15" hidden="1" customHeight="1" outlineLevel="1">
      <c r="B315" s="167"/>
      <c r="C315" s="168"/>
      <c r="D315" s="169"/>
      <c r="E315" s="170"/>
      <c r="F315" s="170"/>
      <c r="G315" s="170"/>
      <c r="H315" s="170"/>
      <c r="I315" s="170"/>
      <c r="J315" s="170"/>
      <c r="K315" s="170"/>
      <c r="L315" s="170"/>
      <c r="M315" s="170"/>
      <c r="N315" s="170"/>
      <c r="O315" s="170"/>
    </row>
    <row r="316" spans="1:16" ht="15" hidden="1" customHeight="1" outlineLevel="1" thickBot="1">
      <c r="B316" s="10" t="s">
        <v>19</v>
      </c>
      <c r="C316" s="168"/>
      <c r="D316" s="171"/>
      <c r="E316" s="171"/>
      <c r="F316" s="171"/>
      <c r="G316" s="171"/>
      <c r="H316" s="264"/>
      <c r="I316" s="11"/>
      <c r="J316" s="148" t="s">
        <v>148</v>
      </c>
      <c r="K316" s="75">
        <f>$K$5</f>
        <v>2023</v>
      </c>
      <c r="L316" s="75">
        <f>K316+1</f>
        <v>2024</v>
      </c>
      <c r="M316" s="75">
        <f>L316+1</f>
        <v>2025</v>
      </c>
      <c r="N316" s="75">
        <f>M316+1</f>
        <v>2026</v>
      </c>
      <c r="O316" s="75">
        <f>N316+1</f>
        <v>2027</v>
      </c>
    </row>
    <row r="317" spans="1:16" ht="15" hidden="1" customHeight="1" outlineLevel="1">
      <c r="B317" s="10" t="str">
        <f>$B$6</f>
        <v>Model Running: Base Case Drivers</v>
      </c>
      <c r="C317" s="168"/>
      <c r="D317" s="171"/>
      <c r="E317" s="171"/>
      <c r="F317" s="171"/>
      <c r="G317" s="171"/>
      <c r="H317" s="171"/>
      <c r="I317" s="162"/>
      <c r="J317" s="162"/>
      <c r="K317" s="162"/>
      <c r="L317" s="162"/>
      <c r="M317" s="162"/>
      <c r="N317" s="162"/>
      <c r="O317" s="162"/>
    </row>
    <row r="318" spans="1:16" ht="15" hidden="1" customHeight="1" outlineLevel="1">
      <c r="B318" s="10"/>
      <c r="C318" s="168"/>
      <c r="D318" s="171"/>
      <c r="E318" s="171"/>
      <c r="F318" s="171"/>
      <c r="G318" s="171"/>
      <c r="H318" s="171"/>
      <c r="I318" s="162"/>
      <c r="J318" s="162"/>
      <c r="K318" s="162"/>
      <c r="L318" s="162"/>
      <c r="M318" s="162"/>
      <c r="N318" s="162"/>
      <c r="O318" s="162"/>
    </row>
    <row r="319" spans="1:16" ht="15" hidden="1" customHeight="1" outlineLevel="1">
      <c r="B319" s="23" t="s">
        <v>261</v>
      </c>
      <c r="C319" s="168"/>
      <c r="D319" s="171"/>
      <c r="E319" s="171"/>
      <c r="F319" s="171"/>
      <c r="G319" s="171"/>
      <c r="H319" s="22" t="s">
        <v>260</v>
      </c>
      <c r="I319" s="162"/>
      <c r="J319" s="761"/>
      <c r="K319" s="762">
        <f>+Inputs!H$75</f>
        <v>55</v>
      </c>
      <c r="L319" s="763">
        <f>+Inputs!I$75</f>
        <v>75</v>
      </c>
      <c r="M319" s="763">
        <f>+Inputs!J$75</f>
        <v>95</v>
      </c>
      <c r="N319" s="763">
        <f>+Inputs!K$75</f>
        <v>115</v>
      </c>
      <c r="O319" s="764">
        <f>+Inputs!L$75</f>
        <v>135</v>
      </c>
    </row>
    <row r="320" spans="1:16" ht="15" hidden="1" customHeight="1" outlineLevel="1">
      <c r="B320" s="142"/>
      <c r="C320" s="168"/>
      <c r="D320" s="171"/>
      <c r="E320" s="171"/>
      <c r="F320" s="171"/>
      <c r="G320" s="171"/>
      <c r="H320" s="171"/>
      <c r="I320" s="162"/>
      <c r="J320" s="761"/>
      <c r="K320" s="761"/>
      <c r="L320" s="761"/>
      <c r="M320" s="761"/>
      <c r="N320" s="761"/>
      <c r="O320" s="761"/>
    </row>
    <row r="321" spans="2:15" ht="15" hidden="1" customHeight="1" outlineLevel="1">
      <c r="B321" s="142"/>
      <c r="C321" s="168"/>
      <c r="D321" s="171"/>
      <c r="E321" s="171"/>
      <c r="F321" s="171"/>
      <c r="G321" s="171"/>
      <c r="H321" s="171"/>
      <c r="I321" s="162"/>
      <c r="J321" s="761"/>
      <c r="K321" s="761"/>
      <c r="L321" s="761"/>
      <c r="M321" s="761"/>
      <c r="N321" s="761"/>
      <c r="O321" s="761"/>
    </row>
    <row r="322" spans="2:15" ht="15" hidden="1" customHeight="1" outlineLevel="1">
      <c r="B322" s="208" t="s">
        <v>381</v>
      </c>
      <c r="C322" s="207"/>
      <c r="D322" s="196"/>
      <c r="E322" s="207"/>
      <c r="F322" s="207"/>
      <c r="G322" s="207"/>
      <c r="H322" s="208"/>
      <c r="I322" s="208"/>
      <c r="J322" s="193"/>
      <c r="K322" s="193"/>
      <c r="L322" s="195"/>
      <c r="M322" s="195"/>
      <c r="N322" s="195"/>
      <c r="O322" s="195"/>
    </row>
    <row r="323" spans="2:15" ht="15" hidden="1" customHeight="1" outlineLevel="1">
      <c r="C323" s="23" t="s">
        <v>140</v>
      </c>
      <c r="D323" s="199"/>
      <c r="E323" s="158"/>
      <c r="F323" s="158"/>
      <c r="G323" s="158"/>
      <c r="H323" s="158"/>
      <c r="I323" s="191"/>
      <c r="J323" s="191"/>
      <c r="K323" s="191">
        <f>+K157</f>
        <v>5000</v>
      </c>
      <c r="L323" s="191">
        <f ca="1">+L157</f>
        <v>5000</v>
      </c>
      <c r="M323" s="191">
        <f ca="1">+M157</f>
        <v>5000</v>
      </c>
      <c r="N323" s="191">
        <f ca="1">+N157</f>
        <v>5000</v>
      </c>
      <c r="O323" s="191">
        <f ca="1">+O157</f>
        <v>5000</v>
      </c>
    </row>
    <row r="324" spans="2:15" ht="15" hidden="1" customHeight="1" outlineLevel="1">
      <c r="C324" s="23" t="s">
        <v>132</v>
      </c>
      <c r="D324" s="199"/>
      <c r="E324" s="158"/>
      <c r="F324" s="158"/>
      <c r="G324" s="158"/>
      <c r="H324" s="191"/>
      <c r="I324" s="191"/>
      <c r="J324" s="191"/>
      <c r="K324" s="191">
        <f ca="1">K138</f>
        <v>12897.336463159092</v>
      </c>
      <c r="L324" s="173">
        <f ca="1">L138</f>
        <v>15375.030964830245</v>
      </c>
      <c r="M324" s="173">
        <f ca="1">M138</f>
        <v>17594.657782744012</v>
      </c>
      <c r="N324" s="173">
        <f ca="1">N138</f>
        <v>17414.80507643419</v>
      </c>
      <c r="O324" s="173">
        <f ca="1">O138</f>
        <v>19070.240576413464</v>
      </c>
    </row>
    <row r="325" spans="2:15" ht="15" hidden="1" customHeight="1" outlineLevel="1">
      <c r="C325" s="23" t="s">
        <v>135</v>
      </c>
      <c r="D325" s="199"/>
      <c r="E325" s="158"/>
      <c r="F325" s="158"/>
      <c r="G325" s="158"/>
      <c r="H325" s="191"/>
      <c r="I325" s="191"/>
      <c r="J325" s="191"/>
      <c r="K325" s="191">
        <f>K143</f>
        <v>-4100</v>
      </c>
      <c r="L325" s="173">
        <f>L143</f>
        <v>-4300</v>
      </c>
      <c r="M325" s="173">
        <f>M143</f>
        <v>-4400</v>
      </c>
      <c r="N325" s="173">
        <f>N143</f>
        <v>-4600</v>
      </c>
      <c r="O325" s="173">
        <f>O143</f>
        <v>-4800</v>
      </c>
    </row>
    <row r="326" spans="2:15" ht="15" hidden="1" customHeight="1" outlineLevel="1">
      <c r="C326" s="23" t="s">
        <v>316</v>
      </c>
      <c r="D326" s="199"/>
      <c r="E326" s="158"/>
      <c r="F326" s="158"/>
      <c r="G326" s="158"/>
      <c r="H326" s="191"/>
      <c r="I326" s="191"/>
      <c r="J326" s="191"/>
      <c r="K326" s="191">
        <f>K373+K389+K408</f>
        <v>-9557.3498799999998</v>
      </c>
      <c r="L326" s="191">
        <f ca="1">L373+L389+L408</f>
        <v>-9557.3498799999998</v>
      </c>
      <c r="M326" s="191">
        <f ca="1">M373+M389+M408</f>
        <v>-9557.3498799999998</v>
      </c>
      <c r="N326" s="191">
        <f ca="1">N373+N389+N408</f>
        <v>-9557.3498799999998</v>
      </c>
      <c r="O326" s="191">
        <f ca="1">O373+O389+O408</f>
        <v>-6499.798862832462</v>
      </c>
    </row>
    <row r="327" spans="2:15" ht="15" hidden="1" customHeight="1" outlineLevel="1">
      <c r="C327" s="23" t="s">
        <v>137</v>
      </c>
      <c r="D327" s="199"/>
      <c r="E327" s="158"/>
      <c r="F327" s="158"/>
      <c r="G327" s="158"/>
      <c r="H327" s="623" t="s">
        <v>314</v>
      </c>
      <c r="I327" s="191"/>
      <c r="J327" s="191"/>
      <c r="K327" s="191">
        <f>SUM(K482:K483)</f>
        <v>0</v>
      </c>
      <c r="L327" s="191">
        <f>SUM(L482:L483)</f>
        <v>0</v>
      </c>
      <c r="M327" s="191">
        <f>SUM(M482:M483)</f>
        <v>0</v>
      </c>
      <c r="N327" s="191">
        <f>SUM(N482:N483)</f>
        <v>0</v>
      </c>
      <c r="O327" s="191">
        <f>SUM(O482:O483)</f>
        <v>0</v>
      </c>
    </row>
    <row r="328" spans="2:15" ht="15" hidden="1" customHeight="1" outlineLevel="1">
      <c r="C328" s="23" t="s">
        <v>138</v>
      </c>
      <c r="D328" s="199"/>
      <c r="E328" s="158"/>
      <c r="F328" s="158"/>
      <c r="G328" s="158"/>
      <c r="H328" s="623" t="s">
        <v>315</v>
      </c>
      <c r="I328" s="191"/>
      <c r="J328" s="191"/>
      <c r="K328" s="191">
        <f>K490</f>
        <v>0</v>
      </c>
      <c r="L328" s="191">
        <f>L490</f>
        <v>0</v>
      </c>
      <c r="M328" s="191">
        <f>M490</f>
        <v>0</v>
      </c>
      <c r="N328" s="191">
        <f>N490</f>
        <v>0</v>
      </c>
      <c r="O328" s="191">
        <f>O490</f>
        <v>0</v>
      </c>
    </row>
    <row r="329" spans="2:15" ht="15" hidden="1" customHeight="1" outlineLevel="1">
      <c r="C329" s="23" t="s">
        <v>265</v>
      </c>
      <c r="D329" s="199"/>
      <c r="E329" s="158"/>
      <c r="F329" s="158"/>
      <c r="G329" s="158"/>
      <c r="H329" s="680">
        <f>Transaction!$I$29</f>
        <v>5000</v>
      </c>
      <c r="I329" s="191"/>
      <c r="J329" s="191"/>
      <c r="K329" s="191">
        <f>-$H$329</f>
        <v>-5000</v>
      </c>
      <c r="L329" s="191">
        <f>-$H$329</f>
        <v>-5000</v>
      </c>
      <c r="M329" s="191">
        <f>-$H$329</f>
        <v>-5000</v>
      </c>
      <c r="N329" s="191">
        <f>-$H$329</f>
        <v>-5000</v>
      </c>
      <c r="O329" s="191">
        <f>-$H$329</f>
        <v>-5000</v>
      </c>
    </row>
    <row r="330" spans="2:15" ht="15" hidden="1" customHeight="1" outlineLevel="1">
      <c r="C330" s="23" t="s">
        <v>393</v>
      </c>
      <c r="D330" s="199"/>
      <c r="E330" s="158"/>
      <c r="F330" s="158"/>
      <c r="G330" s="158"/>
      <c r="H330" s="191"/>
      <c r="I330" s="191"/>
      <c r="J330" s="191"/>
      <c r="K330" s="765">
        <f ca="1">SUM(K323:K329)</f>
        <v>-760.01341684090767</v>
      </c>
      <c r="L330" s="765">
        <f ca="1">SUM(L323:L329)</f>
        <v>1517.681084830243</v>
      </c>
      <c r="M330" s="765">
        <f ca="1">SUM(M323:M329)</f>
        <v>3637.3079027440126</v>
      </c>
      <c r="N330" s="765">
        <f ca="1">SUM(N323:N329)</f>
        <v>3257.4551964341899</v>
      </c>
      <c r="O330" s="765">
        <f ca="1">SUM(O323:O329)</f>
        <v>7770.4417135810017</v>
      </c>
    </row>
    <row r="331" spans="2:15" ht="15" hidden="1" customHeight="1" outlineLevel="1">
      <c r="C331" s="23"/>
      <c r="D331" s="199"/>
      <c r="E331" s="158"/>
      <c r="F331" s="158"/>
      <c r="G331" s="158"/>
      <c r="H331" s="191"/>
      <c r="I331" s="191"/>
      <c r="J331" s="191"/>
      <c r="K331" s="191"/>
      <c r="L331" s="173"/>
      <c r="M331" s="173"/>
      <c r="N331" s="173"/>
      <c r="O331" s="173"/>
    </row>
    <row r="332" spans="2:15" ht="15" hidden="1" customHeight="1" outlineLevel="1">
      <c r="C332" s="23"/>
      <c r="D332" s="199"/>
      <c r="E332" s="158"/>
      <c r="F332" s="158"/>
      <c r="G332" s="158"/>
      <c r="H332" s="191"/>
      <c r="I332" s="191"/>
      <c r="J332" s="191"/>
      <c r="K332" s="191"/>
      <c r="L332" s="173"/>
      <c r="M332" s="173"/>
      <c r="N332" s="173"/>
      <c r="O332" s="173"/>
    </row>
    <row r="333" spans="2:15" ht="15" hidden="1" customHeight="1" outlineLevel="1">
      <c r="B333" s="208" t="s">
        <v>382</v>
      </c>
      <c r="C333" s="207"/>
      <c r="D333" s="196"/>
      <c r="E333" s="207"/>
      <c r="F333" s="207"/>
      <c r="G333" s="207"/>
      <c r="H333" s="208"/>
      <c r="I333" s="208"/>
      <c r="J333" s="193"/>
      <c r="K333" s="193"/>
      <c r="L333" s="195"/>
      <c r="M333" s="195"/>
      <c r="N333" s="195"/>
      <c r="O333" s="195"/>
    </row>
    <row r="334" spans="2:15" ht="15" hidden="1" customHeight="1" outlineLevel="1">
      <c r="C334" s="23" t="s">
        <v>7</v>
      </c>
      <c r="D334" s="199"/>
      <c r="E334" s="158"/>
      <c r="F334" s="158"/>
      <c r="G334" s="158"/>
      <c r="H334" s="191"/>
      <c r="I334" s="191"/>
      <c r="J334" s="191"/>
      <c r="K334" s="191">
        <f>J336</f>
        <v>4594.8797500000001</v>
      </c>
      <c r="L334" s="173">
        <f ca="1">K336</f>
        <v>5354.8931668409077</v>
      </c>
      <c r="M334" s="173">
        <f ca="1">L336</f>
        <v>3837.2120820106647</v>
      </c>
      <c r="N334" s="173">
        <f ca="1">M336</f>
        <v>199.90417926665214</v>
      </c>
      <c r="O334" s="173">
        <f ca="1">N336</f>
        <v>0</v>
      </c>
    </row>
    <row r="335" spans="2:15" ht="15" hidden="1" customHeight="1" outlineLevel="1">
      <c r="C335" s="23" t="s">
        <v>141</v>
      </c>
      <c r="D335" s="199"/>
      <c r="E335" s="158"/>
      <c r="F335" s="158"/>
      <c r="G335" s="158"/>
      <c r="H335" s="191"/>
      <c r="I335" s="191"/>
      <c r="J335" s="267"/>
      <c r="K335" s="191">
        <f ca="1">-MIN(K334,K330)</f>
        <v>760.01341684090767</v>
      </c>
      <c r="L335" s="191">
        <f ca="1">-MIN(L334,L330)</f>
        <v>-1517.681084830243</v>
      </c>
      <c r="M335" s="191">
        <f ca="1">-MIN(M334,M330)</f>
        <v>-3637.3079027440126</v>
      </c>
      <c r="N335" s="191">
        <f ca="1">-MIN(N334,N330)</f>
        <v>-199.90417926665214</v>
      </c>
      <c r="O335" s="191">
        <f ca="1">-MIN(O334,O330)</f>
        <v>0</v>
      </c>
    </row>
    <row r="336" spans="2:15" ht="15" hidden="1" customHeight="1" outlineLevel="1">
      <c r="C336" s="13" t="s">
        <v>8</v>
      </c>
      <c r="D336" s="199"/>
      <c r="E336" s="158"/>
      <c r="F336" s="158"/>
      <c r="G336" s="158"/>
      <c r="H336" s="192"/>
      <c r="I336" s="192"/>
      <c r="J336" s="759">
        <f>+Transaction!C56</f>
        <v>4594.8797500000001</v>
      </c>
      <c r="K336" s="730">
        <f ca="1">SUM(K334:K335)</f>
        <v>5354.8931668409077</v>
      </c>
      <c r="L336" s="730">
        <f ca="1">SUM(L334:L335)</f>
        <v>3837.2120820106647</v>
      </c>
      <c r="M336" s="730">
        <f ca="1">SUM(M334:M335)</f>
        <v>199.90417926665214</v>
      </c>
      <c r="N336" s="730">
        <f ca="1">SUM(N334:N335)</f>
        <v>0</v>
      </c>
      <c r="O336" s="730">
        <f ca="1">SUM(O334:O335)</f>
        <v>0</v>
      </c>
    </row>
    <row r="337" spans="2:15" ht="15" hidden="1" customHeight="1" outlineLevel="1">
      <c r="C337" s="204"/>
      <c r="D337" s="187"/>
      <c r="E337" s="150"/>
      <c r="F337" s="150"/>
      <c r="G337" s="150"/>
      <c r="H337" s="194"/>
      <c r="I337" s="192"/>
      <c r="J337" s="191"/>
      <c r="K337" s="191"/>
      <c r="L337" s="173"/>
      <c r="M337" s="173"/>
      <c r="N337" s="173"/>
      <c r="O337" s="173"/>
    </row>
    <row r="338" spans="2:15" ht="15" hidden="1" customHeight="1" outlineLevel="1">
      <c r="C338" s="23" t="s">
        <v>266</v>
      </c>
      <c r="D338" s="187"/>
      <c r="E338" s="150"/>
      <c r="F338" s="150"/>
      <c r="G338" s="150"/>
      <c r="H338" s="194"/>
      <c r="I338" s="192"/>
      <c r="J338" s="191"/>
      <c r="K338" s="766">
        <f>Transaction!$I$56/10000</f>
        <v>0.03</v>
      </c>
      <c r="L338" s="766">
        <f>K338</f>
        <v>0.03</v>
      </c>
      <c r="M338" s="766">
        <f>L338</f>
        <v>0.03</v>
      </c>
      <c r="N338" s="766">
        <f>M338</f>
        <v>0.03</v>
      </c>
      <c r="O338" s="766">
        <f>N338</f>
        <v>0.03</v>
      </c>
    </row>
    <row r="339" spans="2:15" ht="15" hidden="1" customHeight="1" outlineLevel="1">
      <c r="C339" s="23" t="s">
        <v>259</v>
      </c>
      <c r="D339" s="187"/>
      <c r="E339" s="150"/>
      <c r="F339" s="150"/>
      <c r="G339" s="150"/>
      <c r="H339" s="623" t="s">
        <v>224</v>
      </c>
      <c r="I339" s="192"/>
      <c r="J339" s="191"/>
      <c r="K339" s="767">
        <f>+K338+K319/10000</f>
        <v>3.5499999999999997E-2</v>
      </c>
      <c r="L339" s="767">
        <f>+L338+L319/10000</f>
        <v>3.7499999999999999E-2</v>
      </c>
      <c r="M339" s="767">
        <f>+M338+M319/10000</f>
        <v>3.95E-2</v>
      </c>
      <c r="N339" s="767">
        <f>+N338+N319/10000</f>
        <v>4.1499999999999995E-2</v>
      </c>
      <c r="O339" s="767">
        <f>+O338+O319/10000</f>
        <v>4.3499999999999997E-2</v>
      </c>
    </row>
    <row r="340" spans="2:15" ht="15" hidden="1" customHeight="1" outlineLevel="1">
      <c r="C340" s="23" t="s">
        <v>149</v>
      </c>
      <c r="D340" s="187"/>
      <c r="E340" s="150"/>
      <c r="G340" s="150"/>
      <c r="H340" s="681">
        <f>Cover!$E$23</f>
        <v>1</v>
      </c>
      <c r="I340" s="192"/>
      <c r="J340" s="191"/>
      <c r="K340" s="191">
        <f ca="1">IF($H340=1,AVERAGE(K336,K334)*K339,K334*K339)</f>
        <v>176.60846927392609</v>
      </c>
      <c r="L340" s="191">
        <f ca="1">IF($H340=1,AVERAGE(L336,L334)*L339,L334*L339)</f>
        <v>172.35197341596697</v>
      </c>
      <c r="M340" s="191">
        <f ca="1">IF($H340=1,AVERAGE(M336,M334)*M339,M334*M339)</f>
        <v>79.733046160227005</v>
      </c>
      <c r="N340" s="191">
        <f ca="1">IF($H340=1,AVERAGE(N336,N334)*N339,N334*N339)</f>
        <v>4.1480117197830317</v>
      </c>
      <c r="O340" s="191">
        <f ca="1">IF($H340=1,AVERAGE(O336,O334)*O339,O334*O339)</f>
        <v>0</v>
      </c>
    </row>
    <row r="341" spans="2:15" ht="15" hidden="1" customHeight="1" outlineLevel="1">
      <c r="C341" s="23"/>
      <c r="D341" s="187"/>
      <c r="E341" s="150"/>
      <c r="G341" s="150"/>
      <c r="H341" s="173"/>
      <c r="I341" s="192"/>
      <c r="J341" s="191"/>
      <c r="K341" s="191"/>
      <c r="L341" s="191"/>
      <c r="M341" s="191"/>
      <c r="N341" s="191"/>
      <c r="O341" s="191"/>
    </row>
    <row r="342" spans="2:15" ht="15" hidden="1" customHeight="1" outlineLevel="1">
      <c r="C342" s="23"/>
      <c r="D342" s="187"/>
      <c r="E342" s="150"/>
      <c r="G342" s="150"/>
      <c r="I342" s="192"/>
      <c r="J342" s="191"/>
      <c r="K342" s="191"/>
      <c r="L342" s="191"/>
      <c r="M342" s="191"/>
      <c r="N342" s="191"/>
      <c r="O342" s="191"/>
    </row>
    <row r="343" spans="2:15" ht="15" hidden="1" customHeight="1" outlineLevel="1">
      <c r="B343" s="208" t="s">
        <v>383</v>
      </c>
      <c r="C343" s="207"/>
      <c r="D343" s="196"/>
      <c r="E343" s="207"/>
      <c r="F343" s="207"/>
      <c r="G343" s="207"/>
      <c r="H343" s="208"/>
      <c r="I343" s="208"/>
      <c r="J343" s="193"/>
      <c r="K343" s="193"/>
      <c r="L343" s="195"/>
      <c r="M343" s="195"/>
      <c r="N343" s="195"/>
      <c r="O343" s="195"/>
    </row>
    <row r="344" spans="2:15" ht="15" hidden="1" customHeight="1" outlineLevel="1">
      <c r="C344" s="23" t="s">
        <v>7</v>
      </c>
      <c r="D344" s="199"/>
      <c r="E344" s="158"/>
      <c r="F344" s="158"/>
      <c r="G344" s="158"/>
      <c r="H344" s="191"/>
      <c r="I344" s="191"/>
      <c r="J344" s="191"/>
      <c r="K344" s="191">
        <f>J346</f>
        <v>10405.12025</v>
      </c>
      <c r="L344" s="173">
        <f ca="1">K346</f>
        <v>9645.1068331590923</v>
      </c>
      <c r="M344" s="173">
        <f ca="1">L346</f>
        <v>11162.787917989335</v>
      </c>
      <c r="N344" s="173">
        <f ca="1">M346</f>
        <v>14800.095820733348</v>
      </c>
      <c r="O344" s="173">
        <f ca="1">N346</f>
        <v>15000</v>
      </c>
    </row>
    <row r="345" spans="2:15" ht="15" hidden="1" customHeight="1" outlineLevel="1">
      <c r="C345" s="23" t="s">
        <v>409</v>
      </c>
      <c r="D345" s="199"/>
      <c r="E345" s="158"/>
      <c r="F345" s="158"/>
      <c r="G345" s="158"/>
      <c r="H345" s="623" t="s">
        <v>275</v>
      </c>
      <c r="I345" s="191"/>
      <c r="J345" s="267"/>
      <c r="K345" s="757">
        <f ca="1">-K335</f>
        <v>-760.01341684090767</v>
      </c>
      <c r="L345" s="757">
        <f ca="1">-L335</f>
        <v>1517.681084830243</v>
      </c>
      <c r="M345" s="757">
        <f ca="1">-M335</f>
        <v>3637.3079027440126</v>
      </c>
      <c r="N345" s="757">
        <f ca="1">-N335</f>
        <v>199.90417926665214</v>
      </c>
      <c r="O345" s="757">
        <f ca="1">-O335</f>
        <v>0</v>
      </c>
    </row>
    <row r="346" spans="2:15" ht="15" hidden="1" customHeight="1" outlineLevel="1">
      <c r="C346" s="13" t="s">
        <v>8</v>
      </c>
      <c r="D346" s="199"/>
      <c r="E346" s="158"/>
      <c r="F346" s="158"/>
      <c r="G346" s="158"/>
      <c r="H346" s="682">
        <f>+Transaction!$E$56</f>
        <v>15000</v>
      </c>
      <c r="I346" s="191"/>
      <c r="J346" s="191">
        <f>H346-J336</f>
        <v>10405.12025</v>
      </c>
      <c r="K346" s="191">
        <f ca="1">SUM(K344:K345)</f>
        <v>9645.1068331590923</v>
      </c>
      <c r="L346" s="191">
        <f ca="1">SUM(L344:L345)</f>
        <v>11162.787917989335</v>
      </c>
      <c r="M346" s="191">
        <f ca="1">SUM(M344:M345)</f>
        <v>14800.095820733348</v>
      </c>
      <c r="N346" s="191">
        <f ca="1">SUM(N344:N345)</f>
        <v>15000</v>
      </c>
      <c r="O346" s="191">
        <f ca="1">SUM(O344:O345)</f>
        <v>15000</v>
      </c>
    </row>
    <row r="347" spans="2:15" ht="15" hidden="1" customHeight="1" outlineLevel="1">
      <c r="C347" s="204"/>
      <c r="D347" s="199"/>
      <c r="E347" s="158"/>
      <c r="F347" s="158"/>
      <c r="G347" s="158"/>
      <c r="H347" s="173"/>
      <c r="I347" s="191"/>
      <c r="J347" s="191"/>
      <c r="K347" s="191"/>
      <c r="L347" s="173"/>
      <c r="M347" s="173"/>
      <c r="N347" s="173"/>
      <c r="O347" s="173"/>
    </row>
    <row r="348" spans="2:15" ht="15" hidden="1" customHeight="1" outlineLevel="1">
      <c r="C348" s="23" t="s">
        <v>384</v>
      </c>
      <c r="D348" s="199"/>
      <c r="E348" s="158"/>
      <c r="F348" s="158"/>
      <c r="G348" s="158"/>
      <c r="H348" s="623" t="s">
        <v>224</v>
      </c>
      <c r="I348" s="191"/>
      <c r="J348" s="191"/>
      <c r="K348" s="767">
        <f>+Transaction!$H$56</f>
        <v>5.0000000000000001E-3</v>
      </c>
      <c r="L348" s="767">
        <f>K348</f>
        <v>5.0000000000000001E-3</v>
      </c>
      <c r="M348" s="767">
        <f>L348</f>
        <v>5.0000000000000001E-3</v>
      </c>
      <c r="N348" s="767">
        <f>M348</f>
        <v>5.0000000000000001E-3</v>
      </c>
      <c r="O348" s="767">
        <f>N348</f>
        <v>5.0000000000000001E-3</v>
      </c>
    </row>
    <row r="349" spans="2:15" ht="15" hidden="1" customHeight="1" outlineLevel="1">
      <c r="C349" s="23" t="s">
        <v>385</v>
      </c>
      <c r="D349" s="199"/>
      <c r="E349" s="158"/>
      <c r="G349" s="158"/>
      <c r="H349" s="681">
        <f>Cover!$E$23</f>
        <v>1</v>
      </c>
      <c r="I349" s="191"/>
      <c r="J349" s="191"/>
      <c r="K349" s="191">
        <f ca="1">MAX(IF($H349=1,AVERAGE(K346,K344)*K348,K344*K348),0)</f>
        <v>50.125567707897737</v>
      </c>
      <c r="L349" s="191">
        <f ca="1">MAX(IF($H349=1,AVERAGE(L346,L344)*L348,L344*L348),0)</f>
        <v>52.019736877871075</v>
      </c>
      <c r="M349" s="191">
        <f ca="1">MAX(IF($H349=1,AVERAGE(M346,M344)*M348,M344*M348),0)</f>
        <v>64.90720934680671</v>
      </c>
      <c r="N349" s="191">
        <f ca="1">MAX(IF($H349=1,AVERAGE(N346,N344)*N348,N344*N348),0)</f>
        <v>74.50023955183336</v>
      </c>
      <c r="O349" s="191">
        <f ca="1">MAX(IF($H349=1,AVERAGE(O346,O344)*O348,O344*O348),0)</f>
        <v>75</v>
      </c>
    </row>
    <row r="350" spans="2:15" ht="15" hidden="1" customHeight="1" outlineLevel="1">
      <c r="C350" s="23"/>
      <c r="D350" s="187"/>
      <c r="E350" s="150"/>
      <c r="G350" s="150"/>
      <c r="H350" s="173"/>
      <c r="I350" s="192"/>
      <c r="J350" s="191"/>
      <c r="K350" s="191"/>
      <c r="L350" s="191"/>
      <c r="M350" s="191"/>
      <c r="N350" s="191"/>
      <c r="O350" s="191"/>
    </row>
    <row r="351" spans="2:15" ht="15" hidden="1" customHeight="1" outlineLevel="1">
      <c r="C351" s="23"/>
      <c r="D351" s="187"/>
      <c r="E351" s="150"/>
      <c r="G351" s="150"/>
      <c r="H351" s="173"/>
      <c r="I351" s="192"/>
      <c r="J351" s="191"/>
      <c r="K351" s="191"/>
      <c r="L351" s="191"/>
      <c r="M351" s="191"/>
      <c r="N351" s="191"/>
      <c r="O351" s="191"/>
    </row>
    <row r="352" spans="2:15" ht="15" hidden="1" customHeight="1" outlineLevel="1">
      <c r="C352" s="23"/>
      <c r="D352" s="187"/>
      <c r="E352" s="150"/>
      <c r="G352" s="150"/>
      <c r="H352" s="173"/>
      <c r="I352" s="192"/>
      <c r="J352" s="191"/>
      <c r="K352" s="191"/>
      <c r="L352" s="191"/>
      <c r="M352" s="191"/>
      <c r="N352" s="191"/>
      <c r="O352" s="191"/>
    </row>
    <row r="353" spans="1:16" ht="15" hidden="1" customHeight="1" outlineLevel="1">
      <c r="C353" s="23" t="s">
        <v>386</v>
      </c>
      <c r="D353" s="187"/>
      <c r="E353" s="150"/>
      <c r="G353" s="150"/>
      <c r="I353" s="192"/>
      <c r="J353" s="191"/>
      <c r="K353" s="768">
        <f ca="1">IF(K346&lt;0,1,0)</f>
        <v>0</v>
      </c>
      <c r="L353" s="769">
        <f ca="1">IF(L346&lt;0,1,0)</f>
        <v>0</v>
      </c>
      <c r="M353" s="769">
        <f ca="1">IF(M346&lt;0,1,0)</f>
        <v>0</v>
      </c>
      <c r="N353" s="769">
        <f ca="1">IF(N346&lt;0,1,0)</f>
        <v>0</v>
      </c>
      <c r="O353" s="769">
        <f ca="1">IF(O346&lt;0,1,0)</f>
        <v>0</v>
      </c>
      <c r="P353" s="587"/>
    </row>
    <row r="354" spans="1:16" ht="15" hidden="1" customHeight="1" outlineLevel="1">
      <c r="C354" s="204"/>
      <c r="D354" s="187"/>
      <c r="E354" s="150"/>
      <c r="G354" s="150"/>
      <c r="H354" s="150"/>
      <c r="I354" s="192"/>
      <c r="J354" s="191"/>
      <c r="K354" s="770"/>
      <c r="L354" s="770"/>
      <c r="M354" s="770"/>
      <c r="N354" s="770"/>
      <c r="O354" s="770"/>
    </row>
    <row r="355" spans="1:16" ht="15" hidden="1" customHeight="1" outlineLevel="1">
      <c r="C355" s="23" t="s">
        <v>387</v>
      </c>
      <c r="D355" s="187"/>
      <c r="E355" s="150"/>
      <c r="G355" s="150"/>
      <c r="H355" s="150"/>
      <c r="I355" s="192"/>
      <c r="J355" s="191"/>
      <c r="K355" s="771">
        <f ca="1">K330+K335</f>
        <v>0</v>
      </c>
      <c r="L355" s="772">
        <f ca="1">L330+L335</f>
        <v>0</v>
      </c>
      <c r="M355" s="772">
        <f ca="1">M330+M335</f>
        <v>0</v>
      </c>
      <c r="N355" s="772">
        <f ca="1">N330+N335</f>
        <v>3057.5510171675378</v>
      </c>
      <c r="O355" s="773">
        <f ca="1">O330+O335</f>
        <v>7770.4417135810017</v>
      </c>
    </row>
    <row r="356" spans="1:16" ht="15" hidden="1" customHeight="1" outlineLevel="1">
      <c r="B356" s="150"/>
      <c r="C356" s="150"/>
      <c r="D356" s="187"/>
      <c r="E356" s="150"/>
      <c r="G356" s="150"/>
      <c r="H356" s="150"/>
      <c r="I356" s="192"/>
      <c r="J356" s="192"/>
      <c r="K356" s="192"/>
      <c r="L356" s="192"/>
      <c r="M356" s="192"/>
      <c r="N356" s="192"/>
      <c r="O356" s="192"/>
    </row>
    <row r="357" spans="1:16" ht="15" hidden="1" customHeight="1" outlineLevel="1">
      <c r="B357" s="277"/>
      <c r="C357" s="277"/>
      <c r="D357" s="278"/>
      <c r="E357" s="277"/>
      <c r="F357" s="277"/>
      <c r="G357" s="277"/>
      <c r="H357" s="277"/>
      <c r="I357" s="277"/>
      <c r="J357" s="277"/>
      <c r="K357" s="277"/>
      <c r="L357" s="277"/>
      <c r="M357" s="277"/>
      <c r="N357" s="277"/>
      <c r="O357" s="441"/>
    </row>
    <row r="358" spans="1:16" ht="15" customHeight="1" collapsed="1">
      <c r="B358" s="158"/>
      <c r="C358" s="158"/>
      <c r="D358" s="199"/>
      <c r="E358" s="158"/>
      <c r="F358" s="158"/>
      <c r="G358" s="158"/>
      <c r="H358" s="158"/>
      <c r="I358" s="158"/>
      <c r="J358" s="158"/>
      <c r="K358" s="158"/>
      <c r="L358" s="158"/>
      <c r="M358" s="158"/>
      <c r="N358" s="158"/>
      <c r="O358" s="437"/>
    </row>
    <row r="359" spans="1:16" ht="15" customHeight="1">
      <c r="A359" s="427" t="s">
        <v>91</v>
      </c>
      <c r="B359" s="528" t="s">
        <v>339</v>
      </c>
      <c r="C359" s="164"/>
      <c r="D359" s="165"/>
      <c r="E359" s="205"/>
      <c r="F359" s="206"/>
      <c r="G359" s="206"/>
      <c r="H359" s="206"/>
      <c r="I359" s="206"/>
      <c r="J359" s="206"/>
      <c r="K359" s="206"/>
      <c r="L359" s="206"/>
      <c r="M359" s="206"/>
      <c r="N359" s="206"/>
      <c r="O359" s="206"/>
    </row>
    <row r="360" spans="1:16" ht="15" hidden="1" customHeight="1" outlineLevel="1">
      <c r="B360" s="167"/>
      <c r="C360" s="168"/>
      <c r="D360" s="169"/>
      <c r="E360" s="170"/>
      <c r="F360" s="170"/>
      <c r="G360" s="170"/>
      <c r="H360" s="170"/>
      <c r="I360" s="170"/>
      <c r="J360" s="170"/>
      <c r="K360" s="170"/>
      <c r="L360" s="170"/>
      <c r="M360" s="170"/>
      <c r="N360" s="170"/>
      <c r="O360" s="170"/>
    </row>
    <row r="361" spans="1:16" ht="15" hidden="1" customHeight="1" outlineLevel="1" thickBot="1">
      <c r="B361" s="10" t="s">
        <v>19</v>
      </c>
      <c r="C361" s="168"/>
      <c r="D361" s="171"/>
      <c r="E361" s="171"/>
      <c r="F361" s="171"/>
      <c r="G361" s="171"/>
      <c r="H361" s="264"/>
      <c r="I361" s="11"/>
      <c r="J361" s="148" t="s">
        <v>148</v>
      </c>
      <c r="K361" s="75">
        <f>$K$5</f>
        <v>2023</v>
      </c>
      <c r="L361" s="75">
        <f>K361+1</f>
        <v>2024</v>
      </c>
      <c r="M361" s="75">
        <f>L361+1</f>
        <v>2025</v>
      </c>
      <c r="N361" s="75">
        <f>M361+1</f>
        <v>2026</v>
      </c>
      <c r="O361" s="75">
        <f>N361+1</f>
        <v>2027</v>
      </c>
    </row>
    <row r="362" spans="1:16" ht="15" hidden="1" customHeight="1" outlineLevel="1">
      <c r="B362" s="10" t="str">
        <f>$B$6</f>
        <v>Model Running: Base Case Drivers</v>
      </c>
      <c r="C362" s="168"/>
      <c r="D362" s="171"/>
      <c r="E362" s="171"/>
      <c r="F362" s="171"/>
      <c r="G362" s="171"/>
      <c r="H362" s="264"/>
      <c r="I362" s="11"/>
      <c r="J362" s="171"/>
      <c r="K362" s="33"/>
      <c r="L362" s="33"/>
      <c r="M362" s="33"/>
      <c r="N362" s="33"/>
      <c r="O362" s="33"/>
    </row>
    <row r="363" spans="1:16" ht="15" hidden="1" customHeight="1" outlineLevel="1">
      <c r="B363" s="10"/>
      <c r="C363" s="168"/>
      <c r="D363" s="171"/>
      <c r="E363" s="171"/>
      <c r="F363" s="171"/>
      <c r="G363" s="171"/>
      <c r="H363" s="264"/>
      <c r="I363" s="11"/>
      <c r="J363" s="171"/>
      <c r="K363" s="33"/>
      <c r="L363" s="33"/>
      <c r="M363" s="33"/>
      <c r="N363" s="33"/>
      <c r="O363" s="33"/>
    </row>
    <row r="364" spans="1:16" ht="15" hidden="1" customHeight="1" outlineLevel="1">
      <c r="B364" s="23" t="s">
        <v>261</v>
      </c>
      <c r="C364" s="168"/>
      <c r="D364" s="171"/>
      <c r="E364" s="171"/>
      <c r="F364" s="171"/>
      <c r="G364" s="171"/>
      <c r="H364" s="22" t="s">
        <v>260</v>
      </c>
      <c r="I364" s="162"/>
      <c r="J364" s="761"/>
      <c r="K364" s="762">
        <f>+Inputs!H$75</f>
        <v>55</v>
      </c>
      <c r="L364" s="763">
        <f>+Inputs!I$75</f>
        <v>75</v>
      </c>
      <c r="M364" s="763">
        <f>+Inputs!J$75</f>
        <v>95</v>
      </c>
      <c r="N364" s="763">
        <f>+Inputs!K$75</f>
        <v>115</v>
      </c>
      <c r="O364" s="764">
        <f>+Inputs!L$75</f>
        <v>135</v>
      </c>
    </row>
    <row r="365" spans="1:16" ht="15" hidden="1" customHeight="1" outlineLevel="1">
      <c r="B365" s="150"/>
      <c r="D365" s="187"/>
      <c r="E365" s="150"/>
      <c r="G365" s="150"/>
      <c r="I365" s="192"/>
      <c r="J365" s="191"/>
      <c r="K365" s="191"/>
      <c r="L365" s="774"/>
      <c r="M365" s="191"/>
      <c r="N365" s="191"/>
      <c r="O365" s="191"/>
    </row>
    <row r="366" spans="1:16" ht="15" hidden="1" customHeight="1" outlineLevel="1">
      <c r="B366" s="150"/>
      <c r="C366" s="150"/>
      <c r="D366" s="187"/>
      <c r="E366" s="150"/>
      <c r="G366" s="150"/>
      <c r="I366" s="192"/>
      <c r="J366" s="191"/>
      <c r="K366"/>
      <c r="L366"/>
      <c r="M366"/>
      <c r="N366"/>
      <c r="O366"/>
    </row>
    <row r="367" spans="1:16" ht="15" hidden="1" customHeight="1" outlineLevel="1">
      <c r="B367" s="208" t="s">
        <v>324</v>
      </c>
      <c r="C367" s="158"/>
      <c r="I367" s="191"/>
      <c r="J367" s="191"/>
      <c r="K367" s="191"/>
      <c r="L367" s="173"/>
      <c r="M367" s="173"/>
      <c r="N367" s="173"/>
      <c r="O367" s="173"/>
    </row>
    <row r="368" spans="1:16" ht="15" hidden="1" customHeight="1" outlineLevel="1">
      <c r="C368" s="23" t="s">
        <v>142</v>
      </c>
      <c r="E368" s="209"/>
      <c r="G368" s="209"/>
      <c r="I368" s="257"/>
      <c r="J368" s="257"/>
      <c r="K368" s="775">
        <f>Transaction!F68</f>
        <v>0.2</v>
      </c>
      <c r="L368" s="776">
        <f>Transaction!G68</f>
        <v>0.2</v>
      </c>
      <c r="M368" s="776">
        <f>Transaction!H68</f>
        <v>0.2</v>
      </c>
      <c r="N368" s="776">
        <f>Transaction!I68</f>
        <v>0.2</v>
      </c>
      <c r="O368" s="777">
        <f>Transaction!J68</f>
        <v>0.2</v>
      </c>
    </row>
    <row r="369" spans="2:15" ht="15" hidden="1" customHeight="1" outlineLevel="1">
      <c r="C369" s="23" t="s">
        <v>387</v>
      </c>
      <c r="D369" s="187"/>
      <c r="E369" s="150"/>
      <c r="G369" s="150"/>
      <c r="H369" s="150"/>
      <c r="I369" s="192"/>
      <c r="J369" s="191"/>
      <c r="K369" s="778">
        <f ca="1">K355</f>
        <v>0</v>
      </c>
      <c r="L369" s="191">
        <f ca="1">L355</f>
        <v>0</v>
      </c>
      <c r="M369" s="191">
        <f ca="1">M355</f>
        <v>0</v>
      </c>
      <c r="N369" s="191">
        <f ca="1">N355</f>
        <v>3057.5510171675378</v>
      </c>
      <c r="O369" s="779">
        <f ca="1">O355</f>
        <v>7770.4417135810017</v>
      </c>
    </row>
    <row r="370" spans="2:15" ht="15" hidden="1" customHeight="1" outlineLevel="1">
      <c r="C370" s="23" t="s">
        <v>185</v>
      </c>
      <c r="D370" s="187"/>
      <c r="E370" s="150"/>
      <c r="G370" s="150"/>
      <c r="H370" s="150"/>
      <c r="I370" s="192"/>
      <c r="J370" s="191"/>
      <c r="K370" s="780">
        <f ca="1">IF(K369&gt;0,1,0)</f>
        <v>0</v>
      </c>
      <c r="L370" s="781">
        <f ca="1">IF(L369&gt;0,1,0)</f>
        <v>0</v>
      </c>
      <c r="M370" s="781">
        <f ca="1">IF(M369&gt;0,1,0)</f>
        <v>0</v>
      </c>
      <c r="N370" s="781">
        <f ca="1">IF(N369&gt;0,1,0)</f>
        <v>1</v>
      </c>
      <c r="O370" s="782">
        <f ca="1">IF(O369&gt;0,1,0)</f>
        <v>1</v>
      </c>
    </row>
    <row r="371" spans="2:15" ht="15" hidden="1" customHeight="1" outlineLevel="1">
      <c r="C371" s="23"/>
      <c r="G371" s="158"/>
      <c r="I371" s="257"/>
      <c r="J371" s="257"/>
      <c r="K371" s="318"/>
      <c r="L371" s="318"/>
      <c r="M371" s="318"/>
      <c r="N371" s="318"/>
      <c r="O371" s="318"/>
    </row>
    <row r="372" spans="2:15" ht="15" hidden="1" customHeight="1" outlineLevel="1">
      <c r="C372" s="23" t="s">
        <v>7</v>
      </c>
      <c r="E372" s="150"/>
      <c r="G372" s="150"/>
      <c r="H372" s="623"/>
      <c r="I372" s="192"/>
      <c r="J372" s="191"/>
      <c r="K372" s="191">
        <f>J375</f>
        <v>45948.797500000001</v>
      </c>
      <c r="L372" s="173">
        <f ca="1">K375</f>
        <v>36759.038</v>
      </c>
      <c r="M372" s="173">
        <f ca="1">L375</f>
        <v>27569.2785</v>
      </c>
      <c r="N372" s="173">
        <f ca="1">M375</f>
        <v>18379.519</v>
      </c>
      <c r="O372" s="173">
        <f ca="1">N375</f>
        <v>6132.2084828324623</v>
      </c>
    </row>
    <row r="373" spans="2:15" ht="15" hidden="1" customHeight="1" outlineLevel="1">
      <c r="C373" s="23" t="s">
        <v>143</v>
      </c>
      <c r="E373" s="150"/>
      <c r="G373" s="150"/>
      <c r="H373" s="623" t="s">
        <v>279</v>
      </c>
      <c r="I373" s="192"/>
      <c r="J373" s="191"/>
      <c r="K373" s="191">
        <f>-MIN($J$375*K368,K372)</f>
        <v>-9189.7595000000001</v>
      </c>
      <c r="L373" s="173">
        <f ca="1">-MIN($J$375*L368,L372)</f>
        <v>-9189.7595000000001</v>
      </c>
      <c r="M373" s="173">
        <f ca="1">-MIN($J$375*M368,M372)</f>
        <v>-9189.7595000000001</v>
      </c>
      <c r="N373" s="173">
        <f ca="1">-MIN($J$375*N368,N372)</f>
        <v>-9189.7595000000001</v>
      </c>
      <c r="O373" s="173">
        <f ca="1">-MIN($J$375*O368,O372)</f>
        <v>-6132.2084828324623</v>
      </c>
    </row>
    <row r="374" spans="2:15" ht="15" hidden="1" customHeight="1" outlineLevel="1">
      <c r="C374" s="23" t="s">
        <v>144</v>
      </c>
      <c r="E374" s="150"/>
      <c r="G374" s="150"/>
      <c r="H374" s="683">
        <f>Transaction!$E$68</f>
        <v>1</v>
      </c>
      <c r="I374" s="192"/>
      <c r="J374" s="267"/>
      <c r="K374" s="191">
        <f ca="1">-MIN(K$369*$H374,K372+K373)*K$370</f>
        <v>0</v>
      </c>
      <c r="L374" s="191">
        <f ca="1">-MIN(L$369*$H374,L372+L373)*L$370</f>
        <v>0</v>
      </c>
      <c r="M374" s="191">
        <f ca="1">-MIN(M$369*$H374,M372+M373)*M$370</f>
        <v>0</v>
      </c>
      <c r="N374" s="191">
        <f ca="1">-MIN(N$369*$H374,N372+N373)*N$370</f>
        <v>-3057.5510171675378</v>
      </c>
      <c r="O374" s="191">
        <f ca="1">-MIN(O$369*$H374,O372+O373)*O$370</f>
        <v>0</v>
      </c>
    </row>
    <row r="375" spans="2:15" ht="15" hidden="1" customHeight="1" outlineLevel="1">
      <c r="C375" s="13" t="s">
        <v>8</v>
      </c>
      <c r="D375" s="187"/>
      <c r="E375" s="150"/>
      <c r="G375" s="150"/>
      <c r="H375" s="158"/>
      <c r="I375" s="192"/>
      <c r="J375" s="759">
        <f>+Transaction!C57</f>
        <v>45948.797500000001</v>
      </c>
      <c r="K375" s="730">
        <f ca="1">SUM(K372:K374)</f>
        <v>36759.038</v>
      </c>
      <c r="L375" s="730">
        <f ca="1">SUM(L372:L374)</f>
        <v>27569.2785</v>
      </c>
      <c r="M375" s="730">
        <f ca="1">SUM(M372:M374)</f>
        <v>18379.519</v>
      </c>
      <c r="N375" s="730">
        <f ca="1">SUM(N372:N374)</f>
        <v>6132.2084828324623</v>
      </c>
      <c r="O375" s="730">
        <f ca="1">SUM(O372:O374)</f>
        <v>0</v>
      </c>
    </row>
    <row r="376" spans="2:15" ht="15" hidden="1" customHeight="1" outlineLevel="1">
      <c r="B376" s="204"/>
      <c r="C376" s="150"/>
      <c r="D376" s="187"/>
      <c r="E376" s="150"/>
      <c r="G376" s="150"/>
      <c r="H376" s="158"/>
      <c r="I376" s="192"/>
      <c r="J376" s="191"/>
      <c r="K376" s="191"/>
      <c r="L376" s="173"/>
      <c r="M376" s="173"/>
      <c r="N376" s="173"/>
      <c r="O376" s="173"/>
    </row>
    <row r="377" spans="2:15" ht="15" hidden="1" customHeight="1" outlineLevel="1">
      <c r="B377" s="204"/>
      <c r="C377" s="23" t="s">
        <v>266</v>
      </c>
      <c r="D377" s="187"/>
      <c r="E377" s="150"/>
      <c r="G377" s="150"/>
      <c r="H377" s="158"/>
      <c r="I377" s="192"/>
      <c r="J377" s="191"/>
      <c r="K377" s="783">
        <f>Transaction!$I$57/10000</f>
        <v>0.05</v>
      </c>
      <c r="L377" s="783">
        <f>K377</f>
        <v>0.05</v>
      </c>
      <c r="M377" s="783">
        <f>L377</f>
        <v>0.05</v>
      </c>
      <c r="N377" s="783">
        <f>M377</f>
        <v>0.05</v>
      </c>
      <c r="O377" s="783">
        <f>N377</f>
        <v>0.05</v>
      </c>
    </row>
    <row r="378" spans="2:15" ht="15" hidden="1" customHeight="1" outlineLevel="1">
      <c r="B378" s="204"/>
      <c r="C378" s="23" t="s">
        <v>259</v>
      </c>
      <c r="D378" s="187"/>
      <c r="E378" s="150"/>
      <c r="F378" s="150"/>
      <c r="G378" s="150"/>
      <c r="H378" s="623" t="s">
        <v>224</v>
      </c>
      <c r="I378" s="192"/>
      <c r="J378" s="774"/>
      <c r="K378" s="767">
        <f>+K377+K364/10000</f>
        <v>5.5500000000000001E-2</v>
      </c>
      <c r="L378" s="767">
        <f>+L377+L364/10000</f>
        <v>5.7500000000000002E-2</v>
      </c>
      <c r="M378" s="767">
        <f>+M377+M364/10000</f>
        <v>5.9500000000000004E-2</v>
      </c>
      <c r="N378" s="767">
        <f>+N377+N364/10000</f>
        <v>6.1499999999999999E-2</v>
      </c>
      <c r="O378" s="767">
        <f>+O377+O364/10000</f>
        <v>6.3500000000000001E-2</v>
      </c>
    </row>
    <row r="379" spans="2:15" ht="15" hidden="1" customHeight="1" outlineLevel="1">
      <c r="C379" s="23" t="s">
        <v>149</v>
      </c>
      <c r="D379" s="187"/>
      <c r="E379" s="150"/>
      <c r="G379" s="150"/>
      <c r="H379" s="681">
        <f>Cover!$E$23</f>
        <v>1</v>
      </c>
      <c r="I379" s="192"/>
      <c r="J379" s="191"/>
      <c r="K379" s="191">
        <f ca="1">IF($H$379=1,AVERAGE(K375,K372)*K378,K372*K378)</f>
        <v>2295.1424351250002</v>
      </c>
      <c r="L379" s="191">
        <f ca="1">IF($H$379=1,AVERAGE(L375,L372)*L378,L372*L378)</f>
        <v>1849.4390993750001</v>
      </c>
      <c r="M379" s="191">
        <f ca="1">IF($H$379=1,AVERAGE(M375,M372)*M378,M372*M378)</f>
        <v>1366.9767256250002</v>
      </c>
      <c r="N379" s="191">
        <f ca="1">IF($H$379=1,AVERAGE(N375,N372)*N378,N372*N378)</f>
        <v>753.73562009709826</v>
      </c>
      <c r="O379" s="191">
        <f ca="1">IF($H$379=1,AVERAGE(O375,O372)*O378,O372*O378)</f>
        <v>194.69761932993069</v>
      </c>
    </row>
    <row r="380" spans="2:15" ht="15" hidden="1" customHeight="1" outlineLevel="1">
      <c r="B380" s="189"/>
      <c r="C380" s="150"/>
      <c r="D380" s="187"/>
      <c r="E380" s="150"/>
      <c r="G380" s="150"/>
      <c r="H380" s="158"/>
      <c r="I380" s="192"/>
      <c r="J380" s="191"/>
      <c r="K380" s="191"/>
      <c r="L380" s="173"/>
      <c r="M380" s="173"/>
      <c r="N380" s="173"/>
      <c r="O380" s="173"/>
    </row>
    <row r="381" spans="2:15" ht="15" hidden="1" customHeight="1" outlineLevel="1">
      <c r="B381" s="189"/>
      <c r="C381" s="150"/>
      <c r="D381" s="187"/>
      <c r="E381" s="150"/>
      <c r="G381" s="150"/>
      <c r="H381" s="158"/>
      <c r="I381" s="192"/>
      <c r="J381" s="191"/>
      <c r="K381" s="191"/>
      <c r="L381" s="191"/>
      <c r="M381" s="191"/>
      <c r="N381" s="191"/>
      <c r="O381" s="191"/>
    </row>
    <row r="382" spans="2:15" ht="15" hidden="1" customHeight="1" outlineLevel="1">
      <c r="B382" s="189"/>
      <c r="C382" s="150"/>
      <c r="D382" s="187"/>
      <c r="E382" s="150"/>
      <c r="G382" s="150"/>
      <c r="H382" s="158"/>
      <c r="I382" s="192"/>
      <c r="J382" s="191"/>
      <c r="K382" s="191"/>
      <c r="L382" s="191"/>
      <c r="M382" s="191"/>
      <c r="N382" s="191"/>
      <c r="O382" s="191"/>
    </row>
    <row r="383" spans="2:15" ht="15" hidden="1" customHeight="1" outlineLevel="1">
      <c r="B383" s="208" t="s">
        <v>325</v>
      </c>
      <c r="C383" s="158"/>
      <c r="E383" s="158"/>
      <c r="G383" s="158"/>
      <c r="H383" s="158"/>
      <c r="I383" s="191"/>
      <c r="J383" s="191"/>
      <c r="K383" s="191"/>
      <c r="L383" s="173"/>
      <c r="M383" s="173"/>
      <c r="N383" s="173"/>
      <c r="O383" s="173"/>
    </row>
    <row r="384" spans="2:15" ht="15" hidden="1" customHeight="1" outlineLevel="1">
      <c r="C384" s="23" t="s">
        <v>142</v>
      </c>
      <c r="E384" s="209"/>
      <c r="G384" s="209"/>
      <c r="H384" s="210"/>
      <c r="I384" s="257"/>
      <c r="J384" s="257"/>
      <c r="K384" s="784">
        <f>Transaction!F69</f>
        <v>0.01</v>
      </c>
      <c r="L384" s="785">
        <f>Transaction!G69</f>
        <v>0.01</v>
      </c>
      <c r="M384" s="785">
        <f>Transaction!H69</f>
        <v>0.01</v>
      </c>
      <c r="N384" s="785">
        <f>Transaction!I69</f>
        <v>0.01</v>
      </c>
      <c r="O384" s="786">
        <f>Transaction!J69</f>
        <v>0.01</v>
      </c>
    </row>
    <row r="385" spans="1:15" ht="15" hidden="1" customHeight="1" outlineLevel="1">
      <c r="C385" s="23" t="s">
        <v>334</v>
      </c>
      <c r="D385" s="199"/>
      <c r="E385" s="158"/>
      <c r="G385" s="150"/>
      <c r="H385" s="158"/>
      <c r="I385" s="192"/>
      <c r="J385" s="191"/>
      <c r="K385" s="778">
        <f ca="1">K369+K374</f>
        <v>0</v>
      </c>
      <c r="L385" s="191">
        <f ca="1">L369+L374</f>
        <v>0</v>
      </c>
      <c r="M385" s="191">
        <f ca="1">M369+M374</f>
        <v>0</v>
      </c>
      <c r="N385" s="191">
        <f ca="1">N369+N374</f>
        <v>0</v>
      </c>
      <c r="O385" s="779">
        <f ca="1">O369+O374</f>
        <v>7770.4417135810017</v>
      </c>
    </row>
    <row r="386" spans="1:15" ht="15" hidden="1" customHeight="1" outlineLevel="1">
      <c r="C386" s="23" t="s">
        <v>185</v>
      </c>
      <c r="D386" s="199"/>
      <c r="E386" s="158"/>
      <c r="G386" s="150"/>
      <c r="H386" s="158"/>
      <c r="I386" s="192"/>
      <c r="J386" s="191"/>
      <c r="K386" s="780">
        <f ca="1">IF(K385&gt;0,1,0)</f>
        <v>0</v>
      </c>
      <c r="L386" s="781">
        <f ca="1">IF(L385&gt;0,1,0)</f>
        <v>0</v>
      </c>
      <c r="M386" s="781">
        <f ca="1">IF(M385&gt;0,1,0)</f>
        <v>0</v>
      </c>
      <c r="N386" s="781">
        <f ca="1">IF(N385&gt;0,1,0)</f>
        <v>0</v>
      </c>
      <c r="O386" s="782">
        <f ca="1">IF(O385&gt;0,1,0)</f>
        <v>1</v>
      </c>
    </row>
    <row r="387" spans="1:15" ht="15" hidden="1" customHeight="1" outlineLevel="1">
      <c r="C387" s="23"/>
      <c r="E387" s="209"/>
      <c r="G387" s="209"/>
      <c r="H387" s="210"/>
      <c r="I387" s="257"/>
      <c r="J387" s="257"/>
      <c r="K387" s="257"/>
      <c r="L387" s="257"/>
      <c r="M387" s="257"/>
      <c r="N387" s="257"/>
      <c r="O387" s="257"/>
    </row>
    <row r="388" spans="1:15" ht="15" hidden="1" customHeight="1" outlineLevel="1">
      <c r="C388" s="23" t="s">
        <v>7</v>
      </c>
      <c r="E388" s="150"/>
      <c r="G388" s="150"/>
      <c r="H388" s="623"/>
      <c r="I388" s="192"/>
      <c r="J388" s="191"/>
      <c r="K388" s="191">
        <f>J391</f>
        <v>36759.038</v>
      </c>
      <c r="L388" s="173">
        <f ca="1">K391</f>
        <v>36391.447619999999</v>
      </c>
      <c r="M388" s="173">
        <f ca="1">L391</f>
        <v>36023.857239999998</v>
      </c>
      <c r="N388" s="173">
        <f ca="1">M391</f>
        <v>35656.266859999996</v>
      </c>
      <c r="O388" s="173">
        <f ca="1">N391</f>
        <v>35288.676479999995</v>
      </c>
    </row>
    <row r="389" spans="1:15" ht="15" hidden="1" customHeight="1" outlineLevel="1">
      <c r="C389" s="23" t="s">
        <v>143</v>
      </c>
      <c r="E389" s="150"/>
      <c r="G389" s="150"/>
      <c r="H389" s="623" t="s">
        <v>279</v>
      </c>
      <c r="I389" s="192"/>
      <c r="J389" s="191"/>
      <c r="K389" s="191">
        <f>-MIN($J$391*K384,K388)</f>
        <v>-367.59038000000004</v>
      </c>
      <c r="L389" s="173">
        <f ca="1">-MIN($J$391*L384,L388)</f>
        <v>-367.59038000000004</v>
      </c>
      <c r="M389" s="173">
        <f ca="1">-MIN($J$391*M384,M388)</f>
        <v>-367.59038000000004</v>
      </c>
      <c r="N389" s="173">
        <f ca="1">-MIN($J$391*N384,N388)</f>
        <v>-367.59038000000004</v>
      </c>
      <c r="O389" s="173">
        <f ca="1">-MIN($J$391*O384,O388)</f>
        <v>-367.59038000000004</v>
      </c>
    </row>
    <row r="390" spans="1:15" ht="15" hidden="1" customHeight="1" outlineLevel="1">
      <c r="C390" s="23" t="s">
        <v>144</v>
      </c>
      <c r="E390" s="150"/>
      <c r="G390" s="150"/>
      <c r="H390" s="683">
        <f>Transaction!$E$69</f>
        <v>1</v>
      </c>
      <c r="I390" s="192"/>
      <c r="J390" s="267"/>
      <c r="K390" s="191">
        <f ca="1">-MIN(K$385*$H390,K388+K389)*K$386</f>
        <v>0</v>
      </c>
      <c r="L390" s="191">
        <f ca="1">-MIN(L$385*$H390,L388+L389)*L$386</f>
        <v>0</v>
      </c>
      <c r="M390" s="191">
        <f ca="1">-MIN(M$385*$H390,M388+M389)*M$386</f>
        <v>0</v>
      </c>
      <c r="N390" s="191">
        <f ca="1">-MIN(N$385*$H390,N388+N389)*N$386</f>
        <v>0</v>
      </c>
      <c r="O390" s="191">
        <f ca="1">-MIN(O$385*$H390,O388+O389)*O$386</f>
        <v>-7770.4417135810017</v>
      </c>
    </row>
    <row r="391" spans="1:15" ht="15" hidden="1" customHeight="1" outlineLevel="1">
      <c r="C391" s="13" t="s">
        <v>8</v>
      </c>
      <c r="D391" s="13"/>
      <c r="E391" s="150"/>
      <c r="G391" s="150"/>
      <c r="H391" s="158"/>
      <c r="I391" s="192"/>
      <c r="J391" s="759">
        <f>+Transaction!C58</f>
        <v>36759.038</v>
      </c>
      <c r="K391" s="730">
        <f ca="1">SUM(K388:K390)</f>
        <v>36391.447619999999</v>
      </c>
      <c r="L391" s="730">
        <f ca="1">SUM(L388:L390)</f>
        <v>36023.857239999998</v>
      </c>
      <c r="M391" s="730">
        <f ca="1">SUM(M388:M390)</f>
        <v>35656.266859999996</v>
      </c>
      <c r="N391" s="730">
        <f ca="1">SUM(N388:N390)</f>
        <v>35288.676479999995</v>
      </c>
      <c r="O391" s="730">
        <f ca="1">SUM(O388:O390)</f>
        <v>27150.644386418993</v>
      </c>
    </row>
    <row r="392" spans="1:15" ht="15" hidden="1" customHeight="1" outlineLevel="1">
      <c r="C392" s="204"/>
      <c r="D392" s="187"/>
      <c r="E392" s="150"/>
      <c r="G392" s="150"/>
      <c r="H392" s="158"/>
      <c r="I392" s="192"/>
      <c r="J392" s="191"/>
      <c r="K392" s="191"/>
      <c r="L392" s="173"/>
      <c r="M392" s="173"/>
      <c r="N392" s="173"/>
      <c r="O392" s="173"/>
    </row>
    <row r="393" spans="1:15" ht="15" hidden="1" customHeight="1" outlineLevel="1">
      <c r="C393" s="23" t="s">
        <v>266</v>
      </c>
      <c r="D393" s="187"/>
      <c r="E393" s="150"/>
      <c r="G393" s="150"/>
      <c r="H393" s="158"/>
      <c r="I393" s="192"/>
      <c r="J393" s="191"/>
      <c r="K393" s="783">
        <f>Transaction!$I$58/10000</f>
        <v>7.0000000000000007E-2</v>
      </c>
      <c r="L393" s="783">
        <f>K393</f>
        <v>7.0000000000000007E-2</v>
      </c>
      <c r="M393" s="783">
        <f>L393</f>
        <v>7.0000000000000007E-2</v>
      </c>
      <c r="N393" s="783">
        <f>M393</f>
        <v>7.0000000000000007E-2</v>
      </c>
      <c r="O393" s="783">
        <f>N393</f>
        <v>7.0000000000000007E-2</v>
      </c>
    </row>
    <row r="394" spans="1:15" ht="15" hidden="1" customHeight="1" outlineLevel="1">
      <c r="C394" s="23" t="s">
        <v>259</v>
      </c>
      <c r="D394" s="187"/>
      <c r="E394" s="150"/>
      <c r="G394" s="150"/>
      <c r="H394" s="623" t="s">
        <v>224</v>
      </c>
      <c r="I394" s="192"/>
      <c r="J394" s="191"/>
      <c r="K394" s="767">
        <f>+K393+K364/10000</f>
        <v>7.5500000000000012E-2</v>
      </c>
      <c r="L394" s="767">
        <f>+L393+L364/10000</f>
        <v>7.7500000000000013E-2</v>
      </c>
      <c r="M394" s="767">
        <f>+M393+M364/10000</f>
        <v>7.9500000000000001E-2</v>
      </c>
      <c r="N394" s="767">
        <f>+N393+N364/10000</f>
        <v>8.1500000000000003E-2</v>
      </c>
      <c r="O394" s="767">
        <f>+O393+O364/10000</f>
        <v>8.3500000000000005E-2</v>
      </c>
    </row>
    <row r="395" spans="1:15" ht="15" hidden="1" customHeight="1" outlineLevel="1">
      <c r="C395" s="23" t="s">
        <v>149</v>
      </c>
      <c r="D395" s="23"/>
      <c r="E395" s="150"/>
      <c r="G395" s="150"/>
      <c r="H395" s="681">
        <f>Cover!$E$23</f>
        <v>1</v>
      </c>
      <c r="I395" s="192"/>
      <c r="J395" s="191"/>
      <c r="K395" s="191">
        <f ca="1">IF($H395=1,AVERAGE(K391,K388)*K394,K388*K394)</f>
        <v>2761.4308321550002</v>
      </c>
      <c r="L395" s="191">
        <f ca="1">IF($H395=1,AVERAGE(L391,L388)*L394,L388*L394)</f>
        <v>2806.0930633250005</v>
      </c>
      <c r="M395" s="191">
        <f ca="1">IF($H395=1,AVERAGE(M391,M388)*M394,M388*M394)</f>
        <v>2849.2849329749997</v>
      </c>
      <c r="N395" s="191">
        <f ca="1">IF($H395=1,AVERAGE(N391,N388)*N394,N388*N394)</f>
        <v>2891.0064411050002</v>
      </c>
      <c r="O395" s="191">
        <f ca="1">IF($H395=1,AVERAGE(O391,O388)*O394,O388*O394)</f>
        <v>2606.841646172993</v>
      </c>
    </row>
    <row r="396" spans="1:15" ht="15" hidden="1" customHeight="1" outlineLevel="1">
      <c r="B396" s="204"/>
      <c r="C396" s="150"/>
      <c r="D396" s="187"/>
      <c r="E396" s="150"/>
      <c r="F396" s="150"/>
      <c r="G396" s="150"/>
      <c r="H396" s="194"/>
      <c r="I396" s="194"/>
      <c r="J396" s="192"/>
      <c r="K396" s="194"/>
      <c r="L396" s="194"/>
      <c r="M396" s="194"/>
      <c r="N396" s="194"/>
      <c r="O396" s="194"/>
    </row>
    <row r="397" spans="1:15" ht="15" hidden="1" customHeight="1" outlineLevel="1">
      <c r="B397" s="202"/>
      <c r="C397" s="202"/>
      <c r="D397" s="202"/>
      <c r="E397" s="202"/>
      <c r="F397" s="202"/>
      <c r="G397" s="202"/>
      <c r="H397" s="202"/>
      <c r="I397" s="202"/>
      <c r="J397" s="202"/>
      <c r="K397" s="202"/>
      <c r="L397" s="202"/>
      <c r="M397" s="202"/>
      <c r="N397" s="202"/>
      <c r="O397" s="202"/>
    </row>
    <row r="398" spans="1:15" ht="15" customHeight="1" collapsed="1">
      <c r="B398" s="158"/>
      <c r="C398" s="158"/>
      <c r="E398" s="158"/>
      <c r="F398" s="199"/>
      <c r="G398" s="158"/>
      <c r="H398" s="191"/>
      <c r="I398" s="191"/>
      <c r="J398" s="191"/>
      <c r="K398" s="191"/>
      <c r="L398" s="173"/>
      <c r="M398" s="173"/>
      <c r="N398" s="173"/>
      <c r="O398" s="173"/>
    </row>
    <row r="399" spans="1:15" ht="15" customHeight="1">
      <c r="A399" s="427" t="s">
        <v>91</v>
      </c>
      <c r="B399" s="528" t="s">
        <v>340</v>
      </c>
      <c r="C399" s="164"/>
      <c r="D399" s="165"/>
      <c r="E399" s="205"/>
      <c r="F399" s="206"/>
      <c r="G399" s="206"/>
      <c r="H399" s="206"/>
      <c r="I399" s="206"/>
      <c r="J399" s="206"/>
      <c r="K399" s="206"/>
      <c r="L399" s="206"/>
      <c r="M399" s="206"/>
      <c r="N399" s="206"/>
      <c r="O399" s="206"/>
    </row>
    <row r="400" spans="1:15" ht="15" hidden="1" customHeight="1" outlineLevel="1">
      <c r="B400" s="167"/>
      <c r="C400" s="168"/>
      <c r="D400" s="169"/>
      <c r="E400" s="170"/>
      <c r="F400" s="170"/>
      <c r="G400" s="170"/>
      <c r="H400" s="170"/>
      <c r="I400" s="170"/>
      <c r="J400" s="170"/>
      <c r="K400" s="170"/>
      <c r="L400" s="170"/>
      <c r="M400" s="170"/>
      <c r="N400" s="170"/>
      <c r="O400" s="170"/>
    </row>
    <row r="401" spans="2:15" ht="15" hidden="1" customHeight="1" outlineLevel="1" thickBot="1">
      <c r="B401" s="10" t="s">
        <v>19</v>
      </c>
      <c r="C401" s="168"/>
      <c r="D401" s="171"/>
      <c r="E401" s="171"/>
      <c r="F401" s="171"/>
      <c r="G401" s="171"/>
      <c r="H401" s="264"/>
      <c r="I401" s="11"/>
      <c r="J401" s="148" t="s">
        <v>148</v>
      </c>
      <c r="K401" s="75">
        <f>$K$5</f>
        <v>2023</v>
      </c>
      <c r="L401" s="75">
        <f>K401+1</f>
        <v>2024</v>
      </c>
      <c r="M401" s="75">
        <f>L401+1</f>
        <v>2025</v>
      </c>
      <c r="N401" s="75">
        <f>M401+1</f>
        <v>2026</v>
      </c>
      <c r="O401" s="75">
        <f>N401+1</f>
        <v>2027</v>
      </c>
    </row>
    <row r="402" spans="2:15" ht="15" hidden="1" customHeight="1" outlineLevel="1">
      <c r="B402" s="10" t="str">
        <f>$B$6</f>
        <v>Model Running: Base Case Drivers</v>
      </c>
      <c r="C402" s="168"/>
      <c r="D402" s="171"/>
      <c r="E402" s="171"/>
      <c r="F402" s="171"/>
      <c r="G402" s="171"/>
      <c r="H402" s="264"/>
      <c r="I402" s="11"/>
      <c r="J402" s="171"/>
      <c r="K402" s="33"/>
      <c r="L402" s="33"/>
      <c r="M402" s="33"/>
      <c r="N402" s="33"/>
      <c r="O402" s="33"/>
    </row>
    <row r="403" spans="2:15" ht="15" hidden="1" customHeight="1" outlineLevel="1">
      <c r="B403" s="10"/>
      <c r="C403" s="168"/>
      <c r="D403" s="171"/>
      <c r="E403" s="171"/>
      <c r="F403" s="171"/>
      <c r="G403" s="171"/>
      <c r="H403" s="264"/>
      <c r="I403" s="11"/>
      <c r="J403" s="171"/>
      <c r="K403" s="33"/>
      <c r="L403" s="33"/>
      <c r="M403" s="33"/>
      <c r="N403" s="33"/>
      <c r="O403" s="33"/>
    </row>
    <row r="404" spans="2:15" ht="15" hidden="1" customHeight="1" outlineLevel="1">
      <c r="B404" s="208" t="s">
        <v>335</v>
      </c>
      <c r="C404" s="158"/>
      <c r="E404" s="158"/>
      <c r="G404" s="158"/>
      <c r="H404" s="171"/>
      <c r="I404" s="191"/>
      <c r="J404" s="191"/>
      <c r="K404" s="191"/>
      <c r="L404" s="173"/>
      <c r="M404" s="173"/>
      <c r="N404" s="173"/>
      <c r="O404" s="173"/>
    </row>
    <row r="405" spans="2:15" ht="15" hidden="1" customHeight="1" outlineLevel="1">
      <c r="C405" s="23" t="s">
        <v>142</v>
      </c>
      <c r="E405" s="209"/>
      <c r="G405" s="209"/>
      <c r="H405" s="210"/>
      <c r="I405" s="257"/>
      <c r="J405" s="257"/>
      <c r="K405" s="787">
        <f>Transaction!F70</f>
        <v>0</v>
      </c>
      <c r="L405" s="788">
        <f>Transaction!G70</f>
        <v>0</v>
      </c>
      <c r="M405" s="788">
        <f>Transaction!H70</f>
        <v>0</v>
      </c>
      <c r="N405" s="788">
        <f>Transaction!I70</f>
        <v>0</v>
      </c>
      <c r="O405" s="789">
        <f>Transaction!J70</f>
        <v>0</v>
      </c>
    </row>
    <row r="406" spans="2:15" ht="15" hidden="1" customHeight="1" outlineLevel="1">
      <c r="C406" s="23"/>
      <c r="E406" s="209"/>
      <c r="G406" s="209"/>
      <c r="H406" s="210"/>
      <c r="I406" s="257"/>
      <c r="J406" s="257"/>
      <c r="K406" s="257"/>
      <c r="L406" s="257"/>
      <c r="M406" s="257"/>
      <c r="N406" s="257"/>
      <c r="O406" s="257"/>
    </row>
    <row r="407" spans="2:15" ht="15" hidden="1" customHeight="1" outlineLevel="1">
      <c r="C407" s="23" t="s">
        <v>7</v>
      </c>
      <c r="E407" s="158"/>
      <c r="G407" s="158"/>
      <c r="H407" s="199"/>
      <c r="I407" s="191"/>
      <c r="J407" s="191"/>
      <c r="K407" s="191">
        <f>J410</f>
        <v>27569.2785</v>
      </c>
      <c r="L407" s="173">
        <f ca="1">K410</f>
        <v>29628.394736514521</v>
      </c>
      <c r="M407" s="173">
        <f ca="1">L410</f>
        <v>31841.303886959588</v>
      </c>
      <c r="N407" s="173">
        <f ca="1">M410</f>
        <v>34219.492559014659</v>
      </c>
      <c r="O407" s="173">
        <f ca="1">N410</f>
        <v>36775.305281264715</v>
      </c>
    </row>
    <row r="408" spans="2:15" ht="15" hidden="1" customHeight="1" outlineLevel="1">
      <c r="C408" s="23" t="s">
        <v>143</v>
      </c>
      <c r="E408" s="158"/>
      <c r="G408" s="158"/>
      <c r="H408" s="199"/>
      <c r="I408" s="191"/>
      <c r="J408" s="191"/>
      <c r="K408" s="191">
        <f>-MIN($J$410*K405,K407)</f>
        <v>0</v>
      </c>
      <c r="L408" s="191">
        <f ca="1">-MIN($J$410*L405,L407)</f>
        <v>0</v>
      </c>
      <c r="M408" s="191">
        <f ca="1">-MIN($J$410*M405,M407)</f>
        <v>0</v>
      </c>
      <c r="N408" s="191">
        <f ca="1">-MIN($J$410*N405,N407)</f>
        <v>0</v>
      </c>
      <c r="O408" s="191">
        <f ca="1">-MIN($J$410*O405,O407)</f>
        <v>0</v>
      </c>
    </row>
    <row r="409" spans="2:15" ht="15" hidden="1" customHeight="1" outlineLevel="1">
      <c r="C409" s="23" t="s">
        <v>248</v>
      </c>
      <c r="E409" s="158"/>
      <c r="G409" s="158"/>
      <c r="H409" s="199"/>
      <c r="I409" s="191"/>
      <c r="J409" s="267"/>
      <c r="K409" s="267">
        <f ca="1">+K420</f>
        <v>2059.1162365145228</v>
      </c>
      <c r="L409" s="267">
        <f ca="1">+L420</f>
        <v>2212.9091504450676</v>
      </c>
      <c r="M409" s="267">
        <f ca="1">+M420</f>
        <v>2378.1886720550729</v>
      </c>
      <c r="N409" s="267">
        <f ca="1">+N420</f>
        <v>2555.8127222500575</v>
      </c>
      <c r="O409" s="267">
        <f ca="1">+O420</f>
        <v>2746.7032990156217</v>
      </c>
    </row>
    <row r="410" spans="2:15" ht="15" hidden="1" customHeight="1" outlineLevel="1">
      <c r="C410" s="13" t="s">
        <v>8</v>
      </c>
      <c r="E410" s="158"/>
      <c r="G410" s="158"/>
      <c r="H410" s="199"/>
      <c r="I410" s="191"/>
      <c r="J410" s="759">
        <f>+Transaction!C59</f>
        <v>27569.2785</v>
      </c>
      <c r="K410" s="191">
        <f ca="1">SUM(K407:K409)</f>
        <v>29628.394736514521</v>
      </c>
      <c r="L410" s="191">
        <f ca="1">SUM(L407:L409)</f>
        <v>31841.303886959588</v>
      </c>
      <c r="M410" s="191">
        <f ca="1">SUM(M407:M409)</f>
        <v>34219.492559014659</v>
      </c>
      <c r="N410" s="191">
        <f ca="1">SUM(N407:N409)</f>
        <v>36775.305281264715</v>
      </c>
      <c r="O410" s="191">
        <f ca="1">SUM(O407:O409)</f>
        <v>39522.008580280337</v>
      </c>
    </row>
    <row r="411" spans="2:15" ht="15" hidden="1" customHeight="1" outlineLevel="1">
      <c r="C411" s="13"/>
      <c r="E411" s="158"/>
      <c r="G411" s="158"/>
      <c r="H411" s="199"/>
      <c r="I411" s="191"/>
      <c r="J411" s="191"/>
      <c r="K411" s="191"/>
      <c r="L411" s="191"/>
      <c r="M411" s="191"/>
      <c r="N411" s="191"/>
      <c r="O411" s="191"/>
    </row>
    <row r="412" spans="2:15" ht="15" hidden="1" customHeight="1" outlineLevel="1">
      <c r="C412" s="13"/>
      <c r="E412" s="158"/>
      <c r="G412" s="158"/>
      <c r="H412" s="199"/>
      <c r="I412" s="191"/>
      <c r="J412" s="191"/>
      <c r="K412" s="191"/>
      <c r="L412" s="191"/>
      <c r="M412" s="191"/>
      <c r="N412" s="191"/>
      <c r="O412" s="191"/>
    </row>
    <row r="413" spans="2:15" ht="15" hidden="1" customHeight="1" outlineLevel="1">
      <c r="C413" s="179" t="s">
        <v>259</v>
      </c>
      <c r="E413" s="158"/>
      <c r="G413" s="158"/>
      <c r="I413" s="191"/>
      <c r="J413" s="191"/>
      <c r="K413" s="790">
        <f>Transaction!$J$59</f>
        <v>0.12</v>
      </c>
      <c r="L413" s="790">
        <f>+K413</f>
        <v>0.12</v>
      </c>
      <c r="M413" s="790">
        <f>+L413</f>
        <v>0.12</v>
      </c>
      <c r="N413" s="790">
        <f>+M413</f>
        <v>0.12</v>
      </c>
      <c r="O413" s="790">
        <f>+N413</f>
        <v>0.12</v>
      </c>
    </row>
    <row r="414" spans="2:15" ht="15" hidden="1" customHeight="1" outlineLevel="1">
      <c r="C414" s="13"/>
      <c r="E414" s="158"/>
      <c r="G414" s="158"/>
      <c r="H414" s="199"/>
      <c r="I414" s="191"/>
      <c r="J414" s="191"/>
      <c r="K414" s="184"/>
      <c r="L414" s="184"/>
      <c r="M414" s="184"/>
      <c r="N414" s="184"/>
      <c r="O414" s="184"/>
    </row>
    <row r="415" spans="2:15" ht="15" hidden="1" customHeight="1" outlineLevel="1">
      <c r="C415" s="179" t="s">
        <v>285</v>
      </c>
      <c r="E415" s="158"/>
      <c r="G415" s="158"/>
      <c r="H415" s="199"/>
      <c r="I415" s="191"/>
      <c r="J415" s="191"/>
      <c r="K415" s="790">
        <f>1-K416</f>
        <v>0.4</v>
      </c>
      <c r="L415" s="790">
        <f>+K415</f>
        <v>0.4</v>
      </c>
      <c r="M415" s="790">
        <f t="shared" ref="M415:O416" si="44">+L415</f>
        <v>0.4</v>
      </c>
      <c r="N415" s="790">
        <f t="shared" si="44"/>
        <v>0.4</v>
      </c>
      <c r="O415" s="790">
        <f t="shared" si="44"/>
        <v>0.4</v>
      </c>
    </row>
    <row r="416" spans="2:15" ht="15" hidden="1" customHeight="1" outlineLevel="1">
      <c r="C416" s="179" t="s">
        <v>286</v>
      </c>
      <c r="E416" s="158"/>
      <c r="G416" s="158"/>
      <c r="H416" s="199"/>
      <c r="I416" s="191"/>
      <c r="J416" s="191"/>
      <c r="K416" s="791">
        <f>Transaction!$D$70</f>
        <v>0.6</v>
      </c>
      <c r="L416" s="791">
        <f>+K416</f>
        <v>0.6</v>
      </c>
      <c r="M416" s="791">
        <f t="shared" si="44"/>
        <v>0.6</v>
      </c>
      <c r="N416" s="791">
        <f t="shared" si="44"/>
        <v>0.6</v>
      </c>
      <c r="O416" s="791">
        <f t="shared" si="44"/>
        <v>0.6</v>
      </c>
    </row>
    <row r="417" spans="2:15" ht="15" hidden="1" customHeight="1" outlineLevel="1">
      <c r="C417" s="13" t="s">
        <v>287</v>
      </c>
      <c r="E417" s="158"/>
      <c r="G417" s="158"/>
      <c r="H417" s="199"/>
      <c r="I417" s="191"/>
      <c r="J417" s="191"/>
      <c r="K417" s="790">
        <f>SUM(K415:K416)</f>
        <v>1</v>
      </c>
      <c r="L417" s="790">
        <f>SUM(L415:L416)</f>
        <v>1</v>
      </c>
      <c r="M417" s="790">
        <f>SUM(M415:M416)</f>
        <v>1</v>
      </c>
      <c r="N417" s="790">
        <f>SUM(N415:N416)</f>
        <v>1</v>
      </c>
      <c r="O417" s="790">
        <f>SUM(O415:O416)</f>
        <v>1</v>
      </c>
    </row>
    <row r="418" spans="2:15" ht="15" hidden="1" customHeight="1" outlineLevel="1">
      <c r="C418" s="204"/>
      <c r="E418" s="158"/>
      <c r="G418" s="158"/>
      <c r="H418" s="199"/>
      <c r="I418" s="191"/>
      <c r="J418" s="191"/>
      <c r="K418" s="191"/>
      <c r="L418" s="173"/>
      <c r="M418" s="173"/>
      <c r="N418" s="173"/>
      <c r="O418" s="173"/>
    </row>
    <row r="419" spans="2:15" ht="15" hidden="1" customHeight="1" outlineLevel="1">
      <c r="C419" s="179" t="s">
        <v>263</v>
      </c>
      <c r="E419" s="158"/>
      <c r="G419" s="158"/>
      <c r="H419" s="623" t="s">
        <v>224</v>
      </c>
      <c r="I419" s="191"/>
      <c r="J419" s="191"/>
      <c r="K419" s="184">
        <f ca="1">AVERAGE(K410,K407)*K$413*K415</f>
        <v>1372.7441576763486</v>
      </c>
      <c r="L419" s="184">
        <f ca="1">AVERAGE(L410,L407)*L$413*L415</f>
        <v>1475.2727669633787</v>
      </c>
      <c r="M419" s="184">
        <f ca="1">AVERAGE(M410,M407)*M$413*M415</f>
        <v>1585.4591147033821</v>
      </c>
      <c r="N419" s="184">
        <f ca="1">AVERAGE(N410,N407)*N$413*N415</f>
        <v>1703.8751481667052</v>
      </c>
      <c r="O419" s="184">
        <f ca="1">AVERAGE(O410,O407)*O$413*O415</f>
        <v>1831.1355326770813</v>
      </c>
    </row>
    <row r="420" spans="2:15" ht="15" hidden="1" customHeight="1" outlineLevel="1">
      <c r="C420" s="179" t="s">
        <v>264</v>
      </c>
      <c r="E420" s="158"/>
      <c r="G420" s="158"/>
      <c r="H420" s="681">
        <f>Cover!$E$23</f>
        <v>1</v>
      </c>
      <c r="I420" s="191"/>
      <c r="J420" s="191"/>
      <c r="K420" s="736">
        <f ca="1">IF($H420=1,AVERAGE(K410,K407)*K$413*K416,K$413*K416*K407)</f>
        <v>2059.1162365145228</v>
      </c>
      <c r="L420" s="736">
        <f ca="1">IF($H420=1,AVERAGE(L410,L407)*L$413*L416,L$413*L416*L407)</f>
        <v>2212.9091504450676</v>
      </c>
      <c r="M420" s="736">
        <f ca="1">IF($H420=1,AVERAGE(M410,M407)*M$413*M416,M$413*M416*M407)</f>
        <v>2378.1886720550729</v>
      </c>
      <c r="N420" s="736">
        <f ca="1">IF($H420=1,AVERAGE(N410,N407)*N$413*N416,N$413*N416*N407)</f>
        <v>2555.8127222500575</v>
      </c>
      <c r="O420" s="736">
        <f ca="1">IF($H420=1,AVERAGE(O410,O407)*O$413*O416,O$413*O416*O407)</f>
        <v>2746.7032990156217</v>
      </c>
    </row>
    <row r="421" spans="2:15" ht="15" hidden="1" customHeight="1" outlineLevel="1">
      <c r="C421" s="13" t="s">
        <v>288</v>
      </c>
      <c r="I421" s="191"/>
      <c r="J421" s="191"/>
      <c r="K421" s="184">
        <f ca="1">SUM(K419:K420)</f>
        <v>3431.8603941908714</v>
      </c>
      <c r="L421" s="184">
        <f ca="1">SUM(L419:L420)</f>
        <v>3688.1819174084462</v>
      </c>
      <c r="M421" s="184">
        <f ca="1">SUM(M419:M420)</f>
        <v>3963.6477867584549</v>
      </c>
      <c r="N421" s="184">
        <f ca="1">SUM(N419:N420)</f>
        <v>4259.687870416763</v>
      </c>
      <c r="O421" s="184">
        <f ca="1">SUM(O419:O420)</f>
        <v>4577.838831692703</v>
      </c>
    </row>
    <row r="422" spans="2:15" ht="15" hidden="1" customHeight="1" outlineLevel="1">
      <c r="B422" s="10"/>
      <c r="C422" s="168"/>
      <c r="D422" s="171"/>
      <c r="E422" s="171"/>
      <c r="F422" s="171"/>
      <c r="G422" s="171"/>
      <c r="H422" s="264"/>
      <c r="I422" s="11"/>
      <c r="J422" s="171"/>
      <c r="K422" s="33"/>
      <c r="L422" s="33"/>
      <c r="M422" s="33"/>
      <c r="N422" s="33"/>
      <c r="O422" s="33"/>
    </row>
    <row r="423" spans="2:15" ht="15" hidden="1" customHeight="1" outlineLevel="1">
      <c r="B423" s="10"/>
      <c r="C423" s="168"/>
      <c r="D423" s="171"/>
      <c r="E423" s="171"/>
      <c r="F423" s="171"/>
      <c r="G423" s="171"/>
      <c r="H423" s="264"/>
      <c r="I423" s="11"/>
      <c r="J423" s="171"/>
      <c r="K423" s="33"/>
      <c r="L423" s="33"/>
      <c r="M423" s="33"/>
      <c r="N423" s="33"/>
      <c r="O423" s="33"/>
    </row>
    <row r="424" spans="2:15" ht="15" hidden="1" customHeight="1" outlineLevel="1">
      <c r="B424" s="10"/>
      <c r="C424" s="168"/>
      <c r="D424" s="171"/>
      <c r="E424" s="171"/>
      <c r="F424" s="171"/>
      <c r="G424" s="171"/>
      <c r="H424" s="264"/>
      <c r="I424" s="11"/>
      <c r="J424" s="171"/>
      <c r="K424" s="33"/>
      <c r="L424" s="33"/>
      <c r="M424" s="33"/>
      <c r="N424" s="33"/>
      <c r="O424" s="33"/>
    </row>
    <row r="425" spans="2:15" ht="15" hidden="1" customHeight="1" outlineLevel="1">
      <c r="B425" s="208" t="s">
        <v>182</v>
      </c>
      <c r="C425" s="168"/>
      <c r="D425" s="171"/>
      <c r="E425" s="171"/>
      <c r="F425" s="171"/>
      <c r="G425" s="171"/>
      <c r="H425" s="171"/>
      <c r="I425" s="162"/>
      <c r="J425" s="162"/>
      <c r="K425" s="162"/>
      <c r="L425" s="162"/>
      <c r="M425" s="162"/>
      <c r="N425" s="162"/>
      <c r="O425" s="162"/>
    </row>
    <row r="426" spans="2:15" ht="15" hidden="1" customHeight="1" outlineLevel="1">
      <c r="B426" s="208"/>
      <c r="C426" s="23" t="s">
        <v>7</v>
      </c>
      <c r="D426" s="171"/>
      <c r="E426" s="171"/>
      <c r="F426" s="171"/>
      <c r="G426" s="171"/>
      <c r="H426" s="171"/>
      <c r="I426" s="320"/>
      <c r="J426" s="191"/>
      <c r="K426" s="173">
        <f>J428</f>
        <v>5000</v>
      </c>
      <c r="L426" s="173">
        <f ca="1">K428</f>
        <v>5000</v>
      </c>
      <c r="M426" s="173">
        <f ca="1">L428</f>
        <v>5000</v>
      </c>
      <c r="N426" s="173">
        <f ca="1">M428</f>
        <v>5000</v>
      </c>
      <c r="O426" s="173">
        <f ca="1">N428</f>
        <v>5000</v>
      </c>
    </row>
    <row r="427" spans="2:15" ht="15" hidden="1" customHeight="1" outlineLevel="1">
      <c r="B427" s="208"/>
      <c r="C427" s="23" t="s">
        <v>139</v>
      </c>
      <c r="D427" s="171"/>
      <c r="E427" s="171"/>
      <c r="F427" s="171"/>
      <c r="G427" s="171"/>
      <c r="H427" s="171"/>
      <c r="I427" s="320"/>
      <c r="J427" s="267"/>
      <c r="K427" s="191">
        <f ca="1">K158</f>
        <v>0</v>
      </c>
      <c r="L427" s="191">
        <f ca="1">L158</f>
        <v>0</v>
      </c>
      <c r="M427" s="191">
        <f ca="1">M158</f>
        <v>0</v>
      </c>
      <c r="N427" s="191">
        <f ca="1">N158</f>
        <v>0</v>
      </c>
      <c r="O427" s="191">
        <f ca="1">O158</f>
        <v>0</v>
      </c>
    </row>
    <row r="428" spans="2:15" ht="15" hidden="1" customHeight="1" outlineLevel="1">
      <c r="B428" s="208"/>
      <c r="C428" s="13" t="s">
        <v>8</v>
      </c>
      <c r="D428" s="171"/>
      <c r="E428" s="171"/>
      <c r="F428" s="171"/>
      <c r="G428" s="171"/>
      <c r="H428" s="171"/>
      <c r="I428" s="320"/>
      <c r="J428" s="759">
        <f>+Transaction!I29</f>
        <v>5000</v>
      </c>
      <c r="K428" s="730">
        <f ca="1">SUM(K426:K427)</f>
        <v>5000</v>
      </c>
      <c r="L428" s="730">
        <f ca="1">SUM(L426:L427)</f>
        <v>5000</v>
      </c>
      <c r="M428" s="730">
        <f ca="1">SUM(M426:M427)</f>
        <v>5000</v>
      </c>
      <c r="N428" s="730">
        <f ca="1">SUM(N426:N427)</f>
        <v>5000</v>
      </c>
      <c r="O428" s="730">
        <f ca="1">SUM(O426:O427)</f>
        <v>5000</v>
      </c>
    </row>
    <row r="429" spans="2:15" ht="15" hidden="1" customHeight="1" outlineLevel="1">
      <c r="B429" s="208"/>
      <c r="C429" s="23"/>
      <c r="D429" s="171"/>
      <c r="E429" s="171"/>
      <c r="F429" s="171"/>
      <c r="G429" s="171"/>
      <c r="H429" s="623"/>
      <c r="I429" s="320"/>
      <c r="J429" s="792"/>
      <c r="K429" s="792"/>
      <c r="L429" s="792"/>
      <c r="M429" s="792"/>
      <c r="N429" s="792"/>
      <c r="O429" s="792"/>
    </row>
    <row r="430" spans="2:15" ht="15" hidden="1" customHeight="1" outlineLevel="1">
      <c r="B430" s="208"/>
      <c r="C430" s="23" t="s">
        <v>259</v>
      </c>
      <c r="D430" s="171"/>
      <c r="E430" s="171"/>
      <c r="F430" s="171"/>
      <c r="G430" s="171"/>
      <c r="H430" s="623" t="s">
        <v>224</v>
      </c>
      <c r="I430" s="320"/>
      <c r="J430" s="792"/>
      <c r="K430" s="791">
        <f>Transaction!$I$30</f>
        <v>1.4999999999999999E-2</v>
      </c>
      <c r="L430" s="791">
        <f>K430</f>
        <v>1.4999999999999999E-2</v>
      </c>
      <c r="M430" s="791">
        <f>L430</f>
        <v>1.4999999999999999E-2</v>
      </c>
      <c r="N430" s="791">
        <f>M430</f>
        <v>1.4999999999999999E-2</v>
      </c>
      <c r="O430" s="791">
        <f>N430</f>
        <v>1.4999999999999999E-2</v>
      </c>
    </row>
    <row r="431" spans="2:15" ht="15" hidden="1" customHeight="1" outlineLevel="1">
      <c r="B431" s="208"/>
      <c r="C431" s="23" t="s">
        <v>184</v>
      </c>
      <c r="D431" s="23"/>
      <c r="E431" s="171"/>
      <c r="F431" s="171"/>
      <c r="G431" s="171"/>
      <c r="H431" s="681">
        <f>Cover!$E$23</f>
        <v>1</v>
      </c>
      <c r="I431" s="320"/>
      <c r="J431" s="792"/>
      <c r="K431" s="793">
        <f ca="1">IF($H$431=1,AVERAGE(K428,K426)*K430,K426*K430)</f>
        <v>75</v>
      </c>
      <c r="L431" s="793">
        <f ca="1">IF($H$431=1,AVERAGE(L428,L426)*L430,L426*L430)</f>
        <v>75</v>
      </c>
      <c r="M431" s="793">
        <f ca="1">IF($H$431=1,AVERAGE(M428,M426)*M430,M426*M430)</f>
        <v>75</v>
      </c>
      <c r="N431" s="793">
        <f ca="1">IF($H$431=1,AVERAGE(N428,N426)*N430,N426*N430)</f>
        <v>75</v>
      </c>
      <c r="O431" s="793">
        <f ca="1">IF($H$431=1,AVERAGE(O428,O426)*O430,O426*O430)</f>
        <v>75</v>
      </c>
    </row>
    <row r="432" spans="2:15" ht="15" hidden="1" customHeight="1" outlineLevel="1">
      <c r="B432" s="10"/>
      <c r="C432" s="168"/>
      <c r="D432" s="171"/>
      <c r="E432" s="171"/>
      <c r="F432" s="171"/>
      <c r="G432" s="171"/>
      <c r="H432" s="264"/>
      <c r="I432" s="11"/>
      <c r="J432" s="171"/>
      <c r="K432" s="33"/>
      <c r="L432" s="33"/>
      <c r="M432" s="33"/>
      <c r="N432" s="33"/>
      <c r="O432" s="33"/>
    </row>
    <row r="433" spans="1:15" ht="15" hidden="1" customHeight="1" outlineLevel="1">
      <c r="B433" s="27"/>
      <c r="C433" s="624"/>
      <c r="D433" s="625"/>
      <c r="E433" s="625"/>
      <c r="F433" s="625"/>
      <c r="G433" s="625"/>
      <c r="H433" s="626"/>
      <c r="I433" s="29"/>
      <c r="J433" s="625"/>
      <c r="K433" s="42"/>
      <c r="L433" s="42"/>
      <c r="M433" s="42"/>
      <c r="N433" s="42"/>
      <c r="O433" s="42"/>
    </row>
    <row r="434" spans="1:15" ht="15" customHeight="1" collapsed="1">
      <c r="B434" s="10"/>
      <c r="C434" s="168"/>
      <c r="D434" s="171"/>
      <c r="E434" s="171"/>
      <c r="F434" s="171"/>
      <c r="G434" s="171"/>
      <c r="H434" s="264"/>
      <c r="I434" s="11"/>
      <c r="J434" s="171"/>
      <c r="K434" s="33"/>
      <c r="L434" s="33"/>
      <c r="M434" s="33"/>
      <c r="N434" s="33"/>
      <c r="O434" s="33"/>
    </row>
    <row r="435" spans="1:15" ht="15" customHeight="1">
      <c r="A435" s="427" t="s">
        <v>91</v>
      </c>
      <c r="B435" s="528" t="s">
        <v>341</v>
      </c>
      <c r="C435" s="163"/>
      <c r="D435" s="164"/>
      <c r="E435" s="165"/>
      <c r="F435" s="205"/>
      <c r="G435" s="206"/>
      <c r="H435" s="206"/>
      <c r="I435" s="206"/>
      <c r="J435" s="206"/>
      <c r="K435" s="206"/>
      <c r="L435" s="206"/>
      <c r="M435" s="206"/>
      <c r="N435" s="206"/>
      <c r="O435" s="206"/>
    </row>
    <row r="436" spans="1:15" ht="15" hidden="1" customHeight="1" outlineLevel="1">
      <c r="B436" s="208"/>
      <c r="C436" s="159"/>
      <c r="D436" s="211"/>
      <c r="E436" s="159"/>
      <c r="F436" s="159"/>
      <c r="G436" s="159"/>
      <c r="H436" s="173"/>
      <c r="I436" s="191"/>
      <c r="J436" s="191"/>
      <c r="K436" s="191"/>
      <c r="L436" s="173"/>
      <c r="M436" s="173"/>
      <c r="N436" s="173"/>
      <c r="O436" s="173"/>
    </row>
    <row r="437" spans="1:15" ht="15" hidden="1" customHeight="1" outlineLevel="1" thickBot="1">
      <c r="B437" s="10" t="s">
        <v>19</v>
      </c>
      <c r="C437" s="168"/>
      <c r="D437" s="171"/>
      <c r="E437" s="171"/>
      <c r="F437" s="171"/>
      <c r="G437" s="171"/>
      <c r="H437" s="264"/>
      <c r="I437" s="11"/>
      <c r="J437" s="171"/>
      <c r="K437" s="75">
        <f>$K$5</f>
        <v>2023</v>
      </c>
      <c r="L437" s="75">
        <f>K437+1</f>
        <v>2024</v>
      </c>
      <c r="M437" s="75">
        <f>L437+1</f>
        <v>2025</v>
      </c>
      <c r="N437" s="75">
        <f>M437+1</f>
        <v>2026</v>
      </c>
      <c r="O437" s="75">
        <f>N437+1</f>
        <v>2027</v>
      </c>
    </row>
    <row r="438" spans="1:15" ht="15" hidden="1" customHeight="1" outlineLevel="1">
      <c r="B438" s="10" t="str">
        <f>$B$6</f>
        <v>Model Running: Base Case Drivers</v>
      </c>
      <c r="C438" s="159"/>
      <c r="D438" s="211"/>
      <c r="E438" s="159"/>
      <c r="F438" s="159"/>
      <c r="G438" s="159"/>
      <c r="H438" s="173"/>
      <c r="I438" s="191"/>
      <c r="J438" s="191"/>
      <c r="K438" s="191"/>
      <c r="L438" s="173"/>
      <c r="M438" s="173"/>
      <c r="N438" s="173"/>
      <c r="O438" s="173"/>
    </row>
    <row r="439" spans="1:15" ht="15" hidden="1" customHeight="1" outlineLevel="1">
      <c r="B439" s="208"/>
      <c r="C439" s="159"/>
      <c r="D439" s="211"/>
      <c r="E439" s="159"/>
      <c r="F439" s="159"/>
      <c r="G439" s="159"/>
      <c r="H439" s="173"/>
      <c r="I439" s="191"/>
      <c r="J439" s="191"/>
      <c r="K439" s="191"/>
      <c r="L439" s="173"/>
      <c r="M439" s="173"/>
      <c r="N439" s="173"/>
      <c r="O439" s="173"/>
    </row>
    <row r="440" spans="1:15" ht="15" hidden="1" customHeight="1" outlineLevel="1">
      <c r="B440" s="208" t="s">
        <v>187</v>
      </c>
      <c r="C440" s="158"/>
      <c r="E440" s="158"/>
      <c r="G440" s="158"/>
      <c r="H440" s="171"/>
      <c r="I440" s="191"/>
      <c r="J440" s="191"/>
      <c r="K440" s="191"/>
      <c r="L440" s="173"/>
      <c r="M440" s="173"/>
      <c r="N440" s="173"/>
      <c r="O440" s="173"/>
    </row>
    <row r="441" spans="1:15" ht="15" hidden="1" customHeight="1" outlineLevel="1">
      <c r="B441" s="204"/>
      <c r="C441" s="23" t="s">
        <v>375</v>
      </c>
      <c r="D441" s="211"/>
      <c r="E441" s="159"/>
      <c r="F441" s="159"/>
      <c r="G441" s="159"/>
      <c r="H441" s="173"/>
      <c r="I441" s="173"/>
      <c r="J441" s="191"/>
      <c r="K441" s="256">
        <f ca="1">K335</f>
        <v>760.01341684090767</v>
      </c>
      <c r="L441" s="256">
        <f ca="1">L335</f>
        <v>-1517.681084830243</v>
      </c>
      <c r="M441" s="256">
        <f ca="1">M335</f>
        <v>-3637.3079027440126</v>
      </c>
      <c r="N441" s="256">
        <f ca="1">N335</f>
        <v>-199.90417926665214</v>
      </c>
      <c r="O441" s="256">
        <f ca="1">O335</f>
        <v>0</v>
      </c>
    </row>
    <row r="442" spans="1:15" ht="15" hidden="1" customHeight="1" outlineLevel="1">
      <c r="B442" s="204"/>
      <c r="C442" s="23" t="s">
        <v>326</v>
      </c>
      <c r="D442" s="211"/>
      <c r="E442" s="159"/>
      <c r="F442" s="159"/>
      <c r="G442" s="159"/>
      <c r="H442" s="173"/>
      <c r="I442" s="173"/>
      <c r="J442" s="191"/>
      <c r="K442" s="173">
        <f ca="1">SUM(K373:K374)</f>
        <v>-9189.7595000000001</v>
      </c>
      <c r="L442" s="173">
        <f ca="1">SUM(L373:L374)</f>
        <v>-9189.7595000000001</v>
      </c>
      <c r="M442" s="173">
        <f ca="1">SUM(M373:M374)</f>
        <v>-9189.7595000000001</v>
      </c>
      <c r="N442" s="173">
        <f ca="1">SUM(N373:N374)</f>
        <v>-12247.310517167538</v>
      </c>
      <c r="O442" s="173">
        <f ca="1">SUM(O373:O374)</f>
        <v>-6132.2084828324623</v>
      </c>
    </row>
    <row r="443" spans="1:15" ht="15" hidden="1" customHeight="1" outlineLevel="1">
      <c r="B443" s="204"/>
      <c r="C443" s="23" t="s">
        <v>327</v>
      </c>
      <c r="D443" s="211"/>
      <c r="E443" s="159"/>
      <c r="F443" s="159"/>
      <c r="G443" s="159"/>
      <c r="H443" s="173"/>
      <c r="I443" s="173"/>
      <c r="J443" s="191"/>
      <c r="K443" s="173">
        <f ca="1">SUM(K389:K390)</f>
        <v>-367.59038000000004</v>
      </c>
      <c r="L443" s="173">
        <f ca="1">SUM(L389:L390)</f>
        <v>-367.59038000000004</v>
      </c>
      <c r="M443" s="173">
        <f ca="1">SUM(M389:M390)</f>
        <v>-367.59038000000004</v>
      </c>
      <c r="N443" s="173">
        <f ca="1">SUM(N389:N390)</f>
        <v>-367.59038000000004</v>
      </c>
      <c r="O443" s="173">
        <f ca="1">SUM(O389:O390)</f>
        <v>-8138.0320935810014</v>
      </c>
    </row>
    <row r="444" spans="1:15" ht="15" hidden="1" customHeight="1" outlineLevel="1">
      <c r="B444" s="204"/>
      <c r="C444" s="23" t="s">
        <v>328</v>
      </c>
      <c r="D444" s="211"/>
      <c r="E444" s="159"/>
      <c r="F444" s="159"/>
      <c r="G444" s="159"/>
      <c r="H444" s="173"/>
      <c r="I444" s="173"/>
      <c r="J444" s="191"/>
      <c r="K444" s="267">
        <f>K408</f>
        <v>0</v>
      </c>
      <c r="L444" s="267">
        <f ca="1">L408</f>
        <v>0</v>
      </c>
      <c r="M444" s="267">
        <f ca="1">M408</f>
        <v>0</v>
      </c>
      <c r="N444" s="267">
        <f ca="1">N408</f>
        <v>0</v>
      </c>
      <c r="O444" s="267">
        <f ca="1">O408</f>
        <v>0</v>
      </c>
    </row>
    <row r="445" spans="1:15" ht="15" hidden="1" customHeight="1" outlineLevel="1">
      <c r="B445" s="204"/>
      <c r="C445" s="13" t="s">
        <v>188</v>
      </c>
      <c r="D445" s="211"/>
      <c r="E445" s="159"/>
      <c r="F445" s="159"/>
      <c r="G445" s="159"/>
      <c r="H445" s="173"/>
      <c r="I445" s="173"/>
      <c r="J445" s="191"/>
      <c r="K445" s="191">
        <f ca="1">SUM(K441:K444)</f>
        <v>-8797.3364631590921</v>
      </c>
      <c r="L445" s="191">
        <f ca="1">SUM(L441:L444)</f>
        <v>-11075.030964830243</v>
      </c>
      <c r="M445" s="191">
        <f ca="1">SUM(M441:M444)</f>
        <v>-13194.657782744012</v>
      </c>
      <c r="N445" s="191">
        <f ca="1">SUM(N441:N444)</f>
        <v>-12814.80507643419</v>
      </c>
      <c r="O445" s="191">
        <f ca="1">SUM(O441:O444)</f>
        <v>-14270.240576413464</v>
      </c>
    </row>
    <row r="446" spans="1:15" ht="15" hidden="1" customHeight="1" outlineLevel="1">
      <c r="B446" s="208"/>
      <c r="C446" s="159"/>
      <c r="D446" s="211"/>
      <c r="E446" s="159"/>
      <c r="F446" s="159"/>
      <c r="G446" s="159"/>
      <c r="H446" s="173"/>
      <c r="I446" s="191"/>
      <c r="J446" s="191"/>
      <c r="K446" s="191"/>
      <c r="L446" s="173"/>
      <c r="M446" s="173"/>
      <c r="N446" s="173"/>
      <c r="O446" s="173"/>
    </row>
    <row r="447" spans="1:15" ht="15" hidden="1" customHeight="1" outlineLevel="1">
      <c r="B447" s="208"/>
      <c r="C447" s="159"/>
      <c r="D447" s="211"/>
      <c r="E447" s="159"/>
      <c r="F447" s="159"/>
      <c r="G447" s="159"/>
      <c r="H447" s="173"/>
      <c r="I447" s="191"/>
      <c r="J447" s="191"/>
      <c r="K447" s="191"/>
      <c r="L447" s="173"/>
      <c r="M447" s="173"/>
      <c r="N447" s="173"/>
      <c r="O447" s="173"/>
    </row>
    <row r="448" spans="1:15" ht="15" hidden="1" customHeight="1" outlineLevel="1">
      <c r="B448" s="208" t="s">
        <v>186</v>
      </c>
      <c r="C448" s="158"/>
      <c r="E448" s="158"/>
      <c r="G448" s="158"/>
      <c r="H448" s="171"/>
      <c r="I448" s="191"/>
      <c r="J448" s="191"/>
      <c r="K448" s="191"/>
      <c r="L448" s="173"/>
      <c r="M448" s="173"/>
      <c r="N448" s="173"/>
      <c r="O448" s="173"/>
    </row>
    <row r="449" spans="2:16" ht="15" hidden="1" customHeight="1" outlineLevel="1">
      <c r="B449" s="204"/>
      <c r="C449" s="23" t="s">
        <v>375</v>
      </c>
      <c r="D449" s="211"/>
      <c r="E449" s="159"/>
      <c r="F449" s="159"/>
      <c r="G449" s="159"/>
      <c r="H449" s="173"/>
      <c r="I449" s="173"/>
      <c r="J449"/>
      <c r="K449" s="173">
        <f ca="1">K336</f>
        <v>5354.8931668409077</v>
      </c>
      <c r="L449" s="173">
        <f ca="1">L336</f>
        <v>3837.2120820106647</v>
      </c>
      <c r="M449" s="173">
        <f ca="1">M336</f>
        <v>199.90417926665214</v>
      </c>
      <c r="N449" s="173">
        <f ca="1">N336</f>
        <v>0</v>
      </c>
      <c r="O449" s="173">
        <f ca="1">O336</f>
        <v>0</v>
      </c>
    </row>
    <row r="450" spans="2:16" ht="15" hidden="1" customHeight="1" outlineLevel="1">
      <c r="B450" s="204"/>
      <c r="C450" s="23" t="s">
        <v>326</v>
      </c>
      <c r="D450" s="211"/>
      <c r="E450" s="159"/>
      <c r="F450" s="159"/>
      <c r="G450" s="159"/>
      <c r="H450" s="173"/>
      <c r="I450" s="173"/>
      <c r="J450"/>
      <c r="K450" s="173">
        <f ca="1">K375</f>
        <v>36759.038</v>
      </c>
      <c r="L450" s="173">
        <f ca="1">L375</f>
        <v>27569.2785</v>
      </c>
      <c r="M450" s="173">
        <f ca="1">M375</f>
        <v>18379.519</v>
      </c>
      <c r="N450" s="173">
        <f ca="1">N375</f>
        <v>6132.2084828324623</v>
      </c>
      <c r="O450" s="173">
        <f ca="1">O375</f>
        <v>0</v>
      </c>
    </row>
    <row r="451" spans="2:16" ht="15" hidden="1" customHeight="1" outlineLevel="1">
      <c r="B451" s="204"/>
      <c r="C451" s="23" t="s">
        <v>327</v>
      </c>
      <c r="D451" s="211"/>
      <c r="E451" s="159"/>
      <c r="F451" s="159"/>
      <c r="G451" s="159"/>
      <c r="H451" s="173"/>
      <c r="I451" s="173"/>
      <c r="J451"/>
      <c r="K451" s="173">
        <f ca="1">K391</f>
        <v>36391.447619999999</v>
      </c>
      <c r="L451" s="173">
        <f ca="1">L391</f>
        <v>36023.857239999998</v>
      </c>
      <c r="M451" s="173">
        <f ca="1">M391</f>
        <v>35656.266859999996</v>
      </c>
      <c r="N451" s="173">
        <f ca="1">N391</f>
        <v>35288.676479999995</v>
      </c>
      <c r="O451" s="173">
        <f ca="1">O391</f>
        <v>27150.644386418993</v>
      </c>
    </row>
    <row r="452" spans="2:16" ht="15" hidden="1" customHeight="1" outlineLevel="1">
      <c r="B452" s="204"/>
      <c r="C452" s="23" t="s">
        <v>328</v>
      </c>
      <c r="D452" s="211"/>
      <c r="E452" s="159"/>
      <c r="F452" s="159"/>
      <c r="G452" s="159"/>
      <c r="H452" s="173"/>
      <c r="I452" s="173"/>
      <c r="J452"/>
      <c r="K452" s="267">
        <f ca="1">K410</f>
        <v>29628.394736514521</v>
      </c>
      <c r="L452" s="267">
        <f ca="1">L410</f>
        <v>31841.303886959588</v>
      </c>
      <c r="M452" s="267">
        <f ca="1">M410</f>
        <v>34219.492559014659</v>
      </c>
      <c r="N452" s="267">
        <f ca="1">N410</f>
        <v>36775.305281264715</v>
      </c>
      <c r="O452" s="267">
        <f ca="1">O410</f>
        <v>39522.008580280337</v>
      </c>
    </row>
    <row r="453" spans="2:16" ht="15" hidden="1" customHeight="1" outlineLevel="1">
      <c r="B453" s="204"/>
      <c r="C453" s="13" t="s">
        <v>154</v>
      </c>
      <c r="D453" s="211"/>
      <c r="E453" s="159"/>
      <c r="F453" s="159"/>
      <c r="G453" s="159"/>
      <c r="H453" s="173"/>
      <c r="I453" s="173"/>
      <c r="J453"/>
      <c r="K453" s="191">
        <f ca="1">SUM(K449:K452)</f>
        <v>108133.77352335543</v>
      </c>
      <c r="L453" s="191">
        <f ca="1">SUM(L449:L452)</f>
        <v>99271.651708970254</v>
      </c>
      <c r="M453" s="191">
        <f ca="1">SUM(M449:M452)</f>
        <v>88455.182598281302</v>
      </c>
      <c r="N453" s="191">
        <f ca="1">SUM(N449:N452)</f>
        <v>78196.190244097175</v>
      </c>
      <c r="O453" s="191">
        <f ca="1">SUM(O449:O452)</f>
        <v>66672.65296669933</v>
      </c>
    </row>
    <row r="454" spans="2:16" ht="15" hidden="1" customHeight="1" outlineLevel="1">
      <c r="B454" s="208"/>
      <c r="C454" s="159"/>
      <c r="D454" s="211"/>
      <c r="E454" s="159"/>
      <c r="F454" s="159"/>
      <c r="G454" s="159"/>
      <c r="H454" s="173"/>
      <c r="I454" s="191"/>
      <c r="J454" s="191"/>
      <c r="K454" s="191"/>
      <c r="L454" s="191"/>
      <c r="M454" s="191"/>
      <c r="N454" s="191"/>
      <c r="O454" s="191"/>
    </row>
    <row r="455" spans="2:16" ht="15" hidden="1" customHeight="1" outlineLevel="1">
      <c r="B455" s="208"/>
      <c r="C455" s="159"/>
      <c r="D455" s="211"/>
      <c r="E455" s="159"/>
      <c r="F455" s="159"/>
      <c r="G455" s="159"/>
      <c r="H455" s="173"/>
      <c r="I455" s="191"/>
      <c r="J455" s="191"/>
      <c r="K455" s="191"/>
      <c r="L455" s="191"/>
      <c r="M455" s="191"/>
      <c r="N455" s="191"/>
      <c r="O455" s="191"/>
      <c r="P455" s="596"/>
    </row>
    <row r="456" spans="2:16" ht="15" hidden="1" customHeight="1" outlineLevel="1">
      <c r="B456" s="208" t="s">
        <v>267</v>
      </c>
      <c r="C456" s="158"/>
      <c r="E456" s="158"/>
      <c r="G456" s="158"/>
      <c r="H456" s="171"/>
      <c r="I456" s="191"/>
      <c r="J456" s="191"/>
      <c r="K456" s="191"/>
      <c r="L456" s="173"/>
      <c r="M456" s="173"/>
      <c r="N456" s="173"/>
      <c r="O456" s="173"/>
      <c r="P456" s="596"/>
    </row>
    <row r="457" spans="2:16" ht="15" hidden="1" customHeight="1" outlineLevel="1">
      <c r="B457" s="204"/>
      <c r="C457" s="23" t="s">
        <v>388</v>
      </c>
      <c r="D457" s="211"/>
      <c r="E457" s="159"/>
      <c r="F457" s="159"/>
      <c r="G457" s="159"/>
      <c r="H457" s="173"/>
      <c r="I457" s="173"/>
      <c r="J457" s="191"/>
      <c r="K457" s="173">
        <f ca="1">K340+K349</f>
        <v>226.73403698182383</v>
      </c>
      <c r="L457" s="173">
        <f ca="1">L340+L349</f>
        <v>224.37171029383805</v>
      </c>
      <c r="M457" s="173">
        <f ca="1">M340+M349</f>
        <v>144.64025550703371</v>
      </c>
      <c r="N457" s="173">
        <f ca="1">N340+N349</f>
        <v>78.648251271616388</v>
      </c>
      <c r="O457" s="173">
        <f ca="1">O340+O349</f>
        <v>75</v>
      </c>
    </row>
    <row r="458" spans="2:16" ht="15" hidden="1" customHeight="1" outlineLevel="1">
      <c r="B458" s="204"/>
      <c r="C458" s="23" t="s">
        <v>326</v>
      </c>
      <c r="D458" s="211"/>
      <c r="E458" s="159"/>
      <c r="F458" s="159"/>
      <c r="G458" s="159"/>
      <c r="H458" s="173"/>
      <c r="I458" s="173"/>
      <c r="J458" s="191"/>
      <c r="K458" s="173">
        <f ca="1">K379</f>
        <v>2295.1424351250002</v>
      </c>
      <c r="L458" s="173">
        <f ca="1">L379</f>
        <v>1849.4390993750001</v>
      </c>
      <c r="M458" s="173">
        <f ca="1">M379</f>
        <v>1366.9767256250002</v>
      </c>
      <c r="N458" s="173">
        <f ca="1">N379</f>
        <v>753.73562009709826</v>
      </c>
      <c r="O458" s="173">
        <f ca="1">O379</f>
        <v>194.69761932993069</v>
      </c>
    </row>
    <row r="459" spans="2:16" ht="15" hidden="1" customHeight="1" outlineLevel="1">
      <c r="B459" s="204"/>
      <c r="C459" s="23" t="s">
        <v>327</v>
      </c>
      <c r="D459" s="211"/>
      <c r="E459" s="159"/>
      <c r="F459" s="159"/>
      <c r="G459" s="159"/>
      <c r="H459" s="173"/>
      <c r="I459" s="173"/>
      <c r="J459" s="191"/>
      <c r="K459" s="173">
        <f ca="1">K395</f>
        <v>2761.4308321550002</v>
      </c>
      <c r="L459" s="173">
        <f ca="1">L395</f>
        <v>2806.0930633250005</v>
      </c>
      <c r="M459" s="173">
        <f ca="1">M395</f>
        <v>2849.2849329749997</v>
      </c>
      <c r="N459" s="173">
        <f ca="1">N395</f>
        <v>2891.0064411050002</v>
      </c>
      <c r="O459" s="173">
        <f ca="1">O395</f>
        <v>2606.841646172993</v>
      </c>
    </row>
    <row r="460" spans="2:16" ht="15" hidden="1" customHeight="1" outlineLevel="1">
      <c r="B460" s="204"/>
      <c r="C460" s="23" t="s">
        <v>328</v>
      </c>
      <c r="D460" s="211"/>
      <c r="E460" s="159"/>
      <c r="F460" s="159"/>
      <c r="G460" s="159"/>
      <c r="H460" s="173"/>
      <c r="I460" s="173"/>
      <c r="J460" s="191"/>
      <c r="K460" s="267">
        <f ca="1">K419</f>
        <v>1372.7441576763486</v>
      </c>
      <c r="L460" s="267">
        <f ca="1">L419</f>
        <v>1475.2727669633787</v>
      </c>
      <c r="M460" s="267">
        <f ca="1">M419</f>
        <v>1585.4591147033821</v>
      </c>
      <c r="N460" s="267">
        <f ca="1">N419</f>
        <v>1703.8751481667052</v>
      </c>
      <c r="O460" s="267">
        <f ca="1">O419</f>
        <v>1831.1355326770813</v>
      </c>
    </row>
    <row r="461" spans="2:16" ht="15" hidden="1" customHeight="1" outlineLevel="1">
      <c r="B461" s="204"/>
      <c r="C461" s="13" t="s">
        <v>149</v>
      </c>
      <c r="D461" s="211"/>
      <c r="E461" s="159"/>
      <c r="F461" s="159"/>
      <c r="G461" s="159"/>
      <c r="H461" s="173"/>
      <c r="I461" s="173"/>
      <c r="J461" s="191"/>
      <c r="K461" s="191">
        <f ca="1">SUM(K457:K460)</f>
        <v>6656.0514619381729</v>
      </c>
      <c r="L461" s="191">
        <f ca="1">SUM(L457:L460)</f>
        <v>6355.176639957217</v>
      </c>
      <c r="M461" s="191">
        <f ca="1">SUM(M457:M460)</f>
        <v>5946.3610288104155</v>
      </c>
      <c r="N461" s="191">
        <f ca="1">SUM(N457:N460)</f>
        <v>5427.2654606404203</v>
      </c>
      <c r="O461" s="191">
        <f ca="1">SUM(O457:O460)</f>
        <v>4707.6747981800054</v>
      </c>
    </row>
    <row r="462" spans="2:16" ht="15" hidden="1" customHeight="1" outlineLevel="1">
      <c r="B462" s="204"/>
      <c r="C462" s="13"/>
      <c r="D462" s="211"/>
      <c r="E462" s="159"/>
      <c r="F462" s="159"/>
      <c r="G462" s="159"/>
      <c r="H462" s="173"/>
      <c r="I462" s="173"/>
      <c r="J462" s="191"/>
      <c r="K462" s="191"/>
      <c r="L462" s="191"/>
      <c r="M462" s="191"/>
      <c r="N462" s="191"/>
      <c r="O462" s="191"/>
    </row>
    <row r="463" spans="2:16" ht="15" hidden="1" customHeight="1" outlineLevel="1">
      <c r="B463" s="204"/>
      <c r="C463" s="23" t="s">
        <v>410</v>
      </c>
      <c r="D463" s="211"/>
      <c r="E463" s="159"/>
      <c r="F463" s="159"/>
      <c r="G463" s="159"/>
      <c r="H463" s="173"/>
      <c r="I463" s="173"/>
      <c r="J463" s="191"/>
      <c r="K463" s="267">
        <f ca="1">-K431</f>
        <v>-75</v>
      </c>
      <c r="L463" s="267">
        <f ca="1">-L431</f>
        <v>-75</v>
      </c>
      <c r="M463" s="267">
        <f ca="1">-M431</f>
        <v>-75</v>
      </c>
      <c r="N463" s="267">
        <f ca="1">-N431</f>
        <v>-75</v>
      </c>
      <c r="O463" s="267">
        <f ca="1">-O431</f>
        <v>-75</v>
      </c>
    </row>
    <row r="464" spans="2:16" ht="15" hidden="1" customHeight="1" outlineLevel="1">
      <c r="B464" s="208"/>
      <c r="C464" s="13" t="s">
        <v>290</v>
      </c>
      <c r="D464" s="211"/>
      <c r="E464" s="159"/>
      <c r="F464" s="159"/>
      <c r="G464" s="159"/>
      <c r="H464" s="173"/>
      <c r="I464" s="191"/>
      <c r="J464" s="191"/>
      <c r="K464" s="191">
        <f ca="1">K463+K461</f>
        <v>6581.0514619381729</v>
      </c>
      <c r="L464" s="191">
        <f ca="1">L463+L461</f>
        <v>6280.176639957217</v>
      </c>
      <c r="M464" s="191">
        <f ca="1">M463+M461</f>
        <v>5871.3610288104155</v>
      </c>
      <c r="N464" s="191">
        <f ca="1">N463+N461</f>
        <v>5352.2654606404203</v>
      </c>
      <c r="O464" s="191">
        <f ca="1">O463+O461</f>
        <v>4632.6747981800054</v>
      </c>
    </row>
    <row r="465" spans="1:16" ht="15" hidden="1" customHeight="1" outlineLevel="1">
      <c r="B465" s="208"/>
      <c r="C465" s="158"/>
      <c r="E465" s="158"/>
      <c r="G465" s="158"/>
      <c r="H465" s="171"/>
      <c r="I465" s="191"/>
      <c r="J465" s="191"/>
      <c r="K465" s="191"/>
      <c r="L465" s="173"/>
      <c r="M465" s="173"/>
      <c r="N465" s="173"/>
      <c r="O465" s="173"/>
    </row>
    <row r="466" spans="1:16" ht="15" hidden="1" customHeight="1" outlineLevel="1">
      <c r="B466" s="208"/>
      <c r="C466" s="158"/>
      <c r="E466" s="158"/>
      <c r="G466" s="158"/>
      <c r="H466" s="171"/>
      <c r="I466" s="191"/>
      <c r="J466" s="191"/>
      <c r="K466" s="191"/>
      <c r="L466" s="173"/>
      <c r="M466" s="173"/>
      <c r="N466" s="173"/>
      <c r="O466" s="173"/>
    </row>
    <row r="467" spans="1:16" ht="15" hidden="1" customHeight="1" outlineLevel="1">
      <c r="B467" s="208" t="s">
        <v>268</v>
      </c>
      <c r="C467" s="158"/>
      <c r="E467" s="158"/>
      <c r="G467" s="158"/>
      <c r="H467" s="171"/>
      <c r="I467" s="191"/>
      <c r="J467" s="191"/>
      <c r="K467" s="191"/>
      <c r="L467" s="173"/>
      <c r="M467" s="173"/>
      <c r="N467" s="173"/>
      <c r="O467" s="173"/>
    </row>
    <row r="468" spans="1:16" ht="15" hidden="1" customHeight="1" outlineLevel="1">
      <c r="B468" s="208"/>
      <c r="C468" s="23" t="s">
        <v>290</v>
      </c>
      <c r="D468" s="211"/>
      <c r="E468" s="159"/>
      <c r="F468" s="159"/>
      <c r="G468" s="159"/>
      <c r="H468" s="173"/>
      <c r="I468" s="173"/>
      <c r="J468" s="191"/>
      <c r="K468" s="191">
        <f ca="1">K464</f>
        <v>6581.0514619381729</v>
      </c>
      <c r="L468" s="191">
        <f ca="1">L464</f>
        <v>6280.176639957217</v>
      </c>
      <c r="M468" s="191">
        <f ca="1">M464</f>
        <v>5871.3610288104155</v>
      </c>
      <c r="N468" s="191">
        <f ca="1">N464</f>
        <v>5352.2654606404203</v>
      </c>
      <c r="O468" s="191">
        <f ca="1">O464</f>
        <v>4632.6747981800054</v>
      </c>
    </row>
    <row r="469" spans="1:16" ht="15" hidden="1" customHeight="1" outlineLevel="1">
      <c r="B469" s="208"/>
      <c r="C469" s="23" t="s">
        <v>311</v>
      </c>
      <c r="D469" s="211"/>
      <c r="E469" s="159"/>
      <c r="F469" s="159"/>
      <c r="G469" s="159"/>
      <c r="H469" s="173"/>
      <c r="I469" s="173"/>
      <c r="J469" s="191"/>
      <c r="K469" s="757">
        <f ca="1">K420</f>
        <v>2059.1162365145228</v>
      </c>
      <c r="L469" s="757">
        <f ca="1">L420</f>
        <v>2212.9091504450676</v>
      </c>
      <c r="M469" s="757">
        <f ca="1">M420</f>
        <v>2378.1886720550729</v>
      </c>
      <c r="N469" s="757">
        <f ca="1">N420</f>
        <v>2555.8127222500575</v>
      </c>
      <c r="O469" s="757">
        <f ca="1">O420</f>
        <v>2746.7032990156217</v>
      </c>
    </row>
    <row r="470" spans="1:16" ht="15" hidden="1" customHeight="1" outlineLevel="1">
      <c r="B470" s="208"/>
      <c r="C470" s="23" t="s">
        <v>288</v>
      </c>
      <c r="D470" s="211"/>
      <c r="E470" s="159"/>
      <c r="F470" s="159"/>
      <c r="G470" s="159"/>
      <c r="H470" s="173"/>
      <c r="I470" s="173"/>
      <c r="J470" s="191"/>
      <c r="K470" s="191">
        <f ca="1">SUM(K468:K469)</f>
        <v>8640.1676984526966</v>
      </c>
      <c r="L470" s="191">
        <f ca="1">SUM(L468:L469)</f>
        <v>8493.0857904022851</v>
      </c>
      <c r="M470" s="191">
        <f ca="1">SUM(M468:M469)</f>
        <v>8249.5497008654893</v>
      </c>
      <c r="N470" s="191">
        <f ca="1">SUM(N468:N469)</f>
        <v>7908.0781828904783</v>
      </c>
      <c r="O470" s="191">
        <f ca="1">SUM(O468:O469)</f>
        <v>7379.3780971956276</v>
      </c>
    </row>
    <row r="471" spans="1:16" ht="15" hidden="1" customHeight="1" outlineLevel="1">
      <c r="B471" s="208"/>
      <c r="C471" s="13"/>
      <c r="D471" s="211"/>
      <c r="E471" s="159"/>
      <c r="F471" s="159"/>
      <c r="G471" s="159"/>
      <c r="H471" s="173"/>
      <c r="I471" s="191"/>
      <c r="J471" s="191"/>
      <c r="K471" s="191"/>
      <c r="L471" s="191"/>
      <c r="M471" s="191"/>
      <c r="N471" s="191"/>
      <c r="O471" s="191"/>
    </row>
    <row r="472" spans="1:16" ht="15" hidden="1" customHeight="1" outlineLevel="1">
      <c r="B472" s="202"/>
      <c r="C472" s="202"/>
      <c r="D472" s="202"/>
      <c r="E472" s="202"/>
      <c r="F472" s="202"/>
      <c r="G472" s="202"/>
      <c r="H472" s="202"/>
      <c r="I472" s="202"/>
      <c r="J472" s="202"/>
      <c r="K472" s="202"/>
      <c r="L472" s="202"/>
      <c r="M472" s="202"/>
      <c r="N472" s="202"/>
      <c r="O472" s="202"/>
    </row>
    <row r="473" spans="1:16" ht="15" customHeight="1" collapsed="1"/>
    <row r="474" spans="1:16" ht="15" customHeight="1">
      <c r="A474" s="427" t="s">
        <v>91</v>
      </c>
      <c r="B474" s="528" t="s">
        <v>342</v>
      </c>
      <c r="C474" s="163"/>
      <c r="D474" s="164"/>
      <c r="E474" s="165"/>
      <c r="F474" s="205"/>
      <c r="G474" s="206"/>
      <c r="H474" s="206"/>
      <c r="I474" s="206"/>
      <c r="J474" s="206"/>
      <c r="K474" s="206"/>
      <c r="L474" s="206"/>
      <c r="M474" s="206"/>
      <c r="N474" s="206"/>
      <c r="O474" s="206"/>
      <c r="P474" s="259"/>
    </row>
    <row r="475" spans="1:16" ht="15" hidden="1" customHeight="1" outlineLevel="1">
      <c r="C475" s="167"/>
      <c r="D475" s="168"/>
      <c r="E475" s="169"/>
      <c r="F475" s="170"/>
      <c r="G475" s="170"/>
      <c r="H475" s="170"/>
      <c r="I475" s="170"/>
      <c r="J475" s="263"/>
      <c r="K475" s="170"/>
      <c r="L475" s="170"/>
      <c r="M475" s="170"/>
      <c r="N475" s="170"/>
      <c r="O475" s="170"/>
      <c r="P475" s="162"/>
    </row>
    <row r="476" spans="1:16" ht="15" hidden="1" customHeight="1" outlineLevel="1" thickBot="1">
      <c r="B476" s="10" t="s">
        <v>19</v>
      </c>
      <c r="C476" s="142"/>
      <c r="D476" s="168"/>
      <c r="E476" s="171"/>
      <c r="F476" s="171"/>
      <c r="G476" s="171"/>
      <c r="H476" s="264"/>
      <c r="I476" s="11"/>
      <c r="J476" s="148" t="s">
        <v>148</v>
      </c>
      <c r="K476" s="75">
        <f>$K$5</f>
        <v>2023</v>
      </c>
      <c r="L476" s="75">
        <f>K476+1</f>
        <v>2024</v>
      </c>
      <c r="M476" s="75">
        <f>L476+1</f>
        <v>2025</v>
      </c>
      <c r="N476" s="75">
        <f>M476+1</f>
        <v>2026</v>
      </c>
      <c r="O476" s="75">
        <f>N476+1</f>
        <v>2027</v>
      </c>
      <c r="P476" s="162"/>
    </row>
    <row r="477" spans="1:16" ht="15" hidden="1" customHeight="1" outlineLevel="1">
      <c r="B477" s="10" t="str">
        <f>$B$6</f>
        <v>Model Running: Base Case Drivers</v>
      </c>
      <c r="C477" s="142"/>
      <c r="D477" s="168"/>
      <c r="E477" s="171"/>
      <c r="F477" s="171"/>
      <c r="G477" s="171"/>
      <c r="H477" s="171"/>
      <c r="I477" s="171"/>
      <c r="J477" s="162"/>
      <c r="K477" s="162"/>
      <c r="L477" s="162"/>
      <c r="M477" s="162"/>
      <c r="N477" s="162"/>
      <c r="O477" s="162"/>
      <c r="P477" s="162"/>
    </row>
    <row r="478" spans="1:16" ht="15" hidden="1" customHeight="1" outlineLevel="1">
      <c r="B478" s="10"/>
      <c r="C478" s="142"/>
      <c r="D478" s="168"/>
      <c r="E478" s="171"/>
      <c r="F478" s="171"/>
      <c r="G478" s="171"/>
      <c r="H478" s="171"/>
      <c r="I478" s="171"/>
      <c r="J478" s="162"/>
      <c r="K478" s="162"/>
      <c r="L478" s="162"/>
      <c r="M478" s="162"/>
      <c r="N478" s="162"/>
      <c r="O478" s="162"/>
      <c r="P478" s="162"/>
    </row>
    <row r="479" spans="1:16" ht="15" hidden="1" customHeight="1" outlineLevel="1">
      <c r="C479" s="142"/>
      <c r="D479" s="168"/>
      <c r="E479" s="171"/>
      <c r="F479" s="171"/>
      <c r="G479" s="171"/>
      <c r="H479" s="171"/>
      <c r="I479" s="171"/>
      <c r="J479" s="162"/>
      <c r="K479" s="162"/>
      <c r="L479" s="162"/>
      <c r="M479" s="162"/>
      <c r="N479" s="162"/>
      <c r="O479" s="162"/>
      <c r="P479" s="162"/>
    </row>
    <row r="480" spans="1:16" ht="15" hidden="1" customHeight="1" outlineLevel="1">
      <c r="B480" s="208" t="s">
        <v>159</v>
      </c>
      <c r="C480" s="207"/>
      <c r="D480" s="207"/>
      <c r="F480" s="208"/>
      <c r="G480" s="207"/>
      <c r="H480" s="207"/>
      <c r="I480" s="208"/>
      <c r="J480" s="208"/>
      <c r="K480" s="208"/>
      <c r="L480" s="207"/>
      <c r="M480" s="207"/>
      <c r="N480" s="207"/>
      <c r="O480" s="207"/>
      <c r="P480" s="437"/>
    </row>
    <row r="481" spans="1:16" ht="15" hidden="1" customHeight="1" outlineLevel="1">
      <c r="C481" s="23" t="s">
        <v>7</v>
      </c>
      <c r="D481" s="211"/>
      <c r="F481" s="191"/>
      <c r="G481" s="173"/>
      <c r="H481" s="188"/>
      <c r="I481" s="191"/>
      <c r="J481" s="200"/>
      <c r="K481" s="191">
        <f>J484</f>
        <v>78802.352960000004</v>
      </c>
      <c r="L481" s="173">
        <f>K484</f>
        <v>78802.352960000004</v>
      </c>
      <c r="M481" s="173">
        <f>L484</f>
        <v>78802.352960000004</v>
      </c>
      <c r="N481" s="173">
        <f>M484</f>
        <v>78802.352960000004</v>
      </c>
      <c r="O481" s="173">
        <f>N484</f>
        <v>78802.352960000004</v>
      </c>
      <c r="P481" s="437"/>
    </row>
    <row r="482" spans="1:16" ht="15" hidden="1" customHeight="1" outlineLevel="1">
      <c r="C482" s="23" t="s">
        <v>145</v>
      </c>
      <c r="D482" s="438"/>
      <c r="F482" s="200"/>
      <c r="G482" s="174"/>
      <c r="H482" s="174"/>
      <c r="I482" s="200"/>
      <c r="J482" s="200"/>
      <c r="K482" s="191">
        <f>Inputs!H89</f>
        <v>0</v>
      </c>
      <c r="L482" s="191">
        <f>Inputs!I89</f>
        <v>0</v>
      </c>
      <c r="M482" s="191">
        <f>Inputs!J89</f>
        <v>0</v>
      </c>
      <c r="N482" s="191">
        <f>Inputs!K89</f>
        <v>0</v>
      </c>
      <c r="O482" s="191">
        <f>Inputs!L89</f>
        <v>0</v>
      </c>
      <c r="P482" s="437"/>
    </row>
    <row r="483" spans="1:16" ht="15" hidden="1" customHeight="1" outlineLevel="1">
      <c r="C483" s="23" t="s">
        <v>146</v>
      </c>
      <c r="D483" s="438"/>
      <c r="F483" s="200"/>
      <c r="G483" s="200"/>
      <c r="H483" s="200"/>
      <c r="I483" s="200"/>
      <c r="J483" s="268"/>
      <c r="K483" s="191">
        <f>Inputs!H96</f>
        <v>0</v>
      </c>
      <c r="L483" s="191">
        <f>Inputs!I96</f>
        <v>0</v>
      </c>
      <c r="M483" s="191">
        <f>Inputs!J96</f>
        <v>0</v>
      </c>
      <c r="N483" s="191">
        <f>Inputs!K96</f>
        <v>0</v>
      </c>
      <c r="O483" s="191">
        <f>Inputs!L96</f>
        <v>0</v>
      </c>
      <c r="P483" s="437"/>
    </row>
    <row r="484" spans="1:16" ht="15" hidden="1" customHeight="1" outlineLevel="1">
      <c r="C484" s="13" t="s">
        <v>8</v>
      </c>
      <c r="D484" s="436"/>
      <c r="F484" s="191"/>
      <c r="G484" s="191"/>
      <c r="H484" s="191"/>
      <c r="I484" s="191"/>
      <c r="J484" s="759">
        <f>+Transaction!C60</f>
        <v>78802.352960000004</v>
      </c>
      <c r="K484" s="730">
        <f>SUM(K481:K483)</f>
        <v>78802.352960000004</v>
      </c>
      <c r="L484" s="730">
        <f>SUM(L481:L483)</f>
        <v>78802.352960000004</v>
      </c>
      <c r="M484" s="730">
        <f>SUM(M481:M483)</f>
        <v>78802.352960000004</v>
      </c>
      <c r="N484" s="730">
        <f>SUM(N481:N483)</f>
        <v>78802.352960000004</v>
      </c>
      <c r="O484" s="730">
        <f>SUM(O481:O483)</f>
        <v>78802.352960000004</v>
      </c>
      <c r="P484" s="437"/>
    </row>
    <row r="485" spans="1:16" ht="15" hidden="1" customHeight="1" outlineLevel="1">
      <c r="B485" s="208"/>
      <c r="C485" s="208"/>
      <c r="D485" s="212"/>
      <c r="F485" s="193"/>
      <c r="G485" s="193"/>
      <c r="H485" s="193"/>
      <c r="I485" s="193"/>
      <c r="J485" s="193"/>
      <c r="K485" s="193"/>
      <c r="L485" s="193"/>
      <c r="M485" s="193"/>
      <c r="N485" s="193"/>
      <c r="O485" s="193"/>
      <c r="P485" s="258"/>
    </row>
    <row r="486" spans="1:16" ht="15" hidden="1" customHeight="1" outlineLevel="1">
      <c r="B486" s="158"/>
      <c r="C486" s="158"/>
      <c r="D486" s="436"/>
      <c r="F486" s="191"/>
      <c r="G486" s="191"/>
      <c r="H486" s="191"/>
      <c r="I486" s="191"/>
      <c r="J486" s="191"/>
      <c r="K486" s="191"/>
      <c r="L486" s="191"/>
      <c r="M486" s="191"/>
      <c r="N486" s="191"/>
      <c r="O486" s="191"/>
      <c r="P486" s="437"/>
    </row>
    <row r="487" spans="1:16" ht="15" hidden="1" customHeight="1" outlineLevel="1">
      <c r="B487" s="208" t="s">
        <v>160</v>
      </c>
      <c r="C487" s="208"/>
      <c r="D487" s="208"/>
      <c r="F487" s="193"/>
      <c r="G487" s="193"/>
      <c r="H487" s="195"/>
      <c r="I487" s="193"/>
      <c r="J487" s="193"/>
      <c r="K487" s="193"/>
      <c r="L487" s="195"/>
      <c r="M487" s="195"/>
      <c r="N487" s="195"/>
      <c r="O487" s="195"/>
      <c r="P487" s="437"/>
    </row>
    <row r="488" spans="1:16" ht="15" hidden="1" customHeight="1" outlineLevel="1">
      <c r="C488" s="23" t="s">
        <v>7</v>
      </c>
      <c r="D488" s="436"/>
      <c r="F488" s="201"/>
      <c r="G488" s="191"/>
      <c r="H488" s="173"/>
      <c r="I488" s="191"/>
      <c r="J488" s="191"/>
      <c r="K488" s="191">
        <f>J491</f>
        <v>-4879.1567100000002</v>
      </c>
      <c r="L488" s="173">
        <f ca="1">K491</f>
        <v>548.52399738547865</v>
      </c>
      <c r="M488" s="173">
        <f ca="1">L491</f>
        <v>7408.9275723274268</v>
      </c>
      <c r="N488" s="173">
        <f ca="1">M491</f>
        <v>15633.35870897731</v>
      </c>
      <c r="O488" s="173">
        <f ca="1">N491</f>
        <v>25529.015583333879</v>
      </c>
      <c r="P488" s="437"/>
    </row>
    <row r="489" spans="1:16" ht="15" hidden="1" customHeight="1" outlineLevel="1">
      <c r="C489" s="23" t="s">
        <v>411</v>
      </c>
      <c r="D489" s="435"/>
      <c r="F489" s="192"/>
      <c r="G489" s="191"/>
      <c r="H489" s="173"/>
      <c r="I489" s="191"/>
      <c r="J489" s="191"/>
      <c r="K489" s="191">
        <f ca="1">K123</f>
        <v>5427.6807073854789</v>
      </c>
      <c r="L489" s="173">
        <f ca="1">L123</f>
        <v>6860.4035749419481</v>
      </c>
      <c r="M489" s="173">
        <f ca="1">M123</f>
        <v>8224.4311366498841</v>
      </c>
      <c r="N489" s="173">
        <f ca="1">N123</f>
        <v>9895.6568743565713</v>
      </c>
      <c r="O489" s="173">
        <f ca="1">O123</f>
        <v>11535.229020410228</v>
      </c>
      <c r="P489" s="437"/>
    </row>
    <row r="490" spans="1:16" ht="15" hidden="1" customHeight="1" outlineLevel="1">
      <c r="C490" s="23" t="s">
        <v>147</v>
      </c>
      <c r="D490" s="435"/>
      <c r="F490" s="197"/>
      <c r="G490" s="200"/>
      <c r="H490" s="200"/>
      <c r="I490" s="200"/>
      <c r="J490" s="268"/>
      <c r="K490" s="191">
        <f>Inputs!H82</f>
        <v>0</v>
      </c>
      <c r="L490" s="191">
        <f>Inputs!I82</f>
        <v>0</v>
      </c>
      <c r="M490" s="191">
        <f>Inputs!J82</f>
        <v>0</v>
      </c>
      <c r="N490" s="191">
        <f>Inputs!K82</f>
        <v>0</v>
      </c>
      <c r="O490" s="191">
        <f>Inputs!L82</f>
        <v>0</v>
      </c>
      <c r="P490" s="437"/>
    </row>
    <row r="491" spans="1:16" ht="15" hidden="1" customHeight="1" outlineLevel="1">
      <c r="C491" s="13" t="s">
        <v>8</v>
      </c>
      <c r="D491" s="435"/>
      <c r="F491" s="192"/>
      <c r="G491" s="191"/>
      <c r="H491" s="191"/>
      <c r="I491" s="191"/>
      <c r="J491" s="759">
        <f>-Transaction!N11</f>
        <v>-4879.1567100000002</v>
      </c>
      <c r="K491" s="730">
        <f ca="1">SUM(K488:K490)</f>
        <v>548.52399738547865</v>
      </c>
      <c r="L491" s="730">
        <f ca="1">SUM(L488:L490)</f>
        <v>7408.9275723274268</v>
      </c>
      <c r="M491" s="730">
        <f ca="1">SUM(M488:M490)</f>
        <v>15633.35870897731</v>
      </c>
      <c r="N491" s="730">
        <f ca="1">SUM(N488:N490)</f>
        <v>25529.015583333879</v>
      </c>
      <c r="O491" s="730">
        <f ca="1">SUM(O488:O490)</f>
        <v>37064.244603744111</v>
      </c>
      <c r="P491" s="437"/>
    </row>
    <row r="492" spans="1:16" ht="15" hidden="1" customHeight="1" outlineLevel="1">
      <c r="C492" s="204"/>
      <c r="D492" s="150"/>
      <c r="E492" s="435"/>
      <c r="F492" s="192"/>
      <c r="G492" s="192"/>
      <c r="H492" s="192"/>
      <c r="I492" s="192"/>
      <c r="J492" s="192"/>
      <c r="K492" s="192"/>
      <c r="L492" s="192"/>
      <c r="M492" s="192"/>
      <c r="N492" s="192"/>
      <c r="O492" s="192"/>
      <c r="P492" s="437"/>
    </row>
    <row r="493" spans="1:16" ht="15" hidden="1" customHeight="1" outlineLevel="1">
      <c r="B493" s="428"/>
      <c r="C493" s="202"/>
      <c r="D493" s="202"/>
      <c r="E493" s="202"/>
      <c r="F493" s="202"/>
      <c r="G493" s="202"/>
      <c r="H493" s="202"/>
      <c r="I493" s="202"/>
      <c r="J493" s="202"/>
      <c r="K493" s="202"/>
      <c r="L493" s="202"/>
      <c r="M493" s="202"/>
      <c r="N493" s="202"/>
      <c r="O493" s="202"/>
      <c r="P493" s="437"/>
    </row>
    <row r="494" spans="1:16" ht="15" customHeight="1" collapsed="1">
      <c r="C494" s="158"/>
      <c r="D494" s="159"/>
      <c r="E494" s="159"/>
      <c r="F494" s="159"/>
      <c r="G494" s="159"/>
      <c r="H494" s="159"/>
      <c r="I494" s="159"/>
      <c r="J494" s="159"/>
      <c r="K494" s="159"/>
      <c r="L494" s="159"/>
      <c r="M494" s="159"/>
      <c r="N494" s="159"/>
      <c r="O494" s="159"/>
      <c r="P494" s="158"/>
    </row>
    <row r="495" spans="1:16" ht="15" customHeight="1">
      <c r="A495" s="427" t="s">
        <v>91</v>
      </c>
      <c r="B495" s="528" t="s">
        <v>343</v>
      </c>
      <c r="C495" s="163"/>
      <c r="D495" s="164"/>
      <c r="E495" s="165"/>
      <c r="F495" s="205"/>
      <c r="G495" s="206"/>
      <c r="H495" s="206"/>
      <c r="I495" s="206"/>
      <c r="J495" s="206"/>
      <c r="K495" s="206"/>
      <c r="L495" s="206"/>
      <c r="M495" s="206"/>
      <c r="N495" s="206"/>
      <c r="O495" s="206"/>
      <c r="P495" s="158"/>
    </row>
    <row r="496" spans="1:16" ht="15" hidden="1" customHeight="1" outlineLevel="1">
      <c r="C496" s="167"/>
      <c r="D496" s="168"/>
      <c r="E496" s="169"/>
      <c r="F496" s="170"/>
      <c r="G496" s="170"/>
      <c r="H496" s="170"/>
      <c r="I496" s="170"/>
      <c r="J496" s="170"/>
      <c r="K496" s="170"/>
      <c r="L496" s="170"/>
      <c r="M496" s="170"/>
      <c r="N496" s="170"/>
      <c r="O496" s="170"/>
      <c r="P496" s="158"/>
    </row>
    <row r="497" spans="2:16" ht="15" hidden="1" customHeight="1" outlineLevel="1">
      <c r="B497" s="10" t="s">
        <v>19</v>
      </c>
      <c r="C497" s="142"/>
      <c r="D497" s="168"/>
      <c r="E497" s="171"/>
      <c r="F497" s="171"/>
      <c r="G497" s="171"/>
      <c r="H497" s="171"/>
      <c r="J497" s="170"/>
      <c r="K497" s="546">
        <f>$K$5</f>
        <v>2023</v>
      </c>
      <c r="L497" s="547">
        <f>K497+1</f>
        <v>2024</v>
      </c>
      <c r="M497" s="547">
        <f>L497+1</f>
        <v>2025</v>
      </c>
      <c r="N497" s="547">
        <f>M497+1</f>
        <v>2026</v>
      </c>
      <c r="O497" s="547">
        <f>N497+1</f>
        <v>2027</v>
      </c>
    </row>
    <row r="498" spans="2:16" ht="15" hidden="1" customHeight="1" outlineLevel="1" thickBot="1">
      <c r="B498" s="10" t="str">
        <f>$B$6</f>
        <v>Model Running: Base Case Drivers</v>
      </c>
      <c r="C498" s="142"/>
      <c r="D498" s="168"/>
      <c r="E498" s="171"/>
      <c r="F498" s="171"/>
      <c r="G498" s="171"/>
      <c r="H498" s="171"/>
      <c r="J498" s="170"/>
      <c r="K498" s="544">
        <v>1</v>
      </c>
      <c r="L498" s="544">
        <v>2</v>
      </c>
      <c r="M498" s="544">
        <v>3</v>
      </c>
      <c r="N498" s="544">
        <v>4</v>
      </c>
      <c r="O498" s="544">
        <v>5</v>
      </c>
    </row>
    <row r="499" spans="2:16" ht="15" hidden="1" customHeight="1" outlineLevel="1">
      <c r="C499" s="142"/>
      <c r="D499" s="168" t="s">
        <v>91</v>
      </c>
      <c r="E499" s="171"/>
      <c r="F499" s="171"/>
      <c r="G499" s="171"/>
      <c r="H499" s="171"/>
      <c r="J499" s="171"/>
      <c r="K499" s="548"/>
      <c r="L499" s="548"/>
      <c r="M499" s="548"/>
      <c r="N499" s="548"/>
      <c r="O499" s="548"/>
    </row>
    <row r="500" spans="2:16" ht="15" hidden="1" customHeight="1" outlineLevel="1">
      <c r="B500" s="335" t="s">
        <v>349</v>
      </c>
      <c r="C500" s="208"/>
      <c r="D500" s="208"/>
      <c r="F500" s="193"/>
      <c r="G500" s="193"/>
      <c r="H500" s="195"/>
      <c r="I500" s="193"/>
      <c r="J500" s="193"/>
      <c r="K500" s="193"/>
      <c r="L500" s="195"/>
      <c r="M500" s="195"/>
      <c r="N500" s="195"/>
      <c r="O500" s="195"/>
      <c r="P500" s="437"/>
    </row>
    <row r="501" spans="2:16" ht="15" hidden="1" customHeight="1" outlineLevel="1">
      <c r="C501" s="23" t="s">
        <v>36</v>
      </c>
      <c r="E501" s="187"/>
      <c r="F501" s="213"/>
      <c r="G501" s="213"/>
      <c r="H501" s="213"/>
      <c r="J501" s="192"/>
      <c r="K501" s="184">
        <f>K107</f>
        <v>20042.950308300002</v>
      </c>
      <c r="L501" s="184">
        <f>L107</f>
        <v>22016.165556991549</v>
      </c>
      <c r="M501" s="184">
        <f>M107</f>
        <v>23808.832883065334</v>
      </c>
      <c r="N501" s="184">
        <f>N107</f>
        <v>25920.662348699239</v>
      </c>
      <c r="O501" s="184">
        <f>O107</f>
        <v>27813.058457742598</v>
      </c>
    </row>
    <row r="502" spans="2:16" ht="15" hidden="1" customHeight="1" outlineLevel="1">
      <c r="C502" s="23" t="s">
        <v>39</v>
      </c>
      <c r="K502" s="184">
        <f ca="1">+K304</f>
        <v>0</v>
      </c>
      <c r="L502" s="184">
        <f ca="1">+L304</f>
        <v>0</v>
      </c>
      <c r="M502" s="184">
        <f ca="1">+M304</f>
        <v>0</v>
      </c>
      <c r="N502" s="184">
        <f ca="1">+N304</f>
        <v>2786.1074014237934</v>
      </c>
      <c r="O502" s="184">
        <f ca="1">+O304</f>
        <v>3766.4563445898671</v>
      </c>
      <c r="P502" s="561"/>
    </row>
    <row r="503" spans="2:16" ht="15" hidden="1" customHeight="1" outlineLevel="1">
      <c r="C503" s="23" t="s">
        <v>60</v>
      </c>
      <c r="E503" s="199"/>
      <c r="F503" s="214"/>
      <c r="G503" s="214"/>
      <c r="H503" s="214"/>
      <c r="J503" s="191"/>
      <c r="K503" s="184">
        <f>+K254</f>
        <v>4100</v>
      </c>
      <c r="L503" s="184">
        <f>+L254</f>
        <v>4300</v>
      </c>
      <c r="M503" s="184">
        <f>+M254</f>
        <v>4400</v>
      </c>
      <c r="N503" s="184">
        <f>+N254</f>
        <v>4600</v>
      </c>
      <c r="O503" s="184">
        <f>+O254</f>
        <v>4800</v>
      </c>
    </row>
    <row r="504" spans="2:16" ht="15" hidden="1" customHeight="1" outlineLevel="1">
      <c r="C504" s="23" t="s">
        <v>288</v>
      </c>
      <c r="E504" s="187"/>
      <c r="F504" s="213"/>
      <c r="G504" s="213"/>
      <c r="H504" s="213"/>
      <c r="J504" s="192"/>
      <c r="K504" s="184">
        <f ca="1">+K470</f>
        <v>8640.1676984526966</v>
      </c>
      <c r="L504" s="184">
        <f ca="1">+L470</f>
        <v>8493.0857904022851</v>
      </c>
      <c r="M504" s="184">
        <f ca="1">+M470</f>
        <v>8249.5497008654893</v>
      </c>
      <c r="N504" s="184">
        <f ca="1">+N470</f>
        <v>7908.0781828904783</v>
      </c>
      <c r="O504" s="184">
        <f ca="1">+O470</f>
        <v>7379.3780971956276</v>
      </c>
    </row>
    <row r="505" spans="2:16" ht="15" hidden="1" customHeight="1" outlineLevel="1">
      <c r="C505" s="23" t="s">
        <v>289</v>
      </c>
      <c r="E505" s="199"/>
      <c r="F505" s="214"/>
      <c r="G505" s="214"/>
      <c r="H505" s="214"/>
      <c r="J505" s="191"/>
      <c r="K505" s="184">
        <f>-K326</f>
        <v>9557.3498799999998</v>
      </c>
      <c r="L505" s="184">
        <f ca="1">-L326</f>
        <v>9557.3498799999998</v>
      </c>
      <c r="M505" s="184">
        <f ca="1">-M326</f>
        <v>9557.3498799999998</v>
      </c>
      <c r="N505" s="184">
        <f ca="1">-N326</f>
        <v>9557.3498799999998</v>
      </c>
      <c r="O505" s="184">
        <f ca="1">-O326</f>
        <v>6499.798862832462</v>
      </c>
    </row>
    <row r="506" spans="2:16" ht="15" hidden="1" customHeight="1" outlineLevel="1">
      <c r="C506" s="13" t="s">
        <v>105</v>
      </c>
      <c r="E506" s="187"/>
      <c r="F506" s="213"/>
      <c r="G506" s="213"/>
      <c r="H506" s="213"/>
      <c r="J506" s="191"/>
      <c r="K506" s="184">
        <f ca="1">K453</f>
        <v>108133.77352335543</v>
      </c>
      <c r="L506" s="184">
        <f ca="1">L453</f>
        <v>99271.651708970254</v>
      </c>
      <c r="M506" s="184">
        <f ca="1">M453</f>
        <v>88455.182598281302</v>
      </c>
      <c r="N506" s="184">
        <f ca="1">N453</f>
        <v>78196.190244097175</v>
      </c>
      <c r="O506" s="184">
        <f ca="1">O453</f>
        <v>66672.65296669933</v>
      </c>
    </row>
    <row r="507" spans="2:16" ht="15" hidden="1" customHeight="1" outlineLevel="1">
      <c r="B507" s="335"/>
      <c r="C507" s="387"/>
      <c r="E507" s="215"/>
      <c r="F507" s="543"/>
      <c r="G507" s="208"/>
      <c r="I507" s="193"/>
      <c r="J507" s="193"/>
      <c r="K507" s="193"/>
      <c r="L507" s="195"/>
      <c r="M507" s="195"/>
      <c r="N507" s="195"/>
      <c r="O507" s="195"/>
      <c r="P507" s="437"/>
    </row>
    <row r="508" spans="2:16" ht="15" hidden="1" customHeight="1" outlineLevel="1">
      <c r="C508" s="208"/>
      <c r="D508" s="208"/>
      <c r="F508" s="195"/>
      <c r="G508" s="193"/>
      <c r="H508" s="623"/>
      <c r="I508" s="193"/>
      <c r="J508" s="193"/>
      <c r="P508" s="437"/>
    </row>
    <row r="509" spans="2:16" ht="15" hidden="1" customHeight="1" outlineLevel="1">
      <c r="B509" s="335" t="s">
        <v>234</v>
      </c>
      <c r="D509" s="208"/>
      <c r="G509" s="193"/>
      <c r="H509" s="387" t="s">
        <v>238</v>
      </c>
      <c r="I509" s="193"/>
      <c r="J509" s="193"/>
      <c r="K509" s="794">
        <f>IF(K498&lt;=$H$511,1,0)</f>
        <v>1</v>
      </c>
      <c r="L509" s="795">
        <f>IF(L498&lt;=$H$511,1,0)</f>
        <v>1</v>
      </c>
      <c r="M509" s="795">
        <f>IF(M498&lt;=$H$511,1,0)</f>
        <v>1</v>
      </c>
      <c r="N509" s="795">
        <f>IF(N498&lt;=$H$511,1,0)</f>
        <v>0</v>
      </c>
      <c r="O509" s="796">
        <f>IF(O498&lt;=$H$511,1,0)</f>
        <v>0</v>
      </c>
      <c r="P509" s="437"/>
    </row>
    <row r="510" spans="2:16" ht="15" hidden="1" customHeight="1" outlineLevel="1">
      <c r="B510" s="335"/>
      <c r="C510" s="208"/>
      <c r="D510" s="208"/>
      <c r="F510" s="195"/>
      <c r="G510" s="193"/>
      <c r="I510" s="193"/>
      <c r="J510" s="193"/>
      <c r="P510" s="437"/>
    </row>
    <row r="511" spans="2:16" ht="15" hidden="1" customHeight="1" outlineLevel="1">
      <c r="B511" s="335"/>
      <c r="C511" s="387" t="s">
        <v>240</v>
      </c>
      <c r="D511" s="208"/>
      <c r="F511" s="195"/>
      <c r="G511" s="193"/>
      <c r="H511" s="684">
        <f>Transaction!$D$77</f>
        <v>3</v>
      </c>
      <c r="I511" s="193"/>
      <c r="J511" s="193"/>
      <c r="P511" s="437"/>
    </row>
    <row r="512" spans="2:16" ht="15" hidden="1" customHeight="1" outlineLevel="1">
      <c r="B512" s="335"/>
      <c r="C512" s="387" t="s">
        <v>235</v>
      </c>
      <c r="E512" s="215"/>
      <c r="G512" s="208"/>
      <c r="H512" s="685">
        <f>Transaction!$D$78</f>
        <v>4</v>
      </c>
      <c r="I512" s="193"/>
      <c r="J512" s="193"/>
      <c r="K512" s="193"/>
      <c r="L512" s="195"/>
      <c r="M512" s="195"/>
      <c r="N512" s="195"/>
      <c r="O512" s="195"/>
      <c r="P512" s="437"/>
    </row>
    <row r="513" spans="2:16" ht="15" hidden="1" customHeight="1" outlineLevel="1">
      <c r="B513" s="335"/>
      <c r="C513" s="143" t="s">
        <v>352</v>
      </c>
      <c r="E513" s="215"/>
      <c r="G513" s="208"/>
      <c r="H513" s="685">
        <f>Transaction!$D$79</f>
        <v>0.5</v>
      </c>
      <c r="I513" s="193"/>
      <c r="J513" s="193"/>
      <c r="K513" s="193"/>
      <c r="L513" s="195"/>
      <c r="M513" s="195"/>
      <c r="N513" s="195"/>
      <c r="O513" s="195"/>
      <c r="P513" s="437"/>
    </row>
    <row r="514" spans="2:16" ht="15" hidden="1" customHeight="1" outlineLevel="1">
      <c r="B514" s="335"/>
      <c r="C514" s="387" t="s">
        <v>236</v>
      </c>
      <c r="E514" s="215"/>
      <c r="G514" s="208"/>
      <c r="H514" s="811">
        <f>H512+((H511-1)*H513)</f>
        <v>5</v>
      </c>
      <c r="I514" s="193"/>
      <c r="J514" s="193"/>
      <c r="P514" s="437"/>
    </row>
    <row r="515" spans="2:16" ht="15" hidden="1" customHeight="1" outlineLevel="1">
      <c r="B515" s="335"/>
      <c r="C515" s="387"/>
      <c r="E515" s="215"/>
      <c r="G515" s="208"/>
      <c r="H515" s="540"/>
      <c r="I515" s="193"/>
      <c r="J515" s="193"/>
      <c r="P515" s="437"/>
    </row>
    <row r="516" spans="2:16" ht="15" hidden="1" customHeight="1" outlineLevel="1">
      <c r="C516" s="143" t="s">
        <v>353</v>
      </c>
      <c r="H516" s="540"/>
      <c r="J516" s="208"/>
      <c r="K516" s="535">
        <v>0</v>
      </c>
      <c r="L516" s="534">
        <f>$H$513*L509</f>
        <v>0.5</v>
      </c>
      <c r="M516" s="534">
        <f>$H$513*M509</f>
        <v>0.5</v>
      </c>
      <c r="N516" s="534">
        <f>$H$513*N509</f>
        <v>0</v>
      </c>
      <c r="O516" s="534">
        <f>$H$513*O509</f>
        <v>0</v>
      </c>
    </row>
    <row r="517" spans="2:16" ht="15" hidden="1" customHeight="1" outlineLevel="1">
      <c r="C517" s="387" t="s">
        <v>237</v>
      </c>
      <c r="H517" s="540"/>
      <c r="J517" s="208"/>
      <c r="K517" s="534">
        <f>H514</f>
        <v>5</v>
      </c>
      <c r="L517" s="534">
        <f>K517-L516</f>
        <v>4.5</v>
      </c>
      <c r="M517" s="534">
        <f>L517-M516</f>
        <v>4</v>
      </c>
      <c r="N517" s="534">
        <f>M517-N516</f>
        <v>4</v>
      </c>
      <c r="O517" s="534">
        <f>N517-O516</f>
        <v>4</v>
      </c>
    </row>
    <row r="518" spans="2:16" ht="15" hidden="1" customHeight="1" outlineLevel="1">
      <c r="C518" s="387" t="s">
        <v>199</v>
      </c>
      <c r="D518" s="656"/>
      <c r="E518" s="612"/>
      <c r="F518" s="656"/>
      <c r="G518" s="657"/>
      <c r="H518" s="540"/>
      <c r="I518" s="656"/>
      <c r="J518" s="189"/>
      <c r="K518" s="797">
        <f ca="1">IFERROR(K506/K501,"n/a")</f>
        <v>5.3951026101469735</v>
      </c>
      <c r="L518" s="797">
        <f ca="1">IFERROR(L506/L501,"n/a")</f>
        <v>4.5090345751622092</v>
      </c>
      <c r="M518" s="797">
        <f ca="1">IFERROR(M506/M501,"n/a")</f>
        <v>3.7152254809263416</v>
      </c>
      <c r="N518" s="797">
        <f ca="1">IFERROR(N506/N501,"n/a")</f>
        <v>3.016751238535432</v>
      </c>
      <c r="O518" s="797">
        <f ca="1">IFERROR(O506/O501,"n/a")</f>
        <v>2.3971708493691026</v>
      </c>
    </row>
    <row r="519" spans="2:16" ht="15" hidden="1" customHeight="1" outlineLevel="1">
      <c r="C519" s="387"/>
      <c r="D519" s="656"/>
      <c r="E519" s="215"/>
      <c r="F519" s="656"/>
      <c r="G519" s="657"/>
      <c r="H519" s="540"/>
      <c r="I519" s="656"/>
      <c r="J519" s="189"/>
      <c r="K519" s="534"/>
      <c r="L519" s="534"/>
      <c r="M519" s="534"/>
      <c r="N519" s="534"/>
      <c r="O519" s="534"/>
    </row>
    <row r="520" spans="2:16" ht="15" hidden="1" customHeight="1" outlineLevel="1">
      <c r="C520" s="143" t="s">
        <v>356</v>
      </c>
      <c r="D520" s="656"/>
      <c r="E520" s="215"/>
      <c r="G520" s="661"/>
      <c r="H520" s="22" t="s">
        <v>372</v>
      </c>
      <c r="I520" s="656"/>
      <c r="J520" s="189"/>
      <c r="K520" s="184">
        <f ca="1">K501-(K506/K517)</f>
        <v>-1583.8043963710843</v>
      </c>
      <c r="L520" s="184">
        <f ca="1">L501-(L506/L517)</f>
        <v>-44.20148944628454</v>
      </c>
      <c r="M520" s="184">
        <f ca="1">M501-(M506/M517)</f>
        <v>1695.037233495008</v>
      </c>
      <c r="N520" s="184">
        <f ca="1">N501-(N506/N517)</f>
        <v>6371.6147876749455</v>
      </c>
      <c r="O520" s="184">
        <f ca="1">O501-(O506/O517)</f>
        <v>11144.895216067765</v>
      </c>
    </row>
    <row r="521" spans="2:16" ht="15" hidden="1" customHeight="1" outlineLevel="1">
      <c r="C521" s="143" t="s">
        <v>356</v>
      </c>
      <c r="D521" s="656"/>
      <c r="E521" s="215"/>
      <c r="F521" s="656"/>
      <c r="G521" s="661"/>
      <c r="H521" s="22" t="s">
        <v>373</v>
      </c>
      <c r="I521" s="656"/>
      <c r="J521" s="189"/>
      <c r="K521" s="798">
        <f ca="1">K520/K$501</f>
        <v>-7.9020522029394732E-2</v>
      </c>
      <c r="L521" s="798">
        <f ca="1">L520/L$501</f>
        <v>-2.0076833693798112E-3</v>
      </c>
      <c r="M521" s="798">
        <f ca="1">M520/M$501</f>
        <v>7.1193629768414576E-2</v>
      </c>
      <c r="N521" s="798">
        <f ca="1">N520/N$501</f>
        <v>0.24581219036614196</v>
      </c>
      <c r="O521" s="798">
        <f ca="1">O520/O$501</f>
        <v>0.40070728765772434</v>
      </c>
    </row>
    <row r="522" spans="2:16" ht="15" hidden="1" customHeight="1" outlineLevel="1">
      <c r="C522" s="208"/>
      <c r="D522" s="208"/>
      <c r="G522" s="193"/>
      <c r="H522" s="623"/>
      <c r="I522" s="193"/>
      <c r="J522" s="193"/>
      <c r="K522" s="544"/>
      <c r="L522" s="544"/>
      <c r="M522" s="544"/>
      <c r="N522" s="544"/>
      <c r="O522" s="544"/>
      <c r="P522" s="437"/>
    </row>
    <row r="523" spans="2:16" ht="15" hidden="1" customHeight="1" outlineLevel="1">
      <c r="B523" s="335"/>
      <c r="C523" s="208"/>
      <c r="D523" s="208"/>
      <c r="G523" s="193"/>
      <c r="I523" s="193"/>
      <c r="J523" s="193"/>
      <c r="K523" s="544"/>
      <c r="L523" s="545"/>
      <c r="M523" s="545"/>
      <c r="N523" s="545"/>
      <c r="O523" s="545"/>
      <c r="P523" s="437"/>
    </row>
    <row r="524" spans="2:16" ht="15" hidden="1" customHeight="1" outlineLevel="1">
      <c r="B524" s="335" t="s">
        <v>239</v>
      </c>
      <c r="D524" s="208"/>
      <c r="F524" s="193"/>
      <c r="G524" s="193"/>
      <c r="H524" s="387" t="s">
        <v>238</v>
      </c>
      <c r="I524" s="193"/>
      <c r="J524" s="193"/>
      <c r="K524" s="794">
        <f>IF(K498&lt;=$H$526,1,0)</f>
        <v>1</v>
      </c>
      <c r="L524" s="795">
        <f>IF(L498&lt;=$H$526,1,0)</f>
        <v>1</v>
      </c>
      <c r="M524" s="795">
        <f>IF(M498&lt;=$H$526,1,0)</f>
        <v>1</v>
      </c>
      <c r="N524" s="795">
        <f>IF(N498&lt;=$H$526,1,0)</f>
        <v>0</v>
      </c>
      <c r="O524" s="796">
        <f>IF(O498&lt;=$H$526,1,0)</f>
        <v>0</v>
      </c>
      <c r="P524" s="437"/>
    </row>
    <row r="525" spans="2:16" ht="15" hidden="1" customHeight="1" outlineLevel="1">
      <c r="B525" s="335"/>
      <c r="C525" s="208"/>
      <c r="D525" s="208"/>
      <c r="F525" s="195"/>
      <c r="G525" s="193"/>
      <c r="I525" s="193"/>
      <c r="J525" s="193"/>
      <c r="P525" s="437"/>
    </row>
    <row r="526" spans="2:16" ht="15" hidden="1" customHeight="1" outlineLevel="1">
      <c r="B526" s="335"/>
      <c r="C526" s="387" t="s">
        <v>240</v>
      </c>
      <c r="D526" s="208"/>
      <c r="F526" s="195"/>
      <c r="G526" s="193"/>
      <c r="H526" s="684">
        <f>Transaction!$D$77</f>
        <v>3</v>
      </c>
      <c r="I526" s="193"/>
      <c r="J526" s="193"/>
      <c r="P526" s="437"/>
    </row>
    <row r="527" spans="2:16" ht="15" hidden="1" customHeight="1" outlineLevel="1">
      <c r="B527" s="335"/>
      <c r="C527" s="387" t="s">
        <v>235</v>
      </c>
      <c r="E527" s="215"/>
      <c r="G527" s="208"/>
      <c r="H527" s="685">
        <f>+Transaction!$D$80</f>
        <v>1</v>
      </c>
      <c r="I527" s="193"/>
      <c r="J527" s="193"/>
      <c r="K527" s="193"/>
      <c r="L527" s="195"/>
      <c r="M527" s="195"/>
      <c r="N527" s="195"/>
      <c r="O527" s="195"/>
      <c r="P527" s="437"/>
    </row>
    <row r="528" spans="2:16" ht="15" hidden="1" customHeight="1" outlineLevel="1">
      <c r="B528" s="335"/>
      <c r="C528" s="143" t="s">
        <v>354</v>
      </c>
      <c r="E528" s="215"/>
      <c r="G528" s="208"/>
      <c r="H528" s="685">
        <f>Transaction!$D$81</f>
        <v>0.1</v>
      </c>
      <c r="I528" s="193"/>
      <c r="J528" s="193"/>
      <c r="K528" s="193"/>
      <c r="L528" s="195"/>
      <c r="M528" s="195"/>
      <c r="N528" s="195"/>
      <c r="O528" s="195"/>
      <c r="P528" s="437"/>
    </row>
    <row r="529" spans="1:16" ht="15" hidden="1" customHeight="1" outlineLevel="1">
      <c r="B529" s="335"/>
      <c r="C529" s="387" t="s">
        <v>236</v>
      </c>
      <c r="E529" s="215"/>
      <c r="G529" s="208"/>
      <c r="H529" s="811">
        <f>H527-((H526-1)*H528)</f>
        <v>0.8</v>
      </c>
      <c r="I529" s="193"/>
      <c r="J529" s="193"/>
      <c r="P529" s="437"/>
    </row>
    <row r="530" spans="1:16" ht="15" hidden="1" customHeight="1" outlineLevel="1">
      <c r="C530" s="13"/>
      <c r="E530" s="215"/>
      <c r="F530" s="537"/>
      <c r="G530" s="208"/>
      <c r="J530" s="208"/>
      <c r="K530" s="538"/>
      <c r="L530" s="538"/>
      <c r="M530" s="538"/>
      <c r="N530" s="538"/>
      <c r="O530" s="538"/>
    </row>
    <row r="531" spans="1:16" ht="15" hidden="1" customHeight="1" outlineLevel="1">
      <c r="B531" s="335"/>
      <c r="C531" s="143" t="s">
        <v>355</v>
      </c>
      <c r="E531" s="215"/>
      <c r="F531" s="540"/>
      <c r="G531" s="208"/>
      <c r="J531" s="208"/>
      <c r="K531" s="535">
        <v>0</v>
      </c>
      <c r="L531" s="534">
        <f>$H$528*L524</f>
        <v>0.1</v>
      </c>
      <c r="M531" s="534">
        <f>$H$528*M524</f>
        <v>0.1</v>
      </c>
      <c r="N531" s="534">
        <f>$H$528*N524</f>
        <v>0</v>
      </c>
      <c r="O531" s="534">
        <f>$H$528*O524</f>
        <v>0</v>
      </c>
    </row>
    <row r="532" spans="1:16" ht="15" hidden="1" customHeight="1" outlineLevel="1">
      <c r="C532" s="387" t="s">
        <v>237</v>
      </c>
      <c r="E532" s="215"/>
      <c r="F532" s="540"/>
      <c r="G532" s="208"/>
      <c r="J532" s="208"/>
      <c r="K532" s="799">
        <f>H529</f>
        <v>0.8</v>
      </c>
      <c r="L532" s="799">
        <f>K532+L531</f>
        <v>0.9</v>
      </c>
      <c r="M532" s="799">
        <f>L532+M531</f>
        <v>1</v>
      </c>
      <c r="N532" s="799">
        <f>M532+N531</f>
        <v>1</v>
      </c>
      <c r="O532" s="799">
        <f>N532+O531</f>
        <v>1</v>
      </c>
    </row>
    <row r="533" spans="1:16" ht="15" hidden="1" customHeight="1" outlineLevel="1">
      <c r="C533" s="387" t="s">
        <v>215</v>
      </c>
      <c r="E533" s="215"/>
      <c r="F533" s="208"/>
      <c r="G533" s="208"/>
      <c r="J533" s="208"/>
      <c r="K533" s="534">
        <f ca="1">IFERROR((K501-K502-K503)/(K505+K504),"n/a")</f>
        <v>0.87610577869026052</v>
      </c>
      <c r="L533" s="534">
        <f ca="1">IFERROR((L501-L502-L503)/(L505+L504),"n/a")</f>
        <v>0.98148132712614533</v>
      </c>
      <c r="M533" s="534">
        <f ca="1">IFERROR((M501-M502-M503)/(M505+M504),"n/a")</f>
        <v>1.0899613823801879</v>
      </c>
      <c r="N533" s="534">
        <f ca="1">IFERROR((N501-N502-N503)/(N505+N504),"n/a")</f>
        <v>1.0612138952755807</v>
      </c>
      <c r="O533" s="534">
        <f ca="1">IFERROR((O501-O502-O503)/(O505+O504),"n/a")</f>
        <v>1.3867250319368922</v>
      </c>
    </row>
    <row r="534" spans="1:16" ht="15" hidden="1" customHeight="1" outlineLevel="1">
      <c r="C534" s="387"/>
      <c r="E534" s="215"/>
      <c r="F534" s="208"/>
      <c r="G534" s="208"/>
      <c r="J534" s="208"/>
      <c r="K534" s="534"/>
      <c r="L534" s="534"/>
      <c r="M534" s="534"/>
      <c r="N534" s="534"/>
      <c r="O534" s="534"/>
    </row>
    <row r="535" spans="1:16" ht="15" hidden="1" customHeight="1" outlineLevel="1">
      <c r="C535" s="143" t="s">
        <v>356</v>
      </c>
      <c r="D535" s="656"/>
      <c r="E535" s="658"/>
      <c r="F535" s="659"/>
      <c r="G535" s="657"/>
      <c r="H535" s="22" t="s">
        <v>372</v>
      </c>
      <c r="I535" s="659"/>
      <c r="J535" s="660"/>
      <c r="K535" s="184">
        <f ca="1">K501-(K532*(K504+K505))-K502-K503</f>
        <v>1384.936245537845</v>
      </c>
      <c r="L535" s="184">
        <f ca="1">L501-(L532*(L504+L505))-L502-L503</f>
        <v>1470.7734536294902</v>
      </c>
      <c r="M535" s="184">
        <f ca="1">M501-(M532*(M504+M505))-M502-M503</f>
        <v>1601.9333021998464</v>
      </c>
      <c r="N535" s="184">
        <f ca="1">N501-(N532*(N504+N505))-N502-N503</f>
        <v>1069.1268843849684</v>
      </c>
      <c r="O535" s="184">
        <f ca="1">O501-(O532*(O504+O505))-O502-O503</f>
        <v>5367.4251531246409</v>
      </c>
    </row>
    <row r="536" spans="1:16" ht="15" hidden="1" customHeight="1" outlineLevel="1">
      <c r="C536" s="143" t="s">
        <v>356</v>
      </c>
      <c r="D536" s="656"/>
      <c r="E536" s="658"/>
      <c r="F536" s="659"/>
      <c r="G536" s="657"/>
      <c r="H536" s="22" t="s">
        <v>373</v>
      </c>
      <c r="I536" s="659"/>
      <c r="J536" s="660"/>
      <c r="K536" s="798">
        <f ca="1">K535/K$501</f>
        <v>6.909842234974399E-2</v>
      </c>
      <c r="L536" s="798">
        <f ca="1">L535/L$501</f>
        <v>6.6804251168179687E-2</v>
      </c>
      <c r="M536" s="798">
        <f ca="1">M535/M$501</f>
        <v>6.7283151176186551E-2</v>
      </c>
      <c r="N536" s="798">
        <f ca="1">N535/N$501</f>
        <v>4.1246125195509124E-2</v>
      </c>
      <c r="O536" s="798">
        <f ca="1">O535/O$501</f>
        <v>0.1929821979585441</v>
      </c>
    </row>
    <row r="537" spans="1:16" ht="15" hidden="1" customHeight="1" outlineLevel="1">
      <c r="C537" s="387"/>
      <c r="E537" s="215"/>
      <c r="F537" s="208"/>
      <c r="G537" s="208"/>
      <c r="J537" s="208"/>
      <c r="K537" s="534"/>
      <c r="L537" s="534"/>
      <c r="M537" s="534"/>
      <c r="N537" s="534"/>
      <c r="O537" s="534"/>
    </row>
    <row r="538" spans="1:16" ht="15" hidden="1" customHeight="1" outlineLevel="1">
      <c r="E538" s="215"/>
      <c r="F538" s="208"/>
      <c r="G538" s="208"/>
      <c r="H538" s="208"/>
      <c r="J538" s="208"/>
      <c r="K538" s="260"/>
      <c r="L538" s="260"/>
      <c r="M538" s="260"/>
      <c r="N538" s="260"/>
      <c r="O538" s="633" t="s">
        <v>308</v>
      </c>
    </row>
    <row r="539" spans="1:16" ht="15" hidden="1" customHeight="1" outlineLevel="1">
      <c r="B539" s="428"/>
      <c r="C539" s="202"/>
      <c r="D539" s="202"/>
      <c r="E539" s="202"/>
      <c r="F539" s="202"/>
      <c r="G539" s="202"/>
      <c r="H539" s="202"/>
      <c r="I539" s="202"/>
      <c r="J539" s="202"/>
      <c r="K539" s="202"/>
      <c r="L539" s="202"/>
      <c r="M539" s="202"/>
      <c r="N539" s="202"/>
      <c r="O539" s="202"/>
      <c r="P539" s="143"/>
    </row>
    <row r="540" spans="1:16" ht="15" customHeight="1" collapsed="1">
      <c r="C540" s="158"/>
      <c r="D540" s="159"/>
      <c r="E540" s="159"/>
      <c r="F540" s="159"/>
      <c r="G540" s="159"/>
      <c r="H540" s="159"/>
      <c r="I540" s="159"/>
      <c r="J540" s="159"/>
      <c r="K540" s="159"/>
      <c r="L540" s="159"/>
      <c r="M540" s="159"/>
      <c r="N540" s="159"/>
      <c r="O540" s="159"/>
      <c r="P540" s="158"/>
    </row>
    <row r="541" spans="1:16" ht="15" customHeight="1">
      <c r="A541" s="427" t="s">
        <v>91</v>
      </c>
      <c r="B541" s="528" t="s">
        <v>344</v>
      </c>
      <c r="C541" s="163"/>
      <c r="D541" s="164"/>
      <c r="E541" s="165"/>
      <c r="F541" s="205"/>
      <c r="G541" s="205"/>
      <c r="H541" s="206"/>
      <c r="I541" s="206"/>
      <c r="J541" s="206"/>
      <c r="K541" s="206"/>
      <c r="L541" s="206"/>
      <c r="M541" s="206"/>
      <c r="N541" s="206"/>
      <c r="O541" s="206"/>
      <c r="P541" s="259"/>
    </row>
    <row r="542" spans="1:16" ht="15" customHeight="1" outlineLevel="1">
      <c r="C542" s="167"/>
      <c r="D542" s="168"/>
      <c r="E542" s="169"/>
      <c r="G542" s="170"/>
      <c r="H542" s="170"/>
      <c r="I542" s="170"/>
      <c r="J542" s="170"/>
      <c r="K542" s="170"/>
      <c r="L542" s="170"/>
      <c r="M542" s="170"/>
      <c r="N542" s="170"/>
      <c r="O542" s="170"/>
      <c r="P542" s="170"/>
    </row>
    <row r="543" spans="1:16" ht="15" customHeight="1" outlineLevel="1" thickBot="1">
      <c r="B543" s="10" t="s">
        <v>19</v>
      </c>
      <c r="C543" s="142"/>
      <c r="D543" s="168"/>
      <c r="E543" s="171"/>
      <c r="G543" s="171"/>
      <c r="H543" s="171"/>
      <c r="I543" s="171"/>
      <c r="J543" s="148" t="s">
        <v>148</v>
      </c>
      <c r="K543" s="75">
        <f>$K$5</f>
        <v>2023</v>
      </c>
      <c r="L543" s="172">
        <f>K543+1</f>
        <v>2024</v>
      </c>
      <c r="M543" s="172">
        <f>L543+1</f>
        <v>2025</v>
      </c>
      <c r="N543" s="172">
        <f>M543+1</f>
        <v>2026</v>
      </c>
      <c r="O543" s="172">
        <f>N543+1</f>
        <v>2027</v>
      </c>
      <c r="P543" s="170"/>
    </row>
    <row r="544" spans="1:16" ht="15" customHeight="1" outlineLevel="1">
      <c r="B544" s="10" t="str">
        <f>$B$6</f>
        <v>Model Running: Base Case Drivers</v>
      </c>
      <c r="C544" s="159"/>
      <c r="D544" s="159"/>
      <c r="E544" s="211"/>
      <c r="G544" s="159"/>
      <c r="H544" s="159"/>
      <c r="I544" s="159"/>
      <c r="J544" s="218"/>
      <c r="K544" s="218"/>
      <c r="L544" s="218"/>
      <c r="M544" s="218"/>
      <c r="N544" s="218"/>
      <c r="O544" s="218"/>
      <c r="P544" s="218"/>
    </row>
    <row r="545" spans="2:16" ht="15" customHeight="1" outlineLevel="1">
      <c r="B545" s="10"/>
      <c r="C545" s="159"/>
      <c r="D545" s="159"/>
      <c r="E545" s="211"/>
      <c r="G545" s="159"/>
      <c r="H545" s="159"/>
      <c r="I545" s="159"/>
      <c r="J545" s="218"/>
      <c r="K545" s="218"/>
      <c r="L545" s="218"/>
      <c r="M545" s="218"/>
      <c r="N545" s="218"/>
      <c r="O545" s="218"/>
      <c r="P545" s="218"/>
    </row>
    <row r="546" spans="2:16" ht="15" customHeight="1" outlineLevel="1">
      <c r="C546" s="23"/>
      <c r="D546" s="339" t="s">
        <v>192</v>
      </c>
      <c r="E546" s="199"/>
      <c r="F546" s="339" t="s">
        <v>191</v>
      </c>
      <c r="G546" s="158"/>
      <c r="H546" s="158"/>
      <c r="I546" s="158"/>
      <c r="J546" s="191"/>
      <c r="K546" s="191"/>
      <c r="L546" s="191"/>
      <c r="M546" s="191"/>
      <c r="N546" s="191"/>
      <c r="O546" s="191"/>
      <c r="P546" s="191"/>
    </row>
    <row r="547" spans="2:16" ht="15" customHeight="1" outlineLevel="1">
      <c r="C547" s="23"/>
      <c r="D547" s="336" t="s">
        <v>189</v>
      </c>
      <c r="E547" s="199"/>
      <c r="F547" s="336" t="s">
        <v>189</v>
      </c>
      <c r="G547" s="158"/>
      <c r="H547" s="158"/>
      <c r="I547" s="158"/>
      <c r="J547" s="341" t="s">
        <v>189</v>
      </c>
      <c r="K547" s="341" t="s">
        <v>189</v>
      </c>
      <c r="L547" s="340" t="s">
        <v>189</v>
      </c>
      <c r="M547" s="340" t="s">
        <v>189</v>
      </c>
      <c r="N547" s="340" t="s">
        <v>189</v>
      </c>
      <c r="O547" s="343" t="s">
        <v>189</v>
      </c>
      <c r="P547" s="191"/>
    </row>
    <row r="548" spans="2:16" ht="15" customHeight="1" outlineLevel="1">
      <c r="B548" s="338"/>
      <c r="D548" s="342">
        <f>+Transaction!I24</f>
        <v>44926</v>
      </c>
      <c r="F548" s="645">
        <f>Transaction!I23</f>
        <v>45291</v>
      </c>
      <c r="H548" s="171"/>
      <c r="I548" s="171"/>
      <c r="J548" s="800">
        <f>D548</f>
        <v>44926</v>
      </c>
      <c r="K548" s="801">
        <f>F548</f>
        <v>45291</v>
      </c>
      <c r="L548" s="802">
        <f>EDATE(K548,12)</f>
        <v>45657</v>
      </c>
      <c r="M548" s="802">
        <f>EDATE(L548,12)</f>
        <v>46022</v>
      </c>
      <c r="N548" s="802">
        <f>EDATE(M548,12)</f>
        <v>46387</v>
      </c>
      <c r="O548" s="803">
        <f>EDATE(N548,12)</f>
        <v>46752</v>
      </c>
      <c r="P548" s="331"/>
    </row>
    <row r="549" spans="2:16" ht="15" customHeight="1" outlineLevel="1">
      <c r="B549" s="158"/>
      <c r="C549" s="158"/>
      <c r="D549" s="199"/>
      <c r="F549" s="158"/>
      <c r="H549" s="158"/>
      <c r="I549" s="158"/>
      <c r="J549" s="216"/>
      <c r="K549" s="486"/>
      <c r="L549" s="486"/>
      <c r="M549" s="486"/>
      <c r="N549" s="486"/>
      <c r="O549" s="486"/>
      <c r="P549" s="217"/>
    </row>
    <row r="550" spans="2:16" ht="15" customHeight="1" outlineLevel="1">
      <c r="B550" s="158"/>
      <c r="C550" s="158"/>
      <c r="D550" s="199"/>
      <c r="F550" s="158"/>
      <c r="H550" s="158"/>
      <c r="I550" s="158"/>
      <c r="J550" s="216"/>
      <c r="K550" s="486"/>
      <c r="L550" s="461"/>
      <c r="M550" s="461"/>
      <c r="N550" s="461"/>
      <c r="O550" s="461"/>
      <c r="P550" s="217"/>
    </row>
    <row r="551" spans="2:16" ht="15" customHeight="1" outlineLevel="1">
      <c r="B551" s="332" t="s">
        <v>205</v>
      </c>
      <c r="C551" s="332"/>
      <c r="D551" s="332"/>
      <c r="E551" s="332"/>
      <c r="F551" s="332"/>
      <c r="G551" s="159"/>
      <c r="H551" s="440"/>
      <c r="J551" s="332"/>
      <c r="K551" s="332"/>
      <c r="L551" s="332"/>
      <c r="M551" s="332"/>
      <c r="N551" s="437"/>
    </row>
    <row r="552" spans="2:16" ht="15" customHeight="1" outlineLevel="1">
      <c r="C552" s="23" t="s">
        <v>36</v>
      </c>
      <c r="E552" s="158"/>
      <c r="G552" s="159"/>
      <c r="H552" s="440"/>
      <c r="J552" s="158"/>
      <c r="K552" s="404">
        <f>K107</f>
        <v>20042.950308300002</v>
      </c>
      <c r="L552" s="404">
        <f>L107</f>
        <v>22016.165556991549</v>
      </c>
      <c r="M552" s="404">
        <f>M107</f>
        <v>23808.832883065334</v>
      </c>
      <c r="N552" s="404">
        <f>N107</f>
        <v>25920.662348699239</v>
      </c>
      <c r="O552" s="404">
        <f>O107</f>
        <v>27813.058457742598</v>
      </c>
    </row>
    <row r="553" spans="2:16" ht="15" customHeight="1" outlineLevel="1">
      <c r="C553" s="23" t="s">
        <v>151</v>
      </c>
      <c r="E553" s="158"/>
      <c r="G553" s="159"/>
      <c r="H553" s="440"/>
      <c r="J553" s="23"/>
      <c r="K553" s="804">
        <f>Outputs!$W$78</f>
        <v>10</v>
      </c>
      <c r="L553" s="804">
        <f>Outputs!$W$78</f>
        <v>10</v>
      </c>
      <c r="M553" s="804">
        <f>Outputs!$W$78</f>
        <v>10</v>
      </c>
      <c r="N553" s="804">
        <f>Outputs!$W$78</f>
        <v>10</v>
      </c>
      <c r="O553" s="804">
        <f>Outputs!$W$78</f>
        <v>10</v>
      </c>
    </row>
    <row r="554" spans="2:16" ht="15" customHeight="1" outlineLevel="1">
      <c r="C554" s="23" t="s">
        <v>100</v>
      </c>
      <c r="D554" s="158"/>
      <c r="E554" s="158"/>
      <c r="G554" s="159"/>
      <c r="H554" s="440"/>
      <c r="J554" s="23"/>
      <c r="K554" s="805">
        <f>K552*K553</f>
        <v>200429.50308300002</v>
      </c>
      <c r="L554" s="805">
        <f>L552*L553</f>
        <v>220161.65556991549</v>
      </c>
      <c r="M554" s="805">
        <f>M552*M553</f>
        <v>238088.32883065334</v>
      </c>
      <c r="N554" s="805">
        <f>N552*N553</f>
        <v>259206.62348699238</v>
      </c>
      <c r="O554" s="805">
        <f>O552*O553</f>
        <v>278130.58457742597</v>
      </c>
    </row>
    <row r="555" spans="2:16" ht="15" customHeight="1" outlineLevel="1">
      <c r="C555" s="23"/>
      <c r="D555" s="158"/>
      <c r="E555" s="158"/>
      <c r="G555" s="159"/>
      <c r="H555" s="440"/>
      <c r="J555" s="23"/>
      <c r="K555" s="404"/>
      <c r="L555" s="404"/>
      <c r="M555" s="404"/>
      <c r="N555" s="404"/>
      <c r="O555" s="404"/>
    </row>
    <row r="556" spans="2:16" ht="15" customHeight="1" outlineLevel="1">
      <c r="B556" s="208" t="s">
        <v>200</v>
      </c>
      <c r="C556" s="13"/>
      <c r="D556" s="211"/>
      <c r="E556" s="159"/>
      <c r="F556" s="159"/>
      <c r="G556" s="159"/>
      <c r="H556" s="173"/>
      <c r="I556" s="191"/>
      <c r="J556" s="191"/>
      <c r="K556" s="191"/>
      <c r="L556" s="191"/>
      <c r="M556" s="191"/>
      <c r="N556" s="191"/>
      <c r="O556" s="191"/>
    </row>
    <row r="557" spans="2:16" ht="15" customHeight="1" outlineLevel="1">
      <c r="B557" s="208"/>
      <c r="C557" s="13" t="s">
        <v>105</v>
      </c>
      <c r="D557" s="211"/>
      <c r="E557" s="159"/>
      <c r="F557" s="159"/>
      <c r="G557" s="159"/>
      <c r="H557" s="173"/>
      <c r="I557" s="191"/>
      <c r="J557" s="191"/>
      <c r="K557" s="191">
        <f ca="1">K506</f>
        <v>108133.77352335543</v>
      </c>
      <c r="L557" s="191">
        <f ca="1">L506</f>
        <v>99271.651708970254</v>
      </c>
      <c r="M557" s="191">
        <f ca="1">M506</f>
        <v>88455.182598281302</v>
      </c>
      <c r="N557" s="191">
        <f ca="1">N506</f>
        <v>78196.190244097175</v>
      </c>
      <c r="O557" s="191">
        <f ca="1">O506</f>
        <v>66672.65296669933</v>
      </c>
    </row>
    <row r="558" spans="2:16" ht="15" customHeight="1" outlineLevel="1">
      <c r="B558" s="208"/>
      <c r="C558" s="13" t="s">
        <v>196</v>
      </c>
      <c r="D558" s="211"/>
      <c r="E558" s="159"/>
      <c r="F558" s="159"/>
      <c r="G558" s="159"/>
      <c r="H558" s="173"/>
      <c r="I558" s="191"/>
      <c r="J558" s="191"/>
      <c r="K558" s="191">
        <f ca="1">-K428</f>
        <v>-5000</v>
      </c>
      <c r="L558" s="191">
        <f ca="1">-L428</f>
        <v>-5000</v>
      </c>
      <c r="M558" s="191">
        <f ca="1">-M428</f>
        <v>-5000</v>
      </c>
      <c r="N558" s="191">
        <f ca="1">-N428</f>
        <v>-5000</v>
      </c>
      <c r="O558" s="191">
        <f ca="1">-O428</f>
        <v>-5000</v>
      </c>
    </row>
    <row r="559" spans="2:16" ht="15" customHeight="1" outlineLevel="1">
      <c r="B559" s="208"/>
      <c r="C559" s="13" t="s">
        <v>201</v>
      </c>
      <c r="D559" s="211"/>
      <c r="E559" s="159"/>
      <c r="F559" s="159"/>
      <c r="G559" s="159"/>
      <c r="H559" s="173"/>
      <c r="I559" s="191"/>
      <c r="J559" s="191"/>
      <c r="K559" s="730">
        <f ca="1">SUM(K557:K558)</f>
        <v>103133.77352335543</v>
      </c>
      <c r="L559" s="730">
        <f ca="1">SUM(L557:L558)</f>
        <v>94271.651708970254</v>
      </c>
      <c r="M559" s="730">
        <f ca="1">SUM(M557:M558)</f>
        <v>83455.182598281302</v>
      </c>
      <c r="N559" s="730">
        <f ca="1">SUM(N557:N558)</f>
        <v>73196.190244097175</v>
      </c>
      <c r="O559" s="730">
        <f ca="1">SUM(O557:O558)</f>
        <v>61672.65296669933</v>
      </c>
    </row>
    <row r="560" spans="2:16" ht="15" customHeight="1" outlineLevel="1">
      <c r="B560" s="208"/>
      <c r="C560" s="13"/>
      <c r="D560" s="211"/>
      <c r="E560" s="159"/>
      <c r="F560" s="159"/>
      <c r="G560" s="159"/>
      <c r="H560" s="173"/>
      <c r="I560" s="191"/>
      <c r="J560" s="191"/>
      <c r="K560" s="191"/>
      <c r="L560" s="191"/>
      <c r="M560" s="191"/>
      <c r="N560" s="191"/>
      <c r="O560" s="191"/>
    </row>
    <row r="561" spans="2:16" ht="15" customHeight="1" outlineLevel="1">
      <c r="B561" s="332" t="s">
        <v>206</v>
      </c>
      <c r="C561" s="332"/>
      <c r="D561" s="332"/>
      <c r="E561" s="332"/>
      <c r="F561" s="332"/>
      <c r="G561" s="159"/>
      <c r="H561" s="440"/>
      <c r="J561" s="332"/>
      <c r="K561" s="332"/>
      <c r="L561" s="332"/>
      <c r="M561" s="332"/>
      <c r="N561" s="437"/>
    </row>
    <row r="562" spans="2:16" ht="15" customHeight="1" outlineLevel="1">
      <c r="B562" s="332"/>
      <c r="C562" s="23" t="s">
        <v>100</v>
      </c>
      <c r="D562" s="158"/>
      <c r="E562" s="158"/>
      <c r="G562" s="159"/>
      <c r="H562" s="440"/>
      <c r="J562" s="23"/>
      <c r="K562" s="404">
        <f>K554</f>
        <v>200429.50308300002</v>
      </c>
      <c r="L562" s="404">
        <f>L554</f>
        <v>220161.65556991549</v>
      </c>
      <c r="M562" s="404">
        <f>M554</f>
        <v>238088.32883065334</v>
      </c>
      <c r="N562" s="404">
        <f>N554</f>
        <v>259206.62348699238</v>
      </c>
      <c r="O562" s="404">
        <f>O554</f>
        <v>278130.58457742597</v>
      </c>
    </row>
    <row r="563" spans="2:16" ht="15" customHeight="1" outlineLevel="1">
      <c r="C563" s="23" t="s">
        <v>195</v>
      </c>
      <c r="E563" s="158"/>
      <c r="G563" s="158"/>
      <c r="H563" s="158"/>
      <c r="J563" s="332"/>
      <c r="K563" s="404">
        <f ca="1">-K559</f>
        <v>-103133.77352335543</v>
      </c>
      <c r="L563" s="404">
        <f ca="1">-L559</f>
        <v>-94271.651708970254</v>
      </c>
      <c r="M563" s="404">
        <f ca="1">-M559</f>
        <v>-83455.182598281302</v>
      </c>
      <c r="N563" s="404">
        <f ca="1">-N559</f>
        <v>-73196.190244097175</v>
      </c>
      <c r="O563" s="404">
        <f ca="1">-O559</f>
        <v>-61672.65296669933</v>
      </c>
      <c r="P563" s="158"/>
    </row>
    <row r="564" spans="2:16" ht="15" customHeight="1" outlineLevel="1">
      <c r="C564" s="23" t="s">
        <v>150</v>
      </c>
      <c r="D564" s="158"/>
      <c r="E564" s="158"/>
      <c r="G564" s="159"/>
      <c r="H564" s="159"/>
      <c r="J564" s="23"/>
      <c r="K564" s="805">
        <f ca="1">SUM(K562:K563)</f>
        <v>97295.729559644591</v>
      </c>
      <c r="L564" s="805">
        <f ca="1">SUM(L562:L563)</f>
        <v>125890.00386094523</v>
      </c>
      <c r="M564" s="805">
        <f ca="1">SUM(M562:M563)</f>
        <v>154633.14623237203</v>
      </c>
      <c r="N564" s="805">
        <f ca="1">SUM(N562:N563)</f>
        <v>186010.4332428952</v>
      </c>
      <c r="O564" s="805">
        <f ca="1">SUM(O562:O563)</f>
        <v>216457.93161072663</v>
      </c>
      <c r="P564" s="159"/>
    </row>
    <row r="565" spans="2:16" ht="15" customHeight="1" outlineLevel="1">
      <c r="C565" s="23"/>
      <c r="D565" s="158"/>
      <c r="E565" s="158"/>
      <c r="F565" s="184"/>
      <c r="G565" s="159"/>
      <c r="H565" s="159"/>
      <c r="J565" s="23"/>
      <c r="K565" s="158"/>
      <c r="L565" s="185"/>
      <c r="M565" s="158"/>
      <c r="N565" s="158"/>
      <c r="O565" s="158"/>
      <c r="P565" s="159"/>
    </row>
    <row r="566" spans="2:16" ht="15" customHeight="1" outlineLevel="1">
      <c r="C566" s="23" t="s">
        <v>198</v>
      </c>
      <c r="D566" s="158"/>
      <c r="E566" s="158"/>
      <c r="F566" s="184"/>
      <c r="G566" s="159"/>
      <c r="H566" s="159"/>
      <c r="J566" s="256"/>
      <c r="K566" s="184">
        <f>-K490</f>
        <v>0</v>
      </c>
      <c r="L566" s="184">
        <f>-L490</f>
        <v>0</v>
      </c>
      <c r="M566" s="184">
        <f>-M490</f>
        <v>0</v>
      </c>
      <c r="N566" s="184">
        <f>-N490</f>
        <v>0</v>
      </c>
      <c r="O566" s="184">
        <f>-O490</f>
        <v>0</v>
      </c>
      <c r="P566" s="159"/>
    </row>
    <row r="567" spans="2:16" ht="15" customHeight="1" outlineLevel="1">
      <c r="C567" s="23"/>
      <c r="D567" s="159"/>
      <c r="E567" s="211"/>
      <c r="G567" s="159"/>
      <c r="H567" s="159"/>
      <c r="I567" s="159"/>
      <c r="J567" s="191"/>
      <c r="K567" s="191"/>
      <c r="L567" s="191"/>
      <c r="M567" s="191"/>
      <c r="N567" s="191"/>
      <c r="O567" s="191"/>
      <c r="P567" s="191"/>
    </row>
    <row r="568" spans="2:16" ht="15" customHeight="1" outlineLevel="1">
      <c r="C568" s="23"/>
      <c r="D568" s="159"/>
      <c r="E568" s="211"/>
      <c r="G568" s="159"/>
      <c r="H568" s="159"/>
      <c r="I568" s="159"/>
      <c r="J568" s="191"/>
      <c r="K568" s="191"/>
      <c r="L568" s="191"/>
      <c r="M568" s="191"/>
      <c r="N568" s="191"/>
      <c r="O568" s="191"/>
      <c r="P568" s="191"/>
    </row>
    <row r="569" spans="2:16" ht="15" customHeight="1" outlineLevel="1">
      <c r="C569" s="23"/>
      <c r="D569" s="158"/>
      <c r="E569" s="199"/>
      <c r="G569" s="158"/>
      <c r="H569" s="158"/>
      <c r="I569" s="158"/>
      <c r="J569" s="439"/>
      <c r="K569" s="261" t="s">
        <v>168</v>
      </c>
      <c r="L569" s="261"/>
      <c r="M569" s="261"/>
      <c r="N569" s="261"/>
      <c r="O569" s="261"/>
      <c r="P569" s="384"/>
    </row>
    <row r="570" spans="2:16" ht="15" customHeight="1" outlineLevel="1" thickBot="1">
      <c r="C570" s="147" t="s">
        <v>193</v>
      </c>
      <c r="D570" s="147"/>
      <c r="E570" s="664" t="s">
        <v>115</v>
      </c>
      <c r="F570" s="663" t="s">
        <v>194</v>
      </c>
      <c r="G570" s="333"/>
      <c r="H570" s="334"/>
      <c r="I570" s="334"/>
      <c r="J570" s="385" t="s">
        <v>148</v>
      </c>
      <c r="K570" s="385">
        <v>1</v>
      </c>
      <c r="L570" s="385">
        <v>2</v>
      </c>
      <c r="M570" s="385">
        <v>3</v>
      </c>
      <c r="N570" s="385">
        <v>4</v>
      </c>
      <c r="O570" s="385">
        <v>5</v>
      </c>
      <c r="P570" s="332"/>
    </row>
    <row r="571" spans="2:16" ht="15" customHeight="1" outlineLevel="1">
      <c r="D571" s="386">
        <v>5</v>
      </c>
      <c r="E571" s="806">
        <f ca="1">IFERROR(XIRR(J571:O571,$J$548:$O$548),"NA")</f>
        <v>0.22382352948188786</v>
      </c>
      <c r="F571" s="807">
        <f ca="1">SUM(K571:O571)/-J571</f>
        <v>2.7468460455819188</v>
      </c>
      <c r="H571" s="460"/>
      <c r="J571" s="809">
        <f>-Transaction!$C$60</f>
        <v>-78802.352960000004</v>
      </c>
      <c r="K571" s="809">
        <f>IF(K$570=$D571,K$566+K$564,K$566)</f>
        <v>0</v>
      </c>
      <c r="L571" s="809">
        <f>IF(L$570=$D571,L$566+L$564,L$566)</f>
        <v>0</v>
      </c>
      <c r="M571" s="809">
        <f>IF(M$570=$D571,M$566+M$564,M$566)</f>
        <v>0</v>
      </c>
      <c r="N571" s="809">
        <f>IF(N$570=$D571,N$566+N$564,N$566)</f>
        <v>0</v>
      </c>
      <c r="O571" s="809">
        <f ca="1">IF(O$570=$D571,O$566+O$564,O$566)</f>
        <v>216457.93161072663</v>
      </c>
    </row>
    <row r="572" spans="2:16" ht="15" customHeight="1" outlineLevel="1">
      <c r="C572" s="23"/>
      <c r="D572" s="386">
        <f>D571-1</f>
        <v>4</v>
      </c>
      <c r="E572" s="808">
        <f ca="1">IFERROR(XIRR(J572:O572,$J$548:$O$548),"NA")</f>
        <v>0.23932641148567199</v>
      </c>
      <c r="F572" s="807">
        <f ca="1">SUM(K572:O572)/-J572</f>
        <v>2.3604680095950168</v>
      </c>
      <c r="H572" s="460"/>
      <c r="J572" s="256">
        <f>-Transaction!$C$60</f>
        <v>-78802.352960000004</v>
      </c>
      <c r="K572" s="256">
        <f>IF(K$570=$D572,K$566+K$564,K$566)</f>
        <v>0</v>
      </c>
      <c r="L572" s="256">
        <f>IF(L$570=$D572,L$566+L$564,L$566)</f>
        <v>0</v>
      </c>
      <c r="M572" s="256">
        <f>IF(M$570=$D572,M$566+M$564,M$566)</f>
        <v>0</v>
      </c>
      <c r="N572" s="256">
        <f ca="1">IF(N$570=$D572,N$566+N$564,N$566)</f>
        <v>186010.4332428952</v>
      </c>
      <c r="O572" s="256"/>
    </row>
    <row r="573" spans="2:16" ht="15" customHeight="1" outlineLevel="1">
      <c r="C573" s="23"/>
      <c r="D573" s="386">
        <f>D572-1</f>
        <v>3</v>
      </c>
      <c r="E573" s="808">
        <f ca="1">IFERROR(XIRR(J573:O573,$J$548:$O$548),"NA")</f>
        <v>0.25169571042060845</v>
      </c>
      <c r="F573" s="807">
        <f ca="1">SUM(K573:O573)/-J573</f>
        <v>1.9622909776674267</v>
      </c>
      <c r="H573" s="460"/>
      <c r="J573" s="256">
        <f>-Transaction!$C$60</f>
        <v>-78802.352960000004</v>
      </c>
      <c r="K573" s="256">
        <f>IF(K$570=$D573,K$566+K$564,K$566)</f>
        <v>0</v>
      </c>
      <c r="L573" s="256">
        <f>IF(L$570=$D573,L$566+L$564,L$566)</f>
        <v>0</v>
      </c>
      <c r="M573" s="256">
        <f ca="1">IF(M$570=$D573,M$566+M$564,M$566)</f>
        <v>154633.14623237203</v>
      </c>
      <c r="N573" s="810"/>
      <c r="O573" s="810"/>
    </row>
    <row r="574" spans="2:16" ht="15" customHeight="1" outlineLevel="1">
      <c r="C574" s="23"/>
      <c r="D574" s="386">
        <f>D573-1</f>
        <v>2</v>
      </c>
      <c r="E574" s="808">
        <f ca="1">IFERROR(XIRR(J574:O574,$J$548:$O$548),"NA")</f>
        <v>0.26353382468223574</v>
      </c>
      <c r="F574" s="807">
        <f ca="1">SUM(K574:O574)/-J574</f>
        <v>1.5975411790666565</v>
      </c>
      <c r="H574" s="460"/>
      <c r="J574" s="256">
        <f>-Transaction!$C$60</f>
        <v>-78802.352960000004</v>
      </c>
      <c r="K574" s="256">
        <f>IF(K$570=$D574,K$566+K$564,K$566)</f>
        <v>0</v>
      </c>
      <c r="L574" s="256">
        <f ca="1">IF(L$570=$D574,L$566+L$564,L$566)</f>
        <v>125890.00386094523</v>
      </c>
      <c r="M574" s="256"/>
      <c r="N574" s="810"/>
      <c r="O574" s="810"/>
    </row>
    <row r="575" spans="2:16" ht="15" customHeight="1" outlineLevel="1">
      <c r="C575" s="23"/>
      <c r="D575" s="386">
        <f>D574-1</f>
        <v>1</v>
      </c>
      <c r="E575" s="808">
        <f ca="1">IFERROR(XIRR(J575:O575,$J$548:$O$548),"NA")</f>
        <v>0.2346805155277252</v>
      </c>
      <c r="F575" s="807">
        <f ca="1">SUM(K575:O575)/-J575</f>
        <v>1.2346805127637726</v>
      </c>
      <c r="H575" s="460"/>
      <c r="J575" s="256">
        <f>-Transaction!$C$60</f>
        <v>-78802.352960000004</v>
      </c>
      <c r="K575" s="256">
        <f ca="1">IF(K$570=$D575,K$566+K$564,K$566)</f>
        <v>97295.729559644591</v>
      </c>
      <c r="L575" s="256"/>
      <c r="M575" s="256"/>
      <c r="N575" s="810"/>
      <c r="O575" s="810"/>
    </row>
    <row r="576" spans="2:16" ht="15" customHeight="1" outlineLevel="1">
      <c r="C576" s="23"/>
      <c r="D576" s="386"/>
      <c r="E576" s="808"/>
      <c r="F576" s="807"/>
      <c r="H576" s="460"/>
      <c r="J576" s="256"/>
      <c r="K576" s="256"/>
      <c r="L576" s="256"/>
      <c r="M576" s="256"/>
      <c r="N576" s="810"/>
      <c r="O576" s="810"/>
    </row>
    <row r="577" spans="2:15" ht="15" customHeight="1" outlineLevel="1">
      <c r="B577" s="428"/>
      <c r="C577" s="428"/>
      <c r="D577" s="428"/>
      <c r="E577" s="428"/>
      <c r="F577" s="428"/>
      <c r="G577" s="428"/>
      <c r="H577" s="428"/>
      <c r="I577" s="428"/>
      <c r="J577" s="428"/>
      <c r="K577" s="428"/>
      <c r="L577" s="428"/>
      <c r="M577" s="428"/>
      <c r="N577" s="428"/>
      <c r="O577" s="428" t="s">
        <v>91</v>
      </c>
    </row>
  </sheetData>
  <conditionalFormatting sqref="F281">
    <cfRule type="expression" dxfId="6" priority="14">
      <formula>$F$281=1</formula>
    </cfRule>
  </conditionalFormatting>
  <conditionalFormatting sqref="F501:H506 G518 P549:P550 F556:H560">
    <cfRule type="containsText" dxfId="5" priority="61" operator="containsText" text="OK">
      <formula>NOT(ISERROR(SEARCH("OK",F501)))</formula>
    </cfRule>
    <cfRule type="containsText" dxfId="4" priority="62" operator="containsText" text="ERROR">
      <formula>NOT(ISERROR(SEARCH("ERROR",F501)))</formula>
    </cfRule>
  </conditionalFormatting>
  <conditionalFormatting sqref="H43:O43">
    <cfRule type="expression" dxfId="3" priority="18">
      <formula>H$43=1</formula>
    </cfRule>
  </conditionalFormatting>
  <conditionalFormatting sqref="K353:O353">
    <cfRule type="expression" dxfId="2" priority="5">
      <formula>K$353=1</formula>
    </cfRule>
  </conditionalFormatting>
  <conditionalFormatting sqref="K518:O518">
    <cfRule type="expression" dxfId="1" priority="3">
      <formula>K$520&lt;0</formula>
    </cfRule>
  </conditionalFormatting>
  <conditionalFormatting sqref="K533:O533">
    <cfRule type="expression" dxfId="0" priority="1">
      <formula>K$535&lt;0</formula>
    </cfRule>
  </conditionalFormatting>
  <printOptions horizontalCentered="1"/>
  <pageMargins left="0.118110236220472" right="0.118110236220472" top="0.118110236220472" bottom="0.118110236220472" header="0.118110236220472" footer="0.118110236220472"/>
  <pageSetup scale="85" fitToWidth="0" fitToHeight="0" orientation="landscape" r:id="rId1"/>
  <headerFooter>
    <oddFooter>&amp;L&amp;"Open Sans,Bold"&amp;K002060Leveraged Buyout Modeling &amp;C&amp;"Open Sans,Bold"&amp;K002060Page &amp;P of &amp;N&amp;R&amp;"Open Sans,Bold"&amp;K002060&amp;G</oddFooter>
  </headerFooter>
  <rowBreaks count="13" manualBreakCount="13">
    <brk id="46" max="15" man="1"/>
    <brk id="92" max="15" man="1"/>
    <brk id="126" max="15" man="1"/>
    <brk id="162" max="15" man="1"/>
    <brk id="194" max="15" man="1"/>
    <brk id="240" max="15" man="1"/>
    <brk id="271" max="15" man="1"/>
    <brk id="313" max="15" man="1"/>
    <brk id="358" max="15" man="1"/>
    <brk id="434" max="15" man="1"/>
    <brk id="473" max="15" man="1"/>
    <brk id="494" max="15" man="1"/>
    <brk id="540" max="15" man="1"/>
  </rowBreaks>
  <drawing r:id="rId2"/>
  <legacyDrawingHF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acheModel xmlns:xsd="http://www.w3.org/2001/XMLSchema" xmlns:xsi="http://www.w3.org/2001/XMLSchema-instance" xmlns="TagniFiModelState">
  <SerializedJson>[]</SerializedJson>
</CacheModel>
</file>

<file path=customXml/itemProps1.xml><?xml version="1.0" encoding="utf-8"?>
<ds:datastoreItem xmlns:ds="http://schemas.openxmlformats.org/officeDocument/2006/customXml" ds:itemID="{C6113C79-0CF4-461A-9222-7B228DF5F868}">
  <ds:schemaRefs>
    <ds:schemaRef ds:uri="http://www.w3.org/2001/XMLSchema"/>
    <ds:schemaRef ds:uri="TagniFiModelStat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Cover</vt:lpstr>
      <vt:lpstr>Outputs</vt:lpstr>
      <vt:lpstr>Transaction</vt:lpstr>
      <vt:lpstr>Inputs</vt:lpstr>
      <vt:lpstr>Model</vt:lpstr>
      <vt:lpstr>Cover!Print_Area</vt:lpstr>
      <vt:lpstr>Inputs!Print_Area</vt:lpstr>
      <vt:lpstr>Model!Print_Area</vt:lpstr>
      <vt:lpstr>Outputs!Print_Area</vt:lpstr>
      <vt:lpstr>Transaction!Print_Area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Corporate Finance Institute</dc:creator>
  <cp:keywords/>
  <dc:description/>
  <cp:lastModifiedBy>Kavish Lutchman</cp:lastModifiedBy>
  <cp:revision/>
  <cp:lastPrinted>2022-06-03T01:03:08Z</cp:lastPrinted>
  <dcterms:created xsi:type="dcterms:W3CDTF">1899-12-30T06:00:00Z</dcterms:created>
  <dcterms:modified xsi:type="dcterms:W3CDTF">2025-06-24T22:17:20Z</dcterms:modified>
  <cp:category/>
  <cp:contentStatus/>
  <dc:language/>
  <cp:version/>
</cp:coreProperties>
</file>