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tommagia_students_zhaw_ch/Documents/Bachelorarbeit/"/>
    </mc:Choice>
  </mc:AlternateContent>
  <xr:revisionPtr revIDLastSave="1039" documentId="8_{94B61ABF-8623-44AC-9AEF-5A882C9A576B}" xr6:coauthVersionLast="47" xr6:coauthVersionMax="47" xr10:uidLastSave="{487A2A5D-4A84-497F-AF66-4D3EB8663081}"/>
  <bookViews>
    <workbookView xWindow="28680" yWindow="-120" windowWidth="29040" windowHeight="15720" firstSheet="2" activeTab="4" xr2:uid="{20C770C5-49EF-491A-A24D-D69FFC11E2BA}"/>
  </bookViews>
  <sheets>
    <sheet name="Statements DEC2020" sheetId="1" r:id="rId1"/>
    <sheet name="Statements DEC2020 Comm" sheetId="3" r:id="rId2"/>
    <sheet name="Statements DEC2021" sheetId="6" r:id="rId3"/>
    <sheet name="AFS Breakdown" sheetId="4" r:id="rId4"/>
    <sheet name="HTM Breakdown" sheetId="5" r:id="rId5"/>
    <sheet name="Deposits" sheetId="9" r:id="rId6"/>
    <sheet name="BS Development" sheetId="8" r:id="rId7"/>
    <sheet name="US banks benchmark" sheetId="7" r:id="rId8"/>
    <sheet name="Ratio referenc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8" l="1"/>
  <c r="B7" i="10"/>
  <c r="B23" i="10"/>
  <c r="B8" i="10"/>
  <c r="B22" i="10"/>
  <c r="B21" i="10"/>
  <c r="B4" i="10"/>
  <c r="B18" i="10"/>
  <c r="B17" i="10"/>
  <c r="B15" i="10"/>
  <c r="B3" i="10" s="1"/>
  <c r="B14" i="10"/>
  <c r="D38" i="8"/>
  <c r="E38" i="8"/>
  <c r="C38" i="8"/>
  <c r="M17" i="9"/>
  <c r="M15" i="9"/>
  <c r="M5" i="9"/>
  <c r="M3" i="9"/>
  <c r="C34" i="8"/>
  <c r="D34" i="8"/>
  <c r="E34" i="8"/>
  <c r="B34" i="8"/>
  <c r="C15" i="7"/>
  <c r="D15" i="7"/>
  <c r="E15" i="7"/>
  <c r="B15" i="7"/>
  <c r="C33" i="8"/>
  <c r="D33" i="8"/>
  <c r="E33" i="8"/>
  <c r="B33" i="8"/>
  <c r="C29" i="8"/>
  <c r="D29" i="8"/>
  <c r="E29" i="8"/>
  <c r="B29" i="8"/>
  <c r="C12" i="7"/>
  <c r="D12" i="7"/>
  <c r="E12" i="7"/>
  <c r="B12" i="7"/>
  <c r="C10" i="7"/>
  <c r="D10" i="7"/>
  <c r="E10" i="7"/>
  <c r="C7" i="7"/>
  <c r="D7" i="7"/>
  <c r="E7" i="7"/>
  <c r="B10" i="7"/>
  <c r="B7" i="7"/>
  <c r="C31" i="8"/>
  <c r="D31" i="8"/>
  <c r="E31" i="8"/>
  <c r="B31" i="8"/>
  <c r="C28" i="8"/>
  <c r="D28" i="8"/>
  <c r="E28" i="8"/>
  <c r="B28" i="8"/>
  <c r="C25" i="8"/>
  <c r="D25" i="8"/>
  <c r="E25" i="8"/>
  <c r="B25" i="8"/>
  <c r="B23" i="8"/>
  <c r="B24" i="8"/>
  <c r="B9" i="8"/>
  <c r="C8" i="8"/>
  <c r="B8" i="8"/>
  <c r="K26" i="6"/>
  <c r="K9" i="6"/>
  <c r="F9" i="6"/>
  <c r="E6" i="8" l="1"/>
  <c r="D6" i="8"/>
  <c r="C6" i="8"/>
  <c r="B6" i="8"/>
  <c r="D21" i="8"/>
  <c r="D20" i="8"/>
  <c r="E21" i="8"/>
  <c r="E20" i="8"/>
  <c r="E18" i="8"/>
  <c r="D17" i="8"/>
  <c r="B3" i="8"/>
  <c r="E4" i="8"/>
  <c r="E5" i="8" s="1"/>
  <c r="D4" i="8"/>
  <c r="D5" i="8" s="1"/>
  <c r="C4" i="8"/>
  <c r="C5" i="8" s="1"/>
  <c r="B15" i="8"/>
  <c r="C21" i="8" s="1"/>
  <c r="B14" i="8"/>
  <c r="C20" i="8" s="1"/>
  <c r="B12" i="8"/>
  <c r="B11" i="8"/>
  <c r="B10" i="8"/>
  <c r="C3" i="8"/>
  <c r="G26" i="6"/>
  <c r="G26" i="1"/>
  <c r="F9" i="1"/>
  <c r="F26" i="1"/>
  <c r="G19" i="6"/>
  <c r="G12" i="6"/>
  <c r="F42" i="6"/>
  <c r="F35" i="6"/>
  <c r="F36" i="6"/>
  <c r="F34" i="6"/>
  <c r="F49" i="6"/>
  <c r="B20" i="10" s="1"/>
  <c r="F27" i="6"/>
  <c r="F26" i="6"/>
  <c r="F48" i="3"/>
  <c r="F42" i="3"/>
  <c r="F36" i="3"/>
  <c r="F35" i="3"/>
  <c r="F34" i="3"/>
  <c r="F27" i="3"/>
  <c r="F26" i="3"/>
  <c r="F28" i="3" s="1"/>
  <c r="G19" i="3"/>
  <c r="G12" i="3"/>
  <c r="G19" i="1"/>
  <c r="G12" i="1"/>
  <c r="F48" i="1"/>
  <c r="F42" i="1"/>
  <c r="F36" i="1"/>
  <c r="F35" i="1"/>
  <c r="F34" i="1"/>
  <c r="F27" i="1"/>
  <c r="B6" i="10" l="1"/>
  <c r="B5" i="10"/>
  <c r="B4" i="8"/>
  <c r="B5" i="8" s="1"/>
  <c r="F28" i="1"/>
  <c r="F28" i="6"/>
  <c r="B9" i="10" l="1"/>
</calcChain>
</file>

<file path=xl/sharedStrings.xml><?xml version="1.0" encoding="utf-8"?>
<sst xmlns="http://schemas.openxmlformats.org/spreadsheetml/2006/main" count="585" uniqueCount="181">
  <si>
    <t>Representation of SVB Balance Sheet in ANN and PAM contracts</t>
  </si>
  <si>
    <t>BS Position</t>
  </si>
  <si>
    <t>ContractID</t>
  </si>
  <si>
    <t>Tool Position</t>
  </si>
  <si>
    <t>Contract Type</t>
  </si>
  <si>
    <t>Interest rate</t>
  </si>
  <si>
    <t>Initial Date</t>
  </si>
  <si>
    <t>Maturity Date</t>
  </si>
  <si>
    <t>Cash and cash equivalents</t>
  </si>
  <si>
    <t>AFS securities</t>
  </si>
  <si>
    <t>Non-marketable and other equity securities</t>
  </si>
  <si>
    <t>Net loans</t>
  </si>
  <si>
    <t>Premises and equipment</t>
  </si>
  <si>
    <t>Goodwill</t>
  </si>
  <si>
    <t>Net other intangible assets</t>
  </si>
  <si>
    <t>Lease right-of-use assets</t>
  </si>
  <si>
    <t>Accrued interest receivable and other assets</t>
  </si>
  <si>
    <t>Noninterest-bearing demand deposits</t>
  </si>
  <si>
    <t>Interest-bearing deposits</t>
  </si>
  <si>
    <t>Short-term borrowings</t>
  </si>
  <si>
    <t>Rate Reset (Y/N)</t>
  </si>
  <si>
    <t>Lease liabilities</t>
  </si>
  <si>
    <t>Long-term debt</t>
  </si>
  <si>
    <t>Principal</t>
  </si>
  <si>
    <t>ASL</t>
  </si>
  <si>
    <t>HTM securities &lt; 1Y</t>
  </si>
  <si>
    <t>HTM securities &gt; 1Y</t>
  </si>
  <si>
    <t>AL (Assets)</t>
  </si>
  <si>
    <t>ASL0001</t>
  </si>
  <si>
    <t>ASL0002</t>
  </si>
  <si>
    <t>ASL0003</t>
  </si>
  <si>
    <t>PAM</t>
  </si>
  <si>
    <t>ANN</t>
  </si>
  <si>
    <t>AFA</t>
  </si>
  <si>
    <t>AFA0001</t>
  </si>
  <si>
    <t>AFA0002</t>
  </si>
  <si>
    <t>AFA0003</t>
  </si>
  <si>
    <t>ALL</t>
  </si>
  <si>
    <t>ALL0001</t>
  </si>
  <si>
    <t>AFA0004</t>
  </si>
  <si>
    <t>ALL0002</t>
  </si>
  <si>
    <t>Investments</t>
  </si>
  <si>
    <t>LSD</t>
  </si>
  <si>
    <t>LSD0001</t>
  </si>
  <si>
    <t>LSD0002</t>
  </si>
  <si>
    <t>LSD0003</t>
  </si>
  <si>
    <t>Y</t>
  </si>
  <si>
    <t>LLL</t>
  </si>
  <si>
    <t>LLL0001</t>
  </si>
  <si>
    <t>LLL0002</t>
  </si>
  <si>
    <t>x</t>
  </si>
  <si>
    <t>Data on December 31, 2020 (in US$ thousand):</t>
  </si>
  <si>
    <t>-</t>
  </si>
  <si>
    <t>Total Assets:</t>
  </si>
  <si>
    <t>Total Liabilities:</t>
  </si>
  <si>
    <t>Other liabilities</t>
  </si>
  <si>
    <t>LLL0003</t>
  </si>
  <si>
    <t>Total Equity:</t>
  </si>
  <si>
    <t>IS Position</t>
  </si>
  <si>
    <t>Interest income</t>
  </si>
  <si>
    <t>Interest expense</t>
  </si>
  <si>
    <t>ORO</t>
  </si>
  <si>
    <t>ORO0001</t>
  </si>
  <si>
    <t>OperationalCF</t>
  </si>
  <si>
    <t>OEO</t>
  </si>
  <si>
    <t>OEO0001</t>
  </si>
  <si>
    <t>Provision for credit losses</t>
  </si>
  <si>
    <t>ORO0002</t>
  </si>
  <si>
    <t>OEO0002</t>
  </si>
  <si>
    <t>Gains</t>
  </si>
  <si>
    <t>Note</t>
  </si>
  <si>
    <t>Gains on investment securities &amp; Gains on equity warrant assets</t>
  </si>
  <si>
    <t>Fees</t>
  </si>
  <si>
    <t>ORC</t>
  </si>
  <si>
    <t>ORC0001</t>
  </si>
  <si>
    <t>Client investment, ForEx, Credit card, Lending related, &amp; LoC fees</t>
  </si>
  <si>
    <t>Commissions and charges</t>
  </si>
  <si>
    <t>Deposit service charges &amp; Commissions</t>
  </si>
  <si>
    <t>Other income</t>
  </si>
  <si>
    <t>ORO0003</t>
  </si>
  <si>
    <t>Investment banking revenue</t>
  </si>
  <si>
    <t>OES</t>
  </si>
  <si>
    <t>OES0001</t>
  </si>
  <si>
    <t>Compensation and benefits</t>
  </si>
  <si>
    <t>OER</t>
  </si>
  <si>
    <t>OER0001</t>
  </si>
  <si>
    <t>Net occupancy, BD, travel</t>
  </si>
  <si>
    <t>FDIC and assessments</t>
  </si>
  <si>
    <t>Other expenses</t>
  </si>
  <si>
    <t>OEO0003</t>
  </si>
  <si>
    <t>Professional services</t>
  </si>
  <si>
    <t>OES0002</t>
  </si>
  <si>
    <t>Tax expense</t>
  </si>
  <si>
    <t>OEO0004</t>
  </si>
  <si>
    <t>Noncontrolling interest expense</t>
  </si>
  <si>
    <t>Dividends expense</t>
  </si>
  <si>
    <t>Net occupancy &amp; Business development and travel</t>
  </si>
  <si>
    <t>OEO0005</t>
  </si>
  <si>
    <t>OEO0006</t>
  </si>
  <si>
    <t>Net income available to common stockholders</t>
  </si>
  <si>
    <t>ORO0004</t>
  </si>
  <si>
    <t>OEO0007</t>
  </si>
  <si>
    <t>OEO0008</t>
  </si>
  <si>
    <t>ORC0002</t>
  </si>
  <si>
    <t>https://www.businesstoday.in/silicon-valley-bank/story/silicon-valley-bank-went-for-extra-40-bps-yield-and-blew-itself-up-what-is-mbs-that-triggered-the-collapse-373181-2023-03-13</t>
  </si>
  <si>
    <t>p130-132</t>
  </si>
  <si>
    <t>p127-129</t>
  </si>
  <si>
    <t>p123-125</t>
  </si>
  <si>
    <t>p132-134</t>
  </si>
  <si>
    <t>p129-131</t>
  </si>
  <si>
    <t>p125-127</t>
  </si>
  <si>
    <t>Probably not needed as from investments?</t>
  </si>
  <si>
    <t>split</t>
  </si>
  <si>
    <t>N</t>
  </si>
  <si>
    <t>Rate reset for variable rate</t>
  </si>
  <si>
    <t>Data on December 31, 2020 (in US$ millions):</t>
  </si>
  <si>
    <t>Merger-related charges</t>
  </si>
  <si>
    <t>HTM securities - variable rate</t>
  </si>
  <si>
    <t>ASL0004</t>
  </si>
  <si>
    <t>ASL0005</t>
  </si>
  <si>
    <t>HTM securities</t>
  </si>
  <si>
    <t>Year ended</t>
  </si>
  <si>
    <t>AFS securities (fair value)</t>
  </si>
  <si>
    <t>HTM securities (amortized cost)</t>
  </si>
  <si>
    <t>Loans (amortized cost)</t>
  </si>
  <si>
    <t>HTM securities (fair value)</t>
  </si>
  <si>
    <t>Total deposits</t>
  </si>
  <si>
    <t>Loan-to-deposit ratio</t>
  </si>
  <si>
    <t>Total assets</t>
  </si>
  <si>
    <t>HTM growth</t>
  </si>
  <si>
    <t>Accounting diff</t>
  </si>
  <si>
    <t>demand growth</t>
  </si>
  <si>
    <t>deposit growth</t>
  </si>
  <si>
    <t>Benchmark</t>
  </si>
  <si>
    <t>AFS securities (cost)</t>
  </si>
  <si>
    <t>w/o non contolling interest</t>
  </si>
  <si>
    <t>Debt-to-equity ratio</t>
  </si>
  <si>
    <t>Total Equity</t>
  </si>
  <si>
    <t>Total liabilities</t>
  </si>
  <si>
    <t>Total equity</t>
  </si>
  <si>
    <t>Equity ratio</t>
  </si>
  <si>
    <t>Net Income</t>
  </si>
  <si>
    <t>Deposits-to-liabilities</t>
  </si>
  <si>
    <t>Benchmarks US commercial banks</t>
  </si>
  <si>
    <t>Total Assets</t>
  </si>
  <si>
    <t>Total Liabilities</t>
  </si>
  <si>
    <t>Deposits</t>
  </si>
  <si>
    <t>D/L</t>
  </si>
  <si>
    <t>https://www.federalreserve.gov/releases/h8/20200327/</t>
  </si>
  <si>
    <t>https://www.federalreserve.gov/releases/h8/20210219/</t>
  </si>
  <si>
    <t>https://www.federalreserve.gov/releases/h8/20220225/</t>
  </si>
  <si>
    <t>https://www.federalreserve.gov/releases/h8/20230224/</t>
  </si>
  <si>
    <t>Bankregdata</t>
  </si>
  <si>
    <t>D/A</t>
  </si>
  <si>
    <t>US deposits</t>
  </si>
  <si>
    <t>Uninsured</t>
  </si>
  <si>
    <t>%</t>
  </si>
  <si>
    <t>2021, p82</t>
  </si>
  <si>
    <t>2022, p81</t>
  </si>
  <si>
    <t>Ast growth</t>
  </si>
  <si>
    <t>Deposits-to-assets ratio of SVB</t>
  </si>
  <si>
    <t>Loan-to-deposit ratio of SVB</t>
  </si>
  <si>
    <t>Equity ratio of SVB</t>
  </si>
  <si>
    <t>Real ratios FY 2021</t>
  </si>
  <si>
    <t>Current ratio</t>
  </si>
  <si>
    <t>Return on assets</t>
  </si>
  <si>
    <t>Return on equity</t>
  </si>
  <si>
    <t>Financial leverage</t>
  </si>
  <si>
    <t>STA</t>
  </si>
  <si>
    <t>STL</t>
  </si>
  <si>
    <t>Loans</t>
  </si>
  <si>
    <t>Assets</t>
  </si>
  <si>
    <t>Equity</t>
  </si>
  <si>
    <t>Liabilities</t>
  </si>
  <si>
    <t>Y (negative spread)</t>
  </si>
  <si>
    <t>Withdrawal cases</t>
  </si>
  <si>
    <t>Contracts</t>
  </si>
  <si>
    <t>YC</t>
  </si>
  <si>
    <t>Used for first contract creation in order to see how they react to interest rates</t>
  </si>
  <si>
    <t>All PAM, betetr for effect</t>
  </si>
  <si>
    <t>simulate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</si>
</sst>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2" borderId="0" xfId="0" applyFont="1" applyFill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5" fillId="3" borderId="0" xfId="1" applyNumberFormat="1"/>
    <xf numFmtId="14" fontId="0" fillId="0" borderId="0" xfId="0" applyNumberFormat="1"/>
    <xf numFmtId="164" fontId="0" fillId="0" borderId="0" xfId="0" applyNumberFormat="1"/>
    <xf numFmtId="2" fontId="0" fillId="0" borderId="0" xfId="2" applyNumberFormat="1" applyFont="1"/>
    <xf numFmtId="2" fontId="0" fillId="0" borderId="0" xfId="0" applyNumberFormat="1"/>
    <xf numFmtId="0" fontId="0" fillId="0" borderId="0" xfId="0" applyAlignment="1">
      <alignment horizontal="right" vertical="center" wrapText="1"/>
    </xf>
    <xf numFmtId="0" fontId="7" fillId="0" borderId="0" xfId="3"/>
    <xf numFmtId="165" fontId="0" fillId="0" borderId="0" xfId="0" applyNumberFormat="1"/>
    <xf numFmtId="0" fontId="0" fillId="0" borderId="0" xfId="0" applyFill="1" applyBorder="1"/>
    <xf numFmtId="0" fontId="8" fillId="0" borderId="0" xfId="4"/>
  </cellXfs>
  <cellStyles count="5">
    <cellStyle name="Bad" xfId="1" builtinId="27"/>
    <cellStyle name="Explanatory Text" xfId="4" builtinId="5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Assets positions in US$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 Development'!$B$2</c:f>
              <c:strCache>
                <c:ptCount val="1"/>
                <c:pt idx="0">
                  <c:v>Dec-19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'BS Development'!$A$9:$A$12</c:f>
              <c:strCache>
                <c:ptCount val="4"/>
                <c:pt idx="0">
                  <c:v>AFS securities (fair value)</c:v>
                </c:pt>
                <c:pt idx="1">
                  <c:v>HTM securities (amortized cost)</c:v>
                </c:pt>
                <c:pt idx="2">
                  <c:v>HTM securities (fair value)</c:v>
                </c:pt>
                <c:pt idx="3">
                  <c:v>Loans (amortized cost)</c:v>
                </c:pt>
              </c:strCache>
            </c:strRef>
          </c:cat>
          <c:val>
            <c:numRef>
              <c:f>'BS Development'!$B$9:$B$12</c:f>
              <c:numCache>
                <c:formatCode>#,##0</c:formatCode>
                <c:ptCount val="4"/>
                <c:pt idx="0">
                  <c:v>14014.919</c:v>
                </c:pt>
                <c:pt idx="1">
                  <c:v>13842.946</c:v>
                </c:pt>
                <c:pt idx="2">
                  <c:v>14115.272000000001</c:v>
                </c:pt>
                <c:pt idx="3">
                  <c:v>33164.362999999998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9-42A3-A354-7BB104744F97}"/>
            </c:ext>
          </c:extLst>
        </c:ser>
        <c:ser>
          <c:idx val="1"/>
          <c:order val="1"/>
          <c:tx>
            <c:strRef>
              <c:f>'BS Development'!$C$2</c:f>
              <c:strCache>
                <c:ptCount val="1"/>
                <c:pt idx="0">
                  <c:v>Dec-20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'BS Development'!$A$9:$A$12</c:f>
              <c:strCache>
                <c:ptCount val="4"/>
                <c:pt idx="0">
                  <c:v>AFS securities (fair value)</c:v>
                </c:pt>
                <c:pt idx="1">
                  <c:v>HTM securities (amortized cost)</c:v>
                </c:pt>
                <c:pt idx="2">
                  <c:v>HTM securities (fair value)</c:v>
                </c:pt>
                <c:pt idx="3">
                  <c:v>Loans (amortized cost)</c:v>
                </c:pt>
              </c:strCache>
            </c:strRef>
          </c:cat>
          <c:val>
            <c:numRef>
              <c:f>'BS Development'!$C$9:$C$12</c:f>
              <c:numCache>
                <c:formatCode>#,##0</c:formatCode>
                <c:ptCount val="4"/>
                <c:pt idx="0">
                  <c:v>30913</c:v>
                </c:pt>
                <c:pt idx="1">
                  <c:v>16592</c:v>
                </c:pt>
                <c:pt idx="2">
                  <c:v>17217</c:v>
                </c:pt>
                <c:pt idx="3">
                  <c:v>45181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9-42A3-A354-7BB104744F97}"/>
            </c:ext>
          </c:extLst>
        </c:ser>
        <c:ser>
          <c:idx val="2"/>
          <c:order val="2"/>
          <c:tx>
            <c:strRef>
              <c:f>'BS Development'!$D$2</c:f>
              <c:strCache>
                <c:ptCount val="1"/>
                <c:pt idx="0">
                  <c:v>Dec-21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'BS Development'!$A$9:$A$12</c:f>
              <c:strCache>
                <c:ptCount val="4"/>
                <c:pt idx="0">
                  <c:v>AFS securities (fair value)</c:v>
                </c:pt>
                <c:pt idx="1">
                  <c:v>HTM securities (amortized cost)</c:v>
                </c:pt>
                <c:pt idx="2">
                  <c:v>HTM securities (fair value)</c:v>
                </c:pt>
                <c:pt idx="3">
                  <c:v>Loans (amortized cost)</c:v>
                </c:pt>
              </c:strCache>
            </c:strRef>
          </c:cat>
          <c:val>
            <c:numRef>
              <c:f>'BS Development'!$D$9:$D$12</c:f>
              <c:numCache>
                <c:formatCode>#,##0</c:formatCode>
                <c:ptCount val="4"/>
                <c:pt idx="0">
                  <c:v>27221</c:v>
                </c:pt>
                <c:pt idx="1">
                  <c:v>98195</c:v>
                </c:pt>
                <c:pt idx="2">
                  <c:v>97277</c:v>
                </c:pt>
                <c:pt idx="3">
                  <c:v>65854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9-42A3-A354-7BB104744F97}"/>
            </c:ext>
          </c:extLst>
        </c:ser>
        <c:ser>
          <c:idx val="3"/>
          <c:order val="3"/>
          <c:tx>
            <c:strRef>
              <c:f>'BS Development'!$E$2</c:f>
              <c:strCache>
                <c:ptCount val="1"/>
                <c:pt idx="0">
                  <c:v>Dec-22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'BS Development'!$A$9:$A$12</c:f>
              <c:strCache>
                <c:ptCount val="4"/>
                <c:pt idx="0">
                  <c:v>AFS securities (fair value)</c:v>
                </c:pt>
                <c:pt idx="1">
                  <c:v>HTM securities (amortized cost)</c:v>
                </c:pt>
                <c:pt idx="2">
                  <c:v>HTM securities (fair value)</c:v>
                </c:pt>
                <c:pt idx="3">
                  <c:v>Loans (amortized cost)</c:v>
                </c:pt>
              </c:strCache>
            </c:strRef>
          </c:cat>
          <c:val>
            <c:numRef>
              <c:f>'BS Development'!$E$9:$E$12</c:f>
              <c:numCache>
                <c:formatCode>#,##0</c:formatCode>
                <c:ptCount val="4"/>
                <c:pt idx="0">
                  <c:v>26069</c:v>
                </c:pt>
                <c:pt idx="1">
                  <c:v>91321</c:v>
                </c:pt>
                <c:pt idx="2">
                  <c:v>76169</c:v>
                </c:pt>
                <c:pt idx="3">
                  <c:v>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9-42A3-A354-7BB10474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10752"/>
        <c:axId val="1051218432"/>
      </c:barChart>
      <c:catAx>
        <c:axId val="10512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18432"/>
        <c:crosses val="autoZero"/>
        <c:auto val="1"/>
        <c:lblAlgn val="ctr"/>
        <c:lblOffset val="100"/>
        <c:noMultiLvlLbl val="0"/>
      </c:catAx>
      <c:valAx>
        <c:axId val="1051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Liabilities</a:t>
            </a:r>
            <a:r>
              <a:rPr lang="en-HK" baseline="0"/>
              <a:t> positions in US$ millions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 Development'!$B$2</c:f>
              <c:strCache>
                <c:ptCount val="1"/>
                <c:pt idx="0">
                  <c:v>Dec-19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'BS Development'!$A$14:$A$15</c:f>
              <c:strCache>
                <c:ptCount val="2"/>
                <c:pt idx="0">
                  <c:v>Noninterest-bearing demand deposits</c:v>
                </c:pt>
                <c:pt idx="1">
                  <c:v>Interest-bearing deposits</c:v>
                </c:pt>
              </c:strCache>
            </c:strRef>
          </c:cat>
          <c:val>
            <c:numRef>
              <c:f>'BS Development'!$B$14:$B$15</c:f>
              <c:numCache>
                <c:formatCode>#,##0</c:formatCode>
                <c:ptCount val="2"/>
                <c:pt idx="0">
                  <c:v>40841.57</c:v>
                </c:pt>
                <c:pt idx="1">
                  <c:v>20916.237000000001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F-4428-AF9D-201AADDC755D}"/>
            </c:ext>
          </c:extLst>
        </c:ser>
        <c:ser>
          <c:idx val="1"/>
          <c:order val="1"/>
          <c:tx>
            <c:strRef>
              <c:f>'BS Development'!$C$2</c:f>
              <c:strCache>
                <c:ptCount val="1"/>
                <c:pt idx="0">
                  <c:v>Dec-20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'BS Development'!$A$14:$A$15</c:f>
              <c:strCache>
                <c:ptCount val="2"/>
                <c:pt idx="0">
                  <c:v>Noninterest-bearing demand deposits</c:v>
                </c:pt>
                <c:pt idx="1">
                  <c:v>Interest-bearing deposits</c:v>
                </c:pt>
              </c:strCache>
            </c:strRef>
          </c:cat>
          <c:val>
            <c:numRef>
              <c:f>'BS Development'!$C$14:$C$15</c:f>
              <c:numCache>
                <c:formatCode>#,##0</c:formatCode>
                <c:ptCount val="2"/>
                <c:pt idx="0">
                  <c:v>66519</c:v>
                </c:pt>
                <c:pt idx="1">
                  <c:v>35436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F-4428-AF9D-201AADDC755D}"/>
            </c:ext>
          </c:extLst>
        </c:ser>
        <c:ser>
          <c:idx val="2"/>
          <c:order val="2"/>
          <c:tx>
            <c:strRef>
              <c:f>'BS Development'!$D$2</c:f>
              <c:strCache>
                <c:ptCount val="1"/>
                <c:pt idx="0">
                  <c:v>Dec-21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'BS Development'!$A$14:$A$15</c:f>
              <c:strCache>
                <c:ptCount val="2"/>
                <c:pt idx="0">
                  <c:v>Noninterest-bearing demand deposits</c:v>
                </c:pt>
                <c:pt idx="1">
                  <c:v>Interest-bearing deposits</c:v>
                </c:pt>
              </c:strCache>
            </c:strRef>
          </c:cat>
          <c:val>
            <c:numRef>
              <c:f>'BS Development'!$D$14:$D$15</c:f>
              <c:numCache>
                <c:formatCode>#,##0</c:formatCode>
                <c:ptCount val="2"/>
                <c:pt idx="0">
                  <c:v>125851</c:v>
                </c:pt>
                <c:pt idx="1">
                  <c:v>63352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F-4428-AF9D-201AADDC755D}"/>
            </c:ext>
          </c:extLst>
        </c:ser>
        <c:ser>
          <c:idx val="3"/>
          <c:order val="3"/>
          <c:tx>
            <c:strRef>
              <c:f>'BS Development'!$E$2</c:f>
              <c:strCache>
                <c:ptCount val="1"/>
                <c:pt idx="0">
                  <c:v>Dec-22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'BS Development'!$A$14:$A$15</c:f>
              <c:strCache>
                <c:ptCount val="2"/>
                <c:pt idx="0">
                  <c:v>Noninterest-bearing demand deposits</c:v>
                </c:pt>
                <c:pt idx="1">
                  <c:v>Interest-bearing deposits</c:v>
                </c:pt>
              </c:strCache>
            </c:strRef>
          </c:cat>
          <c:val>
            <c:numRef>
              <c:f>'BS Development'!$E$14:$E$15</c:f>
              <c:numCache>
                <c:formatCode>#,##0</c:formatCode>
                <c:ptCount val="2"/>
                <c:pt idx="0">
                  <c:v>80753</c:v>
                </c:pt>
                <c:pt idx="1">
                  <c:v>92356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F-4428-AF9D-201AADDC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867520"/>
        <c:axId val="1048868000"/>
      </c:barChart>
      <c:catAx>
        <c:axId val="10488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68000"/>
        <c:crosses val="autoZero"/>
        <c:auto val="1"/>
        <c:lblAlgn val="ctr"/>
        <c:lblOffset val="100"/>
        <c:noMultiLvlLbl val="0"/>
      </c:catAx>
      <c:valAx>
        <c:axId val="10488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Total</a:t>
            </a:r>
            <a:r>
              <a:rPr lang="en-HK" baseline="0"/>
              <a:t> assets and deposits in US$ millions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 Development'!$B$2</c:f>
              <c:strCache>
                <c:ptCount val="1"/>
                <c:pt idx="0">
                  <c:v>Dec-19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'BS Development'!$A$3:$A$4</c:f>
              <c:strCache>
                <c:ptCount val="2"/>
                <c:pt idx="0">
                  <c:v>Total assets</c:v>
                </c:pt>
                <c:pt idx="1">
                  <c:v>Total deposits</c:v>
                </c:pt>
              </c:strCache>
            </c:strRef>
          </c:cat>
          <c:val>
            <c:numRef>
              <c:f>'BS Development'!$B$3:$B$4</c:f>
              <c:numCache>
                <c:formatCode>#,##0</c:formatCode>
                <c:ptCount val="2"/>
                <c:pt idx="0">
                  <c:v>71004.903000000006</c:v>
                </c:pt>
                <c:pt idx="1">
                  <c:v>61757.807000000001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193-97A4-29B481407B92}"/>
            </c:ext>
          </c:extLst>
        </c:ser>
        <c:ser>
          <c:idx val="1"/>
          <c:order val="1"/>
          <c:tx>
            <c:strRef>
              <c:f>'BS Development'!$C$2</c:f>
              <c:strCache>
                <c:ptCount val="1"/>
                <c:pt idx="0">
                  <c:v>Dec-20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'BS Development'!$A$3:$A$4</c:f>
              <c:strCache>
                <c:ptCount val="2"/>
                <c:pt idx="0">
                  <c:v>Total assets</c:v>
                </c:pt>
                <c:pt idx="1">
                  <c:v>Total deposits</c:v>
                </c:pt>
              </c:strCache>
            </c:strRef>
          </c:cat>
          <c:val>
            <c:numRef>
              <c:f>'BS Development'!$C$3:$C$4</c:f>
              <c:numCache>
                <c:formatCode>#,##0</c:formatCode>
                <c:ptCount val="2"/>
                <c:pt idx="0">
                  <c:v>115511.007</c:v>
                </c:pt>
                <c:pt idx="1">
                  <c:v>101955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1-4193-97A4-29B481407B92}"/>
            </c:ext>
          </c:extLst>
        </c:ser>
        <c:ser>
          <c:idx val="2"/>
          <c:order val="2"/>
          <c:tx>
            <c:strRef>
              <c:f>'BS Development'!$D$2</c:f>
              <c:strCache>
                <c:ptCount val="1"/>
                <c:pt idx="0">
                  <c:v>Dec-21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'BS Development'!$A$3:$A$4</c:f>
              <c:strCache>
                <c:ptCount val="2"/>
                <c:pt idx="0">
                  <c:v>Total assets</c:v>
                </c:pt>
                <c:pt idx="1">
                  <c:v>Total deposits</c:v>
                </c:pt>
              </c:strCache>
            </c:strRef>
          </c:cat>
          <c:val>
            <c:numRef>
              <c:f>'BS Development'!$D$3:$D$4</c:f>
              <c:numCache>
                <c:formatCode>#,##0</c:formatCode>
                <c:ptCount val="2"/>
                <c:pt idx="0">
                  <c:v>211478</c:v>
                </c:pt>
                <c:pt idx="1">
                  <c:v>189203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1-4193-97A4-29B481407B92}"/>
            </c:ext>
          </c:extLst>
        </c:ser>
        <c:ser>
          <c:idx val="3"/>
          <c:order val="3"/>
          <c:tx>
            <c:strRef>
              <c:f>'BS Development'!$E$2</c:f>
              <c:strCache>
                <c:ptCount val="1"/>
                <c:pt idx="0">
                  <c:v>Dec-22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'BS Development'!$A$3:$A$4</c:f>
              <c:strCache>
                <c:ptCount val="2"/>
                <c:pt idx="0">
                  <c:v>Total assets</c:v>
                </c:pt>
                <c:pt idx="1">
                  <c:v>Total deposits</c:v>
                </c:pt>
              </c:strCache>
            </c:strRef>
          </c:cat>
          <c:val>
            <c:numRef>
              <c:f>'BS Development'!$E$3:$E$4</c:f>
              <c:numCache>
                <c:formatCode>#,##0</c:formatCode>
                <c:ptCount val="2"/>
                <c:pt idx="0">
                  <c:v>211793</c:v>
                </c:pt>
                <c:pt idx="1">
                  <c:v>173109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1-4193-97A4-29B481407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920672"/>
        <c:axId val="605914912"/>
      </c:barChart>
      <c:catAx>
        <c:axId val="6059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14912"/>
        <c:crosses val="autoZero"/>
        <c:auto val="1"/>
        <c:lblAlgn val="ctr"/>
        <c:lblOffset val="100"/>
        <c:noMultiLvlLbl val="0"/>
      </c:catAx>
      <c:valAx>
        <c:axId val="6059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Loan-to-deposit ratio in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Development'!$A$5</c:f>
              <c:strCache>
                <c:ptCount val="1"/>
                <c:pt idx="0">
                  <c:v>Loan-to-deposit ratio of SVB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'BS Development'!$B$2:$E$2</c:f>
              <c:numCache>
                <c:formatCode>[$-409]mmm\-yy;@</c:formatCode>
                <c:ptCount val="4"/>
                <c:pt idx="0">
                  <c:v>43800</c:v>
                </c:pt>
                <c:pt idx="1">
                  <c:v>44166</c:v>
                </c:pt>
                <c:pt idx="2">
                  <c:v>44531</c:v>
                </c:pt>
                <c:pt idx="3">
                  <c:v>44896</c:v>
                </c:pt>
              </c:numCache>
            </c:numRef>
          </c:cat>
          <c:val>
            <c:numRef>
              <c:f>'BS Development'!$B$5:$E$5</c:f>
              <c:numCache>
                <c:formatCode>0.00</c:formatCode>
                <c:ptCount val="4"/>
                <c:pt idx="0">
                  <c:v>53.700681113887349</c:v>
                </c:pt>
                <c:pt idx="1">
                  <c:v>44.314648619488992</c:v>
                </c:pt>
                <c:pt idx="2">
                  <c:v>34.806002018995471</c:v>
                </c:pt>
                <c:pt idx="3">
                  <c:v>42.524652097811206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E-4E8D-87AA-ADF2E2BF50E1}"/>
            </c:ext>
          </c:extLst>
        </c:ser>
        <c:ser>
          <c:idx val="1"/>
          <c:order val="1"/>
          <c:tx>
            <c:strRef>
              <c:f>'BS Development'!$A$6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'BS Development'!$B$6:$E$6</c:f>
              <c:numCache>
                <c:formatCode>0.00</c:formatCode>
                <c:ptCount val="4"/>
                <c:pt idx="0">
                  <c:v>72.399999999999991</c:v>
                </c:pt>
                <c:pt idx="1">
                  <c:v>60.3</c:v>
                </c:pt>
                <c:pt idx="2">
                  <c:v>57.099999999999994</c:v>
                </c:pt>
                <c:pt idx="3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7-4EF8-841A-2E8B869F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35200"/>
        <c:axId val="2116535680"/>
      </c:lineChart>
      <c:dateAx>
        <c:axId val="2116535200"/>
        <c:scaling>
          <c:orientation val="minMax"/>
          <c:max val="44926"/>
          <c:min val="43830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5680"/>
        <c:crosses val="autoZero"/>
        <c:auto val="0"/>
        <c:lblOffset val="100"/>
        <c:baseTimeUnit val="months"/>
        <c:majorUnit val="1"/>
        <c:majorTimeUnit val="years"/>
      </c:dateAx>
      <c:valAx>
        <c:axId val="2116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5200"/>
        <c:crossesAt val="438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Comparison (amortized</a:t>
            </a:r>
            <a:r>
              <a:rPr lang="en-HK" baseline="0"/>
              <a:t>) cost and fair value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 Development'!$A$8</c:f>
              <c:strCache>
                <c:ptCount val="1"/>
                <c:pt idx="0">
                  <c:v>AFS securities (cost)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'BS Development'!$B$2:$E$2</c:f>
              <c:numCache>
                <c:formatCode>[$-409]mmm\-yy;@</c:formatCode>
                <c:ptCount val="4"/>
                <c:pt idx="0">
                  <c:v>43800</c:v>
                </c:pt>
                <c:pt idx="1">
                  <c:v>44166</c:v>
                </c:pt>
                <c:pt idx="2">
                  <c:v>44531</c:v>
                </c:pt>
                <c:pt idx="3">
                  <c:v>44896</c:v>
                </c:pt>
              </c:numCache>
            </c:numRef>
          </c:cat>
          <c:val>
            <c:numRef>
              <c:f>'BS Development'!$B$8:$E$8</c:f>
              <c:numCache>
                <c:formatCode>#,##0</c:formatCode>
                <c:ptCount val="4"/>
                <c:pt idx="0">
                  <c:v>13842.946</c:v>
                </c:pt>
                <c:pt idx="1">
                  <c:v>30245</c:v>
                </c:pt>
                <c:pt idx="2">
                  <c:v>27370</c:v>
                </c:pt>
                <c:pt idx="3">
                  <c:v>28602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44D2-AAFF-9E58BC777D7F}"/>
            </c:ext>
          </c:extLst>
        </c:ser>
        <c:ser>
          <c:idx val="1"/>
          <c:order val="1"/>
          <c:tx>
            <c:strRef>
              <c:f>'BS Development'!$A$9</c:f>
              <c:strCache>
                <c:ptCount val="1"/>
                <c:pt idx="0">
                  <c:v>AFS securities (fair value)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'BS Development'!$B$2:$E$2</c:f>
              <c:numCache>
                <c:formatCode>[$-409]mmm\-yy;@</c:formatCode>
                <c:ptCount val="4"/>
                <c:pt idx="0">
                  <c:v>43800</c:v>
                </c:pt>
                <c:pt idx="1">
                  <c:v>44166</c:v>
                </c:pt>
                <c:pt idx="2">
                  <c:v>44531</c:v>
                </c:pt>
                <c:pt idx="3">
                  <c:v>44896</c:v>
                </c:pt>
              </c:numCache>
            </c:numRef>
          </c:cat>
          <c:val>
            <c:numRef>
              <c:f>'BS Development'!$B$9:$E$9</c:f>
              <c:numCache>
                <c:formatCode>#,##0</c:formatCode>
                <c:ptCount val="4"/>
                <c:pt idx="0">
                  <c:v>14014.919</c:v>
                </c:pt>
                <c:pt idx="1">
                  <c:v>30913</c:v>
                </c:pt>
                <c:pt idx="2">
                  <c:v>27221</c:v>
                </c:pt>
                <c:pt idx="3">
                  <c:v>26069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B-44D2-AAFF-9E58BC777D7F}"/>
            </c:ext>
          </c:extLst>
        </c:ser>
        <c:ser>
          <c:idx val="2"/>
          <c:order val="2"/>
          <c:tx>
            <c:strRef>
              <c:f>'BS Development'!$A$10</c:f>
              <c:strCache>
                <c:ptCount val="1"/>
                <c:pt idx="0">
                  <c:v>HTM securities (amortized cost)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'BS Development'!$B$2:$E$2</c:f>
              <c:numCache>
                <c:formatCode>[$-409]mmm\-yy;@</c:formatCode>
                <c:ptCount val="4"/>
                <c:pt idx="0">
                  <c:v>43800</c:v>
                </c:pt>
                <c:pt idx="1">
                  <c:v>44166</c:v>
                </c:pt>
                <c:pt idx="2">
                  <c:v>44531</c:v>
                </c:pt>
                <c:pt idx="3">
                  <c:v>44896</c:v>
                </c:pt>
              </c:numCache>
            </c:numRef>
          </c:cat>
          <c:val>
            <c:numRef>
              <c:f>'BS Development'!$B$10:$E$10</c:f>
              <c:numCache>
                <c:formatCode>#,##0</c:formatCode>
                <c:ptCount val="4"/>
                <c:pt idx="0">
                  <c:v>13842.946</c:v>
                </c:pt>
                <c:pt idx="1">
                  <c:v>16592</c:v>
                </c:pt>
                <c:pt idx="2">
                  <c:v>98195</c:v>
                </c:pt>
                <c:pt idx="3">
                  <c:v>91321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B-44D2-AAFF-9E58BC777D7F}"/>
            </c:ext>
          </c:extLst>
        </c:ser>
        <c:ser>
          <c:idx val="3"/>
          <c:order val="3"/>
          <c:tx>
            <c:strRef>
              <c:f>'BS Development'!$A$11</c:f>
              <c:strCache>
                <c:ptCount val="1"/>
                <c:pt idx="0">
                  <c:v>HTM securities (fair value)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'BS Development'!$B$2:$E$2</c:f>
              <c:numCache>
                <c:formatCode>[$-409]mmm\-yy;@</c:formatCode>
                <c:ptCount val="4"/>
                <c:pt idx="0">
                  <c:v>43800</c:v>
                </c:pt>
                <c:pt idx="1">
                  <c:v>44166</c:v>
                </c:pt>
                <c:pt idx="2">
                  <c:v>44531</c:v>
                </c:pt>
                <c:pt idx="3">
                  <c:v>44896</c:v>
                </c:pt>
              </c:numCache>
            </c:numRef>
          </c:cat>
          <c:val>
            <c:numRef>
              <c:f>'BS Development'!$B$11:$E$11</c:f>
              <c:numCache>
                <c:formatCode>#,##0</c:formatCode>
                <c:ptCount val="4"/>
                <c:pt idx="0">
                  <c:v>14115.272000000001</c:v>
                </c:pt>
                <c:pt idx="1">
                  <c:v>17217</c:v>
                </c:pt>
                <c:pt idx="2">
                  <c:v>97277</c:v>
                </c:pt>
                <c:pt idx="3">
                  <c:v>76169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B-44D2-AAFF-9E58BC77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72111"/>
        <c:axId val="121969711"/>
      </c:barChart>
      <c:catAx>
        <c:axId val="121972111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9711"/>
        <c:crosses val="autoZero"/>
        <c:auto val="0"/>
        <c:lblAlgn val="ctr"/>
        <c:lblOffset val="100"/>
        <c:noMultiLvlLbl val="0"/>
      </c:catAx>
      <c:valAx>
        <c:axId val="121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</a:t>
            </a:r>
            <a:r>
              <a:rPr lang="en-US" baseline="0"/>
              <a:t> ratio </a:t>
            </a:r>
            <a:r>
              <a:rPr lang="en-US"/>
              <a:t>in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Development'!$A$28</c:f>
              <c:strCache>
                <c:ptCount val="1"/>
                <c:pt idx="0">
                  <c:v>Equity ratio of SVB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'BS Development'!$B$2:$E$2</c:f>
              <c:numCache>
                <c:formatCode>[$-409]mmm\-yy;@</c:formatCode>
                <c:ptCount val="4"/>
                <c:pt idx="0">
                  <c:v>43800</c:v>
                </c:pt>
                <c:pt idx="1">
                  <c:v>44166</c:v>
                </c:pt>
                <c:pt idx="2">
                  <c:v>44531</c:v>
                </c:pt>
                <c:pt idx="3">
                  <c:v>44896</c:v>
                </c:pt>
              </c:numCache>
            </c:numRef>
          </c:cat>
          <c:val>
            <c:numRef>
              <c:f>'BS Development'!$B$28:$E$28</c:f>
              <c:numCache>
                <c:formatCode>0.00</c:formatCode>
                <c:ptCount val="4"/>
                <c:pt idx="0">
                  <c:v>9.3248208507516726</c:v>
                </c:pt>
                <c:pt idx="1">
                  <c:v>7.3006029633175995</c:v>
                </c:pt>
                <c:pt idx="2">
                  <c:v>7.8537720235674637</c:v>
                </c:pt>
                <c:pt idx="3">
                  <c:v>7.6938331295179729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F-404A-85D2-F69F03B53516}"/>
            </c:ext>
          </c:extLst>
        </c:ser>
        <c:ser>
          <c:idx val="1"/>
          <c:order val="1"/>
          <c:tx>
            <c:strRef>
              <c:f>'BS Development'!$A$29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'BS Development'!$B$29:$E$29</c:f>
              <c:numCache>
                <c:formatCode>0.00</c:formatCode>
                <c:ptCount val="4"/>
                <c:pt idx="0">
                  <c:v>11.250794507911325</c:v>
                </c:pt>
                <c:pt idx="1">
                  <c:v>9.779902351728289</c:v>
                </c:pt>
                <c:pt idx="2">
                  <c:v>8.9545416587921487</c:v>
                </c:pt>
                <c:pt idx="3">
                  <c:v>9.339714839182566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F-404A-85D2-F69F03B5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35200"/>
        <c:axId val="2116535680"/>
      </c:lineChart>
      <c:dateAx>
        <c:axId val="2116535200"/>
        <c:scaling>
          <c:orientation val="minMax"/>
          <c:max val="44926"/>
          <c:min val="43830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5680"/>
        <c:crosses val="autoZero"/>
        <c:auto val="0"/>
        <c:lblOffset val="100"/>
        <c:baseTimeUnit val="months"/>
        <c:majorUnit val="1"/>
        <c:majorTimeUnit val="years"/>
      </c:dateAx>
      <c:valAx>
        <c:axId val="2116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5200"/>
        <c:crossesAt val="438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Deposits-to-assets ratio</a:t>
            </a:r>
            <a:r>
              <a:rPr lang="en-US" baseline="0"/>
              <a:t> </a:t>
            </a:r>
            <a:r>
              <a:rPr lang="en-US"/>
              <a:t>in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Development'!$A$33</c:f>
              <c:strCache>
                <c:ptCount val="1"/>
                <c:pt idx="0">
                  <c:v>Deposits-to-assets ratio of SVB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'BS Development'!$B$2:$E$2</c:f>
              <c:numCache>
                <c:formatCode>[$-409]mmm\-yy;@</c:formatCode>
                <c:ptCount val="4"/>
                <c:pt idx="0">
                  <c:v>43800</c:v>
                </c:pt>
                <c:pt idx="1">
                  <c:v>44166</c:v>
                </c:pt>
                <c:pt idx="2">
                  <c:v>44531</c:v>
                </c:pt>
                <c:pt idx="3">
                  <c:v>44896</c:v>
                </c:pt>
              </c:numCache>
            </c:numRef>
          </c:cat>
          <c:val>
            <c:numRef>
              <c:f>'BS Development'!$B$33:$E$33</c:f>
              <c:numCache>
                <c:formatCode>General</c:formatCode>
                <c:ptCount val="4"/>
                <c:pt idx="0">
                  <c:v>86.97682045984908</c:v>
                </c:pt>
                <c:pt idx="1">
                  <c:v>88.264315798060693</c:v>
                </c:pt>
                <c:pt idx="2">
                  <c:v>89.466989474082411</c:v>
                </c:pt>
                <c:pt idx="3">
                  <c:v>81.734995963039381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7-4278-9337-6516B7B010DB}"/>
            </c:ext>
          </c:extLst>
        </c:ser>
        <c:ser>
          <c:idx val="1"/>
          <c:order val="1"/>
          <c:tx>
            <c:strRef>
              <c:f>'BS Development'!$A$34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'BS Development'!$B$2:$E$2</c:f>
              <c:numCache>
                <c:formatCode>[$-409]mmm\-yy;@</c:formatCode>
                <c:ptCount val="4"/>
                <c:pt idx="0">
                  <c:v>43800</c:v>
                </c:pt>
                <c:pt idx="1">
                  <c:v>44166</c:v>
                </c:pt>
                <c:pt idx="2">
                  <c:v>44531</c:v>
                </c:pt>
                <c:pt idx="3">
                  <c:v>44896</c:v>
                </c:pt>
              </c:numCache>
            </c:numRef>
          </c:cat>
          <c:val>
            <c:numRef>
              <c:f>'BS Development'!$B$34:$E$34</c:f>
              <c:numCache>
                <c:formatCode>General</c:formatCode>
                <c:ptCount val="4"/>
                <c:pt idx="0">
                  <c:v>74.4705624272287</c:v>
                </c:pt>
                <c:pt idx="1">
                  <c:v>78.233383259740521</c:v>
                </c:pt>
                <c:pt idx="2">
                  <c:v>79.094788750346112</c:v>
                </c:pt>
                <c:pt idx="3">
                  <c:v>77.633025601647432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7-4278-9337-6516B7B0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35200"/>
        <c:axId val="2116535680"/>
      </c:lineChart>
      <c:dateAx>
        <c:axId val="2116535200"/>
        <c:scaling>
          <c:orientation val="minMax"/>
          <c:max val="44926"/>
          <c:min val="43830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5680"/>
        <c:crosses val="autoZero"/>
        <c:auto val="0"/>
        <c:lblOffset val="100"/>
        <c:baseTimeUnit val="months"/>
        <c:majorUnit val="1"/>
        <c:majorTimeUnit val="years"/>
      </c:dateAx>
      <c:valAx>
        <c:axId val="211653568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5200"/>
        <c:crossesAt val="438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2</xdr:row>
      <xdr:rowOff>142875</xdr:rowOff>
    </xdr:from>
    <xdr:to>
      <xdr:col>22</xdr:col>
      <xdr:colOff>114637</xdr:colOff>
      <xdr:row>31</xdr:row>
      <xdr:rowOff>168546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2015C7-31B3-DC9C-FE56-53F3DCE30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7950" y="581025"/>
          <a:ext cx="6553537" cy="5273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5</xdr:row>
      <xdr:rowOff>77432</xdr:rowOff>
    </xdr:from>
    <xdr:to>
      <xdr:col>20</xdr:col>
      <xdr:colOff>16346</xdr:colOff>
      <xdr:row>10</xdr:row>
      <xdr:rowOff>6438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87E762-479E-4B35-B32A-2F594157F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1425" y="1058507"/>
          <a:ext cx="4407371" cy="837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3</xdr:row>
      <xdr:rowOff>104775</xdr:rowOff>
    </xdr:from>
    <xdr:to>
      <xdr:col>22</xdr:col>
      <xdr:colOff>324163</xdr:colOff>
      <xdr:row>27</xdr:row>
      <xdr:rowOff>143100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AE352F-91E9-968D-DABE-576C4C725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9025" y="723900"/>
          <a:ext cx="6086788" cy="4381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130175</xdr:colOff>
      <xdr:row>1</xdr:row>
      <xdr:rowOff>177801</xdr:rowOff>
    </xdr:from>
    <xdr:to>
      <xdr:col>23</xdr:col>
      <xdr:colOff>273130</xdr:colOff>
      <xdr:row>10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74A78-9A3D-1159-166D-F66F72C9D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4975" y="358776"/>
          <a:ext cx="6238955" cy="1584325"/>
        </a:xfrm>
        <a:prstGeom prst="rect">
          <a:avLst/>
        </a:prstGeom>
      </xdr:spPr>
    </xdr:pic>
    <xdr:clientData/>
  </xdr:twoCellAnchor>
  <xdr:twoCellAnchor editAs="oneCell">
    <xdr:from>
      <xdr:col>13</xdr:col>
      <xdr:colOff>44451</xdr:colOff>
      <xdr:row>24</xdr:row>
      <xdr:rowOff>142876</xdr:rowOff>
    </xdr:from>
    <xdr:to>
      <xdr:col>23</xdr:col>
      <xdr:colOff>454026</xdr:colOff>
      <xdr:row>33</xdr:row>
      <xdr:rowOff>111900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74B45B-A38A-7656-CAEF-B08E3F197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9251" y="4486276"/>
          <a:ext cx="6505575" cy="1597799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</xdr:colOff>
      <xdr:row>13</xdr:row>
      <xdr:rowOff>114301</xdr:rowOff>
    </xdr:from>
    <xdr:to>
      <xdr:col>23</xdr:col>
      <xdr:colOff>400050</xdr:colOff>
      <xdr:row>22</xdr:row>
      <xdr:rowOff>30465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1914D-D5DD-F4EA-8DC6-F7C58A04C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88300" y="2466976"/>
          <a:ext cx="6432550" cy="154493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</xdr:row>
      <xdr:rowOff>104776</xdr:rowOff>
    </xdr:from>
    <xdr:to>
      <xdr:col>11</xdr:col>
      <xdr:colOff>196850</xdr:colOff>
      <xdr:row>11</xdr:row>
      <xdr:rowOff>153892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59894B-8044-FEBB-D9B4-5952D7D62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000" y="285751"/>
          <a:ext cx="6267450" cy="1858866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13</xdr:row>
      <xdr:rowOff>25400</xdr:rowOff>
    </xdr:from>
    <xdr:to>
      <xdr:col>11</xdr:col>
      <xdr:colOff>273050</xdr:colOff>
      <xdr:row>23</xdr:row>
      <xdr:rowOff>29330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08B6A8-EBFD-3D6A-62E6-14A6EA1A2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050" y="2378075"/>
          <a:ext cx="6324600" cy="18136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133351</xdr:rowOff>
    </xdr:from>
    <xdr:to>
      <xdr:col>11</xdr:col>
      <xdr:colOff>330200</xdr:colOff>
      <xdr:row>36</xdr:row>
      <xdr:rowOff>145012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D69635-D207-CFCD-5D33-235BAC0A1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4476751"/>
          <a:ext cx="6426200" cy="21833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19049</xdr:rowOff>
    </xdr:from>
    <xdr:to>
      <xdr:col>11</xdr:col>
      <xdr:colOff>330282</xdr:colOff>
      <xdr:row>15</xdr:row>
      <xdr:rowOff>152580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1087A3-69FA-3D3C-F2AE-6C3E0894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80999"/>
          <a:ext cx="6391357" cy="2486206"/>
        </a:xfrm>
        <a:prstGeom prst="rect">
          <a:avLst/>
        </a:prstGeom>
      </xdr:spPr>
    </xdr:pic>
    <xdr:clientData/>
  </xdr:twoCellAnchor>
  <xdr:twoCellAnchor editAs="oneCell">
    <xdr:from>
      <xdr:col>24</xdr:col>
      <xdr:colOff>368300</xdr:colOff>
      <xdr:row>1</xdr:row>
      <xdr:rowOff>179000</xdr:rowOff>
    </xdr:from>
    <xdr:to>
      <xdr:col>34</xdr:col>
      <xdr:colOff>276225</xdr:colOff>
      <xdr:row>8</xdr:row>
      <xdr:rowOff>162023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293283-2D7F-184C-1600-D4970542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98700" y="359975"/>
          <a:ext cx="6000750" cy="124667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24</xdr:row>
      <xdr:rowOff>25401</xdr:rowOff>
    </xdr:from>
    <xdr:to>
      <xdr:col>11</xdr:col>
      <xdr:colOff>381000</xdr:colOff>
      <xdr:row>42</xdr:row>
      <xdr:rowOff>152587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53B637-21C7-234F-8FF5-09365E0F5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4368801"/>
          <a:ext cx="6400800" cy="3384736"/>
        </a:xfrm>
        <a:prstGeom prst="rect">
          <a:avLst/>
        </a:prstGeom>
      </xdr:spPr>
    </xdr:pic>
    <xdr:clientData/>
  </xdr:twoCellAnchor>
  <xdr:twoCellAnchor editAs="oneCell">
    <xdr:from>
      <xdr:col>24</xdr:col>
      <xdr:colOff>73026</xdr:colOff>
      <xdr:row>24</xdr:row>
      <xdr:rowOff>20852</xdr:rowOff>
    </xdr:from>
    <xdr:to>
      <xdr:col>34</xdr:col>
      <xdr:colOff>133351</xdr:colOff>
      <xdr:row>38</xdr:row>
      <xdr:rowOff>25593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A1807B-A476-5CAE-A4CB-DB8AEA034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03426" y="4364252"/>
          <a:ext cx="6156325" cy="2538391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24</xdr:row>
      <xdr:rowOff>19932</xdr:rowOff>
    </xdr:from>
    <xdr:to>
      <xdr:col>23</xdr:col>
      <xdr:colOff>209550</xdr:colOff>
      <xdr:row>37</xdr:row>
      <xdr:rowOff>63556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7FD13F-1798-46D2-BD17-0F4FBA509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0" y="4363332"/>
          <a:ext cx="6134100" cy="2396299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2</xdr:row>
      <xdr:rowOff>19050</xdr:rowOff>
    </xdr:from>
    <xdr:to>
      <xdr:col>23</xdr:col>
      <xdr:colOff>257582</xdr:colOff>
      <xdr:row>23</xdr:row>
      <xdr:rowOff>19301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8FB682-8308-CFBA-D99C-7D6DB5A14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15300" y="381000"/>
          <a:ext cx="6159907" cy="3800726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44</xdr:row>
      <xdr:rowOff>121088</xdr:rowOff>
    </xdr:from>
    <xdr:to>
      <xdr:col>11</xdr:col>
      <xdr:colOff>339725</xdr:colOff>
      <xdr:row>62</xdr:row>
      <xdr:rowOff>57381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59CE6C-C4E9-F97A-861C-9E34D39FE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0075" y="8083988"/>
          <a:ext cx="6445250" cy="3193843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95250</xdr:colOff>
      <xdr:row>44</xdr:row>
      <xdr:rowOff>66675</xdr:rowOff>
    </xdr:from>
    <xdr:to>
      <xdr:col>34</xdr:col>
      <xdr:colOff>332075</xdr:colOff>
      <xdr:row>59</xdr:row>
      <xdr:rowOff>28808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6C4A0E-CB0E-2BDC-0AF9-03907B54A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25650" y="8029575"/>
          <a:ext cx="6332825" cy="2676758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43</xdr:row>
      <xdr:rowOff>170338</xdr:rowOff>
    </xdr:from>
    <xdr:to>
      <xdr:col>23</xdr:col>
      <xdr:colOff>273050</xdr:colOff>
      <xdr:row>58</xdr:row>
      <xdr:rowOff>35122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940864-3506-ECE1-7EC1-02FDAD343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72450" y="7952263"/>
          <a:ext cx="6121400" cy="25794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44450</xdr:rowOff>
    </xdr:from>
    <xdr:to>
      <xdr:col>8</xdr:col>
      <xdr:colOff>540083</xdr:colOff>
      <xdr:row>12</xdr:row>
      <xdr:rowOff>25505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247EA-01AF-0D59-CE5A-03802D2B3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2750"/>
          <a:ext cx="5416883" cy="18225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87915</xdr:rowOff>
    </xdr:from>
    <xdr:to>
      <xdr:col>8</xdr:col>
      <xdr:colOff>476250</xdr:colOff>
      <xdr:row>18</xdr:row>
      <xdr:rowOff>12739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4B7A0D-F1FE-7854-903A-EA8DC5A3F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6015"/>
          <a:ext cx="5353050" cy="6614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46037</xdr:rowOff>
    </xdr:from>
    <xdr:to>
      <xdr:col>14</xdr:col>
      <xdr:colOff>295275</xdr:colOff>
      <xdr:row>15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19E75-53EE-A61F-A2A3-7994EF19E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582612</xdr:colOff>
      <xdr:row>16</xdr:row>
      <xdr:rowOff>26987</xdr:rowOff>
    </xdr:from>
    <xdr:to>
      <xdr:col>14</xdr:col>
      <xdr:colOff>277812</xdr:colOff>
      <xdr:row>31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BF7E2-3236-868E-DD2B-CDBD7EA3B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490631</xdr:colOff>
      <xdr:row>0</xdr:row>
      <xdr:rowOff>49119</xdr:rowOff>
    </xdr:from>
    <xdr:to>
      <xdr:col>22</xdr:col>
      <xdr:colOff>218514</xdr:colOff>
      <xdr:row>15</xdr:row>
      <xdr:rowOff>102907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CECB61-54F8-22DD-E733-9538AFBEA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448235</xdr:colOff>
      <xdr:row>15</xdr:row>
      <xdr:rowOff>164352</xdr:rowOff>
    </xdr:from>
    <xdr:to>
      <xdr:col>22</xdr:col>
      <xdr:colOff>185644</xdr:colOff>
      <xdr:row>31</xdr:row>
      <xdr:rowOff>35671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0DA9A5-D29A-2F9F-EC9F-4D64ED325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453571</xdr:colOff>
      <xdr:row>31</xdr:row>
      <xdr:rowOff>175078</xdr:rowOff>
    </xdr:from>
    <xdr:to>
      <xdr:col>22</xdr:col>
      <xdr:colOff>163285</xdr:colOff>
      <xdr:row>47</xdr:row>
      <xdr:rowOff>15421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18D29-BA15-2A33-4FA9-A99A4B408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471713</xdr:colOff>
      <xdr:row>31</xdr:row>
      <xdr:rowOff>172357</xdr:rowOff>
    </xdr:from>
    <xdr:to>
      <xdr:col>12</xdr:col>
      <xdr:colOff>154693</xdr:colOff>
      <xdr:row>47</xdr:row>
      <xdr:rowOff>43676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9C6AF-D920-4301-A032-EDDE1346D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344714</xdr:colOff>
      <xdr:row>48</xdr:row>
      <xdr:rowOff>145143</xdr:rowOff>
    </xdr:from>
    <xdr:to>
      <xdr:col>12</xdr:col>
      <xdr:colOff>27694</xdr:colOff>
      <xdr:row>64</xdr:row>
      <xdr:rowOff>16461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1F886-914A-466E-83B9-ACCDE97A5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deralreserve.gov/releases/h8/20220225/" TargetMode="External"/><Relationship Id="rId2" Type="http://schemas.openxmlformats.org/officeDocument/2006/relationships/hyperlink" Target="https://www.federalreserve.gov/releases/h8/20210219/" TargetMode="External"/><Relationship Id="rId1" Type="http://schemas.openxmlformats.org/officeDocument/2006/relationships/hyperlink" Target="https://www.federalreserve.gov/releases/h8/20200327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ederalreserve.gov/releases/h8/202302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9C17-F003-4065-AE51-251D3212AB8F}">
  <dimension ref="A2:J49"/>
  <sheetViews>
    <sheetView showGridLines="0" workbookViewId="0">
      <selection activeCell="J4" sqref="J4"/>
    </sheetView>
  </sheetViews>
  <sheetFormatPr defaultRowHeight="14.5" x14ac:dyDescent="0.35"/>
  <cols>
    <col min="1" max="1" width="2.6328125" customWidth="1"/>
    <col min="2" max="2" width="39.7265625" customWidth="1"/>
    <col min="3" max="3" width="12" bestFit="1" customWidth="1"/>
    <col min="4" max="4" width="9.90625" bestFit="1" customWidth="1"/>
    <col min="5" max="5" width="12.6328125" bestFit="1" customWidth="1"/>
    <col min="6" max="6" width="12.26953125" bestFit="1" customWidth="1"/>
    <col min="7" max="7" width="11.453125" bestFit="1" customWidth="1"/>
    <col min="8" max="8" width="10.1796875" bestFit="1" customWidth="1"/>
    <col min="9" max="9" width="12.81640625" bestFit="1" customWidth="1"/>
    <col min="10" max="10" width="15.08984375" bestFit="1" customWidth="1"/>
  </cols>
  <sheetData>
    <row r="2" spans="1:10" s="1" customFormat="1" ht="20" customHeight="1" x14ac:dyDescent="0.45">
      <c r="B2" s="3" t="s">
        <v>0</v>
      </c>
    </row>
    <row r="3" spans="1:10" x14ac:dyDescent="0.35">
      <c r="B3" s="20" t="s">
        <v>178</v>
      </c>
    </row>
    <row r="4" spans="1:10" x14ac:dyDescent="0.35">
      <c r="A4" t="s">
        <v>50</v>
      </c>
      <c r="B4" s="4" t="s">
        <v>51</v>
      </c>
    </row>
    <row r="6" spans="1:10" x14ac:dyDescent="0.35">
      <c r="B6" s="2" t="s">
        <v>1</v>
      </c>
      <c r="C6" s="2" t="s">
        <v>3</v>
      </c>
      <c r="D6" s="2" t="s">
        <v>2</v>
      </c>
      <c r="E6" s="2" t="s">
        <v>4</v>
      </c>
      <c r="F6" s="2" t="s">
        <v>23</v>
      </c>
      <c r="G6" s="2" t="s">
        <v>5</v>
      </c>
      <c r="H6" s="2" t="s">
        <v>6</v>
      </c>
      <c r="I6" s="2" t="s">
        <v>7</v>
      </c>
      <c r="J6" s="2" t="s">
        <v>20</v>
      </c>
    </row>
    <row r="7" spans="1:10" x14ac:dyDescent="0.35">
      <c r="B7" t="s">
        <v>8</v>
      </c>
      <c r="C7" t="s">
        <v>24</v>
      </c>
      <c r="D7" t="s">
        <v>28</v>
      </c>
      <c r="E7" t="s">
        <v>31</v>
      </c>
      <c r="F7" s="6">
        <v>17674763</v>
      </c>
    </row>
    <row r="8" spans="1:10" x14ac:dyDescent="0.35">
      <c r="B8" t="s">
        <v>9</v>
      </c>
      <c r="C8" t="s">
        <v>24</v>
      </c>
      <c r="D8" t="s">
        <v>29</v>
      </c>
      <c r="E8" t="s">
        <v>31</v>
      </c>
      <c r="F8" s="6">
        <v>30912438</v>
      </c>
    </row>
    <row r="9" spans="1:10" x14ac:dyDescent="0.35">
      <c r="B9" t="s">
        <v>120</v>
      </c>
      <c r="C9" t="s">
        <v>24</v>
      </c>
      <c r="D9" t="s">
        <v>30</v>
      </c>
      <c r="E9" t="s">
        <v>31</v>
      </c>
      <c r="F9" s="6">
        <f>16592545-F10</f>
        <v>16455632</v>
      </c>
    </row>
    <row r="10" spans="1:10" x14ac:dyDescent="0.35">
      <c r="B10" t="s">
        <v>117</v>
      </c>
      <c r="C10" t="s">
        <v>24</v>
      </c>
      <c r="D10" t="s">
        <v>118</v>
      </c>
      <c r="E10" t="s">
        <v>31</v>
      </c>
      <c r="F10" s="6">
        <v>136913</v>
      </c>
      <c r="J10" t="s">
        <v>46</v>
      </c>
    </row>
    <row r="11" spans="1:10" x14ac:dyDescent="0.35">
      <c r="B11" t="s">
        <v>10</v>
      </c>
      <c r="C11" t="s">
        <v>24</v>
      </c>
      <c r="D11" t="s">
        <v>119</v>
      </c>
      <c r="E11" t="s">
        <v>31</v>
      </c>
      <c r="F11" s="6">
        <v>1802235</v>
      </c>
    </row>
    <row r="12" spans="1:10" x14ac:dyDescent="0.35">
      <c r="B12" t="s">
        <v>11</v>
      </c>
      <c r="C12" t="s">
        <v>37</v>
      </c>
      <c r="D12" t="s">
        <v>38</v>
      </c>
      <c r="E12" t="s">
        <v>32</v>
      </c>
      <c r="F12" s="6">
        <v>44733723</v>
      </c>
      <c r="G12">
        <f>1520021/F12</f>
        <v>3.3979309077404533E-2</v>
      </c>
    </row>
    <row r="13" spans="1:10" x14ac:dyDescent="0.35">
      <c r="B13" t="s">
        <v>12</v>
      </c>
      <c r="C13" t="s">
        <v>33</v>
      </c>
      <c r="D13" t="s">
        <v>34</v>
      </c>
      <c r="E13" t="s">
        <v>41</v>
      </c>
      <c r="F13" s="6">
        <v>175818</v>
      </c>
    </row>
    <row r="14" spans="1:10" x14ac:dyDescent="0.35">
      <c r="B14" t="s">
        <v>13</v>
      </c>
      <c r="C14" t="s">
        <v>33</v>
      </c>
      <c r="D14" t="s">
        <v>35</v>
      </c>
      <c r="E14" t="s">
        <v>41</v>
      </c>
      <c r="F14" s="6">
        <v>142685</v>
      </c>
    </row>
    <row r="15" spans="1:10" x14ac:dyDescent="0.35">
      <c r="B15" t="s">
        <v>14</v>
      </c>
      <c r="C15" t="s">
        <v>33</v>
      </c>
      <c r="D15" t="s">
        <v>36</v>
      </c>
      <c r="E15" t="s">
        <v>41</v>
      </c>
      <c r="F15" s="6">
        <v>61435</v>
      </c>
    </row>
    <row r="16" spans="1:10" x14ac:dyDescent="0.35">
      <c r="B16" t="s">
        <v>15</v>
      </c>
      <c r="C16" t="s">
        <v>33</v>
      </c>
      <c r="D16" t="s">
        <v>39</v>
      </c>
      <c r="E16" t="s">
        <v>41</v>
      </c>
      <c r="F16" s="6">
        <v>209932</v>
      </c>
    </row>
    <row r="17" spans="2:10" x14ac:dyDescent="0.35">
      <c r="B17" s="1" t="s">
        <v>16</v>
      </c>
      <c r="C17" s="1" t="s">
        <v>37</v>
      </c>
      <c r="D17" s="1" t="s">
        <v>40</v>
      </c>
      <c r="E17" s="1" t="s">
        <v>32</v>
      </c>
      <c r="F17" s="8">
        <v>3205825</v>
      </c>
      <c r="G17" s="1"/>
      <c r="H17" s="1"/>
      <c r="I17" s="1"/>
      <c r="J17" s="1"/>
    </row>
    <row r="18" spans="2:10" x14ac:dyDescent="0.35">
      <c r="B18" t="s">
        <v>17</v>
      </c>
      <c r="C18" t="s">
        <v>42</v>
      </c>
      <c r="D18" t="s">
        <v>43</v>
      </c>
      <c r="E18" t="s">
        <v>31</v>
      </c>
      <c r="F18" s="6">
        <v>66519240</v>
      </c>
      <c r="G18">
        <v>0</v>
      </c>
    </row>
    <row r="19" spans="2:10" x14ac:dyDescent="0.35">
      <c r="B19" t="s">
        <v>18</v>
      </c>
      <c r="C19" t="s">
        <v>42</v>
      </c>
      <c r="D19" t="s">
        <v>44</v>
      </c>
      <c r="E19" t="s">
        <v>31</v>
      </c>
      <c r="F19" s="6">
        <v>35462567</v>
      </c>
      <c r="G19">
        <f>60219/F19</f>
        <v>1.6981004223411125E-3</v>
      </c>
      <c r="J19" t="s">
        <v>46</v>
      </c>
    </row>
    <row r="20" spans="2:10" x14ac:dyDescent="0.35">
      <c r="B20" t="s">
        <v>19</v>
      </c>
      <c r="C20" t="s">
        <v>42</v>
      </c>
      <c r="D20" t="s">
        <v>45</v>
      </c>
      <c r="E20" t="s">
        <v>32</v>
      </c>
      <c r="F20" s="6">
        <v>20553</v>
      </c>
    </row>
    <row r="21" spans="2:10" x14ac:dyDescent="0.35">
      <c r="B21" t="s">
        <v>21</v>
      </c>
      <c r="C21" t="s">
        <v>47</v>
      </c>
      <c r="D21" t="s">
        <v>48</v>
      </c>
      <c r="E21" t="s">
        <v>32</v>
      </c>
      <c r="F21" s="6">
        <v>259554</v>
      </c>
    </row>
    <row r="22" spans="2:10" x14ac:dyDescent="0.35">
      <c r="B22" t="s">
        <v>55</v>
      </c>
      <c r="C22" t="s">
        <v>47</v>
      </c>
      <c r="D22" t="s">
        <v>49</v>
      </c>
      <c r="E22" t="s">
        <v>32</v>
      </c>
      <c r="F22" s="6">
        <v>3971974</v>
      </c>
    </row>
    <row r="23" spans="2:10" x14ac:dyDescent="0.35">
      <c r="B23" s="1" t="s">
        <v>22</v>
      </c>
      <c r="C23" s="1" t="s">
        <v>47</v>
      </c>
      <c r="D23" s="1" t="s">
        <v>56</v>
      </c>
      <c r="E23" s="1" t="s">
        <v>32</v>
      </c>
      <c r="F23" s="8">
        <v>843628</v>
      </c>
      <c r="G23" s="1"/>
      <c r="H23" s="1"/>
      <c r="I23" s="1"/>
      <c r="J23" s="1"/>
    </row>
    <row r="24" spans="2:10" x14ac:dyDescent="0.35">
      <c r="F24" s="6"/>
    </row>
    <row r="25" spans="2:10" x14ac:dyDescent="0.35">
      <c r="F25" s="6"/>
    </row>
    <row r="26" spans="2:10" x14ac:dyDescent="0.35">
      <c r="B26" t="s">
        <v>53</v>
      </c>
      <c r="F26" s="6">
        <f>SUM(F7:F17)</f>
        <v>115511399</v>
      </c>
      <c r="G26" s="11">
        <f>16592153-F10-F9</f>
        <v>-392</v>
      </c>
    </row>
    <row r="27" spans="2:10" x14ac:dyDescent="0.35">
      <c r="B27" t="s">
        <v>54</v>
      </c>
      <c r="F27" s="6">
        <f>SUM(F18:F23)</f>
        <v>107077516</v>
      </c>
    </row>
    <row r="28" spans="2:10" x14ac:dyDescent="0.35">
      <c r="B28" t="s">
        <v>57</v>
      </c>
      <c r="F28" s="6">
        <f>F26-F27</f>
        <v>8433883</v>
      </c>
    </row>
    <row r="30" spans="2:10" x14ac:dyDescent="0.35">
      <c r="B30" s="2" t="s">
        <v>58</v>
      </c>
      <c r="C30" s="2" t="s">
        <v>3</v>
      </c>
      <c r="D30" s="2" t="s">
        <v>2</v>
      </c>
      <c r="E30" s="2" t="s">
        <v>4</v>
      </c>
      <c r="F30" s="2" t="s">
        <v>23</v>
      </c>
      <c r="G30" s="2" t="s">
        <v>5</v>
      </c>
      <c r="H30" s="2" t="s">
        <v>6</v>
      </c>
      <c r="I30" s="2" t="s">
        <v>7</v>
      </c>
      <c r="J30" s="2" t="s">
        <v>70</v>
      </c>
    </row>
    <row r="31" spans="2:10" x14ac:dyDescent="0.35">
      <c r="B31" t="s">
        <v>59</v>
      </c>
      <c r="C31" t="s">
        <v>61</v>
      </c>
      <c r="D31" t="s">
        <v>62</v>
      </c>
      <c r="E31" t="s">
        <v>63</v>
      </c>
      <c r="F31" s="6">
        <v>2241610</v>
      </c>
      <c r="J31" t="s">
        <v>111</v>
      </c>
    </row>
    <row r="32" spans="2:10" x14ac:dyDescent="0.35">
      <c r="B32" t="s">
        <v>60</v>
      </c>
      <c r="C32" t="s">
        <v>64</v>
      </c>
      <c r="D32" t="s">
        <v>65</v>
      </c>
      <c r="E32" t="s">
        <v>63</v>
      </c>
      <c r="F32" s="6">
        <v>85326</v>
      </c>
      <c r="J32" t="s">
        <v>111</v>
      </c>
    </row>
    <row r="33" spans="2:10" x14ac:dyDescent="0.35">
      <c r="B33" s="1" t="s">
        <v>66</v>
      </c>
      <c r="C33" s="1" t="s">
        <v>64</v>
      </c>
      <c r="D33" s="1" t="s">
        <v>68</v>
      </c>
      <c r="E33" s="1" t="s">
        <v>63</v>
      </c>
      <c r="F33" s="8">
        <v>219510</v>
      </c>
      <c r="G33" s="1"/>
      <c r="H33" s="1"/>
      <c r="I33" s="1"/>
      <c r="J33" s="1"/>
    </row>
    <row r="34" spans="2:10" x14ac:dyDescent="0.35">
      <c r="B34" t="s">
        <v>69</v>
      </c>
      <c r="C34" t="s">
        <v>61</v>
      </c>
      <c r="D34" t="s">
        <v>67</v>
      </c>
      <c r="E34" t="s">
        <v>63</v>
      </c>
      <c r="F34" s="6">
        <f>420752+237428</f>
        <v>658180</v>
      </c>
      <c r="J34" t="s">
        <v>71</v>
      </c>
    </row>
    <row r="35" spans="2:10" x14ac:dyDescent="0.35">
      <c r="B35" t="s">
        <v>72</v>
      </c>
      <c r="C35" t="s">
        <v>73</v>
      </c>
      <c r="D35" t="s">
        <v>74</v>
      </c>
      <c r="E35" t="s">
        <v>63</v>
      </c>
      <c r="F35" s="6">
        <f>132200+178733+97737+57533+46659</f>
        <v>512862</v>
      </c>
      <c r="J35" t="s">
        <v>75</v>
      </c>
    </row>
    <row r="36" spans="2:10" x14ac:dyDescent="0.35">
      <c r="B36" t="s">
        <v>76</v>
      </c>
      <c r="C36" t="s">
        <v>73</v>
      </c>
      <c r="D36" t="s">
        <v>103</v>
      </c>
      <c r="E36" t="s">
        <v>63</v>
      </c>
      <c r="F36" s="6">
        <f>90336+66640</f>
        <v>156976</v>
      </c>
      <c r="J36" t="s">
        <v>77</v>
      </c>
    </row>
    <row r="37" spans="2:10" x14ac:dyDescent="0.35">
      <c r="B37" t="s">
        <v>80</v>
      </c>
      <c r="C37" t="s">
        <v>61</v>
      </c>
      <c r="D37" t="s">
        <v>79</v>
      </c>
      <c r="E37" t="s">
        <v>63</v>
      </c>
      <c r="F37" s="6">
        <v>413985</v>
      </c>
    </row>
    <row r="38" spans="2:10" x14ac:dyDescent="0.35">
      <c r="B38" s="1" t="s">
        <v>78</v>
      </c>
      <c r="C38" s="1" t="s">
        <v>61</v>
      </c>
      <c r="D38" s="1" t="s">
        <v>100</v>
      </c>
      <c r="E38" s="1" t="s">
        <v>63</v>
      </c>
      <c r="F38" s="8">
        <v>98145</v>
      </c>
      <c r="G38" s="1"/>
      <c r="H38" s="1"/>
      <c r="I38" s="1"/>
      <c r="J38" s="1"/>
    </row>
    <row r="39" spans="2:10" x14ac:dyDescent="0.35">
      <c r="B39" t="s">
        <v>83</v>
      </c>
      <c r="C39" t="s">
        <v>81</v>
      </c>
      <c r="D39" t="s">
        <v>82</v>
      </c>
      <c r="E39" t="s">
        <v>63</v>
      </c>
      <c r="F39" s="6">
        <v>1318457</v>
      </c>
    </row>
    <row r="40" spans="2:10" x14ac:dyDescent="0.35">
      <c r="B40" t="s">
        <v>90</v>
      </c>
      <c r="C40" t="s">
        <v>81</v>
      </c>
      <c r="D40" t="s">
        <v>91</v>
      </c>
      <c r="E40" t="s">
        <v>63</v>
      </c>
      <c r="F40" s="6">
        <v>247084</v>
      </c>
    </row>
    <row r="41" spans="2:10" x14ac:dyDescent="0.35">
      <c r="B41" t="s">
        <v>12</v>
      </c>
      <c r="C41" t="s">
        <v>84</v>
      </c>
      <c r="D41" t="s">
        <v>85</v>
      </c>
      <c r="E41" t="s">
        <v>63</v>
      </c>
      <c r="F41" s="6">
        <v>127125</v>
      </c>
    </row>
    <row r="42" spans="2:10" x14ac:dyDescent="0.35">
      <c r="B42" t="s">
        <v>86</v>
      </c>
      <c r="C42" t="s">
        <v>64</v>
      </c>
      <c r="D42" t="s">
        <v>89</v>
      </c>
      <c r="E42" t="s">
        <v>63</v>
      </c>
      <c r="F42" s="6">
        <f>100889+23724</f>
        <v>124613</v>
      </c>
      <c r="J42" t="s">
        <v>96</v>
      </c>
    </row>
    <row r="43" spans="2:10" x14ac:dyDescent="0.35">
      <c r="B43" t="s">
        <v>87</v>
      </c>
      <c r="C43" t="s">
        <v>64</v>
      </c>
      <c r="D43" t="s">
        <v>93</v>
      </c>
      <c r="E43" t="s">
        <v>63</v>
      </c>
      <c r="F43" s="6">
        <v>27587</v>
      </c>
    </row>
    <row r="44" spans="2:10" x14ac:dyDescent="0.35">
      <c r="B44" s="1" t="s">
        <v>88</v>
      </c>
      <c r="C44" s="1" t="s">
        <v>64</v>
      </c>
      <c r="D44" s="1" t="s">
        <v>97</v>
      </c>
      <c r="E44" s="1" t="s">
        <v>63</v>
      </c>
      <c r="F44" s="8">
        <v>190175</v>
      </c>
      <c r="G44" s="1"/>
      <c r="H44" s="1"/>
      <c r="I44" s="1"/>
      <c r="J44" s="1"/>
    </row>
    <row r="45" spans="2:10" x14ac:dyDescent="0.35">
      <c r="B45" t="s">
        <v>92</v>
      </c>
      <c r="C45" t="s">
        <v>64</v>
      </c>
      <c r="D45" t="s">
        <v>98</v>
      </c>
      <c r="E45" t="s">
        <v>63</v>
      </c>
      <c r="F45" s="6">
        <v>447587</v>
      </c>
    </row>
    <row r="46" spans="2:10" x14ac:dyDescent="0.35">
      <c r="B46" t="s">
        <v>94</v>
      </c>
      <c r="C46" t="s">
        <v>64</v>
      </c>
      <c r="D46" t="s">
        <v>101</v>
      </c>
      <c r="E46" t="s">
        <v>63</v>
      </c>
      <c r="F46" s="6">
        <v>85926</v>
      </c>
    </row>
    <row r="47" spans="2:10" x14ac:dyDescent="0.35">
      <c r="B47" s="1" t="s">
        <v>95</v>
      </c>
      <c r="C47" s="1" t="s">
        <v>64</v>
      </c>
      <c r="D47" s="1" t="s">
        <v>102</v>
      </c>
      <c r="E47" s="1" t="s">
        <v>63</v>
      </c>
      <c r="F47" s="8">
        <v>17151</v>
      </c>
      <c r="G47" s="1"/>
      <c r="H47" s="1"/>
      <c r="I47" s="1"/>
      <c r="J47" s="1"/>
    </row>
    <row r="48" spans="2:10" ht="15" thickBot="1" x14ac:dyDescent="0.4">
      <c r="B48" s="9" t="s">
        <v>99</v>
      </c>
      <c r="C48" s="9"/>
      <c r="D48" s="9"/>
      <c r="E48" s="9"/>
      <c r="F48" s="10">
        <f>SUMIF(C31:C47, "*"&amp;"OR"&amp;"*", F31:F47)-SUMIF(C31:C47, "*"&amp;"OE"&amp;"*", F31:F47)</f>
        <v>1191217</v>
      </c>
      <c r="G48" s="9"/>
      <c r="H48" s="9"/>
      <c r="I48" s="9"/>
      <c r="J48" s="9"/>
    </row>
    <row r="49" ht="15" thickTop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4E5B-C83C-4E44-A2DD-C8511130A1CE}">
  <dimension ref="A2:N49"/>
  <sheetViews>
    <sheetView zoomScale="106" workbookViewId="0">
      <selection activeCell="K13" sqref="K13"/>
    </sheetView>
  </sheetViews>
  <sheetFormatPr defaultRowHeight="14.5" x14ac:dyDescent="0.35"/>
  <cols>
    <col min="1" max="1" width="2.6328125" customWidth="1"/>
    <col min="2" max="2" width="39.7265625" customWidth="1"/>
    <col min="3" max="3" width="12" bestFit="1" customWidth="1"/>
    <col min="4" max="4" width="9.90625" bestFit="1" customWidth="1"/>
    <col min="5" max="5" width="12.6328125" bestFit="1" customWidth="1"/>
    <col min="6" max="6" width="12.26953125" bestFit="1" customWidth="1"/>
    <col min="7" max="7" width="11.453125" bestFit="1" customWidth="1"/>
    <col min="8" max="8" width="10.1796875" bestFit="1" customWidth="1"/>
    <col min="9" max="9" width="12.81640625" bestFit="1" customWidth="1"/>
    <col min="10" max="10" width="15.08984375" bestFit="1" customWidth="1"/>
  </cols>
  <sheetData>
    <row r="2" spans="1:14" s="1" customFormat="1" ht="20" customHeight="1" x14ac:dyDescent="0.45">
      <c r="B2" s="3" t="s">
        <v>0</v>
      </c>
    </row>
    <row r="4" spans="1:14" x14ac:dyDescent="0.35">
      <c r="A4" t="s">
        <v>50</v>
      </c>
      <c r="B4" s="4" t="s">
        <v>51</v>
      </c>
    </row>
    <row r="6" spans="1:14" x14ac:dyDescent="0.35">
      <c r="B6" s="2" t="s">
        <v>1</v>
      </c>
      <c r="C6" s="2" t="s">
        <v>3</v>
      </c>
      <c r="D6" s="2" t="s">
        <v>2</v>
      </c>
      <c r="E6" s="2" t="s">
        <v>4</v>
      </c>
      <c r="F6" s="2" t="s">
        <v>23</v>
      </c>
      <c r="G6" s="2" t="s">
        <v>5</v>
      </c>
      <c r="H6" s="2" t="s">
        <v>6</v>
      </c>
      <c r="I6" s="2" t="s">
        <v>7</v>
      </c>
      <c r="J6" s="2" t="s">
        <v>20</v>
      </c>
    </row>
    <row r="7" spans="1:14" x14ac:dyDescent="0.35">
      <c r="B7" t="s">
        <v>8</v>
      </c>
      <c r="C7" t="s">
        <v>24</v>
      </c>
      <c r="D7" t="s">
        <v>28</v>
      </c>
      <c r="E7" t="s">
        <v>31</v>
      </c>
      <c r="F7" s="6">
        <v>17674763</v>
      </c>
      <c r="J7" t="s">
        <v>113</v>
      </c>
    </row>
    <row r="8" spans="1:14" x14ac:dyDescent="0.35">
      <c r="B8" t="s">
        <v>9</v>
      </c>
      <c r="C8" t="s">
        <v>24</v>
      </c>
      <c r="D8" t="s">
        <v>29</v>
      </c>
      <c r="E8" t="s">
        <v>31</v>
      </c>
      <c r="F8" s="6">
        <v>30912438</v>
      </c>
    </row>
    <row r="9" spans="1:14" x14ac:dyDescent="0.35">
      <c r="B9" t="s">
        <v>25</v>
      </c>
      <c r="C9" t="s">
        <v>24</v>
      </c>
      <c r="D9" t="s">
        <v>30</v>
      </c>
      <c r="E9" t="s">
        <v>31</v>
      </c>
      <c r="F9" s="6">
        <v>16592153</v>
      </c>
      <c r="K9" t="s">
        <v>112</v>
      </c>
    </row>
    <row r="10" spans="1:14" s="5" customFormat="1" x14ac:dyDescent="0.35">
      <c r="B10" s="5" t="s">
        <v>26</v>
      </c>
      <c r="C10" s="5" t="s">
        <v>27</v>
      </c>
      <c r="E10" s="5" t="s">
        <v>31</v>
      </c>
      <c r="F10" s="7" t="s">
        <v>52</v>
      </c>
      <c r="K10" s="5" t="s">
        <v>179</v>
      </c>
    </row>
    <row r="11" spans="1:14" x14ac:dyDescent="0.35">
      <c r="B11" t="s">
        <v>10</v>
      </c>
      <c r="C11" t="s">
        <v>27</v>
      </c>
      <c r="E11" t="s">
        <v>31</v>
      </c>
      <c r="F11" s="6">
        <v>1802235</v>
      </c>
      <c r="K11" t="s">
        <v>114</v>
      </c>
    </row>
    <row r="12" spans="1:14" x14ac:dyDescent="0.35">
      <c r="B12" t="s">
        <v>11</v>
      </c>
      <c r="C12" t="s">
        <v>37</v>
      </c>
      <c r="D12" t="s">
        <v>38</v>
      </c>
      <c r="E12" t="s">
        <v>32</v>
      </c>
      <c r="F12" s="6">
        <v>44733723</v>
      </c>
      <c r="G12">
        <f>1520021/F12</f>
        <v>3.3979309077404533E-2</v>
      </c>
      <c r="K12" t="s">
        <v>180</v>
      </c>
      <c r="N12" t="s">
        <v>104</v>
      </c>
    </row>
    <row r="13" spans="1:14" x14ac:dyDescent="0.35">
      <c r="B13" t="s">
        <v>12</v>
      </c>
      <c r="C13" t="s">
        <v>33</v>
      </c>
      <c r="D13" t="s">
        <v>34</v>
      </c>
      <c r="E13" t="s">
        <v>41</v>
      </c>
      <c r="F13" s="6">
        <v>175818</v>
      </c>
    </row>
    <row r="14" spans="1:14" x14ac:dyDescent="0.35">
      <c r="B14" t="s">
        <v>13</v>
      </c>
      <c r="C14" t="s">
        <v>33</v>
      </c>
      <c r="D14" t="s">
        <v>35</v>
      </c>
      <c r="E14" t="s">
        <v>41</v>
      </c>
      <c r="F14" s="6">
        <v>142685</v>
      </c>
    </row>
    <row r="15" spans="1:14" x14ac:dyDescent="0.35">
      <c r="B15" t="s">
        <v>14</v>
      </c>
      <c r="C15" t="s">
        <v>33</v>
      </c>
      <c r="D15" t="s">
        <v>36</v>
      </c>
      <c r="E15" t="s">
        <v>41</v>
      </c>
      <c r="F15" s="6">
        <v>61435</v>
      </c>
    </row>
    <row r="16" spans="1:14" x14ac:dyDescent="0.35">
      <c r="B16" t="s">
        <v>15</v>
      </c>
      <c r="C16" t="s">
        <v>33</v>
      </c>
      <c r="D16" t="s">
        <v>39</v>
      </c>
      <c r="E16" t="s">
        <v>41</v>
      </c>
      <c r="F16" s="6">
        <v>209932</v>
      </c>
    </row>
    <row r="17" spans="2:10" x14ac:dyDescent="0.35">
      <c r="B17" s="1" t="s">
        <v>16</v>
      </c>
      <c r="C17" s="1" t="s">
        <v>37</v>
      </c>
      <c r="D17" s="1" t="s">
        <v>40</v>
      </c>
      <c r="E17" s="1" t="s">
        <v>32</v>
      </c>
      <c r="F17" s="8">
        <v>3205825</v>
      </c>
      <c r="G17" s="1"/>
      <c r="H17" s="1"/>
      <c r="I17" s="1"/>
      <c r="J17" s="1"/>
    </row>
    <row r="18" spans="2:10" x14ac:dyDescent="0.35">
      <c r="B18" t="s">
        <v>17</v>
      </c>
      <c r="C18" t="s">
        <v>42</v>
      </c>
      <c r="D18" t="s">
        <v>43</v>
      </c>
      <c r="E18" t="s">
        <v>31</v>
      </c>
      <c r="F18" s="6">
        <v>66519240</v>
      </c>
      <c r="G18">
        <v>0</v>
      </c>
    </row>
    <row r="19" spans="2:10" x14ac:dyDescent="0.35">
      <c r="B19" t="s">
        <v>18</v>
      </c>
      <c r="C19" t="s">
        <v>42</v>
      </c>
      <c r="D19" t="s">
        <v>44</v>
      </c>
      <c r="E19" t="s">
        <v>31</v>
      </c>
      <c r="F19" s="6">
        <v>35462567</v>
      </c>
      <c r="G19">
        <f>60219/F19</f>
        <v>1.6981004223411125E-3</v>
      </c>
      <c r="J19" t="s">
        <v>46</v>
      </c>
    </row>
    <row r="20" spans="2:10" x14ac:dyDescent="0.35">
      <c r="B20" t="s">
        <v>19</v>
      </c>
      <c r="C20" t="s">
        <v>42</v>
      </c>
      <c r="D20" t="s">
        <v>45</v>
      </c>
      <c r="E20" t="s">
        <v>32</v>
      </c>
      <c r="F20" s="6">
        <v>20553</v>
      </c>
    </row>
    <row r="21" spans="2:10" x14ac:dyDescent="0.35">
      <c r="B21" t="s">
        <v>21</v>
      </c>
      <c r="C21" t="s">
        <v>47</v>
      </c>
      <c r="D21" t="s">
        <v>48</v>
      </c>
      <c r="E21" t="s">
        <v>32</v>
      </c>
      <c r="F21" s="6">
        <v>259554</v>
      </c>
    </row>
    <row r="22" spans="2:10" x14ac:dyDescent="0.35">
      <c r="B22" t="s">
        <v>55</v>
      </c>
      <c r="C22" t="s">
        <v>47</v>
      </c>
      <c r="D22" t="s">
        <v>49</v>
      </c>
      <c r="E22" t="s">
        <v>32</v>
      </c>
      <c r="F22" s="6">
        <v>3971974</v>
      </c>
    </row>
    <row r="23" spans="2:10" x14ac:dyDescent="0.35">
      <c r="B23" s="1" t="s">
        <v>22</v>
      </c>
      <c r="C23" s="1" t="s">
        <v>47</v>
      </c>
      <c r="D23" s="1" t="s">
        <v>56</v>
      </c>
      <c r="E23" s="1" t="s">
        <v>32</v>
      </c>
      <c r="F23" s="8">
        <v>843628</v>
      </c>
      <c r="G23" s="1"/>
      <c r="H23" s="1"/>
      <c r="I23" s="1"/>
      <c r="J23" s="1"/>
    </row>
    <row r="24" spans="2:10" x14ac:dyDescent="0.35">
      <c r="F24" s="6"/>
    </row>
    <row r="25" spans="2:10" x14ac:dyDescent="0.35">
      <c r="F25" s="6"/>
    </row>
    <row r="26" spans="2:10" x14ac:dyDescent="0.35">
      <c r="B26" t="s">
        <v>53</v>
      </c>
      <c r="F26" s="6">
        <f>SUM(F7:F17)</f>
        <v>115511007</v>
      </c>
    </row>
    <row r="27" spans="2:10" x14ac:dyDescent="0.35">
      <c r="B27" t="s">
        <v>54</v>
      </c>
      <c r="F27" s="6">
        <f>SUM(F18:F23)</f>
        <v>107077516</v>
      </c>
    </row>
    <row r="28" spans="2:10" x14ac:dyDescent="0.35">
      <c r="B28" t="s">
        <v>57</v>
      </c>
      <c r="F28" s="6">
        <f>F26-F27</f>
        <v>8433491</v>
      </c>
    </row>
    <row r="30" spans="2:10" x14ac:dyDescent="0.35">
      <c r="B30" s="2" t="s">
        <v>58</v>
      </c>
      <c r="C30" s="2" t="s">
        <v>3</v>
      </c>
      <c r="D30" s="2" t="s">
        <v>2</v>
      </c>
      <c r="E30" s="2" t="s">
        <v>4</v>
      </c>
      <c r="F30" s="2" t="s">
        <v>23</v>
      </c>
      <c r="G30" s="2" t="s">
        <v>5</v>
      </c>
      <c r="H30" s="2" t="s">
        <v>6</v>
      </c>
      <c r="I30" s="2" t="s">
        <v>7</v>
      </c>
      <c r="J30" s="2" t="s">
        <v>70</v>
      </c>
    </row>
    <row r="31" spans="2:10" x14ac:dyDescent="0.35">
      <c r="B31" t="s">
        <v>59</v>
      </c>
      <c r="C31" t="s">
        <v>61</v>
      </c>
      <c r="D31" t="s">
        <v>62</v>
      </c>
      <c r="E31" t="s">
        <v>63</v>
      </c>
      <c r="F31" s="6">
        <v>2241610</v>
      </c>
    </row>
    <row r="32" spans="2:10" x14ac:dyDescent="0.35">
      <c r="B32" t="s">
        <v>60</v>
      </c>
      <c r="C32" t="s">
        <v>64</v>
      </c>
      <c r="D32" t="s">
        <v>65</v>
      </c>
      <c r="E32" t="s">
        <v>63</v>
      </c>
      <c r="F32" s="6">
        <v>85326</v>
      </c>
    </row>
    <row r="33" spans="2:10" x14ac:dyDescent="0.35">
      <c r="B33" s="1" t="s">
        <v>66</v>
      </c>
      <c r="C33" s="1" t="s">
        <v>64</v>
      </c>
      <c r="D33" s="1" t="s">
        <v>68</v>
      </c>
      <c r="E33" s="1" t="s">
        <v>63</v>
      </c>
      <c r="F33" s="8">
        <v>219510</v>
      </c>
      <c r="G33" s="1"/>
      <c r="H33" s="1"/>
      <c r="I33" s="1"/>
      <c r="J33" s="1"/>
    </row>
    <row r="34" spans="2:10" x14ac:dyDescent="0.35">
      <c r="B34" t="s">
        <v>69</v>
      </c>
      <c r="C34" t="s">
        <v>61</v>
      </c>
      <c r="D34" t="s">
        <v>67</v>
      </c>
      <c r="E34" t="s">
        <v>63</v>
      </c>
      <c r="F34" s="6">
        <f>420752+237428</f>
        <v>658180</v>
      </c>
      <c r="J34" t="s">
        <v>71</v>
      </c>
    </row>
    <row r="35" spans="2:10" x14ac:dyDescent="0.35">
      <c r="B35" t="s">
        <v>72</v>
      </c>
      <c r="C35" t="s">
        <v>73</v>
      </c>
      <c r="D35" t="s">
        <v>74</v>
      </c>
      <c r="E35" t="s">
        <v>63</v>
      </c>
      <c r="F35" s="6">
        <f>132200+178733+97737+57533+46659</f>
        <v>512862</v>
      </c>
      <c r="J35" t="s">
        <v>75</v>
      </c>
    </row>
    <row r="36" spans="2:10" x14ac:dyDescent="0.35">
      <c r="B36" t="s">
        <v>76</v>
      </c>
      <c r="C36" t="s">
        <v>73</v>
      </c>
      <c r="D36" t="s">
        <v>103</v>
      </c>
      <c r="E36" t="s">
        <v>63</v>
      </c>
      <c r="F36" s="6">
        <f>90336+66640</f>
        <v>156976</v>
      </c>
      <c r="J36" t="s">
        <v>77</v>
      </c>
    </row>
    <row r="37" spans="2:10" x14ac:dyDescent="0.35">
      <c r="B37" t="s">
        <v>80</v>
      </c>
      <c r="C37" t="s">
        <v>61</v>
      </c>
      <c r="D37" t="s">
        <v>79</v>
      </c>
      <c r="E37" t="s">
        <v>63</v>
      </c>
      <c r="F37" s="6">
        <v>413985</v>
      </c>
    </row>
    <row r="38" spans="2:10" x14ac:dyDescent="0.35">
      <c r="B38" s="1" t="s">
        <v>78</v>
      </c>
      <c r="C38" s="1" t="s">
        <v>61</v>
      </c>
      <c r="D38" s="1" t="s">
        <v>100</v>
      </c>
      <c r="E38" s="1" t="s">
        <v>63</v>
      </c>
      <c r="F38" s="8">
        <v>98145</v>
      </c>
      <c r="G38" s="1"/>
      <c r="H38" s="1"/>
      <c r="I38" s="1"/>
      <c r="J38" s="1"/>
    </row>
    <row r="39" spans="2:10" x14ac:dyDescent="0.35">
      <c r="B39" t="s">
        <v>83</v>
      </c>
      <c r="C39" t="s">
        <v>81</v>
      </c>
      <c r="D39" t="s">
        <v>82</v>
      </c>
      <c r="E39" t="s">
        <v>63</v>
      </c>
      <c r="F39" s="6">
        <v>1318457</v>
      </c>
    </row>
    <row r="40" spans="2:10" x14ac:dyDescent="0.35">
      <c r="B40" t="s">
        <v>90</v>
      </c>
      <c r="C40" t="s">
        <v>81</v>
      </c>
      <c r="D40" t="s">
        <v>91</v>
      </c>
      <c r="E40" t="s">
        <v>63</v>
      </c>
      <c r="F40" s="6">
        <v>247084</v>
      </c>
    </row>
    <row r="41" spans="2:10" x14ac:dyDescent="0.35">
      <c r="B41" t="s">
        <v>12</v>
      </c>
      <c r="C41" t="s">
        <v>84</v>
      </c>
      <c r="D41" t="s">
        <v>85</v>
      </c>
      <c r="E41" t="s">
        <v>63</v>
      </c>
      <c r="F41" s="6">
        <v>127125</v>
      </c>
    </row>
    <row r="42" spans="2:10" x14ac:dyDescent="0.35">
      <c r="B42" t="s">
        <v>86</v>
      </c>
      <c r="C42" t="s">
        <v>64</v>
      </c>
      <c r="D42" t="s">
        <v>89</v>
      </c>
      <c r="E42" t="s">
        <v>63</v>
      </c>
      <c r="F42" s="6">
        <f>100889+23724</f>
        <v>124613</v>
      </c>
      <c r="J42" t="s">
        <v>96</v>
      </c>
    </row>
    <row r="43" spans="2:10" x14ac:dyDescent="0.35">
      <c r="B43" t="s">
        <v>87</v>
      </c>
      <c r="C43" t="s">
        <v>64</v>
      </c>
      <c r="D43" t="s">
        <v>93</v>
      </c>
      <c r="E43" t="s">
        <v>63</v>
      </c>
      <c r="F43" s="6">
        <v>27587</v>
      </c>
    </row>
    <row r="44" spans="2:10" x14ac:dyDescent="0.35">
      <c r="B44" s="1" t="s">
        <v>88</v>
      </c>
      <c r="C44" s="1" t="s">
        <v>64</v>
      </c>
      <c r="D44" s="1" t="s">
        <v>97</v>
      </c>
      <c r="E44" s="1" t="s">
        <v>63</v>
      </c>
      <c r="F44" s="8">
        <v>190175</v>
      </c>
      <c r="G44" s="1"/>
      <c r="H44" s="1"/>
      <c r="I44" s="1"/>
      <c r="J44" s="1"/>
    </row>
    <row r="45" spans="2:10" x14ac:dyDescent="0.35">
      <c r="B45" t="s">
        <v>92</v>
      </c>
      <c r="C45" t="s">
        <v>64</v>
      </c>
      <c r="D45" t="s">
        <v>98</v>
      </c>
      <c r="E45" t="s">
        <v>63</v>
      </c>
      <c r="F45" s="6">
        <v>447587</v>
      </c>
    </row>
    <row r="46" spans="2:10" x14ac:dyDescent="0.35">
      <c r="B46" t="s">
        <v>94</v>
      </c>
      <c r="C46" t="s">
        <v>64</v>
      </c>
      <c r="D46" t="s">
        <v>101</v>
      </c>
      <c r="E46" t="s">
        <v>63</v>
      </c>
      <c r="F46" s="6">
        <v>85926</v>
      </c>
    </row>
    <row r="47" spans="2:10" x14ac:dyDescent="0.35">
      <c r="B47" s="1" t="s">
        <v>95</v>
      </c>
      <c r="C47" s="1" t="s">
        <v>64</v>
      </c>
      <c r="D47" s="1" t="s">
        <v>102</v>
      </c>
      <c r="E47" s="1" t="s">
        <v>63</v>
      </c>
      <c r="F47" s="8">
        <v>17151</v>
      </c>
      <c r="G47" s="1"/>
      <c r="H47" s="1"/>
      <c r="I47" s="1"/>
      <c r="J47" s="1"/>
    </row>
    <row r="48" spans="2:10" ht="15" thickBot="1" x14ac:dyDescent="0.4">
      <c r="B48" s="9" t="s">
        <v>99</v>
      </c>
      <c r="C48" s="9"/>
      <c r="D48" s="9"/>
      <c r="E48" s="9"/>
      <c r="F48" s="10">
        <f>SUMIF(C31:C47, "*"&amp;"OR"&amp;"*", F31:F47)-SUMIF(C31:C47, "*"&amp;"OE"&amp;"*", F31:F47)</f>
        <v>1191217</v>
      </c>
      <c r="G48" s="9"/>
      <c r="H48" s="9"/>
      <c r="I48" s="9"/>
      <c r="J48" s="9"/>
    </row>
    <row r="49" ht="15" thickTop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BA4D-C094-4CC9-B4C3-30A6018E5F5D}">
  <dimension ref="A2:K50"/>
  <sheetViews>
    <sheetView showGridLines="0" workbookViewId="0">
      <selection activeCell="I8" sqref="I8"/>
    </sheetView>
  </sheetViews>
  <sheetFormatPr defaultRowHeight="14.5" x14ac:dyDescent="0.35"/>
  <cols>
    <col min="1" max="1" width="2.6328125" customWidth="1"/>
    <col min="2" max="2" width="39.7265625" customWidth="1"/>
    <col min="3" max="3" width="12" bestFit="1" customWidth="1"/>
    <col min="4" max="4" width="9.90625" bestFit="1" customWidth="1"/>
    <col min="5" max="5" width="12.6328125" bestFit="1" customWidth="1"/>
    <col min="6" max="6" width="12.26953125" bestFit="1" customWidth="1"/>
    <col min="7" max="7" width="11.453125" bestFit="1" customWidth="1"/>
    <col min="8" max="8" width="10.1796875" bestFit="1" customWidth="1"/>
    <col min="9" max="9" width="12.81640625" bestFit="1" customWidth="1"/>
    <col min="10" max="10" width="15.08984375" bestFit="1" customWidth="1"/>
  </cols>
  <sheetData>
    <row r="2" spans="1:11" s="1" customFormat="1" ht="20" customHeight="1" x14ac:dyDescent="0.45">
      <c r="B2" s="3" t="s">
        <v>0</v>
      </c>
    </row>
    <row r="4" spans="1:11" x14ac:dyDescent="0.35">
      <c r="A4" t="s">
        <v>50</v>
      </c>
      <c r="B4" s="4" t="s">
        <v>115</v>
      </c>
    </row>
    <row r="6" spans="1:11" x14ac:dyDescent="0.35">
      <c r="B6" s="2" t="s">
        <v>1</v>
      </c>
      <c r="C6" s="2" t="s">
        <v>3</v>
      </c>
      <c r="D6" s="2" t="s">
        <v>2</v>
      </c>
      <c r="E6" s="2" t="s">
        <v>4</v>
      </c>
      <c r="F6" s="2" t="s">
        <v>23</v>
      </c>
      <c r="G6" s="2" t="s">
        <v>5</v>
      </c>
      <c r="H6" s="2" t="s">
        <v>6</v>
      </c>
      <c r="I6" s="2" t="s">
        <v>7</v>
      </c>
      <c r="J6" s="2" t="s">
        <v>20</v>
      </c>
    </row>
    <row r="7" spans="1:11" x14ac:dyDescent="0.35">
      <c r="B7" t="s">
        <v>8</v>
      </c>
      <c r="C7" t="s">
        <v>24</v>
      </c>
      <c r="E7" t="s">
        <v>31</v>
      </c>
      <c r="F7" s="6">
        <v>14619</v>
      </c>
      <c r="G7">
        <v>0</v>
      </c>
    </row>
    <row r="8" spans="1:11" x14ac:dyDescent="0.35">
      <c r="B8" t="s">
        <v>9</v>
      </c>
      <c r="C8" t="s">
        <v>24</v>
      </c>
      <c r="E8" t="s">
        <v>31</v>
      </c>
      <c r="F8" s="6">
        <v>27221</v>
      </c>
      <c r="G8" t="s">
        <v>177</v>
      </c>
    </row>
    <row r="9" spans="1:11" x14ac:dyDescent="0.35">
      <c r="B9" t="s">
        <v>120</v>
      </c>
      <c r="C9" t="s">
        <v>24</v>
      </c>
      <c r="E9" t="s">
        <v>31</v>
      </c>
      <c r="F9" s="6">
        <f>98202-F10</f>
        <v>98102</v>
      </c>
      <c r="G9" t="s">
        <v>177</v>
      </c>
      <c r="K9" s="6">
        <f>97227-K10</f>
        <v>97126</v>
      </c>
    </row>
    <row r="10" spans="1:11" s="5" customFormat="1" x14ac:dyDescent="0.35">
      <c r="B10" t="s">
        <v>117</v>
      </c>
      <c r="C10" t="s">
        <v>24</v>
      </c>
      <c r="D10"/>
      <c r="E10" t="s">
        <v>31</v>
      </c>
      <c r="F10" s="6">
        <v>100</v>
      </c>
      <c r="G10" t="s">
        <v>177</v>
      </c>
      <c r="H10"/>
      <c r="I10"/>
      <c r="J10" t="s">
        <v>46</v>
      </c>
      <c r="K10" s="5">
        <v>101</v>
      </c>
    </row>
    <row r="11" spans="1:11" x14ac:dyDescent="0.35">
      <c r="B11" t="s">
        <v>10</v>
      </c>
      <c r="C11" t="s">
        <v>37</v>
      </c>
      <c r="E11" t="s">
        <v>31</v>
      </c>
      <c r="F11" s="6">
        <v>2543</v>
      </c>
      <c r="G11" t="s">
        <v>177</v>
      </c>
    </row>
    <row r="12" spans="1:11" x14ac:dyDescent="0.35">
      <c r="B12" t="s">
        <v>11</v>
      </c>
      <c r="C12" t="s">
        <v>37</v>
      </c>
      <c r="E12" t="s">
        <v>31</v>
      </c>
      <c r="F12" s="6">
        <v>65854</v>
      </c>
      <c r="G12">
        <f>1966/F12</f>
        <v>2.9853919275974125E-2</v>
      </c>
      <c r="J12" t="s">
        <v>46</v>
      </c>
    </row>
    <row r="13" spans="1:11" x14ac:dyDescent="0.35">
      <c r="B13" t="s">
        <v>12</v>
      </c>
      <c r="C13" t="s">
        <v>33</v>
      </c>
      <c r="E13" t="s">
        <v>32</v>
      </c>
      <c r="F13" s="6">
        <v>270</v>
      </c>
      <c r="G13" t="s">
        <v>177</v>
      </c>
    </row>
    <row r="14" spans="1:11" x14ac:dyDescent="0.35">
      <c r="B14" t="s">
        <v>13</v>
      </c>
      <c r="C14" t="s">
        <v>33</v>
      </c>
      <c r="E14" t="s">
        <v>31</v>
      </c>
      <c r="F14" s="6">
        <v>375</v>
      </c>
      <c r="G14" t="s">
        <v>177</v>
      </c>
      <c r="J14" t="s">
        <v>46</v>
      </c>
    </row>
    <row r="15" spans="1:11" x14ac:dyDescent="0.35">
      <c r="B15" t="s">
        <v>14</v>
      </c>
      <c r="C15" t="s">
        <v>33</v>
      </c>
      <c r="E15" t="s">
        <v>31</v>
      </c>
      <c r="F15" s="6">
        <v>160</v>
      </c>
      <c r="G15" t="s">
        <v>177</v>
      </c>
      <c r="J15" t="s">
        <v>46</v>
      </c>
    </row>
    <row r="16" spans="1:11" x14ac:dyDescent="0.35">
      <c r="B16" t="s">
        <v>15</v>
      </c>
      <c r="C16" t="s">
        <v>33</v>
      </c>
      <c r="E16" t="s">
        <v>32</v>
      </c>
      <c r="F16" s="6">
        <v>313</v>
      </c>
      <c r="G16" t="s">
        <v>177</v>
      </c>
    </row>
    <row r="17" spans="2:11" x14ac:dyDescent="0.35">
      <c r="B17" s="1" t="s">
        <v>16</v>
      </c>
      <c r="C17" s="1" t="s">
        <v>37</v>
      </c>
      <c r="D17" s="1"/>
      <c r="E17" s="1" t="s">
        <v>31</v>
      </c>
      <c r="F17" s="8">
        <v>1928</v>
      </c>
      <c r="G17" s="1" t="s">
        <v>177</v>
      </c>
      <c r="H17" s="1"/>
      <c r="I17" s="1"/>
      <c r="J17" s="1"/>
    </row>
    <row r="18" spans="2:11" x14ac:dyDescent="0.35">
      <c r="B18" t="s">
        <v>17</v>
      </c>
      <c r="C18" t="s">
        <v>42</v>
      </c>
      <c r="E18" t="s">
        <v>31</v>
      </c>
      <c r="F18" s="6">
        <v>125851</v>
      </c>
      <c r="G18">
        <v>0</v>
      </c>
    </row>
    <row r="19" spans="2:11" x14ac:dyDescent="0.35">
      <c r="B19" t="s">
        <v>18</v>
      </c>
      <c r="C19" t="s">
        <v>42</v>
      </c>
      <c r="E19" t="s">
        <v>31</v>
      </c>
      <c r="F19" s="6">
        <v>63352</v>
      </c>
      <c r="G19">
        <f>62/F19</f>
        <v>9.7865892158100778E-4</v>
      </c>
      <c r="J19" t="s">
        <v>174</v>
      </c>
    </row>
    <row r="20" spans="2:11" x14ac:dyDescent="0.35">
      <c r="B20" t="s">
        <v>19</v>
      </c>
      <c r="C20" t="s">
        <v>42</v>
      </c>
      <c r="E20" t="s">
        <v>31</v>
      </c>
      <c r="F20" s="6">
        <v>121</v>
      </c>
      <c r="G20" t="s">
        <v>177</v>
      </c>
      <c r="J20" t="s">
        <v>46</v>
      </c>
    </row>
    <row r="21" spans="2:11" x14ac:dyDescent="0.35">
      <c r="B21" t="s">
        <v>21</v>
      </c>
      <c r="C21" t="s">
        <v>47</v>
      </c>
      <c r="E21" t="s">
        <v>32</v>
      </c>
      <c r="F21" s="6">
        <v>388</v>
      </c>
      <c r="G21" t="s">
        <v>177</v>
      </c>
    </row>
    <row r="22" spans="2:11" x14ac:dyDescent="0.35">
      <c r="B22" t="s">
        <v>55</v>
      </c>
      <c r="C22" t="s">
        <v>47</v>
      </c>
      <c r="E22" t="s">
        <v>31</v>
      </c>
      <c r="F22" s="6">
        <v>2587</v>
      </c>
      <c r="G22" t="s">
        <v>177</v>
      </c>
    </row>
    <row r="23" spans="2:11" x14ac:dyDescent="0.35">
      <c r="B23" s="1" t="s">
        <v>22</v>
      </c>
      <c r="C23" s="1" t="s">
        <v>47</v>
      </c>
      <c r="D23" s="1"/>
      <c r="E23" s="1" t="s">
        <v>31</v>
      </c>
      <c r="F23" s="8">
        <v>2570</v>
      </c>
      <c r="G23" s="1" t="s">
        <v>177</v>
      </c>
      <c r="H23" s="1"/>
      <c r="I23" s="1"/>
      <c r="J23" s="1"/>
    </row>
    <row r="24" spans="2:11" x14ac:dyDescent="0.35">
      <c r="F24" s="6"/>
    </row>
    <row r="25" spans="2:11" x14ac:dyDescent="0.35">
      <c r="F25" s="6"/>
    </row>
    <row r="26" spans="2:11" x14ac:dyDescent="0.35">
      <c r="B26" t="s">
        <v>53</v>
      </c>
      <c r="F26" s="6">
        <f>SUM(F7:F17)</f>
        <v>211485</v>
      </c>
      <c r="G26" s="11">
        <f>98195-F10-F9</f>
        <v>-7</v>
      </c>
      <c r="K26" s="6">
        <f>F26-F9-F10+K9+K10</f>
        <v>210510</v>
      </c>
    </row>
    <row r="27" spans="2:11" x14ac:dyDescent="0.35">
      <c r="B27" t="s">
        <v>54</v>
      </c>
      <c r="F27" s="6">
        <f>SUM(F18:F23)</f>
        <v>194869</v>
      </c>
    </row>
    <row r="28" spans="2:11" x14ac:dyDescent="0.35">
      <c r="B28" t="s">
        <v>57</v>
      </c>
      <c r="F28" s="6">
        <f>F26-F27</f>
        <v>16616</v>
      </c>
    </row>
    <row r="30" spans="2:11" x14ac:dyDescent="0.35">
      <c r="B30" s="2" t="s">
        <v>58</v>
      </c>
      <c r="C30" s="2" t="s">
        <v>3</v>
      </c>
      <c r="D30" s="2" t="s">
        <v>2</v>
      </c>
      <c r="E30" s="2" t="s">
        <v>4</v>
      </c>
      <c r="F30" s="2" t="s">
        <v>23</v>
      </c>
      <c r="G30" s="2" t="s">
        <v>5</v>
      </c>
      <c r="H30" s="2" t="s">
        <v>6</v>
      </c>
      <c r="I30" s="2" t="s">
        <v>7</v>
      </c>
      <c r="J30" s="2" t="s">
        <v>70</v>
      </c>
    </row>
    <row r="31" spans="2:11" x14ac:dyDescent="0.35">
      <c r="B31" t="s">
        <v>59</v>
      </c>
      <c r="C31" t="s">
        <v>61</v>
      </c>
      <c r="D31" t="s">
        <v>62</v>
      </c>
      <c r="E31" t="s">
        <v>63</v>
      </c>
      <c r="F31" s="6">
        <v>3289</v>
      </c>
      <c r="J31" t="s">
        <v>176</v>
      </c>
    </row>
    <row r="32" spans="2:11" x14ac:dyDescent="0.35">
      <c r="B32" t="s">
        <v>60</v>
      </c>
      <c r="C32" t="s">
        <v>64</v>
      </c>
      <c r="D32" t="s">
        <v>65</v>
      </c>
      <c r="E32" t="s">
        <v>63</v>
      </c>
      <c r="F32" s="6">
        <v>110</v>
      </c>
      <c r="J32" t="s">
        <v>176</v>
      </c>
    </row>
    <row r="33" spans="2:10" x14ac:dyDescent="0.35">
      <c r="B33" s="1" t="s">
        <v>66</v>
      </c>
      <c r="C33" s="1" t="s">
        <v>64</v>
      </c>
      <c r="D33" s="1" t="s">
        <v>68</v>
      </c>
      <c r="E33" s="1" t="s">
        <v>63</v>
      </c>
      <c r="F33" s="8">
        <v>123</v>
      </c>
      <c r="G33" s="1"/>
      <c r="H33" s="1"/>
      <c r="I33" s="1"/>
      <c r="J33" s="1"/>
    </row>
    <row r="34" spans="2:10" x14ac:dyDescent="0.35">
      <c r="B34" t="s">
        <v>69</v>
      </c>
      <c r="C34" s="19" t="s">
        <v>61</v>
      </c>
      <c r="D34" t="s">
        <v>67</v>
      </c>
      <c r="E34" t="s">
        <v>63</v>
      </c>
      <c r="F34" s="6">
        <f>761+560</f>
        <v>1321</v>
      </c>
      <c r="J34" s="19" t="s">
        <v>175</v>
      </c>
    </row>
    <row r="35" spans="2:10" x14ac:dyDescent="0.35">
      <c r="B35" t="s">
        <v>72</v>
      </c>
      <c r="C35" t="s">
        <v>73</v>
      </c>
      <c r="D35" t="s">
        <v>74</v>
      </c>
      <c r="E35" t="s">
        <v>63</v>
      </c>
      <c r="F35" s="6">
        <f>75+44+262+131+76+51</f>
        <v>639</v>
      </c>
      <c r="J35" t="s">
        <v>75</v>
      </c>
    </row>
    <row r="36" spans="2:10" x14ac:dyDescent="0.35">
      <c r="B36" t="s">
        <v>76</v>
      </c>
      <c r="C36" t="s">
        <v>73</v>
      </c>
      <c r="D36" t="s">
        <v>103</v>
      </c>
      <c r="E36" t="s">
        <v>63</v>
      </c>
      <c r="F36" s="6">
        <f>112+79</f>
        <v>191</v>
      </c>
      <c r="J36" t="s">
        <v>77</v>
      </c>
    </row>
    <row r="37" spans="2:10" x14ac:dyDescent="0.35">
      <c r="B37" t="s">
        <v>80</v>
      </c>
      <c r="C37" t="s">
        <v>61</v>
      </c>
      <c r="D37" t="s">
        <v>79</v>
      </c>
      <c r="E37" t="s">
        <v>63</v>
      </c>
      <c r="F37" s="6">
        <v>459</v>
      </c>
    </row>
    <row r="38" spans="2:10" x14ac:dyDescent="0.35">
      <c r="B38" s="1" t="s">
        <v>78</v>
      </c>
      <c r="C38" s="1" t="s">
        <v>61</v>
      </c>
      <c r="D38" s="1" t="s">
        <v>100</v>
      </c>
      <c r="E38" s="1" t="s">
        <v>63</v>
      </c>
      <c r="F38" s="8">
        <v>128</v>
      </c>
      <c r="G38" s="1"/>
      <c r="H38" s="1"/>
      <c r="I38" s="1"/>
      <c r="J38" s="1"/>
    </row>
    <row r="39" spans="2:10" x14ac:dyDescent="0.35">
      <c r="B39" t="s">
        <v>83</v>
      </c>
      <c r="C39" t="s">
        <v>81</v>
      </c>
      <c r="D39" t="s">
        <v>82</v>
      </c>
      <c r="E39" t="s">
        <v>63</v>
      </c>
      <c r="F39" s="6">
        <v>2015</v>
      </c>
    </row>
    <row r="40" spans="2:10" x14ac:dyDescent="0.35">
      <c r="B40" t="s">
        <v>90</v>
      </c>
      <c r="C40" t="s">
        <v>81</v>
      </c>
      <c r="D40" t="s">
        <v>91</v>
      </c>
      <c r="E40" t="s">
        <v>63</v>
      </c>
      <c r="F40" s="6">
        <v>392</v>
      </c>
    </row>
    <row r="41" spans="2:10" x14ac:dyDescent="0.35">
      <c r="B41" t="s">
        <v>12</v>
      </c>
      <c r="C41" t="s">
        <v>84</v>
      </c>
      <c r="D41" t="s">
        <v>85</v>
      </c>
      <c r="E41" t="s">
        <v>63</v>
      </c>
      <c r="F41" s="6">
        <v>178</v>
      </c>
    </row>
    <row r="42" spans="2:10" x14ac:dyDescent="0.35">
      <c r="B42" t="s">
        <v>86</v>
      </c>
      <c r="C42" t="s">
        <v>64</v>
      </c>
      <c r="D42" t="s">
        <v>89</v>
      </c>
      <c r="E42" t="s">
        <v>63</v>
      </c>
      <c r="F42" s="6">
        <f>83+24</f>
        <v>107</v>
      </c>
      <c r="J42" t="s">
        <v>96</v>
      </c>
    </row>
    <row r="43" spans="2:10" x14ac:dyDescent="0.35">
      <c r="B43" t="s">
        <v>87</v>
      </c>
      <c r="C43" t="s">
        <v>64</v>
      </c>
      <c r="D43" t="s">
        <v>93</v>
      </c>
      <c r="E43" t="s">
        <v>63</v>
      </c>
      <c r="F43" s="6">
        <v>48</v>
      </c>
    </row>
    <row r="44" spans="2:10" x14ac:dyDescent="0.35">
      <c r="B44" t="s">
        <v>116</v>
      </c>
      <c r="C44" t="s">
        <v>64</v>
      </c>
      <c r="D44" t="s">
        <v>97</v>
      </c>
      <c r="E44" t="s">
        <v>63</v>
      </c>
      <c r="F44" s="6">
        <v>129</v>
      </c>
    </row>
    <row r="45" spans="2:10" x14ac:dyDescent="0.35">
      <c r="B45" s="1" t="s">
        <v>88</v>
      </c>
      <c r="C45" s="1" t="s">
        <v>64</v>
      </c>
      <c r="D45" s="1" t="s">
        <v>97</v>
      </c>
      <c r="E45" s="1" t="s">
        <v>63</v>
      </c>
      <c r="F45" s="8">
        <v>201</v>
      </c>
      <c r="G45" s="1"/>
      <c r="H45" s="1"/>
      <c r="I45" s="1"/>
      <c r="J45" s="1"/>
    </row>
    <row r="46" spans="2:10" x14ac:dyDescent="0.35">
      <c r="B46" t="s">
        <v>92</v>
      </c>
      <c r="C46" t="s">
        <v>64</v>
      </c>
      <c r="D46" t="s">
        <v>98</v>
      </c>
      <c r="E46" t="s">
        <v>63</v>
      </c>
      <c r="F46" s="6">
        <v>651</v>
      </c>
    </row>
    <row r="47" spans="2:10" x14ac:dyDescent="0.35">
      <c r="B47" t="s">
        <v>94</v>
      </c>
      <c r="C47" t="s">
        <v>64</v>
      </c>
      <c r="D47" t="s">
        <v>101</v>
      </c>
      <c r="E47" t="s">
        <v>63</v>
      </c>
      <c r="F47" s="6">
        <v>240</v>
      </c>
    </row>
    <row r="48" spans="2:10" x14ac:dyDescent="0.35">
      <c r="B48" s="1" t="s">
        <v>95</v>
      </c>
      <c r="C48" s="1" t="s">
        <v>64</v>
      </c>
      <c r="D48" s="1" t="s">
        <v>102</v>
      </c>
      <c r="E48" s="1" t="s">
        <v>63</v>
      </c>
      <c r="F48" s="8">
        <v>63</v>
      </c>
      <c r="G48" s="1"/>
      <c r="H48" s="1"/>
      <c r="I48" s="1"/>
      <c r="J48" s="1"/>
    </row>
    <row r="49" spans="2:10" ht="15" thickBot="1" x14ac:dyDescent="0.4">
      <c r="B49" s="9" t="s">
        <v>99</v>
      </c>
      <c r="C49" s="9"/>
      <c r="D49" s="9"/>
      <c r="E49" s="9"/>
      <c r="F49" s="10">
        <f>SUMIF(C31:C48, "*"&amp;"OR"&amp;"*", F31:F48)-SUMIF(C31:C48, "*"&amp;"OE"&amp;"*", F31:F48)</f>
        <v>1770</v>
      </c>
      <c r="G49" s="9"/>
      <c r="H49" s="9"/>
      <c r="I49" s="9"/>
      <c r="J49" s="9"/>
    </row>
    <row r="50" spans="2:10" ht="15" thickTop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27F9-78FD-427F-B07E-82E88FBCA27F}">
  <dimension ref="M3:M25"/>
  <sheetViews>
    <sheetView topLeftCell="B1" workbookViewId="0">
      <selection activeCell="Y15" sqref="Y15"/>
    </sheetView>
  </sheetViews>
  <sheetFormatPr defaultRowHeight="14.5" x14ac:dyDescent="0.35"/>
  <sheetData>
    <row r="3" spans="13:13" x14ac:dyDescent="0.35">
      <c r="M3" t="s">
        <v>105</v>
      </c>
    </row>
    <row r="14" spans="13:13" x14ac:dyDescent="0.35">
      <c r="M14" t="s">
        <v>106</v>
      </c>
    </row>
    <row r="25" spans="13:13" x14ac:dyDescent="0.35">
      <c r="M25" t="s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802C-D9FC-439B-B93A-93BCD4EF37BB}">
  <dimension ref="M3:M45"/>
  <sheetViews>
    <sheetView tabSelected="1" topLeftCell="A7" workbookViewId="0">
      <selection activeCell="I21" sqref="I21"/>
    </sheetView>
  </sheetViews>
  <sheetFormatPr defaultRowHeight="14.5" x14ac:dyDescent="0.35"/>
  <sheetData>
    <row r="3" spans="13:13" x14ac:dyDescent="0.35">
      <c r="M3" t="s">
        <v>108</v>
      </c>
    </row>
    <row r="25" spans="13:13" x14ac:dyDescent="0.35">
      <c r="M25" t="s">
        <v>109</v>
      </c>
    </row>
    <row r="45" spans="13:13" x14ac:dyDescent="0.35">
      <c r="M45" t="s">
        <v>110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FD9-EA38-4FEE-93BA-FFE06ADB4E16}">
  <dimension ref="J3:M17"/>
  <sheetViews>
    <sheetView zoomScale="130" zoomScaleNormal="130" workbookViewId="0">
      <selection activeCell="F23" sqref="F23"/>
    </sheetView>
  </sheetViews>
  <sheetFormatPr defaultRowHeight="14.5" x14ac:dyDescent="0.35"/>
  <sheetData>
    <row r="3" spans="10:13" x14ac:dyDescent="0.35">
      <c r="J3" t="s">
        <v>157</v>
      </c>
      <c r="L3" t="s">
        <v>154</v>
      </c>
      <c r="M3">
        <f>189.203-16.1</f>
        <v>173.10300000000001</v>
      </c>
    </row>
    <row r="4" spans="10:13" x14ac:dyDescent="0.35">
      <c r="L4" t="s">
        <v>155</v>
      </c>
      <c r="M4">
        <v>166</v>
      </c>
    </row>
    <row r="5" spans="10:13" x14ac:dyDescent="0.35">
      <c r="L5" t="s">
        <v>156</v>
      </c>
      <c r="M5">
        <f>M4/M3</f>
        <v>0.95896662680600564</v>
      </c>
    </row>
    <row r="15" spans="10:13" x14ac:dyDescent="0.35">
      <c r="J15" t="s">
        <v>158</v>
      </c>
      <c r="L15" t="s">
        <v>154</v>
      </c>
      <c r="M15">
        <f>173.109-13.9</f>
        <v>159.209</v>
      </c>
    </row>
    <row r="16" spans="10:13" x14ac:dyDescent="0.35">
      <c r="L16" t="s">
        <v>155</v>
      </c>
      <c r="M16">
        <v>151.5</v>
      </c>
    </row>
    <row r="17" spans="12:13" x14ac:dyDescent="0.35">
      <c r="L17" t="s">
        <v>156</v>
      </c>
      <c r="M17">
        <f>M16/M15</f>
        <v>0.95157937051297348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F9A3-45CC-48B8-A76C-3F76667BDBEB}">
  <dimension ref="A2:F38"/>
  <sheetViews>
    <sheetView topLeftCell="A5" zoomScaleNormal="100" workbookViewId="0">
      <selection activeCell="F7" sqref="F7"/>
    </sheetView>
  </sheetViews>
  <sheetFormatPr defaultRowHeight="14.5" x14ac:dyDescent="0.35"/>
  <cols>
    <col min="2" max="2" width="10.36328125" bestFit="1" customWidth="1"/>
    <col min="3" max="3" width="9.90625" bestFit="1" customWidth="1"/>
    <col min="4" max="5" width="9.453125" bestFit="1" customWidth="1"/>
  </cols>
  <sheetData>
    <row r="2" spans="1:6" x14ac:dyDescent="0.35">
      <c r="A2" t="s">
        <v>121</v>
      </c>
      <c r="B2" s="13">
        <v>43800</v>
      </c>
      <c r="C2" s="13">
        <v>44166</v>
      </c>
      <c r="D2" s="13">
        <v>44531</v>
      </c>
      <c r="E2" s="13">
        <v>44896</v>
      </c>
    </row>
    <row r="3" spans="1:6" x14ac:dyDescent="0.35">
      <c r="A3" t="s">
        <v>128</v>
      </c>
      <c r="B3" s="6">
        <f>71004903/1000</f>
        <v>71004.903000000006</v>
      </c>
      <c r="C3" s="6">
        <f>115511007/1000</f>
        <v>115511.007</v>
      </c>
      <c r="D3" s="6">
        <v>211478</v>
      </c>
      <c r="E3" s="6">
        <v>211793</v>
      </c>
    </row>
    <row r="4" spans="1:6" x14ac:dyDescent="0.35">
      <c r="A4" t="s">
        <v>126</v>
      </c>
      <c r="B4" s="6">
        <f>SUM(B14:B15)</f>
        <v>61757.807000000001</v>
      </c>
      <c r="C4" s="6">
        <f>SUM(C14:C15)</f>
        <v>101955</v>
      </c>
      <c r="D4" s="6">
        <f>SUM(D14:D15)</f>
        <v>189203</v>
      </c>
      <c r="E4" s="6">
        <f>SUM(E14:E15)</f>
        <v>173109</v>
      </c>
    </row>
    <row r="5" spans="1:6" x14ac:dyDescent="0.35">
      <c r="A5" t="s">
        <v>161</v>
      </c>
      <c r="B5" s="14">
        <f>B12/B4*100</f>
        <v>53.700681113887349</v>
      </c>
      <c r="C5" s="14">
        <f>C12/C4*100</f>
        <v>44.314648619488992</v>
      </c>
      <c r="D5" s="14">
        <f>D12/D4*100</f>
        <v>34.806002018995471</v>
      </c>
      <c r="E5" s="14">
        <f>E12/E4*100</f>
        <v>42.524652097811206</v>
      </c>
    </row>
    <row r="6" spans="1:6" x14ac:dyDescent="0.35">
      <c r="A6" t="s">
        <v>133</v>
      </c>
      <c r="B6" s="14">
        <f>0.724*100</f>
        <v>72.399999999999991</v>
      </c>
      <c r="C6" s="14">
        <f>0.603*100</f>
        <v>60.3</v>
      </c>
      <c r="D6" s="14">
        <f>0.571*100</f>
        <v>57.099999999999994</v>
      </c>
      <c r="E6" s="14">
        <f>0.636*100</f>
        <v>63.6</v>
      </c>
      <c r="F6" s="15">
        <f>AVERAGE(B6:E6)</f>
        <v>63.349999999999994</v>
      </c>
    </row>
    <row r="8" spans="1:6" x14ac:dyDescent="0.35">
      <c r="A8" t="s">
        <v>134</v>
      </c>
      <c r="B8" s="6">
        <f>13842946/1000</f>
        <v>13842.946</v>
      </c>
      <c r="C8" s="6">
        <f>30245</f>
        <v>30245</v>
      </c>
      <c r="D8" s="6">
        <v>27370</v>
      </c>
      <c r="E8" s="6">
        <v>28602</v>
      </c>
    </row>
    <row r="9" spans="1:6" x14ac:dyDescent="0.35">
      <c r="A9" t="s">
        <v>122</v>
      </c>
      <c r="B9" s="6">
        <f>14014919/1000</f>
        <v>14014.919</v>
      </c>
      <c r="C9" s="6">
        <v>30913</v>
      </c>
      <c r="D9" s="6">
        <v>27221</v>
      </c>
      <c r="E9" s="6">
        <v>26069</v>
      </c>
    </row>
    <row r="10" spans="1:6" x14ac:dyDescent="0.35">
      <c r="A10" t="s">
        <v>123</v>
      </c>
      <c r="B10" s="6">
        <f>13842946/1000</f>
        <v>13842.946</v>
      </c>
      <c r="C10" s="6">
        <v>16592</v>
      </c>
      <c r="D10" s="6">
        <v>98195</v>
      </c>
      <c r="E10" s="6">
        <v>91321</v>
      </c>
    </row>
    <row r="11" spans="1:6" x14ac:dyDescent="0.35">
      <c r="A11" t="s">
        <v>125</v>
      </c>
      <c r="B11" s="6">
        <f>14115272/1000</f>
        <v>14115.272000000001</v>
      </c>
      <c r="C11" s="6">
        <v>17217</v>
      </c>
      <c r="D11" s="6">
        <v>97277</v>
      </c>
      <c r="E11" s="6">
        <v>76169</v>
      </c>
    </row>
    <row r="12" spans="1:6" x14ac:dyDescent="0.35">
      <c r="A12" t="s">
        <v>124</v>
      </c>
      <c r="B12" s="6">
        <f>33164363/1000</f>
        <v>33164.362999999998</v>
      </c>
      <c r="C12" s="6">
        <v>45181</v>
      </c>
      <c r="D12" s="6">
        <v>65854</v>
      </c>
      <c r="E12" s="6">
        <v>73614</v>
      </c>
    </row>
    <row r="13" spans="1:6" x14ac:dyDescent="0.35">
      <c r="B13" s="6"/>
      <c r="C13" s="6"/>
      <c r="D13" s="6"/>
      <c r="E13" s="6"/>
    </row>
    <row r="14" spans="1:6" x14ac:dyDescent="0.35">
      <c r="A14" t="s">
        <v>17</v>
      </c>
      <c r="B14" s="6">
        <f>40841570/1000</f>
        <v>40841.57</v>
      </c>
      <c r="C14" s="6">
        <v>66519</v>
      </c>
      <c r="D14" s="6">
        <v>125851</v>
      </c>
      <c r="E14" s="6">
        <v>80753</v>
      </c>
    </row>
    <row r="15" spans="1:6" x14ac:dyDescent="0.35">
      <c r="A15" t="s">
        <v>18</v>
      </c>
      <c r="B15" s="6">
        <f>20916237/1000</f>
        <v>20916.237000000001</v>
      </c>
      <c r="C15" s="6">
        <v>35436</v>
      </c>
      <c r="D15" s="6">
        <v>63352</v>
      </c>
      <c r="E15" s="6">
        <v>92356</v>
      </c>
    </row>
    <row r="17" spans="1:6" x14ac:dyDescent="0.35">
      <c r="A17" t="s">
        <v>129</v>
      </c>
      <c r="D17">
        <f>D10/C10</f>
        <v>5.9182135969141756</v>
      </c>
    </row>
    <row r="18" spans="1:6" x14ac:dyDescent="0.35">
      <c r="A18" t="s">
        <v>130</v>
      </c>
      <c r="E18">
        <f>E10-E11</f>
        <v>15152</v>
      </c>
    </row>
    <row r="20" spans="1:6" x14ac:dyDescent="0.35">
      <c r="A20" t="s">
        <v>131</v>
      </c>
      <c r="C20">
        <f t="shared" ref="C20:D20" si="0">C14/B14-1</f>
        <v>0.62870820098247937</v>
      </c>
      <c r="D20">
        <f t="shared" si="0"/>
        <v>0.89195568183526519</v>
      </c>
      <c r="E20">
        <f>E14/D14-1</f>
        <v>-0.35834439138346141</v>
      </c>
    </row>
    <row r="21" spans="1:6" x14ac:dyDescent="0.35">
      <c r="A21" t="s">
        <v>132</v>
      </c>
      <c r="C21">
        <f t="shared" ref="C21:D21" si="1">C15/B15-1</f>
        <v>0.69418619611166177</v>
      </c>
      <c r="D21">
        <f t="shared" si="1"/>
        <v>0.787786431877187</v>
      </c>
      <c r="E21">
        <f>E15/D15-1</f>
        <v>0.45782295744412171</v>
      </c>
    </row>
    <row r="23" spans="1:6" x14ac:dyDescent="0.35">
      <c r="A23" t="s">
        <v>138</v>
      </c>
      <c r="B23" s="6">
        <f>64383823/1000</f>
        <v>64383.822999999997</v>
      </c>
      <c r="C23" s="6">
        <v>107078</v>
      </c>
      <c r="D23" s="6">
        <v>194869</v>
      </c>
      <c r="E23" s="6">
        <v>195498</v>
      </c>
    </row>
    <row r="24" spans="1:6" x14ac:dyDescent="0.35">
      <c r="A24" t="s">
        <v>139</v>
      </c>
      <c r="B24" s="6">
        <f>6621080/1000</f>
        <v>6621.08</v>
      </c>
      <c r="C24" s="6">
        <v>8433</v>
      </c>
      <c r="D24" s="6">
        <v>16609</v>
      </c>
      <c r="E24" s="6">
        <v>16295</v>
      </c>
      <c r="F24" t="s">
        <v>135</v>
      </c>
    </row>
    <row r="25" spans="1:6" x14ac:dyDescent="0.35">
      <c r="A25" t="s">
        <v>136</v>
      </c>
      <c r="B25" s="14">
        <f>B23/B24</f>
        <v>9.7240666175306743</v>
      </c>
      <c r="C25" s="14">
        <f t="shared" ref="C25:E25" si="2">C23/C24</f>
        <v>12.697497924819162</v>
      </c>
      <c r="D25" s="14">
        <f t="shared" si="2"/>
        <v>11.732735264013487</v>
      </c>
      <c r="E25" s="14">
        <f t="shared" si="2"/>
        <v>11.997422522246088</v>
      </c>
    </row>
    <row r="26" spans="1:6" x14ac:dyDescent="0.35">
      <c r="A26" t="s">
        <v>133</v>
      </c>
    </row>
    <row r="28" spans="1:6" x14ac:dyDescent="0.35">
      <c r="A28" t="s">
        <v>162</v>
      </c>
      <c r="B28" s="15">
        <f>B24/B3*100</f>
        <v>9.3248208507516726</v>
      </c>
      <c r="C28" s="15">
        <f t="shared" ref="C28:E28" si="3">C24/C3*100</f>
        <v>7.3006029633175995</v>
      </c>
      <c r="D28" s="15">
        <f t="shared" si="3"/>
        <v>7.8537720235674637</v>
      </c>
      <c r="E28" s="15">
        <f t="shared" si="3"/>
        <v>7.6938331295179729</v>
      </c>
    </row>
    <row r="29" spans="1:6" x14ac:dyDescent="0.35">
      <c r="A29" t="s">
        <v>133</v>
      </c>
      <c r="B29" s="15">
        <f>'US banks benchmark'!B12</f>
        <v>11.250794507911325</v>
      </c>
      <c r="C29" s="15">
        <f>'US banks benchmark'!C12</f>
        <v>9.779902351728289</v>
      </c>
      <c r="D29" s="15">
        <f>'US banks benchmark'!D12</f>
        <v>8.9545416587921487</v>
      </c>
      <c r="E29" s="15">
        <f>'US banks benchmark'!E12</f>
        <v>9.339714839182566</v>
      </c>
    </row>
    <row r="31" spans="1:6" x14ac:dyDescent="0.35">
      <c r="A31" t="s">
        <v>142</v>
      </c>
      <c r="B31">
        <f>B4/B23</f>
        <v>0.95921310854746855</v>
      </c>
      <c r="C31">
        <f t="shared" ref="C31:E31" si="4">C4/C23</f>
        <v>0.95215637199051162</v>
      </c>
      <c r="D31">
        <f t="shared" si="4"/>
        <v>0.97092405667397075</v>
      </c>
      <c r="E31">
        <f t="shared" si="4"/>
        <v>0.88547708927968571</v>
      </c>
    </row>
    <row r="33" spans="1:5" x14ac:dyDescent="0.35">
      <c r="A33" t="s">
        <v>160</v>
      </c>
      <c r="B33">
        <f>B4/B3*100</f>
        <v>86.97682045984908</v>
      </c>
      <c r="C33">
        <f>C4/C3*100</f>
        <v>88.264315798060693</v>
      </c>
      <c r="D33">
        <f>D4/D3*100</f>
        <v>89.466989474082411</v>
      </c>
      <c r="E33">
        <f>E4/E3*100</f>
        <v>81.734995963039381</v>
      </c>
    </row>
    <row r="34" spans="1:5" x14ac:dyDescent="0.35">
      <c r="A34" t="s">
        <v>133</v>
      </c>
      <c r="B34">
        <f>'US banks benchmark'!B15</f>
        <v>74.4705624272287</v>
      </c>
      <c r="C34">
        <f>'US banks benchmark'!C15</f>
        <v>78.233383259740521</v>
      </c>
      <c r="D34">
        <f>'US banks benchmark'!D15</f>
        <v>79.094788750346112</v>
      </c>
      <c r="E34">
        <f>'US banks benchmark'!E15</f>
        <v>77.633025601647432</v>
      </c>
    </row>
    <row r="36" spans="1:5" x14ac:dyDescent="0.35">
      <c r="A36" t="s">
        <v>141</v>
      </c>
    </row>
    <row r="38" spans="1:5" x14ac:dyDescent="0.35">
      <c r="A38" t="s">
        <v>159</v>
      </c>
      <c r="C38">
        <f>C3/B3</f>
        <v>1.6268032504741254</v>
      </c>
      <c r="D38">
        <f t="shared" ref="D38:E38" si="5">D3/C3</f>
        <v>1.8308038817460921</v>
      </c>
      <c r="E38">
        <f t="shared" si="5"/>
        <v>1.0014895166400288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9A1E-0F67-4AC2-AE1B-0F12C91D982E}">
  <dimension ref="A1:F15"/>
  <sheetViews>
    <sheetView topLeftCell="A7" workbookViewId="0">
      <selection activeCell="H7" sqref="H7"/>
    </sheetView>
  </sheetViews>
  <sheetFormatPr defaultRowHeight="14.5" x14ac:dyDescent="0.35"/>
  <sheetData>
    <row r="1" spans="1:6" x14ac:dyDescent="0.35">
      <c r="F1" s="12"/>
    </row>
    <row r="2" spans="1:6" x14ac:dyDescent="0.35">
      <c r="A2" t="s">
        <v>143</v>
      </c>
    </row>
    <row r="3" spans="1:6" x14ac:dyDescent="0.35">
      <c r="B3" s="17" t="s">
        <v>148</v>
      </c>
      <c r="C3" s="17" t="s">
        <v>149</v>
      </c>
      <c r="D3" s="17" t="s">
        <v>150</v>
      </c>
      <c r="E3" s="17" t="s">
        <v>151</v>
      </c>
    </row>
    <row r="4" spans="1:6" x14ac:dyDescent="0.35">
      <c r="B4">
        <v>2019</v>
      </c>
      <c r="C4">
        <v>2020</v>
      </c>
      <c r="D4">
        <v>2021</v>
      </c>
      <c r="E4">
        <v>2022</v>
      </c>
    </row>
    <row r="5" spans="1:6" x14ac:dyDescent="0.35">
      <c r="A5" t="s">
        <v>144</v>
      </c>
      <c r="B5" s="16">
        <v>17778.3</v>
      </c>
      <c r="C5" s="16">
        <v>20563.599999999999</v>
      </c>
      <c r="D5">
        <v>22752.7</v>
      </c>
      <c r="E5">
        <v>22920.400000000001</v>
      </c>
    </row>
    <row r="6" spans="1:6" x14ac:dyDescent="0.35">
      <c r="A6" t="s">
        <v>145</v>
      </c>
      <c r="B6">
        <v>15778.1</v>
      </c>
      <c r="C6">
        <v>18552.5</v>
      </c>
      <c r="D6">
        <v>20715.3</v>
      </c>
      <c r="E6">
        <v>20779.7</v>
      </c>
    </row>
    <row r="7" spans="1:6" x14ac:dyDescent="0.35">
      <c r="A7" t="s">
        <v>137</v>
      </c>
      <c r="B7">
        <f>B5-B6</f>
        <v>2000.1999999999989</v>
      </c>
      <c r="C7">
        <f t="shared" ref="C7:E7" si="0">C5-C6</f>
        <v>2011.0999999999985</v>
      </c>
      <c r="D7">
        <f t="shared" si="0"/>
        <v>2037.4000000000015</v>
      </c>
      <c r="E7">
        <f t="shared" si="0"/>
        <v>2140.7000000000007</v>
      </c>
    </row>
    <row r="9" spans="1:6" x14ac:dyDescent="0.35">
      <c r="A9" t="s">
        <v>146</v>
      </c>
      <c r="B9">
        <v>13239.6</v>
      </c>
      <c r="C9">
        <v>16087.6</v>
      </c>
      <c r="D9">
        <v>17996.2</v>
      </c>
      <c r="E9">
        <v>17793.8</v>
      </c>
    </row>
    <row r="10" spans="1:6" x14ac:dyDescent="0.35">
      <c r="A10" t="s">
        <v>147</v>
      </c>
      <c r="B10">
        <f>B9/B6</f>
        <v>0.8391124406614231</v>
      </c>
      <c r="C10">
        <f t="shared" ref="C10:E10" si="1">C9/C6</f>
        <v>0.86713919956879126</v>
      </c>
      <c r="D10">
        <f t="shared" si="1"/>
        <v>0.86873953068504928</v>
      </c>
      <c r="E10">
        <f t="shared" si="1"/>
        <v>0.85630687642266246</v>
      </c>
    </row>
    <row r="12" spans="1:6" x14ac:dyDescent="0.35">
      <c r="A12" t="s">
        <v>140</v>
      </c>
      <c r="B12">
        <f>B7/B5*100</f>
        <v>11.250794507911325</v>
      </c>
      <c r="C12">
        <f t="shared" ref="C12:E12" si="2">C7/C5*100</f>
        <v>9.779902351728289</v>
      </c>
      <c r="D12">
        <f t="shared" si="2"/>
        <v>8.9545416587921487</v>
      </c>
      <c r="E12">
        <f t="shared" si="2"/>
        <v>9.339714839182566</v>
      </c>
    </row>
    <row r="13" spans="1:6" x14ac:dyDescent="0.35">
      <c r="A13" t="s">
        <v>152</v>
      </c>
      <c r="B13">
        <v>11.34</v>
      </c>
      <c r="C13">
        <v>10.18</v>
      </c>
      <c r="D13">
        <v>9.43</v>
      </c>
      <c r="E13">
        <v>9.5399999999999991</v>
      </c>
    </row>
    <row r="15" spans="1:6" x14ac:dyDescent="0.35">
      <c r="A15" t="s">
        <v>153</v>
      </c>
      <c r="B15">
        <f>B9/B5*100</f>
        <v>74.4705624272287</v>
      </c>
      <c r="C15">
        <f t="shared" ref="C15:E15" si="3">C9/C5*100</f>
        <v>78.233383259740521</v>
      </c>
      <c r="D15">
        <f t="shared" si="3"/>
        <v>79.094788750346112</v>
      </c>
      <c r="E15">
        <f t="shared" si="3"/>
        <v>77.633025601647432</v>
      </c>
    </row>
  </sheetData>
  <hyperlinks>
    <hyperlink ref="B3" r:id="rId1" xr:uid="{BD1DF90F-5DA6-427D-B231-977C7C88230A}"/>
    <hyperlink ref="C3" r:id="rId2" xr:uid="{1E8FCB83-F556-4728-AF50-50DEC54F4C42}"/>
    <hyperlink ref="D3" r:id="rId3" xr:uid="{F3DBDE94-7414-432D-A5AA-3CDC12D57693}"/>
    <hyperlink ref="E3" r:id="rId4" xr:uid="{A7CF3D5A-8095-4C12-8048-AA382F9D3F94}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8459-DFF8-4194-A0ED-E49C37B38A78}">
  <dimension ref="A1:B23"/>
  <sheetViews>
    <sheetView workbookViewId="0">
      <selection activeCell="B9" sqref="B9"/>
    </sheetView>
  </sheetViews>
  <sheetFormatPr defaultRowHeight="14.5" x14ac:dyDescent="0.35"/>
  <cols>
    <col min="2" max="2" width="10.36328125" bestFit="1" customWidth="1"/>
  </cols>
  <sheetData>
    <row r="1" spans="1:2" x14ac:dyDescent="0.35">
      <c r="A1" t="s">
        <v>163</v>
      </c>
    </row>
    <row r="3" spans="1:2" x14ac:dyDescent="0.35">
      <c r="A3" t="s">
        <v>164</v>
      </c>
      <c r="B3" s="18">
        <f>B14/B15</f>
        <v>0.73965794088440984</v>
      </c>
    </row>
    <row r="4" spans="1:2" x14ac:dyDescent="0.35">
      <c r="A4" t="s">
        <v>127</v>
      </c>
      <c r="B4" s="18">
        <f>B17/B18</f>
        <v>0.34806002018995469</v>
      </c>
    </row>
    <row r="5" spans="1:2" x14ac:dyDescent="0.35">
      <c r="A5" t="s">
        <v>165</v>
      </c>
      <c r="B5" s="18">
        <f>B20/B21</f>
        <v>8.3696649296853571E-3</v>
      </c>
    </row>
    <row r="6" spans="1:2" x14ac:dyDescent="0.35">
      <c r="A6" t="s">
        <v>166</v>
      </c>
      <c r="B6" s="18">
        <f>B20/B22</f>
        <v>0.1065687277981817</v>
      </c>
    </row>
    <row r="7" spans="1:2" x14ac:dyDescent="0.35">
      <c r="A7" t="s">
        <v>136</v>
      </c>
      <c r="B7" s="18">
        <f>B23/B22</f>
        <v>11.732735264013487</v>
      </c>
    </row>
    <row r="8" spans="1:2" x14ac:dyDescent="0.35">
      <c r="A8" t="s">
        <v>140</v>
      </c>
      <c r="B8" s="18">
        <f>B22/B21</f>
        <v>7.8537720235674638E-2</v>
      </c>
    </row>
    <row r="9" spans="1:2" x14ac:dyDescent="0.35">
      <c r="A9" t="s">
        <v>167</v>
      </c>
      <c r="B9" s="18">
        <f>B6/B5</f>
        <v>12.732735264013487</v>
      </c>
    </row>
    <row r="14" spans="1:2" x14ac:dyDescent="0.35">
      <c r="A14" t="s">
        <v>168</v>
      </c>
      <c r="B14" s="6">
        <f>SUM('Statements DEC2021'!F7:F10,'Statements DEC2021'!G26)</f>
        <v>140035</v>
      </c>
    </row>
    <row r="15" spans="1:2" x14ac:dyDescent="0.35">
      <c r="A15" t="s">
        <v>169</v>
      </c>
      <c r="B15" s="6">
        <f>SUM('Statements DEC2021'!F18:F20)</f>
        <v>189324</v>
      </c>
    </row>
    <row r="17" spans="1:2" x14ac:dyDescent="0.35">
      <c r="A17" t="s">
        <v>170</v>
      </c>
      <c r="B17" s="6">
        <f>'Statements DEC2021'!F12</f>
        <v>65854</v>
      </c>
    </row>
    <row r="18" spans="1:2" x14ac:dyDescent="0.35">
      <c r="A18" t="s">
        <v>146</v>
      </c>
      <c r="B18" s="6">
        <f>SUM('Statements DEC2021'!F18:F19)</f>
        <v>189203</v>
      </c>
    </row>
    <row r="20" spans="1:2" x14ac:dyDescent="0.35">
      <c r="A20" t="s">
        <v>141</v>
      </c>
      <c r="B20" s="6">
        <f>'Statements DEC2021'!F49</f>
        <v>1770</v>
      </c>
    </row>
    <row r="21" spans="1:2" x14ac:dyDescent="0.35">
      <c r="A21" t="s">
        <v>171</v>
      </c>
      <c r="B21" s="6">
        <f>'Statements DEC2021'!F26+'Statements DEC2021'!G26</f>
        <v>211478</v>
      </c>
    </row>
    <row r="22" spans="1:2" x14ac:dyDescent="0.35">
      <c r="A22" t="s">
        <v>172</v>
      </c>
      <c r="B22" s="6">
        <f>'Statements DEC2021'!F28+'Statements DEC2021'!G26</f>
        <v>16609</v>
      </c>
    </row>
    <row r="23" spans="1:2" x14ac:dyDescent="0.35">
      <c r="A23" t="s">
        <v>173</v>
      </c>
      <c r="B23" s="6">
        <f>B21-B22</f>
        <v>194869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Statements DEC2020</vt:lpstr>
      <vt:lpstr>Statements DEC2020 Comm</vt:lpstr>
      <vt:lpstr>Statements DEC2021</vt:lpstr>
      <vt:lpstr>AFS Breakdown</vt:lpstr>
      <vt:lpstr>HTM Breakdown</vt:lpstr>
      <vt:lpstr>Deposits</vt:lpstr>
      <vt:lpstr>BS Development</vt:lpstr>
      <vt:lpstr>US banks benchmark</vt:lpstr>
      <vt:lpstr>Ratio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Gian-Andrin Tommasini</dc:creator>
  <cp:lastModifiedBy>Gian-Andrin Tommasini</cp:lastModifiedBy>
  <dcterms:created xsi:type="dcterms:W3CDTF">2023-04-18T14:10:29Z</dcterms:created>
  <dcterms:modified xsi:type="dcterms:W3CDTF">2023-06-07T12:18:43Z</dcterms:modified>
</cp:coreProperties>
</file>