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 Gibarac\Desktop\python-playground\nfl-game-scripts\"/>
    </mc:Choice>
  </mc:AlternateContent>
  <xr:revisionPtr revIDLastSave="0" documentId="13_ncr:1_{A56FFBF0-0097-46E1-A36E-5B2141BB7A82}" xr6:coauthVersionLast="47" xr6:coauthVersionMax="47" xr10:uidLastSave="{00000000-0000-0000-0000-000000000000}"/>
  <bookViews>
    <workbookView xWindow="-105" yWindow="0" windowWidth="19410" windowHeight="20985" firstSheet="1" activeTab="2" xr2:uid="{810F9484-D599-4867-9BB5-FDE55755D821}"/>
  </bookViews>
  <sheets>
    <sheet name="Active - Players" sheetId="1" state="hidden" r:id="rId1"/>
    <sheet name="Scoring" sheetId="2" r:id="rId2"/>
    <sheet name="Week 1" sheetId="3" r:id="rId3"/>
    <sheet name="Week 2" sheetId="6" r:id="rId4"/>
    <sheet name="Week 3" sheetId="4" r:id="rId5"/>
    <sheet name="Week 4" sheetId="7" r:id="rId6"/>
    <sheet name="Week 5" sheetId="5" r:id="rId7"/>
    <sheet name="Ranking - Wk5" sheetId="8" r:id="rId8"/>
    <sheet name="Week 6" sheetId="9" r:id="rId9"/>
  </sheets>
  <externalReferences>
    <externalReference r:id="rId10"/>
  </externalReferences>
  <definedNames>
    <definedName name="_60_64">Scoring!$B$9</definedName>
    <definedName name="_65_69">Scoring!$B$10</definedName>
    <definedName name="_70_74">Scoring!$B$11</definedName>
    <definedName name="_75over">Scoring!$B$12</definedName>
    <definedName name="in_the_20">Scoring!$B$6</definedName>
    <definedName name="out_of_backfield">Scoring!$B$7</definedName>
    <definedName name="punt_blocked">Scoring!$B$4</definedName>
    <definedName name="punt_per_yard">Scoring!$B$3</definedName>
    <definedName name="punt_return_td">Scoring!$B$8</definedName>
    <definedName name="punt_score">Scoring!$B$2</definedName>
    <definedName name="touchback">Scoring!$B$5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4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" i="3"/>
  <c r="F2" i="3"/>
  <c r="O33" i="9" l="1"/>
  <c r="A33" i="9"/>
  <c r="O32" i="9"/>
  <c r="A32" i="9"/>
  <c r="O31" i="9"/>
  <c r="A31" i="9"/>
  <c r="O30" i="9"/>
  <c r="A30" i="9"/>
  <c r="E29" i="9"/>
  <c r="O29" i="9" s="1"/>
  <c r="A29" i="9"/>
  <c r="O28" i="9"/>
  <c r="A28" i="9"/>
  <c r="O27" i="9"/>
  <c r="A27" i="9"/>
  <c r="O26" i="9"/>
  <c r="A26" i="9"/>
  <c r="O25" i="9"/>
  <c r="A25" i="9"/>
  <c r="O24" i="9"/>
  <c r="A24" i="9"/>
  <c r="O23" i="9"/>
  <c r="A23" i="9"/>
  <c r="O22" i="9"/>
  <c r="A22" i="9"/>
  <c r="O21" i="9"/>
  <c r="A21" i="9"/>
  <c r="O20" i="9"/>
  <c r="A20" i="9"/>
  <c r="O19" i="9"/>
  <c r="A19" i="9"/>
  <c r="E18" i="9"/>
  <c r="O18" i="9" s="1"/>
  <c r="A18" i="9"/>
  <c r="O17" i="9"/>
  <c r="A17" i="9"/>
  <c r="O16" i="9"/>
  <c r="A16" i="9"/>
  <c r="O15" i="9"/>
  <c r="A15" i="9"/>
  <c r="O14" i="9"/>
  <c r="A14" i="9"/>
  <c r="E13" i="9"/>
  <c r="O13" i="9" s="1"/>
  <c r="A13" i="9"/>
  <c r="O12" i="9"/>
  <c r="A12" i="9"/>
  <c r="O11" i="9"/>
  <c r="A11" i="9"/>
  <c r="E10" i="9"/>
  <c r="O10" i="9" s="1"/>
  <c r="A10" i="9"/>
  <c r="O9" i="9"/>
  <c r="A9" i="9"/>
  <c r="O8" i="9"/>
  <c r="A8" i="9"/>
  <c r="O7" i="9"/>
  <c r="A7" i="9"/>
  <c r="O6" i="9"/>
  <c r="A6" i="9"/>
  <c r="O5" i="9"/>
  <c r="A5" i="9"/>
  <c r="O4" i="9"/>
  <c r="A4" i="9"/>
  <c r="O3" i="9"/>
  <c r="A3" i="9"/>
  <c r="O2" i="9"/>
  <c r="A2" i="9"/>
  <c r="Q32" i="4"/>
  <c r="P32" i="4"/>
  <c r="Q24" i="4"/>
  <c r="P24" i="4"/>
  <c r="Q18" i="4"/>
  <c r="P18" i="4"/>
  <c r="Q33" i="3"/>
  <c r="Q14" i="3"/>
  <c r="Q6" i="3"/>
  <c r="Q30" i="3"/>
  <c r="Q28" i="3"/>
  <c r="Q10" i="3"/>
  <c r="Q24" i="3"/>
  <c r="Q31" i="3"/>
  <c r="Q18" i="3"/>
  <c r="Q23" i="3"/>
  <c r="R14" i="3"/>
  <c r="Q2" i="3"/>
  <c r="Q32" i="3"/>
  <c r="O9" i="5"/>
  <c r="O10" i="5"/>
  <c r="O11" i="5"/>
  <c r="O12" i="5"/>
  <c r="O13" i="5"/>
  <c r="O14" i="5"/>
  <c r="O15" i="5"/>
  <c r="F17" i="8" s="1"/>
  <c r="O16" i="5"/>
  <c r="O17" i="5"/>
  <c r="O18" i="5"/>
  <c r="O19" i="5"/>
  <c r="O20" i="5"/>
  <c r="F15" i="8" s="1"/>
  <c r="O21" i="5"/>
  <c r="F33" i="8" s="1"/>
  <c r="O22" i="5"/>
  <c r="O23" i="5"/>
  <c r="F2" i="8" s="1"/>
  <c r="O24" i="5"/>
  <c r="F6" i="8" s="1"/>
  <c r="O25" i="5"/>
  <c r="O26" i="5"/>
  <c r="O27" i="5"/>
  <c r="O28" i="5"/>
  <c r="O29" i="5"/>
  <c r="O30" i="5"/>
  <c r="O31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C21" i="8"/>
  <c r="C4" i="8"/>
  <c r="D4" i="8"/>
  <c r="C8" i="8"/>
  <c r="C26" i="8"/>
  <c r="D26" i="8"/>
  <c r="E29" i="8"/>
  <c r="E25" i="8"/>
  <c r="E16" i="8"/>
  <c r="E11" i="8"/>
  <c r="E20" i="8"/>
  <c r="E9" i="8"/>
  <c r="E19" i="8"/>
  <c r="E28" i="8"/>
  <c r="E18" i="8"/>
  <c r="E3" i="8"/>
  <c r="F3" i="8"/>
  <c r="E2" i="8"/>
  <c r="D31" i="8"/>
  <c r="D16" i="8"/>
  <c r="D33" i="8"/>
  <c r="D9" i="8"/>
  <c r="D28" i="8"/>
  <c r="D24" i="8"/>
  <c r="D3" i="8"/>
  <c r="C10" i="8"/>
  <c r="C5" i="8"/>
  <c r="C22" i="8"/>
  <c r="C31" i="8"/>
  <c r="C6" i="8"/>
  <c r="C29" i="8"/>
  <c r="C25" i="8"/>
  <c r="C16" i="8"/>
  <c r="C11" i="8"/>
  <c r="C32" i="8"/>
  <c r="C23" i="8"/>
  <c r="C27" i="8"/>
  <c r="C20" i="8"/>
  <c r="C33" i="8"/>
  <c r="C9" i="8"/>
  <c r="C19" i="8"/>
  <c r="C28" i="8"/>
  <c r="C17" i="8"/>
  <c r="C30" i="8"/>
  <c r="C24" i="8"/>
  <c r="C15" i="8"/>
  <c r="C18" i="8"/>
  <c r="C12" i="8"/>
  <c r="C3" i="8"/>
  <c r="C2" i="8"/>
  <c r="C14" i="8"/>
  <c r="C13" i="8"/>
  <c r="C7" i="8"/>
  <c r="P26" i="3"/>
  <c r="P5" i="3"/>
  <c r="A26" i="3"/>
  <c r="A5" i="3"/>
  <c r="O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A32" i="6"/>
  <c r="A31" i="6"/>
  <c r="A4" i="6"/>
  <c r="A26" i="6"/>
  <c r="A28" i="6"/>
  <c r="A23" i="6"/>
  <c r="A15" i="6"/>
  <c r="A20" i="6"/>
  <c r="A25" i="6"/>
  <c r="A12" i="6"/>
  <c r="A11" i="6"/>
  <c r="A24" i="6"/>
  <c r="A18" i="6"/>
  <c r="A7" i="6"/>
  <c r="A6" i="6"/>
  <c r="A3" i="6"/>
  <c r="A13" i="6"/>
  <c r="A8" i="6"/>
  <c r="A5" i="6"/>
  <c r="A14" i="6"/>
  <c r="A9" i="6"/>
  <c r="A22" i="6"/>
  <c r="A29" i="6"/>
  <c r="A33" i="6"/>
  <c r="A19" i="6"/>
  <c r="A16" i="6"/>
  <c r="A10" i="6"/>
  <c r="A2" i="6"/>
  <c r="A30" i="6"/>
  <c r="A17" i="6"/>
  <c r="A27" i="6"/>
  <c r="A21" i="6"/>
  <c r="O21" i="7"/>
  <c r="E33" i="8" s="1"/>
  <c r="A21" i="7"/>
  <c r="O27" i="7"/>
  <c r="E32" i="8" s="1"/>
  <c r="A27" i="7"/>
  <c r="O17" i="7"/>
  <c r="A17" i="7"/>
  <c r="O30" i="7"/>
  <c r="E21" i="8" s="1"/>
  <c r="A30" i="7"/>
  <c r="O2" i="7"/>
  <c r="E31" i="8" s="1"/>
  <c r="A2" i="7"/>
  <c r="O10" i="7"/>
  <c r="A10" i="7"/>
  <c r="O16" i="7"/>
  <c r="E12" i="8" s="1"/>
  <c r="A16" i="7"/>
  <c r="O19" i="7"/>
  <c r="E30" i="8" s="1"/>
  <c r="A19" i="7"/>
  <c r="O33" i="7"/>
  <c r="E26" i="8" s="1"/>
  <c r="A33" i="7"/>
  <c r="O29" i="7"/>
  <c r="A29" i="7"/>
  <c r="O22" i="7"/>
  <c r="A22" i="7"/>
  <c r="O9" i="7"/>
  <c r="E5" i="8" s="1"/>
  <c r="A9" i="7"/>
  <c r="O14" i="7"/>
  <c r="E22" i="8" s="1"/>
  <c r="A14" i="7"/>
  <c r="O5" i="7"/>
  <c r="E27" i="8" s="1"/>
  <c r="A5" i="7"/>
  <c r="O8" i="7"/>
  <c r="E13" i="8" s="1"/>
  <c r="A8" i="7"/>
  <c r="O13" i="7"/>
  <c r="A13" i="7"/>
  <c r="O3" i="7"/>
  <c r="E7" i="8" s="1"/>
  <c r="A3" i="7"/>
  <c r="O6" i="7"/>
  <c r="E14" i="8" s="1"/>
  <c r="A6" i="7"/>
  <c r="O7" i="7"/>
  <c r="A7" i="7"/>
  <c r="O18" i="7"/>
  <c r="A18" i="7"/>
  <c r="O24" i="7"/>
  <c r="E6" i="8" s="1"/>
  <c r="A24" i="7"/>
  <c r="O11" i="7"/>
  <c r="E24" i="8" s="1"/>
  <c r="A11" i="7"/>
  <c r="O12" i="7"/>
  <c r="E23" i="8" s="1"/>
  <c r="A12" i="7"/>
  <c r="O25" i="7"/>
  <c r="A25" i="7"/>
  <c r="O20" i="7"/>
  <c r="E15" i="8" s="1"/>
  <c r="A20" i="7"/>
  <c r="O15" i="7"/>
  <c r="E17" i="8" s="1"/>
  <c r="A15" i="7"/>
  <c r="O23" i="7"/>
  <c r="A23" i="7"/>
  <c r="O28" i="7"/>
  <c r="A28" i="7"/>
  <c r="O26" i="7"/>
  <c r="A26" i="7"/>
  <c r="O4" i="7"/>
  <c r="E10" i="8" s="1"/>
  <c r="A4" i="7"/>
  <c r="O31" i="7"/>
  <c r="E4" i="8" s="1"/>
  <c r="A31" i="7"/>
  <c r="O32" i="7"/>
  <c r="E8" i="8" s="1"/>
  <c r="A32" i="7"/>
  <c r="E13" i="5"/>
  <c r="F19" i="8" s="1"/>
  <c r="E18" i="5"/>
  <c r="E10" i="5"/>
  <c r="F29" i="8" s="1"/>
  <c r="E29" i="5"/>
  <c r="F18" i="8" s="1"/>
  <c r="P2" i="1"/>
  <c r="Q2" i="1" s="1"/>
  <c r="P36" i="1"/>
  <c r="Q36" i="1" s="1"/>
  <c r="F22" i="8"/>
  <c r="F25" i="8"/>
  <c r="O33" i="5"/>
  <c r="F26" i="8" s="1"/>
  <c r="F28" i="8"/>
  <c r="O4" i="5"/>
  <c r="F10" i="8" s="1"/>
  <c r="O32" i="5"/>
  <c r="F8" i="8" s="1"/>
  <c r="O3" i="5"/>
  <c r="F7" i="8" s="1"/>
  <c r="F9" i="8"/>
  <c r="O5" i="5"/>
  <c r="F27" i="8" s="1"/>
  <c r="F32" i="8"/>
  <c r="O6" i="5"/>
  <c r="F14" i="8" s="1"/>
  <c r="F16" i="8"/>
  <c r="O7" i="5"/>
  <c r="F20" i="8" s="1"/>
  <c r="F23" i="8"/>
  <c r="F24" i="8"/>
  <c r="O2" i="5"/>
  <c r="F31" i="8" s="1"/>
  <c r="F12" i="8"/>
  <c r="O8" i="5"/>
  <c r="F13" i="8" s="1"/>
  <c r="E20" i="4"/>
  <c r="E8" i="4"/>
  <c r="P9" i="1"/>
  <c r="Q9" i="1" s="1"/>
  <c r="O10" i="4"/>
  <c r="D29" i="8" s="1"/>
  <c r="O21" i="4"/>
  <c r="O23" i="4"/>
  <c r="D2" i="8" s="1"/>
  <c r="O9" i="4"/>
  <c r="D5" i="8" s="1"/>
  <c r="O31" i="4"/>
  <c r="O8" i="4"/>
  <c r="D13" i="8" s="1"/>
  <c r="O18" i="4"/>
  <c r="D11" i="8" s="1"/>
  <c r="O16" i="4"/>
  <c r="D12" i="8" s="1"/>
  <c r="O2" i="4"/>
  <c r="O30" i="4"/>
  <c r="D21" i="8" s="1"/>
  <c r="O11" i="4"/>
  <c r="O20" i="4"/>
  <c r="D15" i="8" s="1"/>
  <c r="O12" i="4"/>
  <c r="D23" i="8" s="1"/>
  <c r="O7" i="4"/>
  <c r="D20" i="8" s="1"/>
  <c r="O25" i="4"/>
  <c r="O28" i="4"/>
  <c r="O24" i="4"/>
  <c r="D6" i="8" s="1"/>
  <c r="O6" i="4"/>
  <c r="D14" i="8" s="1"/>
  <c r="O27" i="4"/>
  <c r="D32" i="8" s="1"/>
  <c r="O5" i="4"/>
  <c r="D27" i="8" s="1"/>
  <c r="O26" i="4"/>
  <c r="O3" i="4"/>
  <c r="D7" i="8" s="1"/>
  <c r="O15" i="4"/>
  <c r="D17" i="8" s="1"/>
  <c r="O19" i="4"/>
  <c r="D30" i="8" s="1"/>
  <c r="O32" i="4"/>
  <c r="D8" i="8" s="1"/>
  <c r="O4" i="4"/>
  <c r="D10" i="8" s="1"/>
  <c r="O17" i="4"/>
  <c r="O33" i="4"/>
  <c r="O29" i="4"/>
  <c r="D18" i="8" s="1"/>
  <c r="O22" i="4"/>
  <c r="D25" i="8" s="1"/>
  <c r="O14" i="4"/>
  <c r="D22" i="8" s="1"/>
  <c r="O13" i="4"/>
  <c r="D19" i="8" s="1"/>
  <c r="P34" i="1"/>
  <c r="Q34" i="1" s="1"/>
  <c r="P29" i="1"/>
  <c r="Q29" i="1" s="1"/>
  <c r="P20" i="1"/>
  <c r="Q20" i="1" s="1"/>
  <c r="A21" i="4"/>
  <c r="A20" i="4"/>
  <c r="A18" i="4"/>
  <c r="A11" i="4"/>
  <c r="A10" i="4"/>
  <c r="A32" i="4"/>
  <c r="A14" i="4"/>
  <c r="A26" i="4"/>
  <c r="A27" i="4"/>
  <c r="A19" i="4"/>
  <c r="A25" i="4"/>
  <c r="A15" i="4"/>
  <c r="A29" i="4"/>
  <c r="A7" i="4"/>
  <c r="A22" i="4"/>
  <c r="A24" i="4"/>
  <c r="A16" i="4"/>
  <c r="A28" i="4"/>
  <c r="A2" i="4"/>
  <c r="A17" i="4"/>
  <c r="A33" i="4"/>
  <c r="A12" i="4"/>
  <c r="A23" i="4"/>
  <c r="A6" i="4"/>
  <c r="A13" i="4"/>
  <c r="A4" i="4"/>
  <c r="A31" i="4"/>
  <c r="A30" i="4"/>
  <c r="A5" i="4"/>
  <c r="A3" i="4"/>
  <c r="A8" i="4"/>
  <c r="A9" i="4"/>
  <c r="P3" i="3"/>
  <c r="P4" i="3"/>
  <c r="P6" i="3"/>
  <c r="P7" i="3"/>
  <c r="P8" i="3"/>
  <c r="P9" i="3"/>
  <c r="P10" i="3"/>
  <c r="B16" i="8" s="1"/>
  <c r="P11" i="3"/>
  <c r="P13" i="3"/>
  <c r="P14" i="3"/>
  <c r="P15" i="3"/>
  <c r="B12" i="8" s="1"/>
  <c r="P16" i="3"/>
  <c r="P19" i="3"/>
  <c r="P18" i="3"/>
  <c r="B29" i="8" s="1"/>
  <c r="P20" i="3"/>
  <c r="B22" i="8" s="1"/>
  <c r="P21" i="3"/>
  <c r="P22" i="3"/>
  <c r="P23" i="3"/>
  <c r="B7" i="8" s="1"/>
  <c r="P24" i="3"/>
  <c r="P25" i="3"/>
  <c r="P27" i="3"/>
  <c r="P28" i="3"/>
  <c r="R28" i="3" s="1"/>
  <c r="P29" i="3"/>
  <c r="P30" i="3"/>
  <c r="B21" i="8" s="1"/>
  <c r="P31" i="3"/>
  <c r="B4" i="8" s="1"/>
  <c r="P32" i="3"/>
  <c r="P33" i="3"/>
  <c r="B26" i="8" s="1"/>
  <c r="E12" i="3"/>
  <c r="P12" i="3" s="1"/>
  <c r="E17" i="3"/>
  <c r="P17" i="3" s="1"/>
  <c r="P2" i="3"/>
  <c r="A28" i="3"/>
  <c r="A29" i="3"/>
  <c r="A30" i="3"/>
  <c r="A31" i="3"/>
  <c r="A32" i="3"/>
  <c r="A33" i="3"/>
  <c r="A27" i="3"/>
  <c r="A3" i="3"/>
  <c r="A4" i="3"/>
  <c r="A6" i="3"/>
  <c r="A7" i="3"/>
  <c r="A8" i="3"/>
  <c r="A9" i="3"/>
  <c r="A10" i="3"/>
  <c r="A11" i="3"/>
  <c r="A12" i="3"/>
  <c r="A13" i="3"/>
  <c r="A14" i="3"/>
  <c r="A15" i="3"/>
  <c r="A16" i="3"/>
  <c r="A17" i="3"/>
  <c r="A19" i="3"/>
  <c r="A18" i="3"/>
  <c r="A20" i="3"/>
  <c r="A21" i="3"/>
  <c r="A22" i="3"/>
  <c r="A23" i="3"/>
  <c r="A24" i="3"/>
  <c r="A25" i="3"/>
  <c r="A2" i="3"/>
  <c r="P21" i="1"/>
  <c r="Q21" i="1" s="1"/>
  <c r="P31" i="1"/>
  <c r="Q31" i="1" s="1"/>
  <c r="P26" i="1"/>
  <c r="Q26" i="1" s="1"/>
  <c r="P18" i="1"/>
  <c r="Q18" i="1" s="1"/>
  <c r="P3" i="1"/>
  <c r="Q3" i="1" s="1"/>
  <c r="P27" i="1"/>
  <c r="Q27" i="1" s="1"/>
  <c r="P16" i="1"/>
  <c r="Q16" i="1" s="1"/>
  <c r="P17" i="1"/>
  <c r="Q17" i="1" s="1"/>
  <c r="P38" i="1"/>
  <c r="Q38" i="1" s="1"/>
  <c r="P35" i="1"/>
  <c r="Q35" i="1" s="1"/>
  <c r="P33" i="1"/>
  <c r="Q33" i="1" s="1"/>
  <c r="P32" i="1"/>
  <c r="Q32" i="1" s="1"/>
  <c r="P5" i="1"/>
  <c r="Q5" i="1" s="1"/>
  <c r="P23" i="1"/>
  <c r="Q23" i="1" s="1"/>
  <c r="P39" i="1"/>
  <c r="Q39" i="1" s="1"/>
  <c r="P7" i="1"/>
  <c r="Q7" i="1" s="1"/>
  <c r="P41" i="1"/>
  <c r="Q41" i="1" s="1"/>
  <c r="P24" i="1"/>
  <c r="Q24" i="1" s="1"/>
  <c r="P22" i="1"/>
  <c r="Q22" i="1" s="1"/>
  <c r="P28" i="1"/>
  <c r="Q28" i="1" s="1"/>
  <c r="P42" i="1"/>
  <c r="Q42" i="1" s="1"/>
  <c r="P12" i="1"/>
  <c r="Q12" i="1" s="1"/>
  <c r="P19" i="1"/>
  <c r="Q19" i="1" s="1"/>
  <c r="P10" i="1"/>
  <c r="Q10" i="1" s="1"/>
  <c r="P6" i="1"/>
  <c r="Q6" i="1" s="1"/>
  <c r="P13" i="1"/>
  <c r="Q13" i="1" s="1"/>
  <c r="P40" i="1"/>
  <c r="Q40" i="1" s="1"/>
  <c r="P30" i="1"/>
  <c r="Q30" i="1" s="1"/>
  <c r="P25" i="1"/>
  <c r="Q25" i="1" s="1"/>
  <c r="P14" i="1"/>
  <c r="Q14" i="1" s="1"/>
  <c r="P4" i="1"/>
  <c r="Q4" i="1" s="1"/>
  <c r="P37" i="1"/>
  <c r="Q37" i="1" s="1"/>
  <c r="P11" i="1"/>
  <c r="Q11" i="1" s="1"/>
  <c r="P15" i="1"/>
  <c r="Q15" i="1" s="1"/>
  <c r="P8" i="1"/>
  <c r="Q8" i="1" s="1"/>
  <c r="R24" i="3" l="1"/>
  <c r="R6" i="3"/>
  <c r="R18" i="3"/>
  <c r="B5" i="8"/>
  <c r="R10" i="3"/>
  <c r="V6" i="3" s="1"/>
  <c r="R31" i="3"/>
  <c r="V5" i="3" s="1"/>
  <c r="B13" i="8"/>
  <c r="R33" i="3"/>
  <c r="V7" i="3" s="1"/>
  <c r="R23" i="3"/>
  <c r="V3" i="3" s="1"/>
  <c r="R30" i="3"/>
  <c r="V8" i="3" s="1"/>
  <c r="B24" i="8"/>
  <c r="G24" i="8" s="1"/>
  <c r="B18" i="8"/>
  <c r="G18" i="8" s="1"/>
  <c r="R32" i="3"/>
  <c r="B32" i="8"/>
  <c r="G32" i="8" s="1"/>
  <c r="R2" i="3"/>
  <c r="V4" i="3" s="1"/>
  <c r="B30" i="8"/>
  <c r="G30" i="8" s="1"/>
  <c r="B33" i="8"/>
  <c r="G33" i="8" s="1"/>
  <c r="B27" i="8"/>
  <c r="G27" i="8" s="1"/>
  <c r="B11" i="8"/>
  <c r="B19" i="8"/>
  <c r="G19" i="8" s="1"/>
  <c r="B9" i="8"/>
  <c r="G9" i="8" s="1"/>
  <c r="B15" i="8"/>
  <c r="G15" i="8" s="1"/>
  <c r="B23" i="8"/>
  <c r="G23" i="8" s="1"/>
  <c r="B28" i="8"/>
  <c r="G28" i="8" s="1"/>
  <c r="B25" i="8"/>
  <c r="G25" i="8" s="1"/>
  <c r="B10" i="8"/>
  <c r="G10" i="8" s="1"/>
  <c r="B31" i="8"/>
  <c r="G31" i="8" s="1"/>
  <c r="B20" i="8"/>
  <c r="G20" i="8" s="1"/>
  <c r="B3" i="8"/>
  <c r="G3" i="8" s="1"/>
  <c r="B8" i="8"/>
  <c r="G8" i="8" s="1"/>
  <c r="B17" i="8"/>
  <c r="G17" i="8" s="1"/>
  <c r="B14" i="8"/>
  <c r="G14" i="8" s="1"/>
  <c r="B6" i="8"/>
  <c r="G6" i="8" s="1"/>
  <c r="B2" i="8"/>
  <c r="G2" i="8" s="1"/>
  <c r="F11" i="8"/>
  <c r="G21" i="8"/>
  <c r="G26" i="8"/>
  <c r="G7" i="8"/>
  <c r="G4" i="8"/>
  <c r="G5" i="8"/>
  <c r="G13" i="8"/>
  <c r="G12" i="8"/>
  <c r="G22" i="8"/>
  <c r="G16" i="8"/>
  <c r="G29" i="8"/>
  <c r="G11" i="8" l="1"/>
</calcChain>
</file>

<file path=xl/sharedStrings.xml><?xml version="1.0" encoding="utf-8"?>
<sst xmlns="http://schemas.openxmlformats.org/spreadsheetml/2006/main" count="561" uniqueCount="169">
  <si>
    <t>First name</t>
  </si>
  <si>
    <t>Last name</t>
  </si>
  <si>
    <t>Current team</t>
  </si>
  <si>
    <t>Punts (2022)</t>
  </si>
  <si>
    <t>Net yards (2022)</t>
  </si>
  <si>
    <t>Punts blocked (2022)</t>
  </si>
  <si>
    <t>Touch backs (2022)</t>
  </si>
  <si>
    <t>Punts in the 20 (2022)</t>
  </si>
  <si>
    <t>Punts out of the backfield (2022)</t>
  </si>
  <si>
    <t>Punts returned for a touchdown (2022)</t>
  </si>
  <si>
    <t>Tommy</t>
  </si>
  <si>
    <t>Townsend</t>
  </si>
  <si>
    <t>Kansas City Chiefs</t>
  </si>
  <si>
    <t>75-plus yard punts (2022)</t>
  </si>
  <si>
    <t>Total points (2022)</t>
  </si>
  <si>
    <t>Average points (2022)</t>
  </si>
  <si>
    <t>Michael</t>
  </si>
  <si>
    <t>Dickson</t>
  </si>
  <si>
    <t>Seattle Seahawks</t>
  </si>
  <si>
    <t>Johnny</t>
  </si>
  <si>
    <t>Hekker</t>
  </si>
  <si>
    <t>Carolina Panthers</t>
  </si>
  <si>
    <t>Ryan</t>
  </si>
  <si>
    <t>Stonehouse</t>
  </si>
  <si>
    <t>Tennessee Titans</t>
  </si>
  <si>
    <t>A.J.</t>
  </si>
  <si>
    <t>Cole</t>
  </si>
  <si>
    <t>Las Vegas Raiders</t>
  </si>
  <si>
    <t>Scoring type</t>
  </si>
  <si>
    <t>Punt</t>
  </si>
  <si>
    <t>Net yards (per yard)</t>
  </si>
  <si>
    <t>Punt blocked</t>
  </si>
  <si>
    <t>Touch back</t>
  </si>
  <si>
    <t>In the 20</t>
  </si>
  <si>
    <t>Out of the backfield</t>
  </si>
  <si>
    <t>Punt return touchdown</t>
  </si>
  <si>
    <t>75-plus-yard punt</t>
  </si>
  <si>
    <t>Logan</t>
  </si>
  <si>
    <t>Cooke</t>
  </si>
  <si>
    <t>Jacksonville Jaguars</t>
  </si>
  <si>
    <t>Age (as of June 2023)</t>
  </si>
  <si>
    <t>Wright</t>
  </si>
  <si>
    <t>Minnesota Vikings</t>
  </si>
  <si>
    <t>Tress</t>
  </si>
  <si>
    <t>Way</t>
  </si>
  <si>
    <t>Washington Commanders</t>
  </si>
  <si>
    <t>Bryan</t>
  </si>
  <si>
    <t>Anger</t>
  </si>
  <si>
    <t>Dallas Cowboys</t>
  </si>
  <si>
    <t>Cameron</t>
  </si>
  <si>
    <t>Johnston</t>
  </si>
  <si>
    <t>Houston Texans</t>
  </si>
  <si>
    <t>Drue</t>
  </si>
  <si>
    <t>Chrisman</t>
  </si>
  <si>
    <t>Cincinatti Bengals</t>
  </si>
  <si>
    <t>Sam</t>
  </si>
  <si>
    <t>Martin</t>
  </si>
  <si>
    <t>Denver Broncos</t>
  </si>
  <si>
    <t>Buffalo Bills</t>
  </si>
  <si>
    <t>Riley</t>
  </si>
  <si>
    <t>Dixon</t>
  </si>
  <si>
    <t>Jake</t>
  </si>
  <si>
    <t>Camarda</t>
  </si>
  <si>
    <t>Tampa Bay Buccaneers</t>
  </si>
  <si>
    <t>New Orleans Saints</t>
  </si>
  <si>
    <t>Corliss</t>
  </si>
  <si>
    <t>Waitman</t>
  </si>
  <si>
    <t>New England Patriots</t>
  </si>
  <si>
    <t>J.K.</t>
  </si>
  <si>
    <t>Scott</t>
  </si>
  <si>
    <t>Jack</t>
  </si>
  <si>
    <t>Fox</t>
  </si>
  <si>
    <t>Detroit Lions</t>
  </si>
  <si>
    <t>Bradley</t>
  </si>
  <si>
    <t>Pinion</t>
  </si>
  <si>
    <t>Atlanta Falcons</t>
  </si>
  <si>
    <t>Arizona Cardinals</t>
  </si>
  <si>
    <t>Pressley</t>
  </si>
  <si>
    <t>Harvin III</t>
  </si>
  <si>
    <t>Pittsburgh Steelers</t>
  </si>
  <si>
    <t>Corey</t>
  </si>
  <si>
    <t>Bojorquez</t>
  </si>
  <si>
    <t>Cleveland Browns</t>
  </si>
  <si>
    <t>Andy</t>
  </si>
  <si>
    <t>Lee</t>
  </si>
  <si>
    <t>Trenton</t>
  </si>
  <si>
    <t>Gill</t>
  </si>
  <si>
    <t>60-64 yard punts</t>
  </si>
  <si>
    <t>65-69 yard punts (2022)</t>
  </si>
  <si>
    <t>70-74 yard punts (2022)</t>
  </si>
  <si>
    <t>60-64 yard punt</t>
  </si>
  <si>
    <t>65-69 yard punt</t>
  </si>
  <si>
    <t>70-74 yard punt</t>
  </si>
  <si>
    <t>Chicago Bears</t>
  </si>
  <si>
    <t>Jordan</t>
  </si>
  <si>
    <t>Stout</t>
  </si>
  <si>
    <t>Baltimore Ravens</t>
  </si>
  <si>
    <t>Jamie</t>
  </si>
  <si>
    <t>Gillan</t>
  </si>
  <si>
    <t>New York Giants</t>
  </si>
  <si>
    <t>Thomas</t>
  </si>
  <si>
    <t>Morstead</t>
  </si>
  <si>
    <t>New York Jets</t>
  </si>
  <si>
    <t>Arryn</t>
  </si>
  <si>
    <t>Siposs</t>
  </si>
  <si>
    <t>Philadelphia Eagles</t>
  </si>
  <si>
    <t>Green Bay Packers</t>
  </si>
  <si>
    <t>Mitch</t>
  </si>
  <si>
    <t>Wishnowsky</t>
  </si>
  <si>
    <t>San Francisco 49ers</t>
  </si>
  <si>
    <t>Kevin</t>
  </si>
  <si>
    <t>Huber</t>
  </si>
  <si>
    <t>FREE AGENT</t>
  </si>
  <si>
    <t>Palardy</t>
  </si>
  <si>
    <t>Bailey</t>
  </si>
  <si>
    <t>Miami Dolphins</t>
  </si>
  <si>
    <t>Cooney</t>
  </si>
  <si>
    <t>Daniel</t>
  </si>
  <si>
    <t>Whelan</t>
  </si>
  <si>
    <t>Ethan</t>
  </si>
  <si>
    <t>Evans</t>
  </si>
  <si>
    <t>Los Angeles Rams</t>
  </si>
  <si>
    <t>Lou</t>
  </si>
  <si>
    <t>Hedley</t>
  </si>
  <si>
    <t>Rigoberto</t>
  </si>
  <si>
    <t>Sanchez</t>
  </si>
  <si>
    <t>Indianapolis Colts</t>
  </si>
  <si>
    <t>2023</t>
  </si>
  <si>
    <t>Nolan</t>
  </si>
  <si>
    <t>Punter</t>
  </si>
  <si>
    <t>NFL Team</t>
  </si>
  <si>
    <t>XFL Team</t>
  </si>
  <si>
    <t>Punts</t>
  </si>
  <si>
    <t>Total Score</t>
  </si>
  <si>
    <t>Jonestown Red Dead Brigade</t>
  </si>
  <si>
    <t>Lima Limp-Dicks</t>
  </si>
  <si>
    <t>Arabia Alchemists</t>
  </si>
  <si>
    <t>The Gaza Strippers</t>
  </si>
  <si>
    <t>Ohanua Ironwoods</t>
  </si>
  <si>
    <t>Mecca Mongooses</t>
  </si>
  <si>
    <t>Maitland Bushrangers</t>
  </si>
  <si>
    <t>Samoa Scorchers</t>
  </si>
  <si>
    <t>Nirvana Archangels</t>
  </si>
  <si>
    <t>Barquisimeto Blastoise</t>
  </si>
  <si>
    <t>Hogsmeade Hippogriffs</t>
  </si>
  <si>
    <t>Celestial Seasonings</t>
  </si>
  <si>
    <t>Houston Texans - OUT</t>
  </si>
  <si>
    <t>T</t>
  </si>
  <si>
    <t>Zentner</t>
  </si>
  <si>
    <t>New England Patriots - OUT</t>
  </si>
  <si>
    <t>B</t>
  </si>
  <si>
    <t>Baringer</t>
  </si>
  <si>
    <t>Philadelphia Eagles - OUT</t>
  </si>
  <si>
    <t>Mann</t>
  </si>
  <si>
    <t>Cincinatti Bengals - OUT</t>
  </si>
  <si>
    <t>Robbins</t>
  </si>
  <si>
    <t>Wing</t>
  </si>
  <si>
    <t>Pittsburgh Steelers - OUT</t>
  </si>
  <si>
    <t>Arizona Cardinals - OUT</t>
  </si>
  <si>
    <t>Gillikin</t>
  </si>
  <si>
    <t>Los Angeles Chargers</t>
  </si>
  <si>
    <t>Week 1</t>
  </si>
  <si>
    <t>Week 2</t>
  </si>
  <si>
    <t>Week 3</t>
  </si>
  <si>
    <t>Week 4</t>
  </si>
  <si>
    <t>Week 5</t>
  </si>
  <si>
    <t>Total</t>
  </si>
  <si>
    <t>Unadjusted Score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</si>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</sst>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1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0" fillId="1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43" fontId="0" fillId="0" borderId="0" xfId="1" applyFont="1"/>
    <xf numFmtId="0" fontId="15" fillId="0" borderId="0" xfId="0" applyFont="1"/>
    <xf numFmtId="0" fontId="13" fillId="15" borderId="1" xfId="0" applyFont="1" applyFill="1" applyBorder="1"/>
    <xf numFmtId="0" fontId="13" fillId="16" borderId="1" xfId="0" applyFont="1" applyFill="1" applyBorder="1"/>
    <xf numFmtId="0" fontId="0" fillId="0" borderId="1" xfId="0" applyBorder="1"/>
    <xf numFmtId="0" fontId="8" fillId="5" borderId="1" xfId="0" applyFont="1" applyFill="1" applyBorder="1" applyAlignment="1">
      <alignment horizontal="center"/>
    </xf>
    <xf numFmtId="165" fontId="0" fillId="0" borderId="1" xfId="1" applyNumberFormat="1" applyFont="1" applyBorder="1"/>
    <xf numFmtId="43" fontId="0" fillId="0" borderId="1" xfId="1" applyFont="1" applyBorder="1"/>
    <xf numFmtId="43" fontId="0" fillId="0" borderId="1" xfId="0" applyNumberFormat="1" applyBorder="1"/>
    <xf numFmtId="0" fontId="4" fillId="8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0" borderId="1" xfId="1" applyNumberFormat="1" applyFont="1" applyFill="1" applyBorder="1"/>
    <xf numFmtId="43" fontId="0" fillId="0" borderId="0" xfId="0" applyNumberFormat="1"/>
    <xf numFmtId="43" fontId="0" fillId="0" borderId="1" xfId="1" applyFont="1" applyFill="1" applyBorder="1"/>
    <xf numFmtId="0" fontId="0" fillId="7" borderId="1" xfId="0" applyFill="1" applyBorder="1"/>
    <xf numFmtId="0" fontId="0" fillId="0" borderId="2" xfId="0" applyBorder="1"/>
    <xf numFmtId="0" fontId="16" fillId="7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ilip%20Gibarac\Downloads\XFLPUNTING_2023-V1.xlsx" TargetMode="External"/><Relationship Id="rId1" Type="http://schemas.openxmlformats.org/officeDocument/2006/relationships/externalLinkPath" Target="/Users/Filip%20Gibarac/Downloads/XFLPUNTING_2023-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eek One"/>
      <sheetName val="Week Two"/>
      <sheetName val="Week Three"/>
      <sheetName val="Week Four"/>
      <sheetName val="Week Five"/>
      <sheetName val="Week Six"/>
      <sheetName val="Week Seven"/>
      <sheetName val="Week Eight"/>
      <sheetName val="Week Nine"/>
      <sheetName val="Week 10"/>
      <sheetName val="Week 11"/>
      <sheetName val="Week 12"/>
      <sheetName val="Week 13"/>
      <sheetName val="Week 14"/>
      <sheetName val="Week 15"/>
      <sheetName val="Week 16"/>
      <sheetName val="Week 17"/>
      <sheetName val="Tota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720E75-BCEC-4CEA-B7D3-F648678C20E3}" name="Table1" displayName="Table1" ref="A1:Q42" totalsRowShown="0" dataDxfId="18">
  <autoFilter ref="A1:Q42" xr:uid="{E9720E75-BCEC-4CEA-B7D3-F648678C20E3}"/>
  <sortState xmlns:xlrd2="http://schemas.microsoft.com/office/spreadsheetml/2017/richdata2" ref="A2:Q42">
    <sortCondition ref="C1:C42"/>
  </sortState>
  <tableColumns count="17">
    <tableColumn id="1" xr3:uid="{30C3D6FF-AF82-404E-8B10-DDE849053451}" name="First name" dataDxfId="17"/>
    <tableColumn id="2" xr3:uid="{A8A598E4-D426-4FCE-A2FB-D0C7E50D1D09}" name="Last name" dataDxfId="16"/>
    <tableColumn id="3" xr3:uid="{A01BDDBC-3101-43F7-8D2E-1C2D264F330E}" name="Current team" dataDxfId="15"/>
    <tableColumn id="4" xr3:uid="{9304B8F3-B4CB-44C0-83EE-6B7ED70C3404}" name="Age (as of June 2023)" dataDxfId="14"/>
    <tableColumn id="5" xr3:uid="{7DC920EF-A118-41A7-A7FB-01466DEF930D}" name="Punts (2022)" dataDxfId="13"/>
    <tableColumn id="6" xr3:uid="{025236FC-4CED-425E-92C9-A502CF69AC19}" name="Net yards (2022)" dataDxfId="12"/>
    <tableColumn id="7" xr3:uid="{7F33DE77-6832-4626-A6F1-9B77FDEECF2B}" name="Punts blocked (2022)" dataDxfId="11"/>
    <tableColumn id="8" xr3:uid="{D56D29DF-46DB-4A78-A655-B936511836C3}" name="Touch backs (2022)" dataDxfId="10"/>
    <tableColumn id="9" xr3:uid="{46275B6D-558A-4D2A-AD60-660798D6F35C}" name="Punts in the 20 (2022)" dataDxfId="9"/>
    <tableColumn id="10" xr3:uid="{0AFBECF4-6A38-4633-9D70-6B4A7CE92513}" name="Punts out of the backfield (2022)" dataDxfId="8"/>
    <tableColumn id="11" xr3:uid="{3FA62FE6-12A9-4628-845A-E68B05FB7898}" name="Punts returned for a touchdown (2022)" dataDxfId="7"/>
    <tableColumn id="12" xr3:uid="{89BEFE8E-08DF-46A5-94B1-80326723BAF3}" name="60-64 yard punts" dataDxfId="6"/>
    <tableColumn id="13" xr3:uid="{A18322AC-B438-4E7E-BAAE-4CCEEC5BE231}" name="65-69 yard punts (2022)" dataDxfId="5"/>
    <tableColumn id="17" xr3:uid="{7D2F3E08-0257-4B48-8A9C-EAC3026BBA31}" name="70-74 yard punts (2022)" dataDxfId="4"/>
    <tableColumn id="16" xr3:uid="{12BD896C-081D-465B-9489-791F034428F8}" name="75-plus yard punts (2022)" dataDxfId="3"/>
    <tableColumn id="14" xr3:uid="{BE2821E9-B3DC-4716-8111-DDC47FF88BDD}" name="Total points (2022)" dataDxfId="2">
      <calculatedColumnFormula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calculatedColumnFormula>
    </tableColumn>
    <tableColumn id="15" xr3:uid="{907D5B02-D3F0-4222-9BDE-3566BDD7B080}" name="Average points (2022)" dataDxfId="1">
      <calculatedColumnFormula>P2/18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A06D61-8F2F-4667-A82C-C5AE05A2B36B}" name="Table2" displayName="Table2" ref="A1:B12" totalsRowShown="0" headerRowDxfId="0">
  <autoFilter ref="A1:B12" xr:uid="{EBA06D61-8F2F-4667-A82C-C5AE05A2B36B}"/>
  <tableColumns count="2">
    <tableColumn id="1" xr3:uid="{F3AFA434-849D-4845-B710-FC4CDEF124B3}" name="Scoring type"/>
    <tableColumn id="3" xr3:uid="{4D69C67A-5A95-4A95-9E55-1855B7ACFD06}" name="20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350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207A06F-98BF-4F96-B19C-61CFC69BF400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lastCryptoCompare" value="0"/>
    <we:property name="lastIexCall" value="0"/>
    <we:property name="stocks" value="{}"/>
    <we:property name="stocksChange" value="{}"/>
    <we:property name="stocksOrder" value="[]"/>
    <we:property name="stocksSources" value="{}"/>
    <we:property name="updateIntervalIndex" value="2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093B80E4-4865-41C4-8CAD-B934477FA165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2A4A-10B6-4E90-B84F-F0E51B816EC4}">
  <dimension ref="A1:Q42"/>
  <sheetViews>
    <sheetView workbookViewId="0">
      <pane xSplit="1" topLeftCell="B1" activePane="topRight" state="frozen"/>
      <selection pane="topRight" activeCell="C24" sqref="C24"/>
    </sheetView>
  </sheetViews>
  <sheetFormatPr defaultRowHeight="15" x14ac:dyDescent="0.25"/>
  <cols>
    <col min="1" max="1" width="12.5703125" bestFit="1" customWidth="1"/>
    <col min="2" max="2" width="12.140625" bestFit="1" customWidth="1"/>
    <col min="3" max="3" width="25.7109375" bestFit="1" customWidth="1"/>
    <col min="4" max="4" width="22" bestFit="1" customWidth="1"/>
    <col min="5" max="5" width="14.140625" bestFit="1" customWidth="1"/>
    <col min="6" max="6" width="17.7109375" bestFit="1" customWidth="1"/>
    <col min="7" max="7" width="21.85546875" bestFit="1" customWidth="1"/>
    <col min="8" max="8" width="20" bestFit="1" customWidth="1"/>
    <col min="9" max="9" width="22.42578125" bestFit="1" customWidth="1"/>
    <col min="10" max="10" width="32.5703125" bestFit="1" customWidth="1"/>
    <col min="11" max="11" width="38.140625" bestFit="1" customWidth="1"/>
    <col min="12" max="12" width="17.85546875" bestFit="1" customWidth="1"/>
    <col min="13" max="14" width="24" bestFit="1" customWidth="1"/>
    <col min="15" max="15" width="25.7109375" bestFit="1" customWidth="1"/>
    <col min="16" max="16" width="19.85546875" bestFit="1" customWidth="1"/>
    <col min="17" max="17" width="22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87</v>
      </c>
      <c r="M1" t="s">
        <v>88</v>
      </c>
      <c r="N1" t="s">
        <v>89</v>
      </c>
      <c r="O1" t="s">
        <v>13</v>
      </c>
      <c r="P1" t="s">
        <v>14</v>
      </c>
      <c r="Q1" t="s">
        <v>15</v>
      </c>
    </row>
    <row r="2" spans="1:17" x14ac:dyDescent="0.25">
      <c r="A2" s="2" t="s">
        <v>150</v>
      </c>
      <c r="B2" s="2" t="s">
        <v>159</v>
      </c>
      <c r="C2" s="3" t="s">
        <v>76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0</v>
      </c>
      <c r="Q2" s="4">
        <f t="shared" ref="Q2:Q42" si="0">P2/18</f>
        <v>0</v>
      </c>
    </row>
    <row r="3" spans="1:17" x14ac:dyDescent="0.25">
      <c r="A3" s="2" t="s">
        <v>128</v>
      </c>
      <c r="B3" s="2" t="s">
        <v>116</v>
      </c>
      <c r="C3" s="3" t="s">
        <v>158</v>
      </c>
      <c r="D3" s="2">
        <v>26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0</v>
      </c>
      <c r="Q3" s="4">
        <f t="shared" si="0"/>
        <v>0</v>
      </c>
    </row>
    <row r="4" spans="1:17" x14ac:dyDescent="0.25">
      <c r="A4" s="2" t="s">
        <v>73</v>
      </c>
      <c r="B4" s="2" t="s">
        <v>74</v>
      </c>
      <c r="C4" s="5" t="s">
        <v>75</v>
      </c>
      <c r="D4" s="2">
        <v>29</v>
      </c>
      <c r="E4" s="2">
        <v>62</v>
      </c>
      <c r="F4" s="2">
        <v>2555</v>
      </c>
      <c r="G4" s="2">
        <v>0</v>
      </c>
      <c r="H4" s="2">
        <v>2</v>
      </c>
      <c r="I4" s="2">
        <v>23</v>
      </c>
      <c r="J4" s="2">
        <v>6</v>
      </c>
      <c r="K4" s="2">
        <v>0</v>
      </c>
      <c r="L4" s="2">
        <v>3</v>
      </c>
      <c r="M4" s="2">
        <v>0</v>
      </c>
      <c r="N4" s="2">
        <v>1</v>
      </c>
      <c r="O4" s="2">
        <v>0</v>
      </c>
      <c r="P4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402</v>
      </c>
      <c r="Q4" s="4">
        <f t="shared" si="0"/>
        <v>22.333333333333332</v>
      </c>
    </row>
    <row r="5" spans="1:17" x14ac:dyDescent="0.25">
      <c r="A5" s="2" t="s">
        <v>94</v>
      </c>
      <c r="B5" s="2" t="s">
        <v>95</v>
      </c>
      <c r="C5" s="6" t="s">
        <v>96</v>
      </c>
      <c r="D5" s="2">
        <v>24</v>
      </c>
      <c r="E5" s="2">
        <v>57</v>
      </c>
      <c r="F5" s="2">
        <v>2329</v>
      </c>
      <c r="G5" s="2">
        <v>0</v>
      </c>
      <c r="H5" s="2">
        <v>7</v>
      </c>
      <c r="I5" s="2">
        <v>26</v>
      </c>
      <c r="J5" s="2">
        <v>3</v>
      </c>
      <c r="K5" s="2">
        <v>0</v>
      </c>
      <c r="L5" s="2">
        <v>2</v>
      </c>
      <c r="M5" s="2">
        <v>2</v>
      </c>
      <c r="N5" s="2">
        <v>0</v>
      </c>
      <c r="O5" s="2">
        <v>0</v>
      </c>
      <c r="P5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377.15</v>
      </c>
      <c r="Q5" s="4">
        <f t="shared" si="0"/>
        <v>20.952777777777776</v>
      </c>
    </row>
    <row r="6" spans="1:17" x14ac:dyDescent="0.25">
      <c r="A6" s="2" t="s">
        <v>55</v>
      </c>
      <c r="B6" s="2" t="s">
        <v>56</v>
      </c>
      <c r="C6" s="7" t="s">
        <v>58</v>
      </c>
      <c r="D6" s="2">
        <v>33</v>
      </c>
      <c r="E6" s="2">
        <v>46</v>
      </c>
      <c r="F6" s="2">
        <v>1901</v>
      </c>
      <c r="G6" s="2">
        <v>1</v>
      </c>
      <c r="H6" s="2">
        <v>5</v>
      </c>
      <c r="I6" s="2">
        <v>16</v>
      </c>
      <c r="J6" s="2">
        <v>6</v>
      </c>
      <c r="K6" s="2">
        <v>0</v>
      </c>
      <c r="L6" s="2">
        <v>4</v>
      </c>
      <c r="M6" s="2">
        <v>1</v>
      </c>
      <c r="N6" s="2">
        <v>0</v>
      </c>
      <c r="O6" s="2">
        <v>0</v>
      </c>
      <c r="P6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294.60000000000002</v>
      </c>
      <c r="Q6" s="4">
        <f t="shared" si="0"/>
        <v>16.366666666666667</v>
      </c>
    </row>
    <row r="7" spans="1:17" x14ac:dyDescent="0.25">
      <c r="A7" s="2" t="s">
        <v>19</v>
      </c>
      <c r="B7" s="2" t="s">
        <v>20</v>
      </c>
      <c r="C7" s="8" t="s">
        <v>21</v>
      </c>
      <c r="D7" s="2">
        <v>33</v>
      </c>
      <c r="E7" s="2">
        <v>81</v>
      </c>
      <c r="F7" s="2">
        <v>3574</v>
      </c>
      <c r="G7" s="2">
        <v>0</v>
      </c>
      <c r="H7" s="2">
        <v>6</v>
      </c>
      <c r="I7" s="2">
        <v>39</v>
      </c>
      <c r="J7" s="2">
        <v>7</v>
      </c>
      <c r="K7" s="2">
        <v>0</v>
      </c>
      <c r="L7" s="2">
        <v>3</v>
      </c>
      <c r="M7" s="2">
        <v>3</v>
      </c>
      <c r="N7" s="2">
        <v>0</v>
      </c>
      <c r="O7" s="2">
        <v>0</v>
      </c>
      <c r="P7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580.65000000000009</v>
      </c>
      <c r="Q7" s="4">
        <f t="shared" si="0"/>
        <v>32.25833333333334</v>
      </c>
    </row>
    <row r="8" spans="1:17" x14ac:dyDescent="0.25">
      <c r="A8" s="2" t="s">
        <v>85</v>
      </c>
      <c r="B8" s="2" t="s">
        <v>86</v>
      </c>
      <c r="C8" s="9" t="s">
        <v>93</v>
      </c>
      <c r="D8" s="2">
        <v>24</v>
      </c>
      <c r="E8" s="2">
        <v>67</v>
      </c>
      <c r="F8" s="2">
        <v>2697</v>
      </c>
      <c r="G8" s="2">
        <v>1</v>
      </c>
      <c r="H8" s="2">
        <v>3</v>
      </c>
      <c r="I8" s="2">
        <v>20</v>
      </c>
      <c r="J8" s="2">
        <v>4</v>
      </c>
      <c r="K8" s="2">
        <v>0</v>
      </c>
      <c r="L8" s="2">
        <v>4</v>
      </c>
      <c r="M8" s="2">
        <v>0</v>
      </c>
      <c r="N8" s="2">
        <v>0</v>
      </c>
      <c r="O8" s="2">
        <v>0</v>
      </c>
      <c r="P8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369.45</v>
      </c>
      <c r="Q8" s="4">
        <f t="shared" si="0"/>
        <v>20.524999999999999</v>
      </c>
    </row>
    <row r="9" spans="1:17" x14ac:dyDescent="0.25">
      <c r="A9" s="2" t="s">
        <v>150</v>
      </c>
      <c r="B9" s="2" t="s">
        <v>155</v>
      </c>
      <c r="C9" s="10" t="s">
        <v>54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0</v>
      </c>
      <c r="Q9" s="4">
        <f t="shared" si="0"/>
        <v>0</v>
      </c>
    </row>
    <row r="10" spans="1:17" x14ac:dyDescent="0.25">
      <c r="A10" s="2" t="s">
        <v>52</v>
      </c>
      <c r="B10" s="2" t="s">
        <v>53</v>
      </c>
      <c r="C10" s="10" t="s">
        <v>154</v>
      </c>
      <c r="D10" s="2">
        <v>25</v>
      </c>
      <c r="E10" s="2">
        <v>28</v>
      </c>
      <c r="F10" s="2">
        <v>1192</v>
      </c>
      <c r="G10" s="2">
        <v>0</v>
      </c>
      <c r="H10" s="2">
        <v>2</v>
      </c>
      <c r="I10" s="2">
        <v>13</v>
      </c>
      <c r="J10" s="2">
        <v>4</v>
      </c>
      <c r="K10" s="2">
        <v>0</v>
      </c>
      <c r="L10" s="2">
        <v>2</v>
      </c>
      <c r="M10" s="2">
        <v>1</v>
      </c>
      <c r="N10" s="2">
        <v>0</v>
      </c>
      <c r="O10" s="2">
        <v>0</v>
      </c>
      <c r="P10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207.2</v>
      </c>
      <c r="Q10" s="4">
        <f t="shared" si="0"/>
        <v>11.511111111111111</v>
      </c>
    </row>
    <row r="11" spans="1:17" x14ac:dyDescent="0.25">
      <c r="A11" s="2" t="s">
        <v>80</v>
      </c>
      <c r="B11" s="2" t="s">
        <v>81</v>
      </c>
      <c r="C11" s="11" t="s">
        <v>82</v>
      </c>
      <c r="D11" s="2">
        <v>26</v>
      </c>
      <c r="E11" s="2">
        <v>61</v>
      </c>
      <c r="F11" s="2">
        <v>2500</v>
      </c>
      <c r="G11" s="2">
        <v>0</v>
      </c>
      <c r="H11" s="2">
        <v>7</v>
      </c>
      <c r="I11" s="2">
        <v>23</v>
      </c>
      <c r="J11" s="2">
        <v>8</v>
      </c>
      <c r="K11" s="2">
        <v>0</v>
      </c>
      <c r="L11" s="2">
        <v>5</v>
      </c>
      <c r="M11" s="2">
        <v>3</v>
      </c>
      <c r="N11" s="2">
        <v>1</v>
      </c>
      <c r="O11" s="2">
        <v>1</v>
      </c>
      <c r="P11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471.25</v>
      </c>
      <c r="Q11" s="4">
        <f t="shared" si="0"/>
        <v>26.180555555555557</v>
      </c>
    </row>
    <row r="12" spans="1:17" x14ac:dyDescent="0.25">
      <c r="A12" s="2" t="s">
        <v>46</v>
      </c>
      <c r="B12" s="2" t="s">
        <v>47</v>
      </c>
      <c r="C12" s="12" t="s">
        <v>48</v>
      </c>
      <c r="D12" s="2">
        <v>34</v>
      </c>
      <c r="E12" s="2">
        <v>68</v>
      </c>
      <c r="F12" s="2">
        <v>2913</v>
      </c>
      <c r="G12" s="2">
        <v>0</v>
      </c>
      <c r="H12" s="2">
        <v>6</v>
      </c>
      <c r="I12" s="2">
        <v>27</v>
      </c>
      <c r="J12" s="2">
        <v>1</v>
      </c>
      <c r="K12" s="2">
        <v>0</v>
      </c>
      <c r="L12" s="2">
        <v>3</v>
      </c>
      <c r="M12" s="2">
        <v>1</v>
      </c>
      <c r="N12" s="2">
        <v>0</v>
      </c>
      <c r="O12" s="2">
        <v>1</v>
      </c>
      <c r="P12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445.3</v>
      </c>
      <c r="Q12" s="4">
        <f t="shared" si="0"/>
        <v>24.738888888888891</v>
      </c>
    </row>
    <row r="13" spans="1:17" x14ac:dyDescent="0.25">
      <c r="A13" s="2" t="s">
        <v>59</v>
      </c>
      <c r="B13" s="2" t="s">
        <v>60</v>
      </c>
      <c r="C13" s="13" t="s">
        <v>57</v>
      </c>
      <c r="D13" s="2">
        <v>29</v>
      </c>
      <c r="E13" s="2">
        <v>73</v>
      </c>
      <c r="F13" s="2">
        <v>2982</v>
      </c>
      <c r="G13" s="2">
        <v>2</v>
      </c>
      <c r="H13" s="2">
        <v>4</v>
      </c>
      <c r="I13" s="2">
        <v>19</v>
      </c>
      <c r="J13" s="2">
        <v>11</v>
      </c>
      <c r="K13" s="2">
        <v>0</v>
      </c>
      <c r="L13" s="2">
        <v>6</v>
      </c>
      <c r="M13" s="2">
        <v>2</v>
      </c>
      <c r="N13" s="2">
        <v>0</v>
      </c>
      <c r="O13" s="2">
        <v>0</v>
      </c>
      <c r="P13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442.45</v>
      </c>
      <c r="Q13" s="4">
        <f t="shared" si="0"/>
        <v>24.580555555555556</v>
      </c>
    </row>
    <row r="14" spans="1:17" x14ac:dyDescent="0.25">
      <c r="A14" s="2" t="s">
        <v>70</v>
      </c>
      <c r="B14" s="2" t="s">
        <v>71</v>
      </c>
      <c r="C14" s="14" t="s">
        <v>72</v>
      </c>
      <c r="D14" s="2">
        <v>26</v>
      </c>
      <c r="E14" s="2">
        <v>52</v>
      </c>
      <c r="F14" s="2">
        <v>2152</v>
      </c>
      <c r="G14" s="2">
        <v>0</v>
      </c>
      <c r="H14" s="2">
        <v>3</v>
      </c>
      <c r="I14" s="2">
        <v>14</v>
      </c>
      <c r="J14" s="2">
        <v>3</v>
      </c>
      <c r="K14" s="2">
        <v>0</v>
      </c>
      <c r="L14" s="2">
        <v>4</v>
      </c>
      <c r="M14" s="2">
        <v>1</v>
      </c>
      <c r="N14" s="2">
        <v>0</v>
      </c>
      <c r="O14" s="2">
        <v>0</v>
      </c>
      <c r="P14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318.20000000000005</v>
      </c>
      <c r="Q14" s="4">
        <f t="shared" si="0"/>
        <v>17.677777777777781</v>
      </c>
    </row>
    <row r="15" spans="1:17" hidden="1" x14ac:dyDescent="0.25">
      <c r="A15" s="2" t="s">
        <v>83</v>
      </c>
      <c r="B15" s="2" t="s">
        <v>84</v>
      </c>
      <c r="C15" s="2" t="s">
        <v>112</v>
      </c>
      <c r="D15" s="2">
        <v>40</v>
      </c>
      <c r="E15" s="2">
        <v>68</v>
      </c>
      <c r="F15" s="2">
        <v>2740</v>
      </c>
      <c r="G15" s="2">
        <v>1</v>
      </c>
      <c r="H15" s="2">
        <v>4</v>
      </c>
      <c r="I15" s="2">
        <v>18</v>
      </c>
      <c r="J15" s="2">
        <v>4</v>
      </c>
      <c r="K15" s="2">
        <v>0</v>
      </c>
      <c r="L15" s="2">
        <v>2</v>
      </c>
      <c r="M15" s="2">
        <v>1</v>
      </c>
      <c r="N15" s="2">
        <v>0</v>
      </c>
      <c r="O15" s="2">
        <v>0</v>
      </c>
      <c r="P15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369</v>
      </c>
      <c r="Q15" s="4">
        <f t="shared" si="0"/>
        <v>20.5</v>
      </c>
    </row>
    <row r="16" spans="1:17" hidden="1" x14ac:dyDescent="0.25">
      <c r="A16" s="2" t="s">
        <v>16</v>
      </c>
      <c r="B16" s="2" t="s">
        <v>113</v>
      </c>
      <c r="C16" s="2" t="s">
        <v>112</v>
      </c>
      <c r="D16" s="2">
        <v>30</v>
      </c>
      <c r="E16" s="2">
        <v>43</v>
      </c>
      <c r="F16" s="2">
        <v>1566</v>
      </c>
      <c r="G16" s="2">
        <v>1</v>
      </c>
      <c r="H16" s="2">
        <v>5</v>
      </c>
      <c r="I16" s="2">
        <v>10</v>
      </c>
      <c r="J16" s="2">
        <v>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207.35000000000002</v>
      </c>
      <c r="Q16" s="4">
        <f t="shared" si="0"/>
        <v>11.519444444444446</v>
      </c>
    </row>
    <row r="17" spans="1:17" hidden="1" x14ac:dyDescent="0.25">
      <c r="A17" s="2" t="s">
        <v>110</v>
      </c>
      <c r="B17" s="2" t="s">
        <v>111</v>
      </c>
      <c r="C17" s="2" t="s">
        <v>112</v>
      </c>
      <c r="D17" s="2">
        <v>37</v>
      </c>
      <c r="E17" s="2">
        <v>31</v>
      </c>
      <c r="F17" s="2">
        <v>1160</v>
      </c>
      <c r="G17" s="2">
        <v>0</v>
      </c>
      <c r="H17" s="2">
        <v>1</v>
      </c>
      <c r="I17" s="2">
        <v>9</v>
      </c>
      <c r="J17" s="2">
        <v>3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171.75</v>
      </c>
      <c r="Q17" s="4">
        <f t="shared" si="0"/>
        <v>9.5416666666666661</v>
      </c>
    </row>
    <row r="18" spans="1:17" x14ac:dyDescent="0.25">
      <c r="A18" s="2" t="s">
        <v>117</v>
      </c>
      <c r="B18" s="2" t="s">
        <v>118</v>
      </c>
      <c r="C18" s="15" t="s">
        <v>106</v>
      </c>
      <c r="D18" s="2">
        <v>24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0</v>
      </c>
      <c r="Q18" s="4">
        <f t="shared" si="0"/>
        <v>0</v>
      </c>
    </row>
    <row r="19" spans="1:17" x14ac:dyDescent="0.25">
      <c r="A19" s="2" t="s">
        <v>49</v>
      </c>
      <c r="B19" s="2" t="s">
        <v>50</v>
      </c>
      <c r="C19" s="16" t="s">
        <v>51</v>
      </c>
      <c r="D19" s="2">
        <v>31</v>
      </c>
      <c r="E19" s="2">
        <v>88</v>
      </c>
      <c r="F19" s="2">
        <v>3748</v>
      </c>
      <c r="G19" s="2">
        <v>0</v>
      </c>
      <c r="H19" s="2">
        <v>4</v>
      </c>
      <c r="I19" s="2">
        <v>37</v>
      </c>
      <c r="J19" s="2">
        <v>6</v>
      </c>
      <c r="K19" s="2">
        <v>1</v>
      </c>
      <c r="L19" s="2">
        <v>4</v>
      </c>
      <c r="M19" s="2">
        <v>1</v>
      </c>
      <c r="N19" s="2">
        <v>0</v>
      </c>
      <c r="O19" s="2">
        <v>0</v>
      </c>
      <c r="P19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565.79999999999995</v>
      </c>
      <c r="Q19" s="4">
        <f t="shared" si="0"/>
        <v>31.43333333333333</v>
      </c>
    </row>
    <row r="20" spans="1:17" x14ac:dyDescent="0.25">
      <c r="A20" s="2" t="s">
        <v>147</v>
      </c>
      <c r="B20" s="2" t="s">
        <v>148</v>
      </c>
      <c r="C20" s="16" t="s">
        <v>146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0</v>
      </c>
      <c r="Q20" s="4">
        <f t="shared" si="0"/>
        <v>0</v>
      </c>
    </row>
    <row r="21" spans="1:17" x14ac:dyDescent="0.25">
      <c r="A21" s="2" t="s">
        <v>124</v>
      </c>
      <c r="B21" s="2" t="s">
        <v>125</v>
      </c>
      <c r="C21" s="12" t="s">
        <v>126</v>
      </c>
      <c r="D21" s="2">
        <v>28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0</v>
      </c>
      <c r="Q21" s="4">
        <f t="shared" si="0"/>
        <v>0</v>
      </c>
    </row>
    <row r="22" spans="1:17" x14ac:dyDescent="0.25">
      <c r="A22" s="2" t="s">
        <v>37</v>
      </c>
      <c r="B22" s="2" t="s">
        <v>38</v>
      </c>
      <c r="C22" s="17" t="s">
        <v>39</v>
      </c>
      <c r="D22" s="2">
        <v>27</v>
      </c>
      <c r="E22" s="2">
        <v>70</v>
      </c>
      <c r="F22" s="2">
        <v>2539</v>
      </c>
      <c r="G22" s="2">
        <v>0</v>
      </c>
      <c r="H22" s="2">
        <v>6</v>
      </c>
      <c r="I22" s="2">
        <v>24</v>
      </c>
      <c r="J22" s="2">
        <v>4</v>
      </c>
      <c r="K22" s="2">
        <v>0</v>
      </c>
      <c r="L22" s="2">
        <v>8</v>
      </c>
      <c r="M22" s="2">
        <v>0</v>
      </c>
      <c r="N22" s="2">
        <v>1</v>
      </c>
      <c r="O22" s="2">
        <v>0</v>
      </c>
      <c r="P22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424.4</v>
      </c>
      <c r="Q22" s="4">
        <f t="shared" si="0"/>
        <v>23.577777777777776</v>
      </c>
    </row>
    <row r="23" spans="1:17" x14ac:dyDescent="0.25">
      <c r="A23" s="2" t="s">
        <v>10</v>
      </c>
      <c r="B23" s="2" t="s">
        <v>11</v>
      </c>
      <c r="C23" s="18" t="s">
        <v>12</v>
      </c>
      <c r="D23" s="2">
        <v>26</v>
      </c>
      <c r="E23" s="2">
        <v>53</v>
      </c>
      <c r="F23" s="2">
        <v>2416</v>
      </c>
      <c r="G23" s="2">
        <v>0</v>
      </c>
      <c r="H23" s="2">
        <v>4</v>
      </c>
      <c r="I23" s="2">
        <v>22</v>
      </c>
      <c r="J23" s="2">
        <v>3</v>
      </c>
      <c r="K23" s="2">
        <v>0</v>
      </c>
      <c r="L23" s="2">
        <v>4</v>
      </c>
      <c r="M23" s="2">
        <v>1</v>
      </c>
      <c r="N23" s="2">
        <v>0</v>
      </c>
      <c r="O23" s="2">
        <v>1</v>
      </c>
      <c r="P23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389.85</v>
      </c>
      <c r="Q23" s="4">
        <f t="shared" si="0"/>
        <v>21.658333333333335</v>
      </c>
    </row>
    <row r="24" spans="1:17" x14ac:dyDescent="0.25">
      <c r="A24" s="2" t="s">
        <v>25</v>
      </c>
      <c r="B24" s="2" t="s">
        <v>26</v>
      </c>
      <c r="C24" s="20" t="s">
        <v>27</v>
      </c>
      <c r="D24" s="2">
        <v>27</v>
      </c>
      <c r="E24" s="2">
        <v>59</v>
      </c>
      <c r="F24" s="2">
        <v>2590</v>
      </c>
      <c r="G24" s="2">
        <v>0</v>
      </c>
      <c r="H24" s="2">
        <v>1</v>
      </c>
      <c r="I24" s="2">
        <v>26</v>
      </c>
      <c r="J24" s="2">
        <v>8</v>
      </c>
      <c r="K24" s="2">
        <v>0</v>
      </c>
      <c r="L24" s="2">
        <v>6</v>
      </c>
      <c r="M24" s="2">
        <v>2</v>
      </c>
      <c r="N24" s="2">
        <v>0</v>
      </c>
      <c r="O24" s="2">
        <v>0</v>
      </c>
      <c r="P24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442.75</v>
      </c>
      <c r="Q24" s="4">
        <f t="shared" si="0"/>
        <v>24.597222222222221</v>
      </c>
    </row>
    <row r="25" spans="1:17" x14ac:dyDescent="0.25">
      <c r="A25" s="2" t="s">
        <v>68</v>
      </c>
      <c r="B25" s="2" t="s">
        <v>69</v>
      </c>
      <c r="C25" s="19" t="s">
        <v>160</v>
      </c>
      <c r="D25" s="2">
        <v>27</v>
      </c>
      <c r="E25" s="2">
        <v>73</v>
      </c>
      <c r="F25" s="2">
        <v>3028</v>
      </c>
      <c r="G25" s="2">
        <v>0</v>
      </c>
      <c r="H25" s="2">
        <v>5</v>
      </c>
      <c r="I25" s="2">
        <v>28</v>
      </c>
      <c r="J25" s="2">
        <v>6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445.05</v>
      </c>
      <c r="Q25" s="4">
        <f t="shared" si="0"/>
        <v>24.725000000000001</v>
      </c>
    </row>
    <row r="26" spans="1:17" x14ac:dyDescent="0.25">
      <c r="A26" s="2" t="s">
        <v>119</v>
      </c>
      <c r="B26" s="2" t="s">
        <v>120</v>
      </c>
      <c r="C26" s="21" t="s">
        <v>121</v>
      </c>
      <c r="D26" s="2">
        <v>21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0</v>
      </c>
      <c r="Q26" s="4">
        <f t="shared" si="0"/>
        <v>0</v>
      </c>
    </row>
    <row r="27" spans="1:17" x14ac:dyDescent="0.25">
      <c r="A27" s="2" t="s">
        <v>61</v>
      </c>
      <c r="B27" s="2" t="s">
        <v>114</v>
      </c>
      <c r="C27" s="22" t="s">
        <v>115</v>
      </c>
      <c r="D27" s="2">
        <v>25</v>
      </c>
      <c r="E27" s="2">
        <v>37</v>
      </c>
      <c r="F27" s="2">
        <v>1305</v>
      </c>
      <c r="G27" s="2">
        <v>0</v>
      </c>
      <c r="H27" s="2">
        <v>5</v>
      </c>
      <c r="I27" s="2">
        <v>12</v>
      </c>
      <c r="J27" s="2">
        <v>5</v>
      </c>
      <c r="K27" s="2">
        <v>0</v>
      </c>
      <c r="L27" s="2">
        <v>2</v>
      </c>
      <c r="M27" s="2">
        <v>0</v>
      </c>
      <c r="N27" s="2">
        <v>0</v>
      </c>
      <c r="O27" s="2">
        <v>0</v>
      </c>
      <c r="P27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215.75</v>
      </c>
      <c r="Q27" s="4">
        <f t="shared" si="0"/>
        <v>11.986111111111111</v>
      </c>
    </row>
    <row r="28" spans="1:17" x14ac:dyDescent="0.25">
      <c r="A28" s="2" t="s">
        <v>22</v>
      </c>
      <c r="B28" s="2" t="s">
        <v>41</v>
      </c>
      <c r="C28" s="23" t="s">
        <v>42</v>
      </c>
      <c r="D28" s="2">
        <v>23</v>
      </c>
      <c r="E28" s="2">
        <v>74</v>
      </c>
      <c r="F28" s="2">
        <v>3144</v>
      </c>
      <c r="G28" s="2">
        <v>1</v>
      </c>
      <c r="H28" s="2">
        <v>1</v>
      </c>
      <c r="I28" s="2">
        <v>32</v>
      </c>
      <c r="J28" s="2">
        <v>7</v>
      </c>
      <c r="K28" s="2">
        <v>0</v>
      </c>
      <c r="L28" s="2">
        <v>4</v>
      </c>
      <c r="M28" s="2">
        <v>0</v>
      </c>
      <c r="N28" s="2">
        <v>1</v>
      </c>
      <c r="O28" s="2">
        <v>0</v>
      </c>
      <c r="P28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479.90000000000003</v>
      </c>
      <c r="Q28" s="4">
        <f t="shared" si="0"/>
        <v>26.661111111111111</v>
      </c>
    </row>
    <row r="29" spans="1:17" x14ac:dyDescent="0.25">
      <c r="A29" s="2" t="s">
        <v>150</v>
      </c>
      <c r="B29" s="2" t="s">
        <v>151</v>
      </c>
      <c r="C29" s="24" t="s">
        <v>67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0</v>
      </c>
      <c r="Q29" s="4">
        <f t="shared" si="0"/>
        <v>0</v>
      </c>
    </row>
    <row r="30" spans="1:17" x14ac:dyDescent="0.25">
      <c r="A30" s="2" t="s">
        <v>65</v>
      </c>
      <c r="B30" s="2" t="s">
        <v>66</v>
      </c>
      <c r="C30" s="24" t="s">
        <v>149</v>
      </c>
      <c r="D30" s="2">
        <v>27</v>
      </c>
      <c r="E30" s="2">
        <v>96</v>
      </c>
      <c r="F30" s="2">
        <v>3988</v>
      </c>
      <c r="G30" s="2">
        <v>0</v>
      </c>
      <c r="H30" s="2">
        <v>6</v>
      </c>
      <c r="I30" s="2">
        <v>30</v>
      </c>
      <c r="J30" s="2">
        <v>3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533.79999999999995</v>
      </c>
      <c r="Q30" s="4">
        <f t="shared" si="0"/>
        <v>29.655555555555551</v>
      </c>
    </row>
    <row r="31" spans="1:17" x14ac:dyDescent="0.25">
      <c r="A31" s="2" t="s">
        <v>122</v>
      </c>
      <c r="B31" s="2" t="s">
        <v>123</v>
      </c>
      <c r="C31" s="25" t="s">
        <v>64</v>
      </c>
      <c r="D31" s="2">
        <v>29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0</v>
      </c>
      <c r="Q31" s="4">
        <f t="shared" si="0"/>
        <v>0</v>
      </c>
    </row>
    <row r="32" spans="1:17" x14ac:dyDescent="0.25">
      <c r="A32" s="2" t="s">
        <v>97</v>
      </c>
      <c r="B32" s="2" t="s">
        <v>98</v>
      </c>
      <c r="C32" s="26" t="s">
        <v>99</v>
      </c>
      <c r="D32" s="2">
        <v>25</v>
      </c>
      <c r="E32" s="2">
        <v>75</v>
      </c>
      <c r="F32" s="2">
        <v>3006</v>
      </c>
      <c r="G32" s="2">
        <v>1</v>
      </c>
      <c r="H32" s="2">
        <v>9</v>
      </c>
      <c r="I32" s="2">
        <v>26</v>
      </c>
      <c r="J32" s="2">
        <v>7</v>
      </c>
      <c r="K32" s="2">
        <v>0</v>
      </c>
      <c r="L32" s="2">
        <v>2</v>
      </c>
      <c r="M32" s="2">
        <v>3</v>
      </c>
      <c r="N32" s="2">
        <v>0</v>
      </c>
      <c r="O32" s="2">
        <v>0</v>
      </c>
      <c r="P32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461.35</v>
      </c>
      <c r="Q32" s="4">
        <f t="shared" si="0"/>
        <v>25.630555555555556</v>
      </c>
    </row>
    <row r="33" spans="1:17" x14ac:dyDescent="0.25">
      <c r="A33" s="2" t="s">
        <v>100</v>
      </c>
      <c r="B33" s="2" t="s">
        <v>101</v>
      </c>
      <c r="C33" s="27" t="s">
        <v>102</v>
      </c>
      <c r="D33" s="2">
        <v>37</v>
      </c>
      <c r="E33" s="2">
        <v>61</v>
      </c>
      <c r="F33" s="2">
        <v>2476</v>
      </c>
      <c r="G33" s="2">
        <v>0</v>
      </c>
      <c r="H33" s="2">
        <v>2</v>
      </c>
      <c r="I33" s="2">
        <v>28</v>
      </c>
      <c r="J33" s="2">
        <v>3</v>
      </c>
      <c r="K33" s="2">
        <v>0</v>
      </c>
      <c r="L33" s="2">
        <v>3</v>
      </c>
      <c r="M33" s="2">
        <v>1</v>
      </c>
      <c r="N33" s="2">
        <v>0</v>
      </c>
      <c r="O33" s="2">
        <v>0</v>
      </c>
      <c r="P33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388.85</v>
      </c>
      <c r="Q33" s="4">
        <f t="shared" si="0"/>
        <v>21.602777777777778</v>
      </c>
    </row>
    <row r="34" spans="1:17" x14ac:dyDescent="0.25">
      <c r="A34" s="2" t="s">
        <v>150</v>
      </c>
      <c r="B34" s="2" t="s">
        <v>153</v>
      </c>
      <c r="C34" s="28" t="s">
        <v>105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0</v>
      </c>
      <c r="Q34" s="4">
        <f t="shared" si="0"/>
        <v>0</v>
      </c>
    </row>
    <row r="35" spans="1:17" x14ac:dyDescent="0.25">
      <c r="A35" s="2" t="s">
        <v>103</v>
      </c>
      <c r="B35" s="2" t="s">
        <v>104</v>
      </c>
      <c r="C35" s="28" t="s">
        <v>152</v>
      </c>
      <c r="D35" s="2">
        <v>30</v>
      </c>
      <c r="E35" s="2">
        <v>45</v>
      </c>
      <c r="F35" s="2">
        <v>1784</v>
      </c>
      <c r="G35" s="2">
        <v>1</v>
      </c>
      <c r="H35" s="2">
        <v>3</v>
      </c>
      <c r="I35" s="2">
        <v>16</v>
      </c>
      <c r="J35" s="2">
        <v>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235.65</v>
      </c>
      <c r="Q35" s="4">
        <f t="shared" si="0"/>
        <v>13.091666666666667</v>
      </c>
    </row>
    <row r="36" spans="1:17" x14ac:dyDescent="0.25">
      <c r="A36" s="2" t="s">
        <v>150</v>
      </c>
      <c r="B36" s="2" t="s">
        <v>156</v>
      </c>
      <c r="C36" s="29" t="s">
        <v>79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0</v>
      </c>
      <c r="Q36" s="4">
        <f t="shared" si="0"/>
        <v>0</v>
      </c>
    </row>
    <row r="37" spans="1:17" x14ac:dyDescent="0.25">
      <c r="A37" s="2" t="s">
        <v>77</v>
      </c>
      <c r="B37" s="2" t="s">
        <v>78</v>
      </c>
      <c r="C37" s="29" t="s">
        <v>157</v>
      </c>
      <c r="D37" s="2">
        <v>24</v>
      </c>
      <c r="E37" s="2">
        <v>69</v>
      </c>
      <c r="F37" s="2">
        <v>2835</v>
      </c>
      <c r="G37" s="2">
        <v>0</v>
      </c>
      <c r="H37" s="2">
        <v>5</v>
      </c>
      <c r="I37" s="2">
        <v>20</v>
      </c>
      <c r="J37" s="2">
        <v>7</v>
      </c>
      <c r="K37" s="2">
        <v>0</v>
      </c>
      <c r="L37" s="2">
        <v>1</v>
      </c>
      <c r="M37" s="2">
        <v>2</v>
      </c>
      <c r="N37" s="2">
        <v>0</v>
      </c>
      <c r="O37" s="2">
        <v>0</v>
      </c>
      <c r="P37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425.75</v>
      </c>
      <c r="Q37" s="4">
        <f t="shared" si="0"/>
        <v>23.652777777777779</v>
      </c>
    </row>
    <row r="38" spans="1:17" x14ac:dyDescent="0.25">
      <c r="A38" s="2" t="s">
        <v>107</v>
      </c>
      <c r="B38" s="2" t="s">
        <v>108</v>
      </c>
      <c r="C38" s="30" t="s">
        <v>109</v>
      </c>
      <c r="D38" s="2">
        <v>31</v>
      </c>
      <c r="E38" s="2">
        <v>61</v>
      </c>
      <c r="F38" s="2">
        <v>2423</v>
      </c>
      <c r="G38" s="2">
        <v>0</v>
      </c>
      <c r="H38" s="2">
        <v>5</v>
      </c>
      <c r="I38" s="2">
        <v>32</v>
      </c>
      <c r="J38" s="2">
        <v>6</v>
      </c>
      <c r="K38" s="2">
        <v>0</v>
      </c>
      <c r="L38" s="2">
        <v>2</v>
      </c>
      <c r="M38" s="2">
        <v>0</v>
      </c>
      <c r="N38" s="2">
        <v>1</v>
      </c>
      <c r="O38" s="2">
        <v>0</v>
      </c>
      <c r="P38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413.55</v>
      </c>
      <c r="Q38" s="4">
        <f t="shared" si="0"/>
        <v>22.975000000000001</v>
      </c>
    </row>
    <row r="39" spans="1:17" x14ac:dyDescent="0.25">
      <c r="A39" s="2" t="s">
        <v>16</v>
      </c>
      <c r="B39" s="2" t="s">
        <v>17</v>
      </c>
      <c r="C39" s="31" t="s">
        <v>18</v>
      </c>
      <c r="D39" s="2">
        <v>27</v>
      </c>
      <c r="E39" s="2">
        <v>66</v>
      </c>
      <c r="F39" s="2">
        <v>2932</v>
      </c>
      <c r="G39" s="2">
        <v>0</v>
      </c>
      <c r="H39" s="2">
        <v>3</v>
      </c>
      <c r="I39" s="2">
        <v>22</v>
      </c>
      <c r="J39" s="2">
        <v>8</v>
      </c>
      <c r="K39" s="2">
        <v>0</v>
      </c>
      <c r="L39" s="2">
        <v>4</v>
      </c>
      <c r="M39" s="2">
        <v>1</v>
      </c>
      <c r="N39" s="2">
        <v>0</v>
      </c>
      <c r="O39" s="2">
        <v>0</v>
      </c>
      <c r="P39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448.7</v>
      </c>
      <c r="Q39" s="4">
        <f t="shared" si="0"/>
        <v>24.927777777777777</v>
      </c>
    </row>
    <row r="40" spans="1:17" x14ac:dyDescent="0.25">
      <c r="A40" s="2" t="s">
        <v>61</v>
      </c>
      <c r="B40" s="2" t="s">
        <v>62</v>
      </c>
      <c r="C40" s="32" t="s">
        <v>63</v>
      </c>
      <c r="D40" s="2">
        <v>24</v>
      </c>
      <c r="E40" s="2">
        <v>79</v>
      </c>
      <c r="F40" s="2">
        <v>3285</v>
      </c>
      <c r="G40" s="2">
        <v>0</v>
      </c>
      <c r="H40" s="2">
        <v>10</v>
      </c>
      <c r="I40" s="2">
        <v>22</v>
      </c>
      <c r="J40" s="2">
        <v>9</v>
      </c>
      <c r="K40" s="2">
        <v>0</v>
      </c>
      <c r="L40" s="2">
        <v>6</v>
      </c>
      <c r="M40" s="2">
        <v>4</v>
      </c>
      <c r="N40" s="2">
        <v>1</v>
      </c>
      <c r="O40" s="2">
        <v>0</v>
      </c>
      <c r="P40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554.25</v>
      </c>
      <c r="Q40" s="4">
        <f t="shared" si="0"/>
        <v>30.791666666666668</v>
      </c>
    </row>
    <row r="41" spans="1:17" x14ac:dyDescent="0.25">
      <c r="A41" s="2" t="s">
        <v>22</v>
      </c>
      <c r="B41" s="2" t="s">
        <v>23</v>
      </c>
      <c r="C41" s="33" t="s">
        <v>24</v>
      </c>
      <c r="D41" s="2">
        <v>24</v>
      </c>
      <c r="E41" s="2">
        <v>90</v>
      </c>
      <c r="F41" s="2">
        <v>3963</v>
      </c>
      <c r="G41" s="2">
        <v>0</v>
      </c>
      <c r="H41" s="2">
        <v>9</v>
      </c>
      <c r="I41" s="2">
        <v>30</v>
      </c>
      <c r="J41" s="2">
        <v>1</v>
      </c>
      <c r="K41" s="2">
        <v>0</v>
      </c>
      <c r="L41" s="2">
        <v>5</v>
      </c>
      <c r="M41" s="2">
        <v>3</v>
      </c>
      <c r="N41" s="2">
        <v>3</v>
      </c>
      <c r="O41" s="2">
        <v>0</v>
      </c>
      <c r="P41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622.79999999999995</v>
      </c>
      <c r="Q41" s="4">
        <f t="shared" si="0"/>
        <v>34.599999999999994</v>
      </c>
    </row>
    <row r="42" spans="1:17" x14ac:dyDescent="0.25">
      <c r="A42" s="2" t="s">
        <v>43</v>
      </c>
      <c r="B42" s="2" t="s">
        <v>44</v>
      </c>
      <c r="C42" s="34" t="s">
        <v>45</v>
      </c>
      <c r="D42" s="2">
        <v>33</v>
      </c>
      <c r="E42" s="2">
        <v>83</v>
      </c>
      <c r="F42" s="2">
        <v>3566</v>
      </c>
      <c r="G42" s="2">
        <v>0</v>
      </c>
      <c r="H42" s="2">
        <v>5</v>
      </c>
      <c r="I42" s="2">
        <v>37</v>
      </c>
      <c r="J42" s="2">
        <v>5</v>
      </c>
      <c r="K42" s="2">
        <v>0</v>
      </c>
      <c r="L42" s="2">
        <v>2</v>
      </c>
      <c r="M42" s="2">
        <v>3</v>
      </c>
      <c r="N42" s="2">
        <v>0</v>
      </c>
      <c r="O42" s="2">
        <v>0</v>
      </c>
      <c r="P42" s="2">
        <f>(Table1[[#This Row],[Punts (2022)]]*0.25)+(Table1[[#This Row],[Net yards (2022)]]*0.1)+(Table1[[#This Row],[Punts blocked (2022)]]*-20)+(Table1[[#This Row],[Touch backs (2022)]]*1)+(Table1[[#This Row],[Punts in the 20 (2022)]]*3)+(Table1[[#This Row],[Punts out of the backfield (2022)]]*5)+(Table1[[#This Row],[Punts returned for a touchdown (2022)]]*-6)+(Table1[[#This Row],[60-64 yard punts]]*5)+(Table1[[#This Row],[65-69 yard punts (2022)]]*10)+(Table1[[#This Row],[70-74 yard punts (2022)]]*15)+(Table1[[#This Row],[75-plus yard punts (2022)]]*20)</f>
        <v>558.35</v>
      </c>
      <c r="Q42" s="4">
        <f t="shared" si="0"/>
        <v>31.019444444444446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B529-4CF1-42B9-8525-103420654924}">
  <dimension ref="A1:B12"/>
  <sheetViews>
    <sheetView workbookViewId="0">
      <selection activeCell="B7" sqref="B7"/>
    </sheetView>
  </sheetViews>
  <sheetFormatPr defaultRowHeight="15" x14ac:dyDescent="0.25"/>
  <cols>
    <col min="1" max="1" width="22" bestFit="1" customWidth="1"/>
    <col min="2" max="2" width="7.28515625" bestFit="1" customWidth="1"/>
    <col min="3" max="3" width="2.7109375" customWidth="1"/>
  </cols>
  <sheetData>
    <row r="1" spans="1:2" x14ac:dyDescent="0.25">
      <c r="A1" s="1" t="s">
        <v>28</v>
      </c>
      <c r="B1" s="1" t="s">
        <v>127</v>
      </c>
    </row>
    <row r="2" spans="1:2" x14ac:dyDescent="0.25">
      <c r="A2" t="s">
        <v>29</v>
      </c>
      <c r="B2">
        <v>0.25</v>
      </c>
    </row>
    <row r="3" spans="1:2" x14ac:dyDescent="0.25">
      <c r="A3" t="s">
        <v>30</v>
      </c>
      <c r="B3">
        <v>0.1</v>
      </c>
    </row>
    <row r="4" spans="1:2" x14ac:dyDescent="0.25">
      <c r="A4" t="s">
        <v>31</v>
      </c>
      <c r="B4">
        <v>-20</v>
      </c>
    </row>
    <row r="5" spans="1:2" x14ac:dyDescent="0.25">
      <c r="A5" t="s">
        <v>32</v>
      </c>
      <c r="B5">
        <v>1</v>
      </c>
    </row>
    <row r="6" spans="1:2" x14ac:dyDescent="0.25">
      <c r="A6" t="s">
        <v>33</v>
      </c>
      <c r="B6">
        <v>3</v>
      </c>
    </row>
    <row r="7" spans="1:2" x14ac:dyDescent="0.25">
      <c r="A7" t="s">
        <v>34</v>
      </c>
      <c r="B7">
        <v>5</v>
      </c>
    </row>
    <row r="8" spans="1:2" x14ac:dyDescent="0.25">
      <c r="A8" t="s">
        <v>35</v>
      </c>
      <c r="B8">
        <v>-6</v>
      </c>
    </row>
    <row r="9" spans="1:2" x14ac:dyDescent="0.25">
      <c r="A9" t="s">
        <v>90</v>
      </c>
      <c r="B9">
        <v>5</v>
      </c>
    </row>
    <row r="10" spans="1:2" x14ac:dyDescent="0.25">
      <c r="A10" t="s">
        <v>91</v>
      </c>
      <c r="B10">
        <v>10</v>
      </c>
    </row>
    <row r="11" spans="1:2" x14ac:dyDescent="0.25">
      <c r="A11" t="s">
        <v>92</v>
      </c>
      <c r="B11">
        <v>15</v>
      </c>
    </row>
    <row r="12" spans="1:2" x14ac:dyDescent="0.25">
      <c r="A12" t="s">
        <v>36</v>
      </c>
      <c r="B12">
        <v>20</v>
      </c>
    </row>
  </sheetData>
  <pageMargins left="0.7" right="0.7" top="0.75" bottom="0.75" header="0.3" footer="0.3"/>
  <pageSetup paperSize="135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19E7-D068-418F-8F53-6133E8EDE4C3}">
  <dimension ref="A1:V35"/>
  <sheetViews>
    <sheetView tabSelected="1" workbookViewId="0">
      <pane ySplit="1" topLeftCell="A2" activePane="bottomLeft" state="frozen"/>
      <selection activeCell="E1" sqref="E1"/>
      <selection pane="bottomLeft" activeCell="A2" sqref="A2"/>
    </sheetView>
  </sheetViews>
  <sheetFormatPr defaultRowHeight="15" x14ac:dyDescent="0.25"/>
  <cols>
    <col min="1" max="1" width="12.140625" bestFit="1" customWidth="1"/>
    <col min="2" max="2" width="24.140625" bestFit="1" customWidth="1"/>
    <col min="3" max="3" width="27.140625" bestFit="1" customWidth="1"/>
    <col min="4" max="4" width="6" bestFit="1" customWidth="1"/>
    <col min="5" max="5" width="18.85546875" bestFit="1" customWidth="1"/>
    <col min="6" max="6" width="5.140625" bestFit="1" customWidth="1"/>
    <col min="7" max="7" width="12.5703125" bestFit="1" customWidth="1"/>
    <col min="8" max="8" width="10.7109375" bestFit="1" customWidth="1"/>
    <col min="9" max="9" width="8.5703125" bestFit="1" customWidth="1"/>
    <col min="10" max="10" width="18.85546875" bestFit="1" customWidth="1"/>
    <col min="11" max="11" width="22" bestFit="1" customWidth="1"/>
    <col min="12" max="14" width="14.7109375" bestFit="1" customWidth="1"/>
    <col min="15" max="15" width="16.7109375" bestFit="1" customWidth="1"/>
    <col min="16" max="16" width="10.7109375" bestFit="1" customWidth="1"/>
    <col min="17" max="17" width="16.7109375" bestFit="1" customWidth="1"/>
    <col min="18" max="18" width="10.7109375" bestFit="1" customWidth="1"/>
    <col min="20" max="20" width="27.140625" bestFit="1" customWidth="1"/>
    <col min="21" max="21" width="19.28515625" bestFit="1" customWidth="1"/>
    <col min="22" max="22" width="22.140625" bestFit="1" customWidth="1"/>
  </cols>
  <sheetData>
    <row r="1" spans="1:22" x14ac:dyDescent="0.25">
      <c r="A1" s="37" t="s">
        <v>129</v>
      </c>
      <c r="B1" s="37" t="s">
        <v>130</v>
      </c>
      <c r="C1" s="37" t="s">
        <v>131</v>
      </c>
      <c r="D1" s="38" t="s">
        <v>132</v>
      </c>
      <c r="E1" s="37" t="s">
        <v>30</v>
      </c>
      <c r="F1" s="37"/>
      <c r="G1" s="38" t="s">
        <v>31</v>
      </c>
      <c r="H1" s="37" t="s">
        <v>32</v>
      </c>
      <c r="I1" s="38" t="s">
        <v>33</v>
      </c>
      <c r="J1" s="37" t="s">
        <v>34</v>
      </c>
      <c r="K1" s="38" t="s">
        <v>35</v>
      </c>
      <c r="L1" s="37" t="s">
        <v>90</v>
      </c>
      <c r="M1" s="38" t="s">
        <v>91</v>
      </c>
      <c r="N1" s="37" t="s">
        <v>92</v>
      </c>
      <c r="O1" s="38" t="s">
        <v>36</v>
      </c>
      <c r="P1" s="37" t="s">
        <v>133</v>
      </c>
      <c r="Q1" s="38" t="s">
        <v>167</v>
      </c>
      <c r="R1" s="37" t="s">
        <v>133</v>
      </c>
    </row>
    <row r="2" spans="1:22" x14ac:dyDescent="0.25">
      <c r="A2" s="39" t="str">
        <f>INDEX('Active - Players'!B:C,MATCH(B2,'Active - Players'!C:C,0),1)</f>
        <v>Gillikin</v>
      </c>
      <c r="B2" s="59" t="s">
        <v>76</v>
      </c>
      <c r="C2" s="39" t="s">
        <v>137</v>
      </c>
      <c r="D2" s="41">
        <v>5</v>
      </c>
      <c r="E2" s="41">
        <v>235</v>
      </c>
      <c r="F2" s="41">
        <f>E2-[1]!Table4[[#This Row],[Net Yds]]</f>
        <v>10</v>
      </c>
      <c r="G2" s="41">
        <v>0</v>
      </c>
      <c r="H2" s="41">
        <v>0</v>
      </c>
      <c r="I2" s="41">
        <v>2</v>
      </c>
      <c r="J2" s="74">
        <v>1</v>
      </c>
      <c r="K2" s="41">
        <v>0</v>
      </c>
      <c r="L2" s="41">
        <v>0</v>
      </c>
      <c r="M2" s="41">
        <v>0</v>
      </c>
      <c r="N2" s="41">
        <v>0</v>
      </c>
      <c r="O2" s="41">
        <v>0</v>
      </c>
      <c r="P2" s="42">
        <f>(D2*punt_score)+(E2*punt_per_yard)+(G2*punt_blocked)+(H2*touchback)+(I2*in_the_20)+(J2*out_of_backfield)+(K2*punt_return_td)+(L2*_60_64)+(M2*_65_69)+(N2*_70_74)+(O2*_75over)</f>
        <v>35.75</v>
      </c>
      <c r="Q2" s="43">
        <f>28.5+73+37.25+18.25+43.25+16+25.75+116+103+14+18+13</f>
        <v>506</v>
      </c>
      <c r="R2" s="43">
        <f>SUM(P2:Q2)</f>
        <v>541.75</v>
      </c>
      <c r="V2" s="79" t="s">
        <v>168</v>
      </c>
    </row>
    <row r="3" spans="1:22" x14ac:dyDescent="0.25">
      <c r="A3" s="39" t="str">
        <f>INDEX('Active - Players'!B:C,MATCH(B3,'Active - Players'!C:C,0),1)</f>
        <v>Pinion</v>
      </c>
      <c r="B3" s="63" t="s">
        <v>75</v>
      </c>
      <c r="C3" s="39"/>
      <c r="D3" s="41">
        <v>7</v>
      </c>
      <c r="E3" s="41">
        <v>337</v>
      </c>
      <c r="F3" s="41">
        <f>E3-[1]!Table4[[#This Row],[Net Yds]]</f>
        <v>14</v>
      </c>
      <c r="G3" s="41">
        <v>0</v>
      </c>
      <c r="H3" s="41">
        <v>0</v>
      </c>
      <c r="I3" s="41">
        <v>3</v>
      </c>
      <c r="J3" s="74">
        <v>2</v>
      </c>
      <c r="K3" s="41">
        <v>0</v>
      </c>
      <c r="L3" s="41">
        <v>1</v>
      </c>
      <c r="M3" s="41">
        <v>0</v>
      </c>
      <c r="N3" s="41">
        <v>0</v>
      </c>
      <c r="O3" s="41">
        <v>0</v>
      </c>
      <c r="P3" s="42">
        <f>(D3*punt_score)+(E3*punt_per_yard)+(G3*punt_blocked)+(H3*touchback)+(I3*in_the_20)+(J3*out_of_backfield)+(K3*punt_return_td)+(L3*_60_64)+(M3*_65_69)+(N3*_70_74)+(O3*_75over)</f>
        <v>59.45</v>
      </c>
      <c r="Q3" s="77"/>
      <c r="R3" s="77"/>
      <c r="T3" s="39" t="s">
        <v>134</v>
      </c>
      <c r="U3" s="78" t="s">
        <v>135</v>
      </c>
      <c r="V3" s="39" t="str">
        <f>IF(VLOOKUP(U3,C:R,15,FALSE)&gt;VLOOKUP(T3,C:R,15,FALSE),U3,T3)</f>
        <v>Lima Limp-Dicks</v>
      </c>
    </row>
    <row r="4" spans="1:22" x14ac:dyDescent="0.25">
      <c r="A4" s="39" t="str">
        <f>INDEX('Active - Players'!B:C,MATCH(B4,'Active - Players'!C:C,0),1)</f>
        <v>Stout</v>
      </c>
      <c r="B4" s="65" t="s">
        <v>96</v>
      </c>
      <c r="C4" s="39"/>
      <c r="D4" s="41">
        <v>5</v>
      </c>
      <c r="E4" s="41">
        <v>249</v>
      </c>
      <c r="F4" s="41">
        <f>E4-[1]!Table4[[#This Row],[Net Yds]]</f>
        <v>24</v>
      </c>
      <c r="G4" s="41">
        <v>0</v>
      </c>
      <c r="H4" s="41">
        <v>0</v>
      </c>
      <c r="I4" s="41">
        <v>3</v>
      </c>
      <c r="J4" s="74">
        <v>0</v>
      </c>
      <c r="K4" s="41">
        <v>0</v>
      </c>
      <c r="L4" s="41">
        <v>0</v>
      </c>
      <c r="M4" s="41">
        <v>1</v>
      </c>
      <c r="N4" s="41">
        <v>0</v>
      </c>
      <c r="O4" s="41">
        <v>0</v>
      </c>
      <c r="P4" s="42">
        <f>(D4*punt_score)+(E4*punt_per_yard)+(G4*punt_blocked)+(H4*touchback)+(I4*in_the_20)+(J4*out_of_backfield)+(K4*punt_return_td)+(L4*_60_64)+(M4*_65_69)+(N4*_70_74)+(O4*_75over)</f>
        <v>45.150000000000006</v>
      </c>
      <c r="Q4" s="77"/>
      <c r="R4" s="77"/>
      <c r="T4" s="39" t="s">
        <v>136</v>
      </c>
      <c r="U4" s="78" t="s">
        <v>137</v>
      </c>
      <c r="V4" s="39" t="str">
        <f t="shared" ref="V4:V8" si="0">IF(VLOOKUP(U4,C:R,15,FALSE)&gt;VLOOKUP(T4,C:R,15,FALSE),U4,T4)</f>
        <v>Arabia Alchemists</v>
      </c>
    </row>
    <row r="5" spans="1:22" x14ac:dyDescent="0.25">
      <c r="A5" s="39" t="str">
        <f>INDEX('Active - Players'!B:C,MATCH(B5,'Active - Players'!C:C,0),1)</f>
        <v>Martin</v>
      </c>
      <c r="B5" s="61" t="s">
        <v>58</v>
      </c>
      <c r="C5" s="39"/>
      <c r="D5" s="41">
        <v>3</v>
      </c>
      <c r="E5" s="41">
        <v>141</v>
      </c>
      <c r="F5" s="41">
        <f>E5-[1]!Table4[[#This Row],[Net Yds]]</f>
        <v>66</v>
      </c>
      <c r="G5" s="41">
        <v>0</v>
      </c>
      <c r="H5" s="41">
        <v>0</v>
      </c>
      <c r="I5" s="41">
        <v>1</v>
      </c>
      <c r="J5" s="74">
        <v>0</v>
      </c>
      <c r="K5" s="41">
        <v>1</v>
      </c>
      <c r="L5" s="41">
        <v>0</v>
      </c>
      <c r="M5" s="41">
        <v>0</v>
      </c>
      <c r="N5" s="41">
        <v>0</v>
      </c>
      <c r="O5" s="41">
        <v>0</v>
      </c>
      <c r="P5" s="42">
        <f>(D5*punt_score)+(E5*punt_per_yard)+(G5*punt_blocked)+(H5*touchback)+(I5*in_the_20)+(J5*out_of_backfield)+(K5*punt_return_td)+(L5*_60_64)+(M5*_65_69)+(N5*_70_74)+(O5*_75over)</f>
        <v>11.850000000000001</v>
      </c>
      <c r="Q5" s="77"/>
      <c r="R5" s="77"/>
      <c r="T5" s="39" t="s">
        <v>138</v>
      </c>
      <c r="U5" s="78" t="s">
        <v>139</v>
      </c>
      <c r="V5" s="39" t="str">
        <f t="shared" si="0"/>
        <v>Ohanua Ironwoods</v>
      </c>
    </row>
    <row r="6" spans="1:22" x14ac:dyDescent="0.25">
      <c r="A6" s="39" t="str">
        <f>INDEX('Active - Players'!B:C,MATCH(B6,'Active - Players'!C:C,0),1)</f>
        <v>Hekker</v>
      </c>
      <c r="B6" s="50" t="s">
        <v>21</v>
      </c>
      <c r="C6" s="39" t="s">
        <v>145</v>
      </c>
      <c r="D6" s="41">
        <v>5</v>
      </c>
      <c r="E6" s="41">
        <v>266</v>
      </c>
      <c r="F6" s="41">
        <f>E6-[1]!Table4[[#This Row],[Net Yds]]</f>
        <v>4</v>
      </c>
      <c r="G6" s="41">
        <v>0</v>
      </c>
      <c r="H6" s="41">
        <v>0</v>
      </c>
      <c r="I6" s="41">
        <v>1</v>
      </c>
      <c r="J6" s="74">
        <v>1</v>
      </c>
      <c r="K6" s="41">
        <v>0</v>
      </c>
      <c r="L6" s="41">
        <v>0</v>
      </c>
      <c r="M6" s="41">
        <v>1</v>
      </c>
      <c r="N6" s="41">
        <v>0</v>
      </c>
      <c r="O6" s="41">
        <v>0</v>
      </c>
      <c r="P6" s="42">
        <f>(D6*punt_score)+(E6*punt_per_yard)+(G6*punt_blocked)+(H6*touchback)+(I6*in_the_20)+(J6*out_of_backfield)+(K6*punt_return_td)+(L6*_60_64)+(M6*_65_69)+(N6*_70_74)+(O6*_75over)</f>
        <v>45.85</v>
      </c>
      <c r="Q6" s="43">
        <f>12.77+13.75+20.5+26.75+0+19.25+15+34+128+8+13+44</f>
        <v>335.02</v>
      </c>
      <c r="R6" s="43">
        <f>SUM(P6:Q6)</f>
        <v>380.87</v>
      </c>
      <c r="T6" s="39" t="s">
        <v>140</v>
      </c>
      <c r="U6" s="78" t="s">
        <v>141</v>
      </c>
      <c r="V6" s="39" t="str">
        <f t="shared" si="0"/>
        <v>Maitland Bushrangers</v>
      </c>
    </row>
    <row r="7" spans="1:22" x14ac:dyDescent="0.25">
      <c r="A7" s="39" t="str">
        <f>INDEX('Active - Players'!B:C,MATCH(B7,'Active - Players'!C:C,0),1)</f>
        <v>Gill</v>
      </c>
      <c r="B7" s="58" t="s">
        <v>93</v>
      </c>
      <c r="C7" s="39"/>
      <c r="D7" s="41">
        <v>4</v>
      </c>
      <c r="E7" s="41">
        <v>212</v>
      </c>
      <c r="F7" s="41">
        <f>E7-[1]!Table4[[#This Row],[Net Yds]]</f>
        <v>54</v>
      </c>
      <c r="G7" s="41">
        <v>0</v>
      </c>
      <c r="H7" s="41">
        <v>0</v>
      </c>
      <c r="I7" s="41">
        <v>1</v>
      </c>
      <c r="J7" s="74">
        <v>0</v>
      </c>
      <c r="K7" s="41">
        <v>0</v>
      </c>
      <c r="L7" s="41">
        <v>0</v>
      </c>
      <c r="M7" s="41">
        <v>0</v>
      </c>
      <c r="N7" s="41">
        <v>0</v>
      </c>
      <c r="O7" s="41">
        <v>0</v>
      </c>
      <c r="P7" s="42">
        <f>(D7*punt_score)+(E7*punt_per_yard)+(G7*punt_blocked)+(H7*touchback)+(I7*in_the_20)+(J7*out_of_backfield)+(K7*punt_return_td)+(L7*_60_64)+(M7*_65_69)+(N7*_70_74)+(O7*_75over)</f>
        <v>25.200000000000003</v>
      </c>
      <c r="Q7" s="77"/>
      <c r="R7" s="77"/>
      <c r="T7" s="39" t="s">
        <v>143</v>
      </c>
      <c r="U7" s="78" t="s">
        <v>142</v>
      </c>
      <c r="V7" s="39" t="str">
        <f t="shared" si="0"/>
        <v>Barquisimeto Blastoise</v>
      </c>
    </row>
    <row r="8" spans="1:22" x14ac:dyDescent="0.25">
      <c r="A8" s="39" t="str">
        <f>INDEX('Active - Players'!B:C,MATCH(B8,'Active - Players'!C:C,0),1)</f>
        <v>Robbins</v>
      </c>
      <c r="B8" s="64" t="s">
        <v>54</v>
      </c>
      <c r="C8" s="39"/>
      <c r="D8" s="41">
        <v>10</v>
      </c>
      <c r="E8" s="41">
        <v>409</v>
      </c>
      <c r="F8" s="41">
        <f>E8-[1]!Table4[[#This Row],[Net Yds]]</f>
        <v>35</v>
      </c>
      <c r="G8" s="41">
        <v>0</v>
      </c>
      <c r="H8" s="41">
        <v>1</v>
      </c>
      <c r="I8" s="41">
        <v>2</v>
      </c>
      <c r="J8" s="74">
        <v>2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2">
        <f>(D8*punt_score)+(E8*punt_per_yard)+(G8*punt_blocked)+(H8*touchback)+(I8*in_the_20)+(J8*out_of_backfield)+(K8*punt_return_td)+(L8*_60_64)+(M8*_65_69)+(N8*_70_74)+(O8*_75over)</f>
        <v>60.400000000000006</v>
      </c>
      <c r="Q8" s="77"/>
      <c r="R8" s="77"/>
      <c r="T8" s="39" t="s">
        <v>144</v>
      </c>
      <c r="U8" s="78" t="s">
        <v>145</v>
      </c>
      <c r="V8" s="39" t="str">
        <f t="shared" si="0"/>
        <v>Hogsmeade Hippogriffs</v>
      </c>
    </row>
    <row r="9" spans="1:22" x14ac:dyDescent="0.25">
      <c r="A9" s="39" t="str">
        <f>INDEX('Active - Players'!B:C,MATCH(B9,'Active - Players'!C:C,0),1)</f>
        <v>Bojorquez</v>
      </c>
      <c r="B9" s="70" t="s">
        <v>82</v>
      </c>
      <c r="C9" s="39"/>
      <c r="D9" s="41">
        <v>7</v>
      </c>
      <c r="E9" s="41">
        <v>331</v>
      </c>
      <c r="F9" s="41">
        <f>E9-[1]!Table4[[#This Row],[Net Yds]]</f>
        <v>24</v>
      </c>
      <c r="G9" s="41">
        <v>0</v>
      </c>
      <c r="H9" s="41">
        <v>0</v>
      </c>
      <c r="I9" s="41">
        <v>3</v>
      </c>
      <c r="J9" s="74">
        <v>3</v>
      </c>
      <c r="K9" s="41">
        <v>0</v>
      </c>
      <c r="L9" s="41">
        <v>0</v>
      </c>
      <c r="M9" s="41">
        <v>1</v>
      </c>
      <c r="N9" s="41">
        <v>0</v>
      </c>
      <c r="O9" s="41">
        <v>0</v>
      </c>
      <c r="P9" s="42">
        <f>(D9*punt_score)+(E9*punt_per_yard)+(G9*punt_blocked)+(H9*touchback)+(I9*in_the_20)+(J9*out_of_backfield)+(K9*punt_return_td)+(L9*_60_64)+(M9*_65_69)+(N9*_70_74)+(O9*_75over)</f>
        <v>68.849999999999994</v>
      </c>
      <c r="Q9" s="77"/>
      <c r="R9" s="77"/>
    </row>
    <row r="10" spans="1:22" x14ac:dyDescent="0.25">
      <c r="A10" s="39" t="str">
        <f>INDEX('Active - Players'!B:C,MATCH(B10,'Active - Players'!C:C,0),1)</f>
        <v>Anger</v>
      </c>
      <c r="B10" s="45" t="s">
        <v>48</v>
      </c>
      <c r="C10" s="39" t="s">
        <v>141</v>
      </c>
      <c r="D10" s="41">
        <v>3</v>
      </c>
      <c r="E10" s="41">
        <v>146</v>
      </c>
      <c r="F10" s="41">
        <f>E10-[1]!Table4[[#This Row],[Net Yds]]</f>
        <v>27</v>
      </c>
      <c r="G10" s="41">
        <v>0</v>
      </c>
      <c r="H10" s="41">
        <v>1</v>
      </c>
      <c r="I10" s="41">
        <v>1</v>
      </c>
      <c r="J10" s="74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2">
        <f>(D10*punt_score)+(E10*punt_per_yard)+(G10*punt_blocked)+(H10*touchback)+(I10*in_the_20)+(J10*out_of_backfield)+(K10*punt_return_td)+(L10*_60_64)+(M10*_65_69)+(N10*_70_74)+(O10*_75over)</f>
        <v>19.350000000000001</v>
      </c>
      <c r="Q10" s="43">
        <f>-0.1+46+3+30.75+3.25+15+21.5+53+95+20+21+62</f>
        <v>370.4</v>
      </c>
      <c r="R10" s="43">
        <f>SUM(P10:Q10)</f>
        <v>389.75</v>
      </c>
    </row>
    <row r="11" spans="1:22" x14ac:dyDescent="0.25">
      <c r="A11" s="39" t="str">
        <f>INDEX('Active - Players'!B:C,MATCH(B11,'Active - Players'!C:C,0),1)</f>
        <v>Dixon</v>
      </c>
      <c r="B11" s="40" t="s">
        <v>57</v>
      </c>
      <c r="C11" s="39"/>
      <c r="D11" s="41">
        <v>2</v>
      </c>
      <c r="E11" s="41">
        <v>80</v>
      </c>
      <c r="F11" s="41">
        <f>E11-[1]!Table4[[#This Row],[Net Yds]]</f>
        <v>0</v>
      </c>
      <c r="G11" s="41">
        <v>0</v>
      </c>
      <c r="H11" s="41">
        <v>0</v>
      </c>
      <c r="I11" s="41">
        <v>1</v>
      </c>
      <c r="J11" s="74">
        <v>1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2">
        <f>(D11*punt_score)+(E11*punt_per_yard)+(G11*punt_blocked)+(H11*touchback)+(I11*in_the_20)+(J11*out_of_backfield)+(K11*punt_return_td)+(L11*_60_64)+(M11*_65_69)+(N11*_70_74)+(O11*_75over)</f>
        <v>16.5</v>
      </c>
      <c r="Q11" s="77"/>
      <c r="R11" s="77"/>
    </row>
    <row r="12" spans="1:22" x14ac:dyDescent="0.25">
      <c r="A12" s="39" t="str">
        <f>INDEX('Active - Players'!B:C,MATCH(B12,'Active - Players'!C:C,0),1)</f>
        <v>Fox</v>
      </c>
      <c r="B12" s="57" t="s">
        <v>72</v>
      </c>
      <c r="C12" s="39"/>
      <c r="D12" s="41">
        <v>5</v>
      </c>
      <c r="E12" s="41">
        <f>61+40+47+30+44</f>
        <v>222</v>
      </c>
      <c r="F12" s="41">
        <f>E12-[1]!Table4[[#This Row],[Net Yds]]</f>
        <v>16</v>
      </c>
      <c r="G12" s="41">
        <v>0</v>
      </c>
      <c r="H12" s="41">
        <v>0</v>
      </c>
      <c r="I12" s="41">
        <v>3</v>
      </c>
      <c r="J12" s="74">
        <v>0</v>
      </c>
      <c r="K12" s="41">
        <v>0</v>
      </c>
      <c r="L12" s="41">
        <v>1</v>
      </c>
      <c r="M12" s="41">
        <v>0</v>
      </c>
      <c r="N12" s="41">
        <v>0</v>
      </c>
      <c r="O12" s="41">
        <v>0</v>
      </c>
      <c r="P12" s="42">
        <f>(D12*punt_score)+(E12*punt_per_yard)+(G12*punt_blocked)+(H12*touchback)+(I12*in_the_20)+(J12*out_of_backfield)+(K12*punt_return_td)+(L12*_60_64)+(M12*_65_69)+(N12*_70_74)+(O12*_75over)</f>
        <v>37.450000000000003</v>
      </c>
      <c r="Q12" s="77"/>
      <c r="R12" s="77"/>
    </row>
    <row r="13" spans="1:22" x14ac:dyDescent="0.25">
      <c r="A13" s="39" t="str">
        <f>INDEX('Active - Players'!B:C,MATCH(B13,'Active - Players'!C:C,0),1)</f>
        <v>Whelan</v>
      </c>
      <c r="B13" s="67" t="s">
        <v>106</v>
      </c>
      <c r="C13" s="39"/>
      <c r="D13" s="41">
        <v>5</v>
      </c>
      <c r="E13" s="41">
        <v>249</v>
      </c>
      <c r="F13" s="41">
        <f>E13-[1]!Table4[[#This Row],[Net Yds]]</f>
        <v>56</v>
      </c>
      <c r="G13" s="41">
        <v>0</v>
      </c>
      <c r="H13" s="41">
        <v>2</v>
      </c>
      <c r="I13" s="41">
        <v>1</v>
      </c>
      <c r="J13" s="74">
        <v>0</v>
      </c>
      <c r="K13" s="41">
        <v>0</v>
      </c>
      <c r="L13" s="41">
        <v>0</v>
      </c>
      <c r="M13" s="41">
        <v>1</v>
      </c>
      <c r="N13" s="41">
        <v>0</v>
      </c>
      <c r="O13" s="41">
        <v>0</v>
      </c>
      <c r="P13" s="42">
        <f>(D13*punt_score)+(E13*punt_per_yard)+(G13*punt_blocked)+(H13*touchback)+(I13*in_the_20)+(J13*out_of_backfield)+(K13*punt_return_td)+(L13*_60_64)+(M13*_65_69)+(N13*_70_74)+(O13*_75over)</f>
        <v>41.150000000000006</v>
      </c>
      <c r="Q13" s="77"/>
      <c r="R13" s="77"/>
    </row>
    <row r="14" spans="1:22" x14ac:dyDescent="0.25">
      <c r="A14" s="39" t="str">
        <f>INDEX('Active - Players'!B:C,MATCH(B14,'Active - Players'!C:C,0),1)</f>
        <v>Johnston</v>
      </c>
      <c r="B14" s="47" t="s">
        <v>51</v>
      </c>
      <c r="C14" s="39" t="s">
        <v>143</v>
      </c>
      <c r="D14" s="41">
        <v>4</v>
      </c>
      <c r="E14" s="41">
        <v>176</v>
      </c>
      <c r="F14" s="41">
        <f>E14-[1]!Table4[[#This Row],[Net Yds]]</f>
        <v>20</v>
      </c>
      <c r="G14" s="41">
        <v>0</v>
      </c>
      <c r="H14" s="41">
        <v>1</v>
      </c>
      <c r="I14" s="41">
        <v>0</v>
      </c>
      <c r="J14" s="74">
        <v>2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  <c r="P14" s="42">
        <f>(D14*punt_score)+(E14*punt_per_yard)+(G14*punt_blocked)+(H14*touchback)+(I14*in_the_20)+(J14*out_of_backfield)+(K14*punt_return_td)+(L14*_60_64)+(M14*_65_69)+(N14*_70_74)+(O14*_75over)</f>
        <v>29.6</v>
      </c>
      <c r="Q14" s="43">
        <f>55.75+24.25+27.75+26.5+32.25+18.25+14.75+64+182+39+20+18</f>
        <v>522.5</v>
      </c>
      <c r="R14" s="43">
        <f>SUM(P14:Q14)</f>
        <v>552.1</v>
      </c>
    </row>
    <row r="15" spans="1:22" x14ac:dyDescent="0.25">
      <c r="A15" s="39" t="str">
        <f>INDEX('Active - Players'!B:C,MATCH(B15,'Active - Players'!C:C,0),1)</f>
        <v>Sanchez</v>
      </c>
      <c r="B15" s="45" t="s">
        <v>126</v>
      </c>
      <c r="C15" s="39"/>
      <c r="D15" s="41">
        <v>5</v>
      </c>
      <c r="E15" s="41">
        <v>208</v>
      </c>
      <c r="F15" s="41">
        <f>E15-[1]!Table4[[#This Row],[Net Yds]]</f>
        <v>58</v>
      </c>
      <c r="G15" s="41">
        <v>0</v>
      </c>
      <c r="H15" s="41">
        <v>0</v>
      </c>
      <c r="I15" s="41">
        <v>0</v>
      </c>
      <c r="J15" s="74">
        <v>2</v>
      </c>
      <c r="K15" s="41">
        <v>0</v>
      </c>
      <c r="L15" s="41">
        <v>0</v>
      </c>
      <c r="M15" s="41">
        <v>0</v>
      </c>
      <c r="N15" s="41">
        <v>0</v>
      </c>
      <c r="O15" s="41">
        <v>0</v>
      </c>
      <c r="P15" s="42">
        <f>(D15*punt_score)+(E15*punt_per_yard)+(G15*punt_blocked)+(H15*touchback)+(I15*in_the_20)+(J15*out_of_backfield)+(K15*punt_return_td)+(L15*_60_64)+(M15*_65_69)+(N15*_70_74)+(O15*_75over)</f>
        <v>32.049999999999997</v>
      </c>
      <c r="Q15" s="77"/>
      <c r="R15" s="77"/>
    </row>
    <row r="16" spans="1:22" x14ac:dyDescent="0.25">
      <c r="A16" s="39" t="str">
        <f>INDEX('Active - Players'!B:C,MATCH(B16,'Active - Players'!C:C,0),1)</f>
        <v>Cooke</v>
      </c>
      <c r="B16" s="44" t="s">
        <v>39</v>
      </c>
      <c r="C16" s="39"/>
      <c r="D16" s="41">
        <v>5</v>
      </c>
      <c r="E16" s="41">
        <v>223</v>
      </c>
      <c r="F16" s="41">
        <f>E16-[1]!Table4[[#This Row],[Net Yds]]</f>
        <v>20</v>
      </c>
      <c r="G16" s="41">
        <v>0</v>
      </c>
      <c r="H16" s="41">
        <v>0</v>
      </c>
      <c r="I16" s="41">
        <v>2</v>
      </c>
      <c r="J16" s="74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2">
        <f>(D16*punt_score)+(E16*punt_per_yard)+(G16*punt_blocked)+(H16*touchback)+(I16*in_the_20)+(J16*out_of_backfield)+(K16*punt_return_td)+(L16*_60_64)+(M16*_65_69)+(N16*_70_74)+(O16*_75over)</f>
        <v>29.55</v>
      </c>
      <c r="Q16" s="77"/>
      <c r="R16" s="77"/>
    </row>
    <row r="17" spans="1:18" x14ac:dyDescent="0.25">
      <c r="A17" s="39" t="str">
        <f>INDEX('Active - Players'!B:C,MATCH(B17,'Active - Players'!C:C,0),1)</f>
        <v>Townsend</v>
      </c>
      <c r="B17" s="66" t="s">
        <v>12</v>
      </c>
      <c r="C17" s="39"/>
      <c r="D17" s="41">
        <v>5</v>
      </c>
      <c r="E17" s="41">
        <f>53+47+54+58+35</f>
        <v>247</v>
      </c>
      <c r="F17" s="41">
        <f>E17-[1]!Table4[[#This Row],[Net Yds]]</f>
        <v>16</v>
      </c>
      <c r="G17" s="41">
        <v>0</v>
      </c>
      <c r="H17" s="41">
        <v>0</v>
      </c>
      <c r="I17" s="41">
        <v>3</v>
      </c>
      <c r="J17" s="74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2">
        <f>(D17*punt_score)+(E17*punt_per_yard)+(G17*punt_blocked)+(H17*touchback)+(I17*in_the_20)+(J17*out_of_backfield)+(K17*punt_return_td)+(L17*_60_64)+(M17*_65_69)+(N17*_70_74)+(O17*_75over)</f>
        <v>34.950000000000003</v>
      </c>
      <c r="Q17" s="77"/>
      <c r="R17" s="77"/>
    </row>
    <row r="18" spans="1:18" x14ac:dyDescent="0.25">
      <c r="A18" s="39" t="str">
        <f>INDEX('Active - Players'!B:C,MATCH(B18,'Active - Players'!C:C,0),1)</f>
        <v>Cole</v>
      </c>
      <c r="B18" s="54" t="s">
        <v>27</v>
      </c>
      <c r="C18" s="39" t="s">
        <v>135</v>
      </c>
      <c r="D18" s="41">
        <v>1</v>
      </c>
      <c r="E18" s="41">
        <v>49</v>
      </c>
      <c r="F18" s="41">
        <f>E18-[1]!Table4[[#This Row],[Net Yds]]</f>
        <v>0</v>
      </c>
      <c r="G18" s="41">
        <v>0</v>
      </c>
      <c r="H18" s="41">
        <v>0</v>
      </c>
      <c r="I18" s="41">
        <v>0</v>
      </c>
      <c r="J18" s="74">
        <v>0</v>
      </c>
      <c r="K18" s="41">
        <v>0</v>
      </c>
      <c r="L18" s="41">
        <v>0</v>
      </c>
      <c r="M18" s="41">
        <v>0</v>
      </c>
      <c r="N18" s="41">
        <v>0</v>
      </c>
      <c r="O18" s="41">
        <v>0</v>
      </c>
      <c r="P18" s="42">
        <f>(D18*punt_score)+(E18*punt_per_yard)+(G18*punt_blocked)+(H18*touchback)+(I18*in_the_20)+(J18*out_of_backfield)+(K18*punt_return_td)+(L18*_60_64)+(M18*_65_69)+(N18*_70_74)+(O18*_75over)</f>
        <v>5.15</v>
      </c>
      <c r="Q18" s="43">
        <f>73.81+23.5+24+58.5+48.5+0+29.5+182+9+76+10+19</f>
        <v>553.80999999999995</v>
      </c>
      <c r="R18" s="43">
        <f>SUM(P18:Q18)</f>
        <v>558.95999999999992</v>
      </c>
    </row>
    <row r="19" spans="1:18" x14ac:dyDescent="0.25">
      <c r="A19" s="39" t="str">
        <f>INDEX('Active - Players'!B:C,MATCH(B19,'Active - Players'!C:C,0),1)</f>
        <v>Scott</v>
      </c>
      <c r="B19" s="71" t="s">
        <v>160</v>
      </c>
      <c r="C19" s="39"/>
      <c r="D19" s="41">
        <v>3</v>
      </c>
      <c r="E19" s="41">
        <v>145</v>
      </c>
      <c r="F19" s="41">
        <f>E19-[1]!Table4[[#This Row],[Net Yds]]</f>
        <v>20</v>
      </c>
      <c r="G19" s="41">
        <v>0</v>
      </c>
      <c r="H19" s="41">
        <v>1</v>
      </c>
      <c r="I19" s="41">
        <v>0</v>
      </c>
      <c r="J19" s="74">
        <v>0</v>
      </c>
      <c r="K19" s="41">
        <v>0</v>
      </c>
      <c r="L19" s="41">
        <v>1</v>
      </c>
      <c r="M19" s="41">
        <v>0</v>
      </c>
      <c r="N19" s="41">
        <v>0</v>
      </c>
      <c r="O19" s="41">
        <v>0</v>
      </c>
      <c r="P19" s="42">
        <f>(D19*punt_score)+(E19*punt_per_yard)+(G19*punt_blocked)+(H19*touchback)+(I19*in_the_20)+(J19*out_of_backfield)+(K19*punt_return_td)+(L19*_60_64)+(M19*_65_69)+(N19*_70_74)+(O19*_75over)</f>
        <v>21.25</v>
      </c>
      <c r="Q19" s="77"/>
      <c r="R19" s="77"/>
    </row>
    <row r="20" spans="1:18" x14ac:dyDescent="0.25">
      <c r="A20" s="39" t="str">
        <f>INDEX('Active - Players'!B:C,MATCH(B20,'Active - Players'!C:C,0),1)</f>
        <v>Evans</v>
      </c>
      <c r="B20" s="49" t="s">
        <v>121</v>
      </c>
      <c r="C20" s="39"/>
      <c r="D20" s="41">
        <v>1</v>
      </c>
      <c r="E20" s="41">
        <v>45</v>
      </c>
      <c r="F20" s="41">
        <f>E20-[1]!Table4[[#This Row],[Net Yds]]</f>
        <v>18</v>
      </c>
      <c r="G20" s="41">
        <v>0</v>
      </c>
      <c r="H20" s="41">
        <v>0</v>
      </c>
      <c r="I20" s="41">
        <v>0</v>
      </c>
      <c r="J20" s="74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42">
        <f>(D20*punt_score)+(E20*punt_per_yard)+(G20*punt_blocked)+(H20*touchback)+(I20*in_the_20)+(J20*out_of_backfield)+(K20*punt_return_td)+(L20*_60_64)+(M20*_65_69)+(N20*_70_74)+(O20*_75over)</f>
        <v>4.75</v>
      </c>
      <c r="Q20" s="77"/>
      <c r="R20" s="77"/>
    </row>
    <row r="21" spans="1:18" x14ac:dyDescent="0.25">
      <c r="A21" s="39" t="str">
        <f>INDEX('Active - Players'!B:C,MATCH(B21,'Active - Players'!C:C,0),1)</f>
        <v>Bailey</v>
      </c>
      <c r="B21" s="55" t="s">
        <v>115</v>
      </c>
      <c r="C21" s="39"/>
      <c r="D21" s="41">
        <v>1</v>
      </c>
      <c r="E21" s="41">
        <v>38</v>
      </c>
      <c r="F21" s="41">
        <f>E21-[1]!Table4[[#This Row],[Net Yds]]</f>
        <v>3</v>
      </c>
      <c r="G21" s="41">
        <v>0</v>
      </c>
      <c r="H21" s="41">
        <v>0</v>
      </c>
      <c r="I21" s="41">
        <v>0</v>
      </c>
      <c r="J21" s="74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2">
        <f>(D21*punt_score)+(E21*punt_per_yard)+(G21*punt_blocked)+(H21*touchback)+(I21*in_the_20)+(J21*out_of_backfield)+(K21*punt_return_td)+(L21*_60_64)+(M21*_65_69)+(N21*_70_74)+(O21*_75over)</f>
        <v>4.0500000000000007</v>
      </c>
      <c r="Q21" s="77"/>
      <c r="R21" s="77"/>
    </row>
    <row r="22" spans="1:18" x14ac:dyDescent="0.25">
      <c r="A22" s="39" t="str">
        <f>INDEX('Active - Players'!B:C,MATCH(B22,'Active - Players'!C:C,0),1)</f>
        <v>Wright</v>
      </c>
      <c r="B22" s="69" t="s">
        <v>42</v>
      </c>
      <c r="C22" s="39"/>
      <c r="D22" s="41">
        <v>5</v>
      </c>
      <c r="E22" s="41">
        <v>257</v>
      </c>
      <c r="F22" s="41">
        <f>E22-[1]!Table4[[#This Row],[Net Yds]]</f>
        <v>29</v>
      </c>
      <c r="G22" s="41">
        <v>0</v>
      </c>
      <c r="H22" s="41">
        <v>0</v>
      </c>
      <c r="I22" s="41">
        <v>0</v>
      </c>
      <c r="J22" s="74">
        <v>1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2">
        <f>(D22*punt_score)+(E22*punt_per_yard)+(G22*punt_blocked)+(H22*touchback)+(I22*in_the_20)+(J22*out_of_backfield)+(K22*punt_return_td)+(L22*_60_64)+(M22*_65_69)+(N22*_70_74)+(O22*_75over)</f>
        <v>31.950000000000003</v>
      </c>
      <c r="Q22" s="77"/>
      <c r="R22" s="77"/>
    </row>
    <row r="23" spans="1:18" x14ac:dyDescent="0.25">
      <c r="A23" s="39" t="str">
        <f>INDEX('Active - Players'!B:C,MATCH(B23,'Active - Players'!C:C,0),1)</f>
        <v>Baringer</v>
      </c>
      <c r="B23" s="56" t="s">
        <v>67</v>
      </c>
      <c r="C23" s="39" t="s">
        <v>134</v>
      </c>
      <c r="D23" s="41">
        <v>5</v>
      </c>
      <c r="E23" s="41">
        <v>226</v>
      </c>
      <c r="F23" s="41">
        <f>E23-[1]!Table4[[#This Row],[Net Yds]]</f>
        <v>50</v>
      </c>
      <c r="G23" s="41">
        <v>0</v>
      </c>
      <c r="H23" s="41">
        <v>1</v>
      </c>
      <c r="I23" s="41">
        <v>3</v>
      </c>
      <c r="J23" s="74">
        <v>1</v>
      </c>
      <c r="K23" s="41">
        <v>0</v>
      </c>
      <c r="L23" s="41">
        <v>0</v>
      </c>
      <c r="M23" s="41">
        <v>1</v>
      </c>
      <c r="N23" s="41">
        <v>0</v>
      </c>
      <c r="O23" s="41">
        <v>0</v>
      </c>
      <c r="P23" s="42">
        <f>(D23*punt_score)+(E23*punt_per_yard)+(G23*punt_blocked)+(H23*touchback)+(I23*in_the_20)+(J23*out_of_backfield)+(K23*punt_return_td)+(L23*_60_64)+(M23*_65_69)+(N23*_70_74)+(O23*_75over)</f>
        <v>48.85</v>
      </c>
      <c r="Q23" s="43">
        <f>59.97+16.25+2.5+13.25+16.25+2+44.25+84+109+32+27+27</f>
        <v>433.47</v>
      </c>
      <c r="R23" s="43">
        <f>SUM(P23:Q23)</f>
        <v>482.32000000000005</v>
      </c>
    </row>
    <row r="24" spans="1:18" x14ac:dyDescent="0.25">
      <c r="A24" s="39" t="str">
        <f>INDEX('Active - Players'!B:C,MATCH(B24,'Active - Players'!C:C,0),1)</f>
        <v>Hedley</v>
      </c>
      <c r="B24" s="46" t="s">
        <v>64</v>
      </c>
      <c r="C24" s="39" t="s">
        <v>139</v>
      </c>
      <c r="D24" s="41">
        <v>5</v>
      </c>
      <c r="E24" s="41">
        <v>241</v>
      </c>
      <c r="F24" s="41">
        <f>E24-[1]!Table4[[#This Row],[Net Yds]]</f>
        <v>37</v>
      </c>
      <c r="G24" s="41">
        <v>0</v>
      </c>
      <c r="H24" s="41">
        <v>0</v>
      </c>
      <c r="I24" s="41">
        <v>1</v>
      </c>
      <c r="J24" s="74">
        <v>1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2">
        <f>(D24*punt_score)+(E24*punt_per_yard)+(G24*punt_blocked)+(H24*touchback)+(I24*in_the_20)+(J24*out_of_backfield)+(K24*punt_return_td)+(L24*_60_64)+(M24*_65_69)+(N24*_70_74)+(O24*_75over)</f>
        <v>33.35</v>
      </c>
      <c r="Q24" s="43">
        <f>37.15+49.75+51.25+32.75+0+19.75+21.75+15+-50+3+36.6+17</f>
        <v>234</v>
      </c>
      <c r="R24" s="43">
        <f>SUM(P24:Q24)</f>
        <v>267.35000000000002</v>
      </c>
    </row>
    <row r="25" spans="1:18" x14ac:dyDescent="0.25">
      <c r="A25" s="39" t="str">
        <f>INDEX('Active - Players'!B:C,MATCH(B25,'Active - Players'!C:C,0),1)</f>
        <v>Gillan</v>
      </c>
      <c r="B25" s="52" t="s">
        <v>99</v>
      </c>
      <c r="C25" s="39"/>
      <c r="D25" s="41">
        <v>3</v>
      </c>
      <c r="E25" s="41">
        <v>160</v>
      </c>
      <c r="F25" s="41">
        <f>E25-[1]!Table4[[#This Row],[Net Yds]]</f>
        <v>17</v>
      </c>
      <c r="G25" s="41">
        <v>0</v>
      </c>
      <c r="H25" s="41">
        <v>0</v>
      </c>
      <c r="I25" s="41">
        <v>0</v>
      </c>
      <c r="J25" s="74">
        <v>0</v>
      </c>
      <c r="K25" s="41">
        <v>0</v>
      </c>
      <c r="L25" s="41">
        <v>1</v>
      </c>
      <c r="M25" s="41">
        <v>0</v>
      </c>
      <c r="N25" s="41">
        <v>0</v>
      </c>
      <c r="O25" s="41">
        <v>0</v>
      </c>
      <c r="P25" s="42">
        <f>(D25*punt_score)+(E25*punt_per_yard)+(G25*punt_blocked)+(H25*touchback)+(I25*in_the_20)+(J25*out_of_backfield)+(K25*punt_return_td)+(L25*_60_64)+(M25*_65_69)+(N25*_70_74)+(O25*_75over)</f>
        <v>21.75</v>
      </c>
      <c r="Q25" s="77"/>
      <c r="R25" s="77"/>
    </row>
    <row r="26" spans="1:18" x14ac:dyDescent="0.25">
      <c r="A26" s="39" t="str">
        <f>INDEX('Active - Players'!B:C,MATCH(B26,'Active - Players'!C:C,0),1)</f>
        <v>Morstead</v>
      </c>
      <c r="B26" s="62" t="s">
        <v>102</v>
      </c>
      <c r="C26" s="39"/>
      <c r="D26" s="41">
        <v>4</v>
      </c>
      <c r="E26" s="41">
        <v>174</v>
      </c>
      <c r="F26" s="41">
        <f>E26-[1]!Table4[[#This Row],[Net Yds]]</f>
        <v>4</v>
      </c>
      <c r="G26" s="41">
        <v>0</v>
      </c>
      <c r="H26" s="41">
        <v>0</v>
      </c>
      <c r="I26" s="41">
        <v>2</v>
      </c>
      <c r="J26" s="74">
        <v>1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2">
        <f>(D26*punt_score)+(E26*punt_per_yard)+(G26*punt_blocked)+(H26*touchback)+(I26*in_the_20)+(J26*out_of_backfield)+(K26*punt_return_td)+(L26*_60_64)+(M26*_65_69)+(N26*_70_74)+(O26*_75over)</f>
        <v>29.400000000000002</v>
      </c>
      <c r="Q26" s="77"/>
      <c r="R26" s="77"/>
    </row>
    <row r="27" spans="1:18" x14ac:dyDescent="0.25">
      <c r="A27" s="39" t="str">
        <f>INDEX('Active - Players'!B:C,MATCH(B27,'Active - Players'!C:C,0),1)</f>
        <v>Mann</v>
      </c>
      <c r="B27" s="60" t="s">
        <v>105</v>
      </c>
      <c r="C27" s="39"/>
      <c r="D27" s="41">
        <v>4</v>
      </c>
      <c r="E27" s="41">
        <v>197</v>
      </c>
      <c r="F27" s="41">
        <f>E27-[1]!Table4[[#This Row],[Net Yds]]</f>
        <v>21</v>
      </c>
      <c r="G27" s="41">
        <v>0</v>
      </c>
      <c r="H27" s="41">
        <v>0</v>
      </c>
      <c r="I27" s="41">
        <v>0</v>
      </c>
      <c r="J27" s="74">
        <v>0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2">
        <f>(D27*punt_score)+(E27*punt_per_yard)+(G27*punt_blocked)+(H27*touchback)+(I27*in_the_20)+(J27*out_of_backfield)+(K27*punt_return_td)+(L27*_60_64)+(M27*_65_69)+(N27*_70_74)+(O27*_75over)</f>
        <v>20.700000000000003</v>
      </c>
      <c r="Q27" s="77"/>
      <c r="R27" s="77"/>
    </row>
    <row r="28" spans="1:18" x14ac:dyDescent="0.25">
      <c r="A28" s="39" t="str">
        <f>INDEX('Active - Players'!B:C,MATCH(B28,'Active - Players'!C:C,0),1)</f>
        <v>Wing</v>
      </c>
      <c r="B28" s="51" t="s">
        <v>79</v>
      </c>
      <c r="C28" s="39" t="s">
        <v>140</v>
      </c>
      <c r="D28" s="41">
        <v>6</v>
      </c>
      <c r="E28" s="41">
        <v>254</v>
      </c>
      <c r="F28" s="41">
        <f>E28-[1]!Table4[[#This Row],[Net Yds]]</f>
        <v>41</v>
      </c>
      <c r="G28" s="41">
        <v>0</v>
      </c>
      <c r="H28" s="41">
        <v>0</v>
      </c>
      <c r="I28" s="41">
        <v>1</v>
      </c>
      <c r="J28" s="74">
        <v>2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2">
        <f>(D28*punt_score)+(E28*punt_per_yard)+(G28*punt_blocked)+(H28*touchback)+(I28*in_the_20)+(J28*out_of_backfield)+(K28*punt_return_td)+(L28*_60_64)+(M28*_65_69)+(N28*_70_74)+(O28*_75over)</f>
        <v>39.900000000000006</v>
      </c>
      <c r="Q28" s="43">
        <f>110.14+15.75+21.25+29.5+46+9+21.75+114+35+6+21+67</f>
        <v>496.39</v>
      </c>
      <c r="R28" s="43">
        <f>SUM(P28:Q28)</f>
        <v>536.29</v>
      </c>
    </row>
    <row r="29" spans="1:18" x14ac:dyDescent="0.25">
      <c r="A29" s="39" t="str">
        <f>INDEX('Active - Players'!B:C,MATCH(B29,'Active - Players'!C:C,0),1)</f>
        <v>Wishnowsky</v>
      </c>
      <c r="B29" s="68" t="s">
        <v>109</v>
      </c>
      <c r="C29" s="39"/>
      <c r="D29" s="41">
        <v>3</v>
      </c>
      <c r="E29" s="41">
        <v>134</v>
      </c>
      <c r="F29" s="41">
        <f>E29-[1]!Table4[[#This Row],[Net Yds]]</f>
        <v>2</v>
      </c>
      <c r="G29" s="41">
        <v>0</v>
      </c>
      <c r="H29" s="41">
        <v>0</v>
      </c>
      <c r="I29" s="41">
        <v>3</v>
      </c>
      <c r="J29" s="74">
        <v>1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2">
        <f>(D29*punt_score)+(E29*punt_per_yard)+(G29*punt_blocked)+(H29*touchback)+(I29*in_the_20)+(J29*out_of_backfield)+(K29*punt_return_td)+(L29*_60_64)+(M29*_65_69)+(N29*_70_74)+(O29*_75over)</f>
        <v>28.15</v>
      </c>
      <c r="Q29" s="77"/>
      <c r="R29" s="77"/>
    </row>
    <row r="30" spans="1:18" x14ac:dyDescent="0.25">
      <c r="A30" s="39" t="str">
        <f>INDEX('Active - Players'!B:C,MATCH(B30,'Active - Players'!C:C,0),1)</f>
        <v>Dickson</v>
      </c>
      <c r="B30" s="72" t="s">
        <v>18</v>
      </c>
      <c r="C30" s="39" t="s">
        <v>144</v>
      </c>
      <c r="D30" s="41">
        <v>4</v>
      </c>
      <c r="E30" s="41">
        <v>236</v>
      </c>
      <c r="F30" s="41">
        <f>E30-[1]!Table4[[#This Row],[Net Yds]]</f>
        <v>47</v>
      </c>
      <c r="G30" s="41">
        <v>0</v>
      </c>
      <c r="H30" s="41">
        <v>2</v>
      </c>
      <c r="I30" s="41">
        <v>0</v>
      </c>
      <c r="J30" s="74">
        <v>1</v>
      </c>
      <c r="K30" s="41">
        <v>0</v>
      </c>
      <c r="L30" s="41">
        <v>0</v>
      </c>
      <c r="M30" s="41">
        <v>1</v>
      </c>
      <c r="N30" s="41">
        <v>1</v>
      </c>
      <c r="O30" s="41">
        <v>0</v>
      </c>
      <c r="P30" s="42">
        <f>(D30*punt_score)+(E30*punt_per_yard)+(G30*punt_blocked)+(H30*touchback)+(I30*in_the_20)+(J30*out_of_backfield)+(K30*punt_return_td)+(L30*_60_64)+(M30*_65_69)+(N30*_70_74)+(O30*_75over)</f>
        <v>56.6</v>
      </c>
      <c r="Q30" s="43">
        <f>56.89+63+25.75+21.5+29.5+10.75+27.5+65+5+101+11+3</f>
        <v>419.89</v>
      </c>
      <c r="R30" s="43">
        <f>SUM(P30:Q30)</f>
        <v>476.49</v>
      </c>
    </row>
    <row r="31" spans="1:18" x14ac:dyDescent="0.25">
      <c r="A31" s="39" t="str">
        <f>INDEX('Active - Players'!B:C,MATCH(B31,'Active - Players'!C:C,0),1)</f>
        <v>Camarda</v>
      </c>
      <c r="B31" s="73" t="s">
        <v>63</v>
      </c>
      <c r="C31" s="39" t="s">
        <v>138</v>
      </c>
      <c r="D31" s="41">
        <v>6</v>
      </c>
      <c r="E31" s="41">
        <v>327</v>
      </c>
      <c r="F31" s="41">
        <f>E31-[1]!Table4[[#This Row],[Net Yds]]</f>
        <v>38</v>
      </c>
      <c r="G31" s="41">
        <v>0</v>
      </c>
      <c r="H31" s="41">
        <v>1</v>
      </c>
      <c r="I31" s="41">
        <v>2</v>
      </c>
      <c r="J31" s="74">
        <v>0</v>
      </c>
      <c r="K31" s="41">
        <v>0</v>
      </c>
      <c r="L31" s="41">
        <v>1</v>
      </c>
      <c r="M31" s="41">
        <v>0</v>
      </c>
      <c r="N31" s="41">
        <v>0</v>
      </c>
      <c r="O31" s="41">
        <v>0</v>
      </c>
      <c r="P31" s="42">
        <f>(D31*punt_score)+(E31*punt_per_yard)+(G31*punt_blocked)+(H31*touchback)+(I31*in_the_20)+(J31*out_of_backfield)+(K31*punt_return_td)+(L31*_60_64)+(M31*_65_69)+(N31*_70_74)+(O31*_75over)</f>
        <v>46.2</v>
      </c>
      <c r="Q31" s="43">
        <f>51.32+14.25+29.5+14.25+5.5+17+28.75+129+104+33+9+50</f>
        <v>485.57</v>
      </c>
      <c r="R31" s="43">
        <f>SUM(P31:Q31)</f>
        <v>531.77</v>
      </c>
    </row>
    <row r="32" spans="1:18" x14ac:dyDescent="0.25">
      <c r="A32" s="39" t="str">
        <f>INDEX('Active - Players'!B:C,MATCH(B32,'Active - Players'!C:C,0),1)</f>
        <v>Stonehouse</v>
      </c>
      <c r="B32" s="48" t="s">
        <v>24</v>
      </c>
      <c r="C32" s="39" t="s">
        <v>136</v>
      </c>
      <c r="D32" s="41">
        <v>3</v>
      </c>
      <c r="E32" s="41">
        <v>107</v>
      </c>
      <c r="F32" s="41">
        <f>E32-[1]!Table4[[#This Row],[Net Yds]]</f>
        <v>6</v>
      </c>
      <c r="G32" s="41">
        <v>0</v>
      </c>
      <c r="H32" s="41">
        <v>0</v>
      </c>
      <c r="I32" s="41">
        <v>1</v>
      </c>
      <c r="J32" s="74">
        <v>1</v>
      </c>
      <c r="K32" s="41">
        <v>0</v>
      </c>
      <c r="L32" s="41">
        <v>1</v>
      </c>
      <c r="M32" s="41">
        <v>0</v>
      </c>
      <c r="N32" s="41">
        <v>0</v>
      </c>
      <c r="O32" s="41">
        <v>0</v>
      </c>
      <c r="P32" s="42">
        <f>(D32*punt_score)+(E32*punt_per_yard)+(G32*punt_blocked)+(H32*touchback)+(I32*in_the_20)+(J32*out_of_backfield)+(K32*punt_return_td)+(L32*_60_64)+(M32*_65_69)+(N32*_70_74)+(O32*_75over)</f>
        <v>24.450000000000003</v>
      </c>
      <c r="Q32" s="76">
        <f>47.52+39.25+41.25+90.75+21.75+16.75+33.75+49+124+5+64+75</f>
        <v>608.02</v>
      </c>
      <c r="R32" s="43">
        <f>SUM(P32:Q32)</f>
        <v>632.47</v>
      </c>
    </row>
    <row r="33" spans="1:18" x14ac:dyDescent="0.25">
      <c r="A33" s="39" t="str">
        <f>INDEX('Active - Players'!B:C,MATCH(B33,'Active - Players'!C:C,0),1)</f>
        <v>Way</v>
      </c>
      <c r="B33" s="53" t="s">
        <v>45</v>
      </c>
      <c r="C33" s="39" t="s">
        <v>142</v>
      </c>
      <c r="D33" s="41">
        <v>6</v>
      </c>
      <c r="E33" s="41">
        <v>266</v>
      </c>
      <c r="F33" s="41">
        <f>E33-[1]!Table4[[#This Row],[Net Yds]]</f>
        <v>24</v>
      </c>
      <c r="G33" s="41">
        <v>0</v>
      </c>
      <c r="H33" s="41">
        <v>0</v>
      </c>
      <c r="I33" s="41">
        <v>3</v>
      </c>
      <c r="J33" s="74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2">
        <f>(D33*punt_score)+(E33*punt_per_yard)+(G33*punt_blocked)+(H33*touchback)+(I33*in_the_20)+(J33*out_of_backfield)+(K33*punt_return_td)+(L33*_60_64)+(M33*_65_69)+(N33*_70_74)+(O33*_75over)</f>
        <v>37.1</v>
      </c>
      <c r="Q33" s="43">
        <f>44.44+38+2+28.25+23.75+8.75+60.25+32+15+28+20+60</f>
        <v>360.44</v>
      </c>
      <c r="R33" s="43">
        <f>SUM(P33:Q33)</f>
        <v>397.54</v>
      </c>
    </row>
    <row r="34" spans="1:18" x14ac:dyDescent="0.25">
      <c r="P34" s="35">
        <f>SUM(P2:P33)-SUM([1]!Table4[Total score])</f>
        <v>80.100000000000023</v>
      </c>
    </row>
    <row r="35" spans="1:18" x14ac:dyDescent="0.25">
      <c r="P35" s="35"/>
    </row>
  </sheetData>
  <sortState xmlns:xlrd2="http://schemas.microsoft.com/office/spreadsheetml/2017/richdata2" ref="A2:R33">
    <sortCondition ref="B1:B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F302-4921-4132-8EFD-5D67784D9EC1}">
  <dimension ref="A1:O33"/>
  <sheetViews>
    <sheetView workbookViewId="0">
      <selection activeCell="D2" sqref="D2"/>
    </sheetView>
  </sheetViews>
  <sheetFormatPr defaultRowHeight="15" x14ac:dyDescent="0.25"/>
  <cols>
    <col min="1" max="1" width="12.140625" bestFit="1" customWidth="1"/>
    <col min="2" max="2" width="24.140625" bestFit="1" customWidth="1"/>
    <col min="3" max="3" width="27.140625" bestFit="1" customWidth="1"/>
    <col min="4" max="4" width="6" bestFit="1" customWidth="1"/>
    <col min="5" max="5" width="18.85546875" bestFit="1" customWidth="1"/>
    <col min="6" max="6" width="12.5703125" bestFit="1" customWidth="1"/>
    <col min="7" max="7" width="10.7109375" bestFit="1" customWidth="1"/>
    <col min="8" max="8" width="8.5703125" bestFit="1" customWidth="1"/>
    <col min="9" max="9" width="18.85546875" bestFit="1" customWidth="1"/>
    <col min="10" max="10" width="22" bestFit="1" customWidth="1"/>
    <col min="11" max="13" width="14.7109375" bestFit="1" customWidth="1"/>
    <col min="14" max="14" width="16.7109375" bestFit="1" customWidth="1"/>
    <col min="15" max="15" width="10.7109375" bestFit="1" customWidth="1"/>
  </cols>
  <sheetData>
    <row r="1" spans="1:15" x14ac:dyDescent="0.25">
      <c r="A1" s="37" t="s">
        <v>129</v>
      </c>
      <c r="B1" s="37" t="s">
        <v>130</v>
      </c>
      <c r="C1" s="37" t="s">
        <v>131</v>
      </c>
      <c r="D1" s="38" t="s">
        <v>132</v>
      </c>
      <c r="E1" s="37" t="s">
        <v>30</v>
      </c>
      <c r="F1" s="38" t="s">
        <v>31</v>
      </c>
      <c r="G1" s="37" t="s">
        <v>32</v>
      </c>
      <c r="H1" s="38" t="s">
        <v>33</v>
      </c>
      <c r="I1" s="37" t="s">
        <v>34</v>
      </c>
      <c r="J1" s="38" t="s">
        <v>35</v>
      </c>
      <c r="K1" s="37" t="s">
        <v>90</v>
      </c>
      <c r="L1" s="38" t="s">
        <v>91</v>
      </c>
      <c r="M1" s="37" t="s">
        <v>92</v>
      </c>
      <c r="N1" s="38" t="s">
        <v>36</v>
      </c>
      <c r="O1" s="37" t="s">
        <v>133</v>
      </c>
    </row>
    <row r="2" spans="1:15" x14ac:dyDescent="0.25">
      <c r="A2" s="39" t="str">
        <f>INDEX('Active - Players'!B:C,MATCH(B2,'Active - Players'!C:C,0),1)</f>
        <v>Gillikin</v>
      </c>
      <c r="B2" s="59" t="s">
        <v>76</v>
      </c>
      <c r="C2" s="39" t="s">
        <v>137</v>
      </c>
      <c r="D2" s="41">
        <v>3</v>
      </c>
      <c r="E2" s="41">
        <v>112</v>
      </c>
      <c r="F2" s="41">
        <v>0</v>
      </c>
      <c r="G2" s="41">
        <v>1</v>
      </c>
      <c r="H2" s="41">
        <v>0</v>
      </c>
      <c r="I2" s="41">
        <v>0</v>
      </c>
      <c r="J2" s="41">
        <v>0</v>
      </c>
      <c r="K2" s="41">
        <v>0</v>
      </c>
      <c r="L2" s="41">
        <v>0</v>
      </c>
      <c r="M2" s="41">
        <v>0</v>
      </c>
      <c r="N2" s="41">
        <v>0</v>
      </c>
      <c r="O2" s="42">
        <f t="shared" ref="O2:O33" si="0">(D2*punt_score)+(E2*punt_per_yard)+(F2*punt_blocked)+(G2*touchback)+(H2*in_the_20)+(I2*out_of_backfield)-(J2*punt_return_td)+(K2*_60_64)+(L2*_65_69)+(M2*_70_74)+(N2*_75over)</f>
        <v>12.950000000000001</v>
      </c>
    </row>
    <row r="3" spans="1:15" x14ac:dyDescent="0.25">
      <c r="A3" s="39" t="str">
        <f>INDEX('Active - Players'!B:C,MATCH(B3,'Active - Players'!C:C,0),1)</f>
        <v>Pinion</v>
      </c>
      <c r="B3" s="63" t="s">
        <v>75</v>
      </c>
      <c r="C3" s="39"/>
      <c r="D3" s="41">
        <v>1</v>
      </c>
      <c r="E3" s="41">
        <v>45</v>
      </c>
      <c r="F3" s="41">
        <v>0</v>
      </c>
      <c r="G3" s="41">
        <v>0</v>
      </c>
      <c r="H3" s="41">
        <v>0</v>
      </c>
      <c r="I3" s="41">
        <v>0</v>
      </c>
      <c r="J3" s="41">
        <v>0</v>
      </c>
      <c r="K3" s="41">
        <v>0</v>
      </c>
      <c r="L3" s="41">
        <v>0</v>
      </c>
      <c r="M3" s="41">
        <v>0</v>
      </c>
      <c r="N3" s="41">
        <v>0</v>
      </c>
      <c r="O3" s="42">
        <f t="shared" si="0"/>
        <v>4.75</v>
      </c>
    </row>
    <row r="4" spans="1:15" x14ac:dyDescent="0.25">
      <c r="A4" s="39" t="str">
        <f>INDEX('Active - Players'!B:C,MATCH(B4,'Active - Players'!C:C,0),1)</f>
        <v>Stout</v>
      </c>
      <c r="B4" s="65" t="s">
        <v>96</v>
      </c>
      <c r="C4" s="39"/>
      <c r="D4" s="41">
        <v>2</v>
      </c>
      <c r="E4" s="41">
        <v>16</v>
      </c>
      <c r="F4" s="41">
        <v>0</v>
      </c>
      <c r="G4" s="41">
        <v>1</v>
      </c>
      <c r="H4" s="41">
        <v>0</v>
      </c>
      <c r="I4" s="41">
        <v>0</v>
      </c>
      <c r="J4" s="41">
        <v>0</v>
      </c>
      <c r="K4" s="41">
        <v>1</v>
      </c>
      <c r="L4" s="41">
        <v>0</v>
      </c>
      <c r="M4" s="41">
        <v>0</v>
      </c>
      <c r="N4" s="41">
        <v>0</v>
      </c>
      <c r="O4" s="42">
        <f t="shared" si="0"/>
        <v>8.1</v>
      </c>
    </row>
    <row r="5" spans="1:15" x14ac:dyDescent="0.25">
      <c r="A5" s="39" t="str">
        <f>INDEX('Active - Players'!B:C,MATCH(B5,'Active - Players'!C:C,0),1)</f>
        <v>Martin</v>
      </c>
      <c r="B5" s="61" t="s">
        <v>58</v>
      </c>
      <c r="C5" s="39"/>
      <c r="D5" s="41">
        <v>1</v>
      </c>
      <c r="E5" s="41">
        <v>54</v>
      </c>
      <c r="F5" s="41">
        <v>0</v>
      </c>
      <c r="G5" s="41">
        <v>0</v>
      </c>
      <c r="H5" s="41">
        <v>1</v>
      </c>
      <c r="I5" s="41">
        <v>1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2">
        <f t="shared" si="0"/>
        <v>13.65</v>
      </c>
    </row>
    <row r="6" spans="1:15" x14ac:dyDescent="0.25">
      <c r="A6" s="39" t="str">
        <f>INDEX('Active - Players'!B:C,MATCH(B6,'Active - Players'!C:C,0),1)</f>
        <v>Hekker</v>
      </c>
      <c r="B6" s="50" t="s">
        <v>21</v>
      </c>
      <c r="C6" s="39" t="s">
        <v>145</v>
      </c>
      <c r="D6" s="41">
        <v>5</v>
      </c>
      <c r="E6" s="41">
        <v>223</v>
      </c>
      <c r="F6" s="41">
        <v>0</v>
      </c>
      <c r="G6" s="41">
        <v>0</v>
      </c>
      <c r="H6" s="41">
        <v>2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2">
        <f t="shared" si="0"/>
        <v>29.55</v>
      </c>
    </row>
    <row r="7" spans="1:15" x14ac:dyDescent="0.25">
      <c r="A7" s="39" t="str">
        <f>INDEX('Active - Players'!B:C,MATCH(B7,'Active - Players'!C:C,0),1)</f>
        <v>Gill</v>
      </c>
      <c r="B7" s="58" t="s">
        <v>93</v>
      </c>
      <c r="C7" s="39"/>
      <c r="D7" s="41">
        <v>5</v>
      </c>
      <c r="E7" s="41">
        <v>225</v>
      </c>
      <c r="F7" s="41">
        <v>0</v>
      </c>
      <c r="G7" s="41">
        <v>0</v>
      </c>
      <c r="H7" s="41">
        <v>1</v>
      </c>
      <c r="I7" s="41">
        <v>1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2">
        <f t="shared" si="0"/>
        <v>31.75</v>
      </c>
    </row>
    <row r="8" spans="1:15" x14ac:dyDescent="0.25">
      <c r="A8" s="39" t="str">
        <f>INDEX('Active - Players'!B:C,MATCH(B8,'Active - Players'!C:C,0),1)</f>
        <v>Robbins</v>
      </c>
      <c r="B8" s="64" t="s">
        <v>54</v>
      </c>
      <c r="C8" s="39"/>
      <c r="D8" s="41">
        <v>3</v>
      </c>
      <c r="E8" s="41">
        <v>118</v>
      </c>
      <c r="F8" s="41">
        <v>0</v>
      </c>
      <c r="G8" s="41">
        <v>0</v>
      </c>
      <c r="H8" s="41">
        <v>1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2">
        <f t="shared" si="0"/>
        <v>15.55</v>
      </c>
    </row>
    <row r="9" spans="1:15" x14ac:dyDescent="0.25">
      <c r="A9" s="39" t="str">
        <f>INDEX('Active - Players'!B:C,MATCH(B9,'Active - Players'!C:C,0),1)</f>
        <v>Bojorquez</v>
      </c>
      <c r="B9" s="70" t="s">
        <v>82</v>
      </c>
      <c r="C9" s="39"/>
      <c r="D9" s="41">
        <v>5</v>
      </c>
      <c r="E9" s="41">
        <v>204</v>
      </c>
      <c r="F9" s="41">
        <v>0</v>
      </c>
      <c r="G9" s="41">
        <v>1</v>
      </c>
      <c r="H9" s="41">
        <v>1</v>
      </c>
      <c r="I9" s="41">
        <v>1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2">
        <f t="shared" si="0"/>
        <v>30.650000000000002</v>
      </c>
    </row>
    <row r="10" spans="1:15" x14ac:dyDescent="0.25">
      <c r="A10" s="39" t="str">
        <f>INDEX('Active - Players'!B:C,MATCH(B10,'Active - Players'!C:C,0),1)</f>
        <v>Anger</v>
      </c>
      <c r="B10" s="45" t="s">
        <v>48</v>
      </c>
      <c r="C10" s="39" t="s">
        <v>141</v>
      </c>
      <c r="D10" s="41">
        <v>3</v>
      </c>
      <c r="E10" s="41">
        <v>148</v>
      </c>
      <c r="F10" s="41">
        <v>0</v>
      </c>
      <c r="G10" s="41">
        <v>0</v>
      </c>
      <c r="H10" s="41">
        <v>1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2">
        <f t="shared" si="0"/>
        <v>18.55</v>
      </c>
    </row>
    <row r="11" spans="1:15" x14ac:dyDescent="0.25">
      <c r="A11" s="39" t="str">
        <f>INDEX('Active - Players'!B:C,MATCH(B11,'Active - Players'!C:C,0),1)</f>
        <v>Dixon</v>
      </c>
      <c r="B11" s="40" t="s">
        <v>57</v>
      </c>
      <c r="C11" s="39"/>
      <c r="D11" s="41">
        <v>3</v>
      </c>
      <c r="E11" s="41">
        <v>125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2">
        <f t="shared" si="0"/>
        <v>13.25</v>
      </c>
    </row>
    <row r="12" spans="1:15" x14ac:dyDescent="0.25">
      <c r="A12" s="39" t="str">
        <f>INDEX('Active - Players'!B:C,MATCH(B12,'Active - Players'!C:C,0),1)</f>
        <v>Fox</v>
      </c>
      <c r="B12" s="57" t="s">
        <v>72</v>
      </c>
      <c r="C12" s="39"/>
      <c r="D12" s="41">
        <v>1</v>
      </c>
      <c r="E12" s="41">
        <v>53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2">
        <f t="shared" si="0"/>
        <v>5.5500000000000007</v>
      </c>
    </row>
    <row r="13" spans="1:15" x14ac:dyDescent="0.25">
      <c r="A13" s="39" t="str">
        <f>INDEX('Active - Players'!B:C,MATCH(B13,'Active - Players'!C:C,0),1)</f>
        <v>Whelan</v>
      </c>
      <c r="B13" s="67" t="s">
        <v>106</v>
      </c>
      <c r="C13" s="39"/>
      <c r="D13" s="41">
        <v>4</v>
      </c>
      <c r="E13" s="41">
        <v>159</v>
      </c>
      <c r="F13" s="41">
        <v>0</v>
      </c>
      <c r="G13" s="41">
        <v>1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2">
        <f t="shared" si="0"/>
        <v>17.899999999999999</v>
      </c>
    </row>
    <row r="14" spans="1:15" x14ac:dyDescent="0.25">
      <c r="A14" s="39" t="str">
        <f>INDEX('Active - Players'!B:C,MATCH(B14,'Active - Players'!C:C,0),1)</f>
        <v>Johnston</v>
      </c>
      <c r="B14" s="47" t="s">
        <v>51</v>
      </c>
      <c r="C14" s="39" t="s">
        <v>143</v>
      </c>
      <c r="D14" s="41">
        <v>3</v>
      </c>
      <c r="E14" s="41">
        <v>107</v>
      </c>
      <c r="F14" s="41">
        <v>0</v>
      </c>
      <c r="G14" s="41">
        <v>1</v>
      </c>
      <c r="H14" s="41">
        <v>0</v>
      </c>
      <c r="I14" s="41">
        <v>0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2">
        <f t="shared" si="0"/>
        <v>12.450000000000001</v>
      </c>
    </row>
    <row r="15" spans="1:15" x14ac:dyDescent="0.25">
      <c r="A15" s="39" t="str">
        <f>INDEX('Active - Players'!B:C,MATCH(B15,'Active - Players'!C:C,0),1)</f>
        <v>Sanchez</v>
      </c>
      <c r="B15" s="45" t="s">
        <v>126</v>
      </c>
      <c r="C15" s="39"/>
      <c r="D15" s="41">
        <v>5</v>
      </c>
      <c r="E15" s="41">
        <v>200</v>
      </c>
      <c r="F15" s="41">
        <v>0</v>
      </c>
      <c r="G15" s="41">
        <v>0</v>
      </c>
      <c r="H15" s="41">
        <v>2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2">
        <f t="shared" si="0"/>
        <v>27.25</v>
      </c>
    </row>
    <row r="16" spans="1:15" x14ac:dyDescent="0.25">
      <c r="A16" s="39" t="str">
        <f>INDEX('Active - Players'!B:C,MATCH(B16,'Active - Players'!C:C,0),1)</f>
        <v>Cooke</v>
      </c>
      <c r="B16" s="44" t="s">
        <v>39</v>
      </c>
      <c r="C16" s="39"/>
      <c r="D16" s="41">
        <v>5</v>
      </c>
      <c r="E16" s="41">
        <v>235</v>
      </c>
      <c r="F16" s="41">
        <v>0</v>
      </c>
      <c r="G16" s="41">
        <v>0</v>
      </c>
      <c r="H16" s="41">
        <v>4</v>
      </c>
      <c r="I16" s="41">
        <v>1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2">
        <f t="shared" si="0"/>
        <v>41.75</v>
      </c>
    </row>
    <row r="17" spans="1:15" x14ac:dyDescent="0.25">
      <c r="A17" s="39" t="str">
        <f>INDEX('Active - Players'!B:C,MATCH(B17,'Active - Players'!C:C,0),1)</f>
        <v>Townsend</v>
      </c>
      <c r="B17" s="66" t="s">
        <v>12</v>
      </c>
      <c r="C17" s="39"/>
      <c r="D17" s="41">
        <v>4</v>
      </c>
      <c r="E17" s="41">
        <v>188</v>
      </c>
      <c r="F17" s="41">
        <v>0</v>
      </c>
      <c r="G17" s="41">
        <v>0</v>
      </c>
      <c r="H17" s="41">
        <v>1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2">
        <f t="shared" si="0"/>
        <v>22.8</v>
      </c>
    </row>
    <row r="18" spans="1:15" x14ac:dyDescent="0.25">
      <c r="A18" s="39" t="str">
        <f>INDEX('Active - Players'!B:C,MATCH(B18,'Active - Players'!C:C,0),1)</f>
        <v>Cole</v>
      </c>
      <c r="B18" s="54" t="s">
        <v>27</v>
      </c>
      <c r="C18" s="39" t="s">
        <v>135</v>
      </c>
      <c r="D18" s="41">
        <v>3</v>
      </c>
      <c r="E18" s="41">
        <v>149</v>
      </c>
      <c r="F18" s="41">
        <v>0</v>
      </c>
      <c r="G18" s="41">
        <v>0</v>
      </c>
      <c r="H18" s="41">
        <v>2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  <c r="N18" s="41">
        <v>0</v>
      </c>
      <c r="O18" s="42">
        <f t="shared" si="0"/>
        <v>21.65</v>
      </c>
    </row>
    <row r="19" spans="1:15" x14ac:dyDescent="0.25">
      <c r="A19" s="39" t="str">
        <f>INDEX('Active - Players'!B:C,MATCH(B19,'Active - Players'!C:C,0),1)</f>
        <v>Scott</v>
      </c>
      <c r="B19" s="71" t="s">
        <v>160</v>
      </c>
      <c r="C19" s="39"/>
      <c r="D19" s="41">
        <v>6</v>
      </c>
      <c r="E19" s="41">
        <v>223</v>
      </c>
      <c r="F19" s="41">
        <v>0</v>
      </c>
      <c r="G19" s="41">
        <v>0</v>
      </c>
      <c r="H19" s="41">
        <v>4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2">
        <f t="shared" si="0"/>
        <v>35.799999999999997</v>
      </c>
    </row>
    <row r="20" spans="1:15" x14ac:dyDescent="0.25">
      <c r="A20" s="39" t="str">
        <f>INDEX('Active - Players'!B:C,MATCH(B20,'Active - Players'!C:C,0),1)</f>
        <v>Evans</v>
      </c>
      <c r="B20" s="49" t="s">
        <v>121</v>
      </c>
      <c r="C20" s="39"/>
      <c r="D20" s="41">
        <v>2</v>
      </c>
      <c r="E20" s="41">
        <v>95</v>
      </c>
      <c r="F20" s="41">
        <v>0</v>
      </c>
      <c r="G20" s="41">
        <v>0</v>
      </c>
      <c r="H20" s="41">
        <v>1</v>
      </c>
      <c r="I20" s="41">
        <v>0</v>
      </c>
      <c r="J20" s="41">
        <v>0</v>
      </c>
      <c r="K20" s="41">
        <v>0</v>
      </c>
      <c r="L20" s="41">
        <v>1</v>
      </c>
      <c r="M20" s="41">
        <v>1</v>
      </c>
      <c r="N20" s="41">
        <v>0</v>
      </c>
      <c r="O20" s="42">
        <f t="shared" si="0"/>
        <v>38</v>
      </c>
    </row>
    <row r="21" spans="1:15" x14ac:dyDescent="0.25">
      <c r="A21" s="39" t="str">
        <f>INDEX('Active - Players'!B:C,MATCH(B21,'Active - Players'!C:C,0),1)</f>
        <v>Bailey</v>
      </c>
      <c r="B21" s="55" t="s">
        <v>115</v>
      </c>
      <c r="C21" s="39"/>
      <c r="D21" s="41">
        <v>3</v>
      </c>
      <c r="E21" s="41">
        <v>132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2">
        <f t="shared" si="0"/>
        <v>13.950000000000001</v>
      </c>
    </row>
    <row r="22" spans="1:15" x14ac:dyDescent="0.25">
      <c r="A22" s="39" t="str">
        <f>INDEX('Active - Players'!B:C,MATCH(B22,'Active - Players'!C:C,0),1)</f>
        <v>Wright</v>
      </c>
      <c r="B22" s="69" t="s">
        <v>42</v>
      </c>
      <c r="C22" s="39"/>
      <c r="D22" s="41">
        <v>3</v>
      </c>
      <c r="E22" s="41">
        <v>155</v>
      </c>
      <c r="F22" s="41">
        <v>0</v>
      </c>
      <c r="G22" s="41">
        <v>0</v>
      </c>
      <c r="H22" s="41">
        <v>2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2">
        <f t="shared" si="0"/>
        <v>22.25</v>
      </c>
    </row>
    <row r="23" spans="1:15" x14ac:dyDescent="0.25">
      <c r="A23" s="39" t="str">
        <f>INDEX('Active - Players'!B:C,MATCH(B23,'Active - Players'!C:C,0),1)</f>
        <v>Baringer</v>
      </c>
      <c r="B23" s="56" t="s">
        <v>67</v>
      </c>
      <c r="C23" s="39"/>
      <c r="D23" s="41">
        <v>4</v>
      </c>
      <c r="E23" s="41">
        <v>165</v>
      </c>
      <c r="F23" s="41">
        <v>0</v>
      </c>
      <c r="G23" s="41">
        <v>0</v>
      </c>
      <c r="H23" s="41">
        <v>3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2">
        <f t="shared" si="0"/>
        <v>26.5</v>
      </c>
    </row>
    <row r="24" spans="1:15" x14ac:dyDescent="0.25">
      <c r="A24" s="39" t="str">
        <f>INDEX('Active - Players'!B:C,MATCH(B24,'Active - Players'!C:C,0),1)</f>
        <v>Hedley</v>
      </c>
      <c r="B24" s="46" t="s">
        <v>64</v>
      </c>
      <c r="C24" s="39" t="s">
        <v>139</v>
      </c>
      <c r="D24" s="41">
        <v>5</v>
      </c>
      <c r="E24" s="41">
        <v>175</v>
      </c>
      <c r="F24" s="41">
        <v>0</v>
      </c>
      <c r="G24" s="41">
        <v>1</v>
      </c>
      <c r="H24" s="41">
        <v>2</v>
      </c>
      <c r="I24" s="41">
        <v>1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2">
        <f t="shared" si="0"/>
        <v>30.75</v>
      </c>
    </row>
    <row r="25" spans="1:15" x14ac:dyDescent="0.25">
      <c r="A25" s="39" t="str">
        <f>INDEX('Active - Players'!B:C,MATCH(B25,'Active - Players'!C:C,0),1)</f>
        <v>Gillan</v>
      </c>
      <c r="B25" s="52" t="s">
        <v>99</v>
      </c>
      <c r="C25" s="39" t="s">
        <v>134</v>
      </c>
      <c r="D25" s="41">
        <v>3</v>
      </c>
      <c r="E25" s="41">
        <v>111</v>
      </c>
      <c r="F25" s="41">
        <v>0</v>
      </c>
      <c r="G25" s="41">
        <v>0</v>
      </c>
      <c r="H25" s="41">
        <v>1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2">
        <f t="shared" si="0"/>
        <v>14.850000000000001</v>
      </c>
    </row>
    <row r="26" spans="1:15" x14ac:dyDescent="0.25">
      <c r="A26" s="39" t="str">
        <f>INDEX('Active - Players'!B:C,MATCH(B26,'Active - Players'!C:C,0),1)</f>
        <v>Morstead</v>
      </c>
      <c r="B26" s="62" t="s">
        <v>102</v>
      </c>
      <c r="C26" s="39"/>
      <c r="D26" s="41">
        <v>5</v>
      </c>
      <c r="E26" s="41">
        <v>241</v>
      </c>
      <c r="F26" s="41">
        <v>0</v>
      </c>
      <c r="G26" s="41">
        <v>0</v>
      </c>
      <c r="H26" s="41">
        <v>1</v>
      </c>
      <c r="I26" s="41">
        <v>1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2">
        <f t="shared" si="0"/>
        <v>33.35</v>
      </c>
    </row>
    <row r="27" spans="1:15" x14ac:dyDescent="0.25">
      <c r="A27" s="39" t="str">
        <f>INDEX('Active - Players'!B:C,MATCH(B27,'Active - Players'!C:C,0),1)</f>
        <v>Mann</v>
      </c>
      <c r="B27" s="60" t="s">
        <v>105</v>
      </c>
      <c r="C27" s="39"/>
      <c r="D27" s="41">
        <v>4</v>
      </c>
      <c r="E27" s="41">
        <v>131</v>
      </c>
      <c r="F27" s="41">
        <v>0</v>
      </c>
      <c r="G27" s="41">
        <v>0</v>
      </c>
      <c r="H27" s="41">
        <v>2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  <c r="N27" s="41">
        <v>0</v>
      </c>
      <c r="O27" s="42">
        <f t="shared" si="0"/>
        <v>20.100000000000001</v>
      </c>
    </row>
    <row r="28" spans="1:15" x14ac:dyDescent="0.25">
      <c r="A28" s="39" t="str">
        <f>INDEX('Active - Players'!B:C,MATCH(B28,'Active - Players'!C:C,0),1)</f>
        <v>Wing</v>
      </c>
      <c r="B28" s="51" t="s">
        <v>79</v>
      </c>
      <c r="C28" s="39" t="s">
        <v>140</v>
      </c>
      <c r="D28" s="41">
        <v>7</v>
      </c>
      <c r="E28" s="41">
        <v>280</v>
      </c>
      <c r="F28" s="41">
        <v>0</v>
      </c>
      <c r="G28" s="41">
        <v>2</v>
      </c>
      <c r="H28" s="41">
        <v>4</v>
      </c>
      <c r="I28" s="41">
        <v>1</v>
      </c>
      <c r="J28" s="41">
        <v>0</v>
      </c>
      <c r="K28" s="41">
        <v>1</v>
      </c>
      <c r="L28" s="41">
        <v>0</v>
      </c>
      <c r="M28" s="41">
        <v>0</v>
      </c>
      <c r="N28" s="41">
        <v>0</v>
      </c>
      <c r="O28" s="42">
        <f t="shared" si="0"/>
        <v>53.75</v>
      </c>
    </row>
    <row r="29" spans="1:15" x14ac:dyDescent="0.25">
      <c r="A29" s="39" t="str">
        <f>INDEX('Active - Players'!B:C,MATCH(B29,'Active - Players'!C:C,0),1)</f>
        <v>Wishnowsky</v>
      </c>
      <c r="B29" s="68" t="s">
        <v>109</v>
      </c>
      <c r="C29" s="39"/>
      <c r="D29" s="41">
        <v>4</v>
      </c>
      <c r="E29" s="41">
        <v>166</v>
      </c>
      <c r="F29" s="41">
        <v>0</v>
      </c>
      <c r="G29" s="41">
        <v>1</v>
      </c>
      <c r="H29" s="41">
        <v>2</v>
      </c>
      <c r="I29" s="41">
        <v>0</v>
      </c>
      <c r="J29" s="41">
        <v>0</v>
      </c>
      <c r="K29" s="41">
        <v>1</v>
      </c>
      <c r="L29" s="41">
        <v>1</v>
      </c>
      <c r="M29" s="41">
        <v>0</v>
      </c>
      <c r="N29" s="41">
        <v>0</v>
      </c>
      <c r="O29" s="42">
        <f t="shared" si="0"/>
        <v>39.6</v>
      </c>
    </row>
    <row r="30" spans="1:15" x14ac:dyDescent="0.25">
      <c r="A30" s="39" t="str">
        <f>INDEX('Active - Players'!B:C,MATCH(B30,'Active - Players'!C:C,0),1)</f>
        <v>Dickson</v>
      </c>
      <c r="B30" s="72" t="s">
        <v>18</v>
      </c>
      <c r="C30" s="39" t="s">
        <v>144</v>
      </c>
      <c r="D30" s="41">
        <v>3</v>
      </c>
      <c r="E30" s="41">
        <v>135</v>
      </c>
      <c r="F30" s="41">
        <v>0</v>
      </c>
      <c r="G30" s="41">
        <v>0</v>
      </c>
      <c r="H30" s="41">
        <v>2</v>
      </c>
      <c r="I30" s="41">
        <v>0</v>
      </c>
      <c r="J30" s="41">
        <v>0</v>
      </c>
      <c r="K30" s="41">
        <v>1</v>
      </c>
      <c r="L30" s="41">
        <v>0</v>
      </c>
      <c r="M30" s="41">
        <v>0</v>
      </c>
      <c r="N30" s="41">
        <v>0</v>
      </c>
      <c r="O30" s="42">
        <f t="shared" si="0"/>
        <v>25.25</v>
      </c>
    </row>
    <row r="31" spans="1:15" x14ac:dyDescent="0.25">
      <c r="A31" s="39" t="str">
        <f>INDEX('Active - Players'!B:C,MATCH(B31,'Active - Players'!C:C,0),1)</f>
        <v>Camarda</v>
      </c>
      <c r="B31" s="73" t="s">
        <v>63</v>
      </c>
      <c r="C31" s="39" t="s">
        <v>138</v>
      </c>
      <c r="D31" s="41">
        <v>4</v>
      </c>
      <c r="E31" s="41">
        <v>191</v>
      </c>
      <c r="F31" s="41">
        <v>0</v>
      </c>
      <c r="G31" s="41">
        <v>1</v>
      </c>
      <c r="H31" s="41">
        <v>3</v>
      </c>
      <c r="I31" s="41">
        <v>1</v>
      </c>
      <c r="J31" s="41">
        <v>0</v>
      </c>
      <c r="K31" s="41">
        <v>0</v>
      </c>
      <c r="L31" s="41">
        <v>0</v>
      </c>
      <c r="M31" s="41">
        <v>1</v>
      </c>
      <c r="N31" s="41">
        <v>0</v>
      </c>
      <c r="O31" s="42">
        <f t="shared" si="0"/>
        <v>50.1</v>
      </c>
    </row>
    <row r="32" spans="1:15" x14ac:dyDescent="0.25">
      <c r="A32" s="39" t="str">
        <f>INDEX('Active - Players'!B:C,MATCH(B32,'Active - Players'!C:C,0),1)</f>
        <v>Stonehouse</v>
      </c>
      <c r="B32" s="48" t="s">
        <v>24</v>
      </c>
      <c r="C32" s="39" t="s">
        <v>136</v>
      </c>
      <c r="D32" s="41">
        <v>5</v>
      </c>
      <c r="E32" s="41">
        <v>223</v>
      </c>
      <c r="F32" s="41">
        <v>0</v>
      </c>
      <c r="G32" s="41">
        <v>1</v>
      </c>
      <c r="H32" s="41">
        <v>0</v>
      </c>
      <c r="I32" s="41">
        <v>0</v>
      </c>
      <c r="J32" s="41">
        <v>0</v>
      </c>
      <c r="K32" s="41">
        <v>4</v>
      </c>
      <c r="L32" s="41">
        <v>0</v>
      </c>
      <c r="M32" s="41">
        <v>0</v>
      </c>
      <c r="N32" s="41">
        <v>0</v>
      </c>
      <c r="O32" s="42">
        <f t="shared" si="0"/>
        <v>44.55</v>
      </c>
    </row>
    <row r="33" spans="1:15" x14ac:dyDescent="0.25">
      <c r="A33" s="39" t="str">
        <f>INDEX('Active - Players'!B:C,MATCH(B33,'Active - Players'!C:C,0),1)</f>
        <v>Way</v>
      </c>
      <c r="B33" s="53" t="s">
        <v>45</v>
      </c>
      <c r="C33" s="39" t="s">
        <v>142</v>
      </c>
      <c r="D33" s="41">
        <v>3</v>
      </c>
      <c r="E33" s="41">
        <v>123</v>
      </c>
      <c r="F33" s="41">
        <v>0</v>
      </c>
      <c r="G33" s="41">
        <v>0</v>
      </c>
      <c r="H33" s="41">
        <v>2</v>
      </c>
      <c r="I33" s="41">
        <v>0</v>
      </c>
      <c r="J33" s="41">
        <v>0</v>
      </c>
      <c r="K33" s="41">
        <v>0</v>
      </c>
      <c r="L33" s="41">
        <v>1</v>
      </c>
      <c r="M33" s="41">
        <v>0</v>
      </c>
      <c r="N33" s="41">
        <v>0</v>
      </c>
      <c r="O33" s="42">
        <f t="shared" si="0"/>
        <v>29.05</v>
      </c>
    </row>
  </sheetData>
  <sortState xmlns:xlrd2="http://schemas.microsoft.com/office/spreadsheetml/2017/richdata2" ref="A2:O33">
    <sortCondition ref="B1:B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29B0-A10D-45A6-A625-18AF447F1BA7}">
  <dimension ref="A1:Q33"/>
  <sheetViews>
    <sheetView workbookViewId="0">
      <selection activeCell="C6" sqref="C6"/>
    </sheetView>
  </sheetViews>
  <sheetFormatPr defaultRowHeight="15" x14ac:dyDescent="0.25"/>
  <cols>
    <col min="1" max="1" width="12.140625" bestFit="1" customWidth="1"/>
    <col min="2" max="2" width="24.140625" customWidth="1"/>
    <col min="3" max="3" width="27.140625" customWidth="1"/>
    <col min="4" max="4" width="6" bestFit="1" customWidth="1"/>
    <col min="5" max="5" width="18.85546875" bestFit="1" customWidth="1"/>
    <col min="6" max="6" width="12.5703125" bestFit="1" customWidth="1"/>
    <col min="7" max="7" width="10.7109375" bestFit="1" customWidth="1"/>
    <col min="8" max="8" width="8.5703125" bestFit="1" customWidth="1"/>
    <col min="9" max="9" width="18.85546875" bestFit="1" customWidth="1"/>
    <col min="10" max="10" width="22" bestFit="1" customWidth="1"/>
    <col min="11" max="13" width="14.7109375" bestFit="1" customWidth="1"/>
    <col min="14" max="14" width="16.7109375" bestFit="1" customWidth="1"/>
    <col min="15" max="15" width="10.7109375" bestFit="1" customWidth="1"/>
    <col min="16" max="16" width="7" bestFit="1" customWidth="1"/>
    <col min="17" max="17" width="8" bestFit="1" customWidth="1"/>
  </cols>
  <sheetData>
    <row r="1" spans="1:15" x14ac:dyDescent="0.25">
      <c r="A1" s="37" t="s">
        <v>129</v>
      </c>
      <c r="B1" s="37" t="s">
        <v>130</v>
      </c>
      <c r="C1" s="37" t="s">
        <v>131</v>
      </c>
      <c r="D1" s="38" t="s">
        <v>132</v>
      </c>
      <c r="E1" s="37" t="s">
        <v>30</v>
      </c>
      <c r="F1" s="38" t="s">
        <v>31</v>
      </c>
      <c r="G1" s="37" t="s">
        <v>32</v>
      </c>
      <c r="H1" s="38" t="s">
        <v>33</v>
      </c>
      <c r="I1" s="37" t="s">
        <v>34</v>
      </c>
      <c r="J1" s="38" t="s">
        <v>35</v>
      </c>
      <c r="K1" s="37" t="s">
        <v>90</v>
      </c>
      <c r="L1" s="38" t="s">
        <v>91</v>
      </c>
      <c r="M1" s="37" t="s">
        <v>92</v>
      </c>
      <c r="N1" s="38" t="s">
        <v>36</v>
      </c>
      <c r="O1" s="37" t="s">
        <v>133</v>
      </c>
    </row>
    <row r="2" spans="1:15" x14ac:dyDescent="0.25">
      <c r="A2" s="39" t="str">
        <f>INDEX('Active - Players'!B:C,MATCH(B2,'Active - Players'!C:C,0),1)</f>
        <v>Gillikin</v>
      </c>
      <c r="B2" s="59" t="s">
        <v>76</v>
      </c>
      <c r="C2" s="39" t="s">
        <v>137</v>
      </c>
      <c r="D2" s="74">
        <v>2</v>
      </c>
      <c r="E2" s="74">
        <v>94</v>
      </c>
      <c r="F2" s="74">
        <v>0</v>
      </c>
      <c r="G2" s="74">
        <v>0</v>
      </c>
      <c r="H2" s="74">
        <v>0</v>
      </c>
      <c r="I2" s="74">
        <v>0</v>
      </c>
      <c r="J2" s="41">
        <v>0</v>
      </c>
      <c r="K2" s="41">
        <v>0</v>
      </c>
      <c r="L2" s="41">
        <v>0</v>
      </c>
      <c r="M2" s="41">
        <v>0</v>
      </c>
      <c r="N2" s="41">
        <v>0</v>
      </c>
      <c r="O2" s="42">
        <f t="shared" ref="O2:O33" si="0">(D2*punt_score)+(E2*punt_per_yard)+(F2*punt_blocked)+(G2*touchback)+(H2*in_the_20)+(I2*out_of_backfield)-(J2*punt_return_td)+(K2*_60_64)+(L2*_65_69)+(M2*_70_74)+(N2*_75over)</f>
        <v>9.9</v>
      </c>
    </row>
    <row r="3" spans="1:15" x14ac:dyDescent="0.25">
      <c r="A3" s="39" t="str">
        <f>INDEX('Active - Players'!B:C,MATCH(B3,'Active - Players'!C:C,0),1)</f>
        <v>Pinion</v>
      </c>
      <c r="B3" s="63" t="s">
        <v>75</v>
      </c>
      <c r="C3" s="39"/>
      <c r="D3" s="74">
        <v>6</v>
      </c>
      <c r="E3" s="74">
        <v>295</v>
      </c>
      <c r="F3" s="74">
        <v>0</v>
      </c>
      <c r="G3" s="74">
        <v>0</v>
      </c>
      <c r="H3" s="74">
        <v>1</v>
      </c>
      <c r="I3" s="74">
        <v>1</v>
      </c>
      <c r="J3" s="41">
        <v>0</v>
      </c>
      <c r="K3" s="41">
        <v>0</v>
      </c>
      <c r="L3" s="41">
        <v>0</v>
      </c>
      <c r="M3" s="41">
        <v>0</v>
      </c>
      <c r="N3" s="41">
        <v>0</v>
      </c>
      <c r="O3" s="42">
        <f t="shared" si="0"/>
        <v>39</v>
      </c>
    </row>
    <row r="4" spans="1:15" x14ac:dyDescent="0.25">
      <c r="A4" s="39" t="str">
        <f>INDEX('Active - Players'!B:C,MATCH(B4,'Active - Players'!C:C,0),1)</f>
        <v>Stout</v>
      </c>
      <c r="B4" s="65" t="s">
        <v>96</v>
      </c>
      <c r="C4" s="39"/>
      <c r="D4" s="74">
        <v>7</v>
      </c>
      <c r="E4" s="74">
        <v>329</v>
      </c>
      <c r="F4" s="74">
        <v>0</v>
      </c>
      <c r="G4" s="74">
        <v>0</v>
      </c>
      <c r="H4" s="74">
        <v>2</v>
      </c>
      <c r="I4" s="74">
        <v>0</v>
      </c>
      <c r="J4" s="41">
        <v>0</v>
      </c>
      <c r="K4" s="41">
        <v>0</v>
      </c>
      <c r="L4" s="41">
        <v>1</v>
      </c>
      <c r="M4" s="41">
        <v>0</v>
      </c>
      <c r="N4" s="41">
        <v>0</v>
      </c>
      <c r="O4" s="42">
        <f t="shared" si="0"/>
        <v>50.65</v>
      </c>
    </row>
    <row r="5" spans="1:15" x14ac:dyDescent="0.25">
      <c r="A5" s="39" t="str">
        <f>INDEX('Active - Players'!B:C,MATCH(B5,'Active - Players'!C:C,0),1)</f>
        <v>Martin</v>
      </c>
      <c r="B5" s="61" t="s">
        <v>58</v>
      </c>
      <c r="C5" s="39"/>
      <c r="D5" s="74">
        <v>1</v>
      </c>
      <c r="E5" s="74">
        <v>70</v>
      </c>
      <c r="F5" s="74">
        <v>0</v>
      </c>
      <c r="G5" s="74">
        <v>1</v>
      </c>
      <c r="H5" s="74">
        <v>0</v>
      </c>
      <c r="I5" s="74">
        <v>0</v>
      </c>
      <c r="J5" s="41">
        <v>0</v>
      </c>
      <c r="K5" s="41">
        <v>0</v>
      </c>
      <c r="L5" s="41">
        <v>0</v>
      </c>
      <c r="M5" s="41">
        <v>1</v>
      </c>
      <c r="N5" s="41">
        <v>0</v>
      </c>
      <c r="O5" s="42">
        <f t="shared" si="0"/>
        <v>23.25</v>
      </c>
    </row>
    <row r="6" spans="1:15" x14ac:dyDescent="0.25">
      <c r="A6" s="39" t="str">
        <f>INDEX('Active - Players'!B:C,MATCH(B6,'Active - Players'!C:C,0),1)</f>
        <v>Hekker</v>
      </c>
      <c r="B6" s="50" t="s">
        <v>21</v>
      </c>
      <c r="C6" s="39" t="s">
        <v>145</v>
      </c>
      <c r="D6" s="74">
        <v>5</v>
      </c>
      <c r="E6" s="74">
        <v>246</v>
      </c>
      <c r="F6" s="74">
        <v>0</v>
      </c>
      <c r="G6" s="74">
        <v>0</v>
      </c>
      <c r="H6" s="74">
        <v>3</v>
      </c>
      <c r="I6" s="74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2">
        <f t="shared" si="0"/>
        <v>34.85</v>
      </c>
    </row>
    <row r="7" spans="1:15" x14ac:dyDescent="0.25">
      <c r="A7" s="39" t="str">
        <f>INDEX('Active - Players'!B:C,MATCH(B7,'Active - Players'!C:C,0),1)</f>
        <v>Gill</v>
      </c>
      <c r="B7" s="58" t="s">
        <v>93</v>
      </c>
      <c r="C7" s="39"/>
      <c r="D7" s="74">
        <v>5</v>
      </c>
      <c r="E7" s="74">
        <v>299</v>
      </c>
      <c r="F7" s="74">
        <v>0</v>
      </c>
      <c r="G7" s="74">
        <v>1</v>
      </c>
      <c r="H7" s="74">
        <v>1</v>
      </c>
      <c r="I7" s="74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2">
        <f t="shared" si="0"/>
        <v>35.150000000000006</v>
      </c>
    </row>
    <row r="8" spans="1:15" x14ac:dyDescent="0.25">
      <c r="A8" s="39" t="str">
        <f>INDEX('Active - Players'!B:C,MATCH(B8,'Active - Players'!C:C,0),1)</f>
        <v>Robbins</v>
      </c>
      <c r="B8" s="64" t="s">
        <v>54</v>
      </c>
      <c r="C8" s="39"/>
      <c r="D8" s="74">
        <v>4</v>
      </c>
      <c r="E8" s="74">
        <f>41+44+46+33+46</f>
        <v>210</v>
      </c>
      <c r="F8" s="74"/>
      <c r="G8" s="74"/>
      <c r="H8" s="74">
        <v>1</v>
      </c>
      <c r="I8" s="74">
        <v>1</v>
      </c>
      <c r="J8" s="41"/>
      <c r="K8" s="41"/>
      <c r="L8" s="41"/>
      <c r="M8" s="41"/>
      <c r="N8" s="41"/>
      <c r="O8" s="42">
        <f t="shared" si="0"/>
        <v>30</v>
      </c>
    </row>
    <row r="9" spans="1:15" x14ac:dyDescent="0.25">
      <c r="A9" s="39" t="str">
        <f>INDEX('Active - Players'!B:C,MATCH(B9,'Active - Players'!C:C,0),1)</f>
        <v>Bojorquez</v>
      </c>
      <c r="B9" s="70" t="s">
        <v>82</v>
      </c>
      <c r="C9" s="39"/>
      <c r="D9" s="74">
        <v>3</v>
      </c>
      <c r="E9" s="74">
        <v>139</v>
      </c>
      <c r="F9" s="74">
        <v>0</v>
      </c>
      <c r="G9" s="74">
        <v>0</v>
      </c>
      <c r="H9" s="74">
        <v>2</v>
      </c>
      <c r="I9" s="74">
        <v>1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2">
        <f t="shared" si="0"/>
        <v>25.65</v>
      </c>
    </row>
    <row r="10" spans="1:15" x14ac:dyDescent="0.25">
      <c r="A10" s="39" t="str">
        <f>INDEX('Active - Players'!B:C,MATCH(B10,'Active - Players'!C:C,0),1)</f>
        <v>Anger</v>
      </c>
      <c r="B10" s="45" t="s">
        <v>48</v>
      </c>
      <c r="C10" s="39" t="s">
        <v>141</v>
      </c>
      <c r="D10" s="74">
        <v>2</v>
      </c>
      <c r="E10" s="74">
        <v>102</v>
      </c>
      <c r="F10" s="74">
        <v>0</v>
      </c>
      <c r="G10" s="74">
        <v>0</v>
      </c>
      <c r="H10" s="74">
        <v>1</v>
      </c>
      <c r="I10" s="74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2">
        <f t="shared" si="0"/>
        <v>13.700000000000001</v>
      </c>
    </row>
    <row r="11" spans="1:15" x14ac:dyDescent="0.25">
      <c r="A11" s="39" t="str">
        <f>INDEX('Active - Players'!B:C,MATCH(B11,'Active - Players'!C:C,0),1)</f>
        <v>Dixon</v>
      </c>
      <c r="B11" s="40" t="s">
        <v>57</v>
      </c>
      <c r="C11" s="39"/>
      <c r="D11" s="74">
        <v>5</v>
      </c>
      <c r="E11" s="74">
        <v>234</v>
      </c>
      <c r="F11" s="74">
        <v>0</v>
      </c>
      <c r="G11" s="74">
        <v>0</v>
      </c>
      <c r="H11" s="74">
        <v>3</v>
      </c>
      <c r="I11" s="74">
        <v>0</v>
      </c>
      <c r="J11" s="41">
        <v>0</v>
      </c>
      <c r="K11" s="41">
        <v>1</v>
      </c>
      <c r="L11" s="41">
        <v>0</v>
      </c>
      <c r="M11" s="41">
        <v>0</v>
      </c>
      <c r="N11" s="41">
        <v>0</v>
      </c>
      <c r="O11" s="42">
        <f t="shared" si="0"/>
        <v>38.650000000000006</v>
      </c>
    </row>
    <row r="12" spans="1:15" x14ac:dyDescent="0.25">
      <c r="A12" s="39" t="str">
        <f>INDEX('Active - Players'!B:C,MATCH(B12,'Active - Players'!C:C,0),1)</f>
        <v>Fox</v>
      </c>
      <c r="B12" s="57" t="s">
        <v>72</v>
      </c>
      <c r="C12" s="39"/>
      <c r="D12" s="74">
        <v>6</v>
      </c>
      <c r="E12" s="74">
        <v>274</v>
      </c>
      <c r="F12" s="74">
        <v>0</v>
      </c>
      <c r="G12" s="74">
        <v>0</v>
      </c>
      <c r="H12" s="74">
        <v>2</v>
      </c>
      <c r="I12" s="74">
        <v>0</v>
      </c>
      <c r="J12" s="41">
        <v>0</v>
      </c>
      <c r="K12" s="41">
        <v>1</v>
      </c>
      <c r="L12" s="41">
        <v>0</v>
      </c>
      <c r="M12" s="41">
        <v>0</v>
      </c>
      <c r="N12" s="41">
        <v>0</v>
      </c>
      <c r="O12" s="42">
        <f t="shared" si="0"/>
        <v>39.900000000000006</v>
      </c>
    </row>
    <row r="13" spans="1:15" x14ac:dyDescent="0.25">
      <c r="A13" s="39" t="str">
        <f>INDEX('Active - Players'!B:C,MATCH(B13,'Active - Players'!C:C,0),1)</f>
        <v>Whelan</v>
      </c>
      <c r="B13" s="67" t="s">
        <v>106</v>
      </c>
      <c r="C13" s="39"/>
      <c r="D13" s="74">
        <v>4</v>
      </c>
      <c r="E13" s="74">
        <v>153</v>
      </c>
      <c r="F13" s="74">
        <v>0</v>
      </c>
      <c r="G13" s="74">
        <v>0</v>
      </c>
      <c r="H13" s="74">
        <v>2</v>
      </c>
      <c r="I13" s="74">
        <v>0</v>
      </c>
      <c r="J13" s="41">
        <v>1</v>
      </c>
      <c r="K13" s="41">
        <v>0</v>
      </c>
      <c r="L13" s="41">
        <v>0</v>
      </c>
      <c r="M13" s="41">
        <v>0</v>
      </c>
      <c r="N13" s="41">
        <v>0</v>
      </c>
      <c r="O13" s="42">
        <f t="shared" si="0"/>
        <v>28.3</v>
      </c>
    </row>
    <row r="14" spans="1:15" x14ac:dyDescent="0.25">
      <c r="A14" s="39" t="str">
        <f>INDEX('Active - Players'!B:C,MATCH(B14,'Active - Players'!C:C,0),1)</f>
        <v>Johnston</v>
      </c>
      <c r="B14" s="47" t="s">
        <v>51</v>
      </c>
      <c r="C14" s="39" t="s">
        <v>143</v>
      </c>
      <c r="D14" s="74">
        <v>4</v>
      </c>
      <c r="E14" s="74">
        <v>173</v>
      </c>
      <c r="F14" s="74">
        <v>0</v>
      </c>
      <c r="G14" s="74">
        <v>0</v>
      </c>
      <c r="H14" s="74">
        <v>1</v>
      </c>
      <c r="I14" s="74">
        <v>0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2">
        <f t="shared" si="0"/>
        <v>21.3</v>
      </c>
    </row>
    <row r="15" spans="1:15" x14ac:dyDescent="0.25">
      <c r="A15" s="39" t="str">
        <f>INDEX('Active - Players'!B:C,MATCH(B15,'Active - Players'!C:C,0),1)</f>
        <v>Sanchez</v>
      </c>
      <c r="B15" s="45" t="s">
        <v>126</v>
      </c>
      <c r="C15" s="39"/>
      <c r="D15" s="74">
        <v>7</v>
      </c>
      <c r="E15" s="74">
        <v>325</v>
      </c>
      <c r="F15" s="74">
        <v>0</v>
      </c>
      <c r="G15" s="74">
        <v>0</v>
      </c>
      <c r="H15" s="74">
        <v>3</v>
      </c>
      <c r="I15" s="74">
        <v>1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2">
        <f t="shared" si="0"/>
        <v>48.25</v>
      </c>
    </row>
    <row r="16" spans="1:15" x14ac:dyDescent="0.25">
      <c r="A16" s="39" t="str">
        <f>INDEX('Active - Players'!B:C,MATCH(B16,'Active - Players'!C:C,0),1)</f>
        <v>Cooke</v>
      </c>
      <c r="B16" s="44" t="s">
        <v>39</v>
      </c>
      <c r="C16" s="39"/>
      <c r="D16" s="74">
        <v>2</v>
      </c>
      <c r="E16" s="74">
        <v>94</v>
      </c>
      <c r="F16" s="74">
        <v>0</v>
      </c>
      <c r="G16" s="74">
        <v>1</v>
      </c>
      <c r="H16" s="74">
        <v>1</v>
      </c>
      <c r="I16" s="74">
        <v>1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2">
        <f t="shared" si="0"/>
        <v>18.899999999999999</v>
      </c>
    </row>
    <row r="17" spans="1:17" x14ac:dyDescent="0.25">
      <c r="A17" s="39" t="str">
        <f>INDEX('Active - Players'!B:C,MATCH(B17,'Active - Players'!C:C,0),1)</f>
        <v>Townsend</v>
      </c>
      <c r="B17" s="66" t="s">
        <v>12</v>
      </c>
      <c r="C17" s="39"/>
      <c r="D17" s="74">
        <v>1</v>
      </c>
      <c r="E17" s="74">
        <v>55</v>
      </c>
      <c r="F17" s="74">
        <v>0</v>
      </c>
      <c r="G17" s="74">
        <v>0</v>
      </c>
      <c r="H17" s="74">
        <v>1</v>
      </c>
      <c r="I17" s="74">
        <v>1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2">
        <f t="shared" si="0"/>
        <v>13.75</v>
      </c>
    </row>
    <row r="18" spans="1:17" x14ac:dyDescent="0.25">
      <c r="A18" s="39" t="str">
        <f>INDEX('Active - Players'!B:C,MATCH(B18,'Active - Players'!C:C,0),1)</f>
        <v>Cole</v>
      </c>
      <c r="B18" s="54" t="s">
        <v>27</v>
      </c>
      <c r="C18" s="39" t="s">
        <v>135</v>
      </c>
      <c r="D18" s="74">
        <v>6</v>
      </c>
      <c r="E18" s="74">
        <v>262</v>
      </c>
      <c r="F18" s="74">
        <v>0</v>
      </c>
      <c r="G18" s="74">
        <v>1</v>
      </c>
      <c r="H18" s="74">
        <v>1</v>
      </c>
      <c r="I18" s="74">
        <v>1</v>
      </c>
      <c r="J18" s="41">
        <v>0</v>
      </c>
      <c r="K18" s="41">
        <v>1</v>
      </c>
      <c r="L18" s="41"/>
      <c r="M18" s="41"/>
      <c r="N18" s="41"/>
      <c r="O18" s="42">
        <f t="shared" si="0"/>
        <v>41.7</v>
      </c>
      <c r="P18">
        <f>97.14+19.75+28.75+69.25+42.75+33.25+70.25+110+66+5+46+45</f>
        <v>633.14</v>
      </c>
      <c r="Q18" s="75">
        <f>P18+O18</f>
        <v>674.84</v>
      </c>
    </row>
    <row r="19" spans="1:17" x14ac:dyDescent="0.25">
      <c r="A19" s="39" t="str">
        <f>INDEX('Active - Players'!B:C,MATCH(B19,'Active - Players'!C:C,0),1)</f>
        <v>Scott</v>
      </c>
      <c r="B19" s="71" t="s">
        <v>160</v>
      </c>
      <c r="C19" s="39"/>
      <c r="D19" s="74">
        <v>3</v>
      </c>
      <c r="E19" s="74">
        <v>112</v>
      </c>
      <c r="F19" s="74">
        <v>0</v>
      </c>
      <c r="G19" s="74">
        <v>0</v>
      </c>
      <c r="H19" s="74">
        <v>1</v>
      </c>
      <c r="I19" s="74">
        <v>1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2">
        <f t="shared" si="0"/>
        <v>19.950000000000003</v>
      </c>
    </row>
    <row r="20" spans="1:17" x14ac:dyDescent="0.25">
      <c r="A20" s="39" t="str">
        <f>INDEX('Active - Players'!B:C,MATCH(B20,'Active - Players'!C:C,0),1)</f>
        <v>Evans</v>
      </c>
      <c r="B20" s="49" t="s">
        <v>121</v>
      </c>
      <c r="C20" s="39"/>
      <c r="D20" s="74">
        <v>6</v>
      </c>
      <c r="E20" s="74">
        <f>55+46+58+51+45+51</f>
        <v>306</v>
      </c>
      <c r="F20" s="74"/>
      <c r="G20" s="74"/>
      <c r="H20" s="74">
        <v>3</v>
      </c>
      <c r="I20" s="74">
        <v>1</v>
      </c>
      <c r="J20" s="41"/>
      <c r="K20" s="41"/>
      <c r="L20" s="41"/>
      <c r="M20" s="41"/>
      <c r="N20" s="41"/>
      <c r="O20" s="42">
        <f t="shared" si="0"/>
        <v>46.1</v>
      </c>
    </row>
    <row r="21" spans="1:17" x14ac:dyDescent="0.25">
      <c r="A21" s="39" t="str">
        <f>INDEX('Active - Players'!B:C,MATCH(B21,'Active - Players'!C:C,0),1)</f>
        <v>Bailey</v>
      </c>
      <c r="B21" s="55" t="s">
        <v>115</v>
      </c>
      <c r="C21" s="39"/>
      <c r="D21" s="74">
        <v>1</v>
      </c>
      <c r="E21" s="74">
        <v>48</v>
      </c>
      <c r="F21" s="74">
        <v>0</v>
      </c>
      <c r="G21" s="74">
        <v>0</v>
      </c>
      <c r="H21" s="74">
        <v>0</v>
      </c>
      <c r="I21" s="74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2">
        <f t="shared" si="0"/>
        <v>5.0500000000000007</v>
      </c>
    </row>
    <row r="22" spans="1:17" x14ac:dyDescent="0.25">
      <c r="A22" s="39" t="str">
        <f>INDEX('Active - Players'!B:C,MATCH(B22,'Active - Players'!C:C,0),1)</f>
        <v>Wright</v>
      </c>
      <c r="B22" s="69" t="s">
        <v>42</v>
      </c>
      <c r="C22" s="39"/>
      <c r="D22" s="74">
        <v>3</v>
      </c>
      <c r="E22" s="74">
        <v>145</v>
      </c>
      <c r="F22" s="74">
        <v>0</v>
      </c>
      <c r="G22" s="74">
        <v>2</v>
      </c>
      <c r="H22" s="74">
        <v>1</v>
      </c>
      <c r="I22" s="74">
        <v>1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2">
        <f t="shared" si="0"/>
        <v>25.25</v>
      </c>
    </row>
    <row r="23" spans="1:17" x14ac:dyDescent="0.25">
      <c r="A23" s="39" t="str">
        <f>INDEX('Active - Players'!B:C,MATCH(B23,'Active - Players'!C:C,0),1)</f>
        <v>Baringer</v>
      </c>
      <c r="B23" s="56" t="s">
        <v>67</v>
      </c>
      <c r="C23" s="39"/>
      <c r="D23" s="74">
        <v>8</v>
      </c>
      <c r="E23" s="74">
        <v>322</v>
      </c>
      <c r="F23" s="74">
        <v>0</v>
      </c>
      <c r="G23" s="74">
        <v>0</v>
      </c>
      <c r="H23" s="74">
        <v>4</v>
      </c>
      <c r="I23" s="74">
        <v>1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2">
        <f t="shared" si="0"/>
        <v>51.2</v>
      </c>
    </row>
    <row r="24" spans="1:17" x14ac:dyDescent="0.25">
      <c r="A24" s="39" t="str">
        <f>INDEX('Active - Players'!B:C,MATCH(B24,'Active - Players'!C:C,0),1)</f>
        <v>Hedley</v>
      </c>
      <c r="B24" s="46" t="s">
        <v>64</v>
      </c>
      <c r="C24" s="39" t="s">
        <v>139</v>
      </c>
      <c r="D24" s="74">
        <v>7</v>
      </c>
      <c r="E24" s="74">
        <v>293</v>
      </c>
      <c r="F24" s="74">
        <v>0</v>
      </c>
      <c r="G24" s="74">
        <v>0</v>
      </c>
      <c r="H24" s="74">
        <v>2</v>
      </c>
      <c r="I24" s="74">
        <v>2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2">
        <f t="shared" si="0"/>
        <v>47.05</v>
      </c>
      <c r="P24">
        <f>79.22+43.5+59.75+45.5+8.25+28.5+15.75+249+101+39+17.6+41</f>
        <v>728.07</v>
      </c>
      <c r="Q24" s="75">
        <f>P24+O24</f>
        <v>775.12</v>
      </c>
    </row>
    <row r="25" spans="1:17" x14ac:dyDescent="0.25">
      <c r="A25" s="39" t="str">
        <f>INDEX('Active - Players'!B:C,MATCH(B25,'Active - Players'!C:C,0),1)</f>
        <v>Gillan</v>
      </c>
      <c r="B25" s="52" t="s">
        <v>99</v>
      </c>
      <c r="C25" s="39" t="s">
        <v>134</v>
      </c>
      <c r="D25" s="74">
        <v>6</v>
      </c>
      <c r="E25" s="74">
        <v>316</v>
      </c>
      <c r="F25" s="74">
        <v>0</v>
      </c>
      <c r="G25" s="74">
        <v>0</v>
      </c>
      <c r="H25" s="74">
        <v>1</v>
      </c>
      <c r="I25" s="74">
        <v>0</v>
      </c>
      <c r="J25" s="41">
        <v>0</v>
      </c>
      <c r="K25" s="41">
        <v>1</v>
      </c>
      <c r="L25" s="41">
        <v>0</v>
      </c>
      <c r="M25" s="41">
        <v>0</v>
      </c>
      <c r="N25" s="41">
        <v>0</v>
      </c>
      <c r="O25" s="42">
        <f t="shared" si="0"/>
        <v>41.1</v>
      </c>
    </row>
    <row r="26" spans="1:17" x14ac:dyDescent="0.25">
      <c r="A26" s="39" t="str">
        <f>INDEX('Active - Players'!B:C,MATCH(B26,'Active - Players'!C:C,0),1)</f>
        <v>Morstead</v>
      </c>
      <c r="B26" s="62" t="s">
        <v>102</v>
      </c>
      <c r="C26" s="39"/>
      <c r="D26" s="74">
        <v>8</v>
      </c>
      <c r="E26" s="74">
        <v>410</v>
      </c>
      <c r="F26" s="74">
        <v>0</v>
      </c>
      <c r="G26" s="74">
        <v>2</v>
      </c>
      <c r="H26" s="74">
        <v>1</v>
      </c>
      <c r="I26" s="74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2">
        <f t="shared" si="0"/>
        <v>48</v>
      </c>
    </row>
    <row r="27" spans="1:17" x14ac:dyDescent="0.25">
      <c r="A27" s="39" t="str">
        <f>INDEX('Active - Players'!B:C,MATCH(B27,'Active - Players'!C:C,0),1)</f>
        <v>Mann</v>
      </c>
      <c r="B27" s="60" t="s">
        <v>105</v>
      </c>
      <c r="C27" s="39"/>
      <c r="D27" s="74">
        <v>1</v>
      </c>
      <c r="E27" s="74">
        <v>38</v>
      </c>
      <c r="F27" s="74">
        <v>0</v>
      </c>
      <c r="G27" s="74">
        <v>0</v>
      </c>
      <c r="H27" s="74">
        <v>1</v>
      </c>
      <c r="I27" s="74">
        <v>0</v>
      </c>
      <c r="J27" s="41">
        <v>0</v>
      </c>
      <c r="K27" s="41">
        <v>0</v>
      </c>
      <c r="L27" s="41">
        <v>0</v>
      </c>
      <c r="M27" s="41">
        <v>0</v>
      </c>
      <c r="N27" s="41">
        <v>0</v>
      </c>
      <c r="O27" s="42">
        <f t="shared" si="0"/>
        <v>7.0500000000000007</v>
      </c>
    </row>
    <row r="28" spans="1:17" x14ac:dyDescent="0.25">
      <c r="A28" s="39" t="str">
        <f>INDEX('Active - Players'!B:C,MATCH(B28,'Active - Players'!C:C,0),1)</f>
        <v>Wing</v>
      </c>
      <c r="B28" s="51" t="s">
        <v>79</v>
      </c>
      <c r="C28" s="39" t="s">
        <v>140</v>
      </c>
      <c r="D28" s="74">
        <v>6</v>
      </c>
      <c r="E28" s="74">
        <v>323</v>
      </c>
      <c r="F28" s="74">
        <v>0</v>
      </c>
      <c r="G28" s="74">
        <v>0</v>
      </c>
      <c r="H28" s="74">
        <v>3</v>
      </c>
      <c r="I28" s="74">
        <v>0</v>
      </c>
      <c r="J28" s="41">
        <v>0</v>
      </c>
      <c r="K28" s="41">
        <v>1</v>
      </c>
      <c r="L28" s="41">
        <v>0</v>
      </c>
      <c r="M28" s="41">
        <v>0</v>
      </c>
      <c r="N28" s="41">
        <v>0</v>
      </c>
      <c r="O28" s="42">
        <f t="shared" si="0"/>
        <v>47.800000000000004</v>
      </c>
    </row>
    <row r="29" spans="1:17" x14ac:dyDescent="0.25">
      <c r="A29" s="39" t="str">
        <f>INDEX('Active - Players'!B:C,MATCH(B29,'Active - Players'!C:C,0),1)</f>
        <v>Wishnowsky</v>
      </c>
      <c r="B29" s="68" t="s">
        <v>109</v>
      </c>
      <c r="C29" s="39"/>
      <c r="D29" s="74">
        <v>3</v>
      </c>
      <c r="E29" s="74">
        <v>128</v>
      </c>
      <c r="F29" s="74">
        <v>0</v>
      </c>
      <c r="G29" s="74">
        <v>0</v>
      </c>
      <c r="H29" s="74">
        <v>2</v>
      </c>
      <c r="I29" s="74">
        <v>1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2">
        <f t="shared" si="0"/>
        <v>24.55</v>
      </c>
    </row>
    <row r="30" spans="1:17" x14ac:dyDescent="0.25">
      <c r="A30" s="39" t="str">
        <f>INDEX('Active - Players'!B:C,MATCH(B30,'Active - Players'!C:C,0),1)</f>
        <v>Dickson</v>
      </c>
      <c r="B30" s="72" t="s">
        <v>18</v>
      </c>
      <c r="C30" s="39" t="s">
        <v>144</v>
      </c>
      <c r="D30" s="74">
        <v>2</v>
      </c>
      <c r="E30" s="74">
        <v>93</v>
      </c>
      <c r="F30" s="74">
        <v>0</v>
      </c>
      <c r="G30" s="74">
        <v>0</v>
      </c>
      <c r="H30" s="74">
        <v>0</v>
      </c>
      <c r="I30" s="74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2">
        <f t="shared" si="0"/>
        <v>9.8000000000000007</v>
      </c>
    </row>
    <row r="31" spans="1:17" x14ac:dyDescent="0.25">
      <c r="A31" s="39" t="str">
        <f>INDEX('Active - Players'!B:C,MATCH(B31,'Active - Players'!C:C,0),1)</f>
        <v>Camarda</v>
      </c>
      <c r="B31" s="73" t="s">
        <v>63</v>
      </c>
      <c r="C31" s="39" t="s">
        <v>138</v>
      </c>
      <c r="D31" s="74">
        <v>4</v>
      </c>
      <c r="E31" s="74">
        <v>230</v>
      </c>
      <c r="F31" s="74">
        <v>0</v>
      </c>
      <c r="G31" s="74">
        <v>0</v>
      </c>
      <c r="H31" s="74">
        <v>4</v>
      </c>
      <c r="I31" s="74">
        <v>0</v>
      </c>
      <c r="J31" s="41">
        <v>0</v>
      </c>
      <c r="K31" s="41">
        <v>1</v>
      </c>
      <c r="L31" s="41">
        <v>0</v>
      </c>
      <c r="M31" s="41">
        <v>1</v>
      </c>
      <c r="N31" s="41">
        <v>0</v>
      </c>
      <c r="O31" s="42">
        <f t="shared" si="0"/>
        <v>56</v>
      </c>
    </row>
    <row r="32" spans="1:17" x14ac:dyDescent="0.25">
      <c r="A32" s="39" t="str">
        <f>INDEX('Active - Players'!B:C,MATCH(B32,'Active - Players'!C:C,0),1)</f>
        <v>Stonehouse</v>
      </c>
      <c r="B32" s="48" t="s">
        <v>24</v>
      </c>
      <c r="C32" s="39" t="s">
        <v>136</v>
      </c>
      <c r="D32" s="74">
        <v>7</v>
      </c>
      <c r="E32" s="74">
        <v>374</v>
      </c>
      <c r="F32" s="74">
        <v>0</v>
      </c>
      <c r="G32" s="74">
        <v>2</v>
      </c>
      <c r="H32" s="74">
        <v>4</v>
      </c>
      <c r="I32" s="74">
        <v>3</v>
      </c>
      <c r="J32" s="41">
        <v>0</v>
      </c>
      <c r="K32" s="41">
        <v>0</v>
      </c>
      <c r="L32" s="41">
        <v>0</v>
      </c>
      <c r="M32" s="41">
        <v>0</v>
      </c>
      <c r="N32" s="41">
        <v>1</v>
      </c>
      <c r="O32" s="42">
        <f t="shared" si="0"/>
        <v>88.15</v>
      </c>
      <c r="P32">
        <f>61.45+5+47.5+74.25+16+43+18.75+50+115+41+37+47.5</f>
        <v>556.45000000000005</v>
      </c>
      <c r="Q32" s="75">
        <f>P32+O32</f>
        <v>644.6</v>
      </c>
    </row>
    <row r="33" spans="1:15" x14ac:dyDescent="0.25">
      <c r="A33" s="39" t="str">
        <f>INDEX('Active - Players'!B:C,MATCH(B33,'Active - Players'!C:C,0),1)</f>
        <v>Way</v>
      </c>
      <c r="B33" s="53" t="s">
        <v>45</v>
      </c>
      <c r="C33" s="39" t="s">
        <v>142</v>
      </c>
      <c r="D33" s="74">
        <v>3</v>
      </c>
      <c r="E33" s="74">
        <v>150</v>
      </c>
      <c r="F33" s="74">
        <v>0</v>
      </c>
      <c r="G33" s="74">
        <v>0</v>
      </c>
      <c r="H33" s="74">
        <v>0</v>
      </c>
      <c r="I33" s="74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2">
        <f t="shared" si="0"/>
        <v>15.75</v>
      </c>
    </row>
  </sheetData>
  <sortState xmlns:xlrd2="http://schemas.microsoft.com/office/spreadsheetml/2017/richdata2" ref="A2:O33">
    <sortCondition ref="B1:B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5AC6-990E-47B9-8EAF-306A210A3546}">
  <dimension ref="A1:O33"/>
  <sheetViews>
    <sheetView workbookViewId="0">
      <selection activeCell="E17" sqref="E17"/>
    </sheetView>
  </sheetViews>
  <sheetFormatPr defaultRowHeight="15" x14ac:dyDescent="0.25"/>
  <cols>
    <col min="1" max="1" width="12.140625" bestFit="1" customWidth="1"/>
    <col min="2" max="2" width="24.140625" bestFit="1" customWidth="1"/>
    <col min="3" max="3" width="27.140625" bestFit="1" customWidth="1"/>
    <col min="4" max="4" width="6" bestFit="1" customWidth="1"/>
    <col min="5" max="5" width="18.85546875" bestFit="1" customWidth="1"/>
    <col min="6" max="6" width="12.5703125" bestFit="1" customWidth="1"/>
    <col min="7" max="7" width="10.7109375" bestFit="1" customWidth="1"/>
    <col min="8" max="8" width="8.5703125" bestFit="1" customWidth="1"/>
    <col min="9" max="9" width="18.85546875" bestFit="1" customWidth="1"/>
    <col min="10" max="10" width="22" bestFit="1" customWidth="1"/>
    <col min="11" max="13" width="14.7109375" bestFit="1" customWidth="1"/>
    <col min="14" max="14" width="16.7109375" bestFit="1" customWidth="1"/>
    <col min="15" max="15" width="10.7109375" bestFit="1" customWidth="1"/>
  </cols>
  <sheetData>
    <row r="1" spans="1:15" x14ac:dyDescent="0.25">
      <c r="A1" s="37" t="s">
        <v>129</v>
      </c>
      <c r="B1" s="37" t="s">
        <v>130</v>
      </c>
      <c r="C1" s="37" t="s">
        <v>131</v>
      </c>
      <c r="D1" s="38" t="s">
        <v>132</v>
      </c>
      <c r="E1" s="37" t="s">
        <v>30</v>
      </c>
      <c r="F1" s="38" t="s">
        <v>31</v>
      </c>
      <c r="G1" s="37" t="s">
        <v>32</v>
      </c>
      <c r="H1" s="38" t="s">
        <v>33</v>
      </c>
      <c r="I1" s="37" t="s">
        <v>34</v>
      </c>
      <c r="J1" s="38" t="s">
        <v>35</v>
      </c>
      <c r="K1" s="37" t="s">
        <v>90</v>
      </c>
      <c r="L1" s="38" t="s">
        <v>91</v>
      </c>
      <c r="M1" s="37" t="s">
        <v>92</v>
      </c>
      <c r="N1" s="38" t="s">
        <v>36</v>
      </c>
      <c r="O1" s="37" t="s">
        <v>133</v>
      </c>
    </row>
    <row r="2" spans="1:15" x14ac:dyDescent="0.25">
      <c r="A2" s="39" t="str">
        <f>INDEX('Active - Players'!B:C,MATCH(B2,'Active - Players'!C:C,0),1)</f>
        <v>Gillikin</v>
      </c>
      <c r="B2" s="59" t="s">
        <v>76</v>
      </c>
      <c r="C2" s="39" t="s">
        <v>137</v>
      </c>
      <c r="D2" s="41">
        <v>3</v>
      </c>
      <c r="E2" s="41">
        <v>93</v>
      </c>
      <c r="F2" s="41">
        <v>0</v>
      </c>
      <c r="G2" s="41">
        <v>0</v>
      </c>
      <c r="H2" s="41">
        <v>0</v>
      </c>
      <c r="I2" s="41">
        <v>0</v>
      </c>
      <c r="J2" s="41">
        <v>0</v>
      </c>
      <c r="K2" s="41">
        <v>0</v>
      </c>
      <c r="L2" s="41">
        <v>0</v>
      </c>
      <c r="M2" s="41">
        <v>0</v>
      </c>
      <c r="N2" s="41">
        <v>0</v>
      </c>
      <c r="O2" s="42">
        <f t="shared" ref="O2:O33" si="0">(D2*punt_score)+(E2*punt_per_yard)+(F2*punt_blocked)+(G2*touchback)+(H2*in_the_20)+(I2*out_of_backfield)-(J2*punt_return_td)+(K2*_60_64)+(L2*_65_69)+(M2*_70_74)+(N2*_75over)</f>
        <v>10.050000000000001</v>
      </c>
    </row>
    <row r="3" spans="1:15" x14ac:dyDescent="0.25">
      <c r="A3" s="39" t="str">
        <f>INDEX('Active - Players'!B:C,MATCH(B3,'Active - Players'!C:C,0),1)</f>
        <v>Pinion</v>
      </c>
      <c r="B3" s="63" t="s">
        <v>75</v>
      </c>
      <c r="C3" s="39"/>
      <c r="D3" s="41">
        <v>5</v>
      </c>
      <c r="E3" s="41">
        <v>254</v>
      </c>
      <c r="F3" s="41">
        <v>0</v>
      </c>
      <c r="G3" s="41"/>
      <c r="H3" s="41">
        <v>3</v>
      </c>
      <c r="I3" s="41">
        <v>1</v>
      </c>
      <c r="J3" s="41">
        <v>0</v>
      </c>
      <c r="K3" s="41">
        <v>2</v>
      </c>
      <c r="L3" s="41">
        <v>0</v>
      </c>
      <c r="M3" s="41">
        <v>0</v>
      </c>
      <c r="N3" s="41">
        <v>0</v>
      </c>
      <c r="O3" s="42">
        <f t="shared" si="0"/>
        <v>50.650000000000006</v>
      </c>
    </row>
    <row r="4" spans="1:15" x14ac:dyDescent="0.25">
      <c r="A4" s="39" t="str">
        <f>INDEX('Active - Players'!B:C,MATCH(B4,'Active - Players'!C:C,0),1)</f>
        <v>Stout</v>
      </c>
      <c r="B4" s="65" t="s">
        <v>96</v>
      </c>
      <c r="C4" s="39"/>
      <c r="D4" s="41">
        <v>7</v>
      </c>
      <c r="E4" s="41">
        <v>310</v>
      </c>
      <c r="F4" s="41">
        <v>0</v>
      </c>
      <c r="G4" s="41">
        <v>0</v>
      </c>
      <c r="H4" s="41">
        <v>3</v>
      </c>
      <c r="I4" s="41">
        <v>2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2">
        <f t="shared" si="0"/>
        <v>51.75</v>
      </c>
    </row>
    <row r="5" spans="1:15" x14ac:dyDescent="0.25">
      <c r="A5" s="39" t="str">
        <f>INDEX('Active - Players'!B:C,MATCH(B5,'Active - Players'!C:C,0),1)</f>
        <v>Martin</v>
      </c>
      <c r="B5" s="61" t="s">
        <v>58</v>
      </c>
      <c r="C5" s="39"/>
      <c r="D5" s="41">
        <v>2</v>
      </c>
      <c r="E5" s="41">
        <v>93</v>
      </c>
      <c r="F5" s="41">
        <v>0</v>
      </c>
      <c r="G5" s="41">
        <v>0</v>
      </c>
      <c r="H5" s="41">
        <v>1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2">
        <f t="shared" si="0"/>
        <v>12.8</v>
      </c>
    </row>
    <row r="6" spans="1:15" x14ac:dyDescent="0.25">
      <c r="A6" s="39" t="str">
        <f>INDEX('Active - Players'!B:C,MATCH(B6,'Active - Players'!C:C,0),1)</f>
        <v>Hekker</v>
      </c>
      <c r="B6" s="50" t="s">
        <v>21</v>
      </c>
      <c r="C6" s="39" t="s">
        <v>145</v>
      </c>
      <c r="D6" s="41">
        <v>5</v>
      </c>
      <c r="E6" s="41">
        <v>200</v>
      </c>
      <c r="F6" s="41">
        <v>0</v>
      </c>
      <c r="G6" s="41">
        <v>1</v>
      </c>
      <c r="H6" s="41">
        <v>2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2">
        <f t="shared" si="0"/>
        <v>28.25</v>
      </c>
    </row>
    <row r="7" spans="1:15" x14ac:dyDescent="0.25">
      <c r="A7" s="39" t="str">
        <f>INDEX('Active - Players'!B:C,MATCH(B7,'Active - Players'!C:C,0),1)</f>
        <v>Gill</v>
      </c>
      <c r="B7" s="58" t="s">
        <v>93</v>
      </c>
      <c r="C7" s="39"/>
      <c r="D7" s="41">
        <v>2</v>
      </c>
      <c r="E7" s="41">
        <v>65</v>
      </c>
      <c r="F7" s="41">
        <v>0</v>
      </c>
      <c r="G7" s="41">
        <v>0</v>
      </c>
      <c r="H7" s="41">
        <v>1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2">
        <f t="shared" si="0"/>
        <v>10</v>
      </c>
    </row>
    <row r="8" spans="1:15" x14ac:dyDescent="0.25">
      <c r="A8" s="39" t="str">
        <f>INDEX('Active - Players'!B:C,MATCH(B8,'Active - Players'!C:C,0),1)</f>
        <v>Robbins</v>
      </c>
      <c r="B8" s="64" t="s">
        <v>54</v>
      </c>
      <c r="C8" s="39"/>
      <c r="D8" s="41">
        <v>5</v>
      </c>
      <c r="E8" s="41">
        <v>200</v>
      </c>
      <c r="F8" s="41">
        <v>0</v>
      </c>
      <c r="G8" s="41">
        <v>0</v>
      </c>
      <c r="H8" s="41">
        <v>0</v>
      </c>
      <c r="I8" s="41">
        <v>1</v>
      </c>
      <c r="J8" s="41">
        <v>0</v>
      </c>
      <c r="K8" s="41">
        <v>1</v>
      </c>
      <c r="L8" s="41">
        <v>0</v>
      </c>
      <c r="M8" s="41">
        <v>0</v>
      </c>
      <c r="N8" s="41">
        <v>0</v>
      </c>
      <c r="O8" s="42">
        <f t="shared" si="0"/>
        <v>31.25</v>
      </c>
    </row>
    <row r="9" spans="1:15" x14ac:dyDescent="0.25">
      <c r="A9" s="39" t="str">
        <f>INDEX('Active - Players'!B:C,MATCH(B9,'Active - Players'!C:C,0),1)</f>
        <v>Bojorquez</v>
      </c>
      <c r="B9" s="70" t="s">
        <v>82</v>
      </c>
      <c r="C9" s="39"/>
      <c r="D9" s="41">
        <v>8</v>
      </c>
      <c r="E9" s="41">
        <v>326</v>
      </c>
      <c r="F9" s="41">
        <v>0</v>
      </c>
      <c r="G9" s="41">
        <v>0</v>
      </c>
      <c r="H9" s="41">
        <v>1</v>
      </c>
      <c r="I9" s="41">
        <v>2</v>
      </c>
      <c r="J9" s="41">
        <v>0</v>
      </c>
      <c r="K9" s="41">
        <v>0</v>
      </c>
      <c r="L9" s="41">
        <v>1</v>
      </c>
      <c r="M9" s="41">
        <v>0</v>
      </c>
      <c r="N9" s="41">
        <v>0</v>
      </c>
      <c r="O9" s="42">
        <f t="shared" si="0"/>
        <v>57.6</v>
      </c>
    </row>
    <row r="10" spans="1:15" x14ac:dyDescent="0.25">
      <c r="A10" s="39" t="str">
        <f>INDEX('Active - Players'!B:C,MATCH(B10,'Active - Players'!C:C,0),1)</f>
        <v>Anger</v>
      </c>
      <c r="B10" s="45" t="s">
        <v>48</v>
      </c>
      <c r="C10" s="39" t="s">
        <v>141</v>
      </c>
      <c r="D10" s="41">
        <v>2</v>
      </c>
      <c r="E10" s="41">
        <v>114</v>
      </c>
      <c r="F10" s="41">
        <v>0</v>
      </c>
      <c r="G10" s="41">
        <v>0</v>
      </c>
      <c r="H10" s="41">
        <v>2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2">
        <f t="shared" si="0"/>
        <v>17.899999999999999</v>
      </c>
    </row>
    <row r="11" spans="1:15" x14ac:dyDescent="0.25">
      <c r="A11" s="39" t="str">
        <f>INDEX('Active - Players'!B:C,MATCH(B11,'Active - Players'!C:C,0),1)</f>
        <v>Dixon</v>
      </c>
      <c r="B11" s="40" t="s">
        <v>57</v>
      </c>
      <c r="C11" s="39"/>
      <c r="D11" s="41">
        <v>4</v>
      </c>
      <c r="E11" s="41">
        <v>155</v>
      </c>
      <c r="F11" s="41">
        <v>0</v>
      </c>
      <c r="G11" s="41">
        <v>0</v>
      </c>
      <c r="H11" s="41">
        <v>2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2">
        <f t="shared" si="0"/>
        <v>22.5</v>
      </c>
    </row>
    <row r="12" spans="1:15" x14ac:dyDescent="0.25">
      <c r="A12" s="39" t="str">
        <f>INDEX('Active - Players'!B:C,MATCH(B12,'Active - Players'!C:C,0),1)</f>
        <v>Fox</v>
      </c>
      <c r="B12" s="57" t="s">
        <v>72</v>
      </c>
      <c r="C12" s="39"/>
      <c r="D12" s="41">
        <v>4</v>
      </c>
      <c r="E12" s="41">
        <v>146</v>
      </c>
      <c r="F12" s="41">
        <v>0</v>
      </c>
      <c r="G12" s="41">
        <v>0</v>
      </c>
      <c r="H12" s="41">
        <v>1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2">
        <f t="shared" si="0"/>
        <v>18.600000000000001</v>
      </c>
    </row>
    <row r="13" spans="1:15" x14ac:dyDescent="0.25">
      <c r="A13" s="39" t="str">
        <f>INDEX('Active - Players'!B:C,MATCH(B13,'Active - Players'!C:C,0),1)</f>
        <v>Whelan</v>
      </c>
      <c r="B13" s="67" t="s">
        <v>106</v>
      </c>
      <c r="C13" s="39"/>
      <c r="D13" s="41">
        <v>5</v>
      </c>
      <c r="E13" s="41">
        <v>232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2">
        <f t="shared" si="0"/>
        <v>24.450000000000003</v>
      </c>
    </row>
    <row r="14" spans="1:15" x14ac:dyDescent="0.25">
      <c r="A14" s="39" t="str">
        <f>INDEX('Active - Players'!B:C,MATCH(B14,'Active - Players'!C:C,0),1)</f>
        <v>Johnston</v>
      </c>
      <c r="B14" s="47" t="s">
        <v>51</v>
      </c>
      <c r="C14" s="39" t="s">
        <v>143</v>
      </c>
      <c r="D14" s="41">
        <v>3</v>
      </c>
      <c r="E14" s="41">
        <v>114</v>
      </c>
      <c r="F14" s="41">
        <v>0</v>
      </c>
      <c r="G14" s="41">
        <v>0</v>
      </c>
      <c r="H14" s="41">
        <v>1</v>
      </c>
      <c r="I14" s="41">
        <v>1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2">
        <f t="shared" si="0"/>
        <v>20.149999999999999</v>
      </c>
    </row>
    <row r="15" spans="1:15" x14ac:dyDescent="0.25">
      <c r="A15" s="39" t="str">
        <f>INDEX('Active - Players'!B:C,MATCH(B15,'Active - Players'!C:C,0),1)</f>
        <v>Sanchez</v>
      </c>
      <c r="B15" s="45" t="s">
        <v>126</v>
      </c>
      <c r="C15" s="39"/>
      <c r="D15" s="41">
        <v>4</v>
      </c>
      <c r="E15" s="41">
        <v>178</v>
      </c>
      <c r="F15" s="41">
        <v>0</v>
      </c>
      <c r="G15" s="41">
        <v>0</v>
      </c>
      <c r="H15" s="41">
        <v>1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2">
        <f t="shared" si="0"/>
        <v>21.8</v>
      </c>
    </row>
    <row r="16" spans="1:15" x14ac:dyDescent="0.25">
      <c r="A16" s="39" t="str">
        <f>INDEX('Active - Players'!B:C,MATCH(B16,'Active - Players'!C:C,0),1)</f>
        <v>Cooke</v>
      </c>
      <c r="B16" s="44" t="s">
        <v>39</v>
      </c>
      <c r="C16" s="39"/>
      <c r="D16" s="41">
        <v>3</v>
      </c>
      <c r="E16" s="41">
        <v>160</v>
      </c>
      <c r="F16" s="41">
        <v>0</v>
      </c>
      <c r="G16" s="41">
        <v>0</v>
      </c>
      <c r="H16" s="41">
        <v>3</v>
      </c>
      <c r="I16" s="41">
        <v>1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2">
        <f t="shared" si="0"/>
        <v>30.75</v>
      </c>
    </row>
    <row r="17" spans="1:15" x14ac:dyDescent="0.25">
      <c r="A17" s="39" t="str">
        <f>INDEX('Active - Players'!B:C,MATCH(B17,'Active - Players'!C:C,0),1)</f>
        <v>Townsend</v>
      </c>
      <c r="B17" s="66" t="s">
        <v>12</v>
      </c>
      <c r="C17" s="39"/>
      <c r="D17" s="41">
        <v>2</v>
      </c>
      <c r="E17" s="41">
        <v>87</v>
      </c>
      <c r="F17" s="41">
        <v>0</v>
      </c>
      <c r="G17" s="41">
        <v>0</v>
      </c>
      <c r="H17" s="41">
        <v>1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2">
        <f t="shared" si="0"/>
        <v>12.200000000000001</v>
      </c>
    </row>
    <row r="18" spans="1:15" x14ac:dyDescent="0.25">
      <c r="A18" s="39" t="str">
        <f>INDEX('Active - Players'!B:C,MATCH(B18,'Active - Players'!C:C,0),1)</f>
        <v>Cole</v>
      </c>
      <c r="B18" s="54" t="s">
        <v>27</v>
      </c>
      <c r="C18" s="39" t="s">
        <v>135</v>
      </c>
      <c r="D18" s="41">
        <v>5</v>
      </c>
      <c r="E18" s="41">
        <v>251</v>
      </c>
      <c r="F18" s="41">
        <v>0</v>
      </c>
      <c r="G18" s="41">
        <v>0</v>
      </c>
      <c r="H18" s="41">
        <v>3</v>
      </c>
      <c r="I18" s="41">
        <v>0</v>
      </c>
      <c r="J18" s="41">
        <v>0</v>
      </c>
      <c r="K18" s="41">
        <v>2</v>
      </c>
      <c r="L18" s="41">
        <v>0</v>
      </c>
      <c r="M18" s="41">
        <v>1</v>
      </c>
      <c r="N18" s="41">
        <v>0</v>
      </c>
      <c r="O18" s="42">
        <f t="shared" si="0"/>
        <v>60.35</v>
      </c>
    </row>
    <row r="19" spans="1:15" x14ac:dyDescent="0.25">
      <c r="A19" s="39" t="str">
        <f>INDEX('Active - Players'!B:C,MATCH(B19,'Active - Players'!C:C,0),1)</f>
        <v>Scott</v>
      </c>
      <c r="B19" s="71" t="s">
        <v>160</v>
      </c>
      <c r="C19" s="39"/>
      <c r="D19" s="41">
        <v>4</v>
      </c>
      <c r="E19" s="41">
        <v>159</v>
      </c>
      <c r="F19" s="41">
        <v>0</v>
      </c>
      <c r="G19" s="41">
        <v>0</v>
      </c>
      <c r="H19" s="41">
        <v>0</v>
      </c>
      <c r="I19" s="41">
        <v>1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2">
        <f t="shared" si="0"/>
        <v>21.9</v>
      </c>
    </row>
    <row r="20" spans="1:15" x14ac:dyDescent="0.25">
      <c r="A20" s="39" t="str">
        <f>INDEX('Active - Players'!B:C,MATCH(B20,'Active - Players'!C:C,0),1)</f>
        <v>Evans</v>
      </c>
      <c r="B20" s="49" t="s">
        <v>121</v>
      </c>
      <c r="C20" s="39"/>
      <c r="D20" s="41">
        <v>3</v>
      </c>
      <c r="E20" s="41">
        <v>110</v>
      </c>
      <c r="F20" s="41">
        <v>0</v>
      </c>
      <c r="G20" s="41">
        <v>0</v>
      </c>
      <c r="H20" s="41">
        <v>2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2">
        <f t="shared" si="0"/>
        <v>17.75</v>
      </c>
    </row>
    <row r="21" spans="1:15" x14ac:dyDescent="0.25">
      <c r="A21" s="39" t="str">
        <f>INDEX('Active - Players'!B:C,MATCH(B21,'Active - Players'!C:C,0),1)</f>
        <v>Bailey</v>
      </c>
      <c r="B21" s="55" t="s">
        <v>115</v>
      </c>
      <c r="C21" s="39"/>
      <c r="D21" s="41">
        <v>3</v>
      </c>
      <c r="E21" s="41">
        <v>138</v>
      </c>
      <c r="F21" s="41">
        <v>0</v>
      </c>
      <c r="G21" s="41">
        <v>0</v>
      </c>
      <c r="H21" s="41">
        <v>0</v>
      </c>
      <c r="I21" s="41">
        <v>1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2">
        <f t="shared" si="0"/>
        <v>19.55</v>
      </c>
    </row>
    <row r="22" spans="1:15" x14ac:dyDescent="0.25">
      <c r="A22" s="39" t="str">
        <f>INDEX('Active - Players'!B:C,MATCH(B22,'Active - Players'!C:C,0),1)</f>
        <v>Wright</v>
      </c>
      <c r="B22" s="69" t="s">
        <v>42</v>
      </c>
      <c r="C22" s="39"/>
      <c r="D22" s="41">
        <v>4</v>
      </c>
      <c r="E22" s="41">
        <v>181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2</v>
      </c>
      <c r="L22" s="41">
        <v>0</v>
      </c>
      <c r="M22" s="41">
        <v>0</v>
      </c>
      <c r="N22" s="41">
        <v>0</v>
      </c>
      <c r="O22" s="42">
        <f t="shared" si="0"/>
        <v>29.1</v>
      </c>
    </row>
    <row r="23" spans="1:15" x14ac:dyDescent="0.25">
      <c r="A23" s="39" t="str">
        <f>INDEX('Active - Players'!B:C,MATCH(B23,'Active - Players'!C:C,0),1)</f>
        <v>Baringer</v>
      </c>
      <c r="B23" s="56" t="s">
        <v>67</v>
      </c>
      <c r="C23" s="39"/>
      <c r="D23" s="41">
        <v>5</v>
      </c>
      <c r="E23" s="41">
        <v>212</v>
      </c>
      <c r="F23" s="41">
        <v>0</v>
      </c>
      <c r="G23" s="41">
        <v>0</v>
      </c>
      <c r="H23" s="41">
        <v>1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2">
        <f t="shared" si="0"/>
        <v>25.450000000000003</v>
      </c>
    </row>
    <row r="24" spans="1:15" x14ac:dyDescent="0.25">
      <c r="A24" s="39" t="str">
        <f>INDEX('Active - Players'!B:C,MATCH(B24,'Active - Players'!C:C,0),1)</f>
        <v>Hedley</v>
      </c>
      <c r="B24" s="46" t="s">
        <v>64</v>
      </c>
      <c r="C24" s="39" t="s">
        <v>139</v>
      </c>
      <c r="D24" s="41">
        <v>4</v>
      </c>
      <c r="E24" s="41">
        <v>162</v>
      </c>
      <c r="F24" s="41">
        <v>0</v>
      </c>
      <c r="G24" s="41">
        <v>0</v>
      </c>
      <c r="H24" s="41">
        <v>3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2">
        <f t="shared" si="0"/>
        <v>26.2</v>
      </c>
    </row>
    <row r="25" spans="1:15" x14ac:dyDescent="0.25">
      <c r="A25" s="39" t="str">
        <f>INDEX('Active - Players'!B:C,MATCH(B25,'Active - Players'!C:C,0),1)</f>
        <v>Gillan</v>
      </c>
      <c r="B25" s="52" t="s">
        <v>99</v>
      </c>
      <c r="C25" s="39" t="s">
        <v>134</v>
      </c>
      <c r="D25" s="41">
        <v>5</v>
      </c>
      <c r="E25" s="41">
        <v>225</v>
      </c>
      <c r="F25" s="41">
        <v>0</v>
      </c>
      <c r="G25" s="41">
        <v>1</v>
      </c>
      <c r="H25" s="41">
        <v>2</v>
      </c>
      <c r="I25" s="41">
        <v>0</v>
      </c>
      <c r="J25" s="41">
        <v>0</v>
      </c>
      <c r="K25" s="41">
        <v>2</v>
      </c>
      <c r="L25" s="41">
        <v>0</v>
      </c>
      <c r="M25" s="41">
        <v>0</v>
      </c>
      <c r="N25" s="41">
        <v>0</v>
      </c>
      <c r="O25" s="42">
        <f t="shared" si="0"/>
        <v>40.75</v>
      </c>
    </row>
    <row r="26" spans="1:15" x14ac:dyDescent="0.25">
      <c r="A26" s="39" t="str">
        <f>INDEX('Active - Players'!B:C,MATCH(B26,'Active - Players'!C:C,0),1)</f>
        <v>Morstead</v>
      </c>
      <c r="B26" s="62" t="s">
        <v>102</v>
      </c>
      <c r="C26" s="39"/>
      <c r="D26" s="41">
        <v>5</v>
      </c>
      <c r="E26" s="41">
        <v>204</v>
      </c>
      <c r="F26" s="41">
        <v>0</v>
      </c>
      <c r="G26" s="41">
        <v>0</v>
      </c>
      <c r="H26" s="41">
        <v>4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2">
        <f t="shared" si="0"/>
        <v>33.650000000000006</v>
      </c>
    </row>
    <row r="27" spans="1:15" x14ac:dyDescent="0.25">
      <c r="A27" s="39" t="str">
        <f>INDEX('Active - Players'!B:C,MATCH(B27,'Active - Players'!C:C,0),1)</f>
        <v>Mann</v>
      </c>
      <c r="B27" s="60" t="s">
        <v>105</v>
      </c>
      <c r="C27" s="39"/>
      <c r="D27" s="41">
        <v>3</v>
      </c>
      <c r="E27" s="41">
        <v>115</v>
      </c>
      <c r="F27" s="41">
        <v>0</v>
      </c>
      <c r="G27" s="41">
        <v>0</v>
      </c>
      <c r="H27" s="41">
        <v>1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  <c r="N27" s="41">
        <v>0</v>
      </c>
      <c r="O27" s="42">
        <f t="shared" si="0"/>
        <v>15.25</v>
      </c>
    </row>
    <row r="28" spans="1:15" x14ac:dyDescent="0.25">
      <c r="A28" s="39" t="str">
        <f>INDEX('Active - Players'!B:C,MATCH(B28,'Active - Players'!C:C,0),1)</f>
        <v>Wing</v>
      </c>
      <c r="B28" s="51" t="s">
        <v>79</v>
      </c>
      <c r="C28" s="39" t="s">
        <v>140</v>
      </c>
      <c r="D28" s="41">
        <v>5</v>
      </c>
      <c r="E28" s="41">
        <v>204</v>
      </c>
      <c r="F28" s="41">
        <v>0</v>
      </c>
      <c r="G28" s="41">
        <v>1</v>
      </c>
      <c r="H28" s="41">
        <v>1</v>
      </c>
      <c r="I28" s="41">
        <v>1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2">
        <f t="shared" si="0"/>
        <v>30.650000000000002</v>
      </c>
    </row>
    <row r="29" spans="1:15" x14ac:dyDescent="0.25">
      <c r="A29" s="39" t="str">
        <f>INDEX('Active - Players'!B:C,MATCH(B29,'Active - Players'!C:C,0),1)</f>
        <v>Wishnowsky</v>
      </c>
      <c r="B29" s="68" t="s">
        <v>109</v>
      </c>
      <c r="C29" s="39"/>
      <c r="D29" s="41">
        <v>1</v>
      </c>
      <c r="E29" s="41">
        <v>45</v>
      </c>
      <c r="F29" s="41">
        <v>0</v>
      </c>
      <c r="G29" s="41">
        <v>0</v>
      </c>
      <c r="H29" s="41">
        <v>1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2">
        <f t="shared" si="0"/>
        <v>7.75</v>
      </c>
    </row>
    <row r="30" spans="1:15" x14ac:dyDescent="0.25">
      <c r="A30" s="39" t="str">
        <f>INDEX('Active - Players'!B:C,MATCH(B30,'Active - Players'!C:C,0),1)</f>
        <v>Dickson</v>
      </c>
      <c r="B30" s="72" t="s">
        <v>18</v>
      </c>
      <c r="C30" s="39" t="s">
        <v>144</v>
      </c>
      <c r="D30" s="41">
        <v>4</v>
      </c>
      <c r="E30" s="41">
        <v>214</v>
      </c>
      <c r="F30" s="41">
        <v>0</v>
      </c>
      <c r="G30" s="41">
        <v>0</v>
      </c>
      <c r="H30" s="41">
        <v>3</v>
      </c>
      <c r="I30" s="41">
        <v>0</v>
      </c>
      <c r="J30" s="41">
        <v>0</v>
      </c>
      <c r="K30" s="41">
        <v>1</v>
      </c>
      <c r="L30" s="41">
        <v>0</v>
      </c>
      <c r="M30" s="41">
        <v>0</v>
      </c>
      <c r="N30" s="41">
        <v>0</v>
      </c>
      <c r="O30" s="42">
        <f t="shared" si="0"/>
        <v>36.400000000000006</v>
      </c>
    </row>
    <row r="31" spans="1:15" x14ac:dyDescent="0.25">
      <c r="A31" s="39" t="str">
        <f>INDEX('Active - Players'!B:C,MATCH(B31,'Active - Players'!C:C,0),1)</f>
        <v>Camarda</v>
      </c>
      <c r="B31" s="73" t="s">
        <v>63</v>
      </c>
      <c r="C31" s="39" t="s">
        <v>138</v>
      </c>
      <c r="D31" s="41">
        <v>4</v>
      </c>
      <c r="E31" s="41">
        <v>145</v>
      </c>
      <c r="F31" s="41">
        <v>0</v>
      </c>
      <c r="G31" s="41">
        <v>0</v>
      </c>
      <c r="H31" s="41">
        <v>2</v>
      </c>
      <c r="I31" s="41">
        <v>1</v>
      </c>
      <c r="J31" s="41">
        <v>0</v>
      </c>
      <c r="K31" s="41">
        <v>1</v>
      </c>
      <c r="L31" s="41">
        <v>0</v>
      </c>
      <c r="M31" s="41">
        <v>0</v>
      </c>
      <c r="N31" s="41">
        <v>0</v>
      </c>
      <c r="O31" s="42">
        <f t="shared" si="0"/>
        <v>31.5</v>
      </c>
    </row>
    <row r="32" spans="1:15" x14ac:dyDescent="0.25">
      <c r="A32" s="39" t="str">
        <f>INDEX('Active - Players'!B:C,MATCH(B32,'Active - Players'!C:C,0),1)</f>
        <v>Stonehouse</v>
      </c>
      <c r="B32" s="48" t="s">
        <v>24</v>
      </c>
      <c r="C32" s="39" t="s">
        <v>136</v>
      </c>
      <c r="D32" s="41">
        <v>2</v>
      </c>
      <c r="E32" s="41">
        <v>91</v>
      </c>
      <c r="F32" s="41">
        <v>0</v>
      </c>
      <c r="G32" s="41">
        <v>0</v>
      </c>
      <c r="H32" s="41">
        <v>2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2">
        <f t="shared" si="0"/>
        <v>15.6</v>
      </c>
    </row>
    <row r="33" spans="1:15" x14ac:dyDescent="0.25">
      <c r="A33" s="39" t="str">
        <f>INDEX('Active - Players'!B:C,MATCH(B33,'Active - Players'!C:C,0),1)</f>
        <v>Way</v>
      </c>
      <c r="B33" s="53" t="s">
        <v>45</v>
      </c>
      <c r="C33" s="39" t="s">
        <v>142</v>
      </c>
      <c r="D33" s="41">
        <v>5</v>
      </c>
      <c r="E33" s="41">
        <v>175</v>
      </c>
      <c r="F33" s="41">
        <v>0</v>
      </c>
      <c r="G33" s="41">
        <v>0</v>
      </c>
      <c r="H33" s="41">
        <v>0</v>
      </c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2">
        <f t="shared" si="0"/>
        <v>18.75</v>
      </c>
    </row>
  </sheetData>
  <sortState xmlns:xlrd2="http://schemas.microsoft.com/office/spreadsheetml/2017/richdata2" ref="A2:O33">
    <sortCondition ref="B1:B3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8F2F-A4B9-4B84-8139-AA698A51615C}">
  <dimension ref="A1:Q41"/>
  <sheetViews>
    <sheetView workbookViewId="0">
      <selection activeCell="G19" sqref="A1:O33"/>
    </sheetView>
  </sheetViews>
  <sheetFormatPr defaultRowHeight="15" x14ac:dyDescent="0.25"/>
  <cols>
    <col min="1" max="1" width="12.140625" customWidth="1"/>
    <col min="2" max="2" width="24.140625" bestFit="1" customWidth="1"/>
    <col min="3" max="3" width="27.140625" bestFit="1" customWidth="1"/>
    <col min="4" max="4" width="6" customWidth="1"/>
    <col min="5" max="5" width="18.85546875" customWidth="1"/>
    <col min="6" max="6" width="12.5703125" customWidth="1"/>
    <col min="7" max="7" width="10.7109375" customWidth="1"/>
    <col min="8" max="8" width="8.5703125" customWidth="1"/>
    <col min="9" max="9" width="18.85546875" customWidth="1"/>
    <col min="10" max="10" width="22" customWidth="1"/>
    <col min="11" max="13" width="14.7109375" customWidth="1"/>
    <col min="14" max="14" width="16.7109375" customWidth="1"/>
    <col min="15" max="15" width="27.140625" bestFit="1" customWidth="1"/>
    <col min="16" max="16" width="22.140625" bestFit="1" customWidth="1"/>
  </cols>
  <sheetData>
    <row r="1" spans="1:17" x14ac:dyDescent="0.25">
      <c r="A1" s="37" t="s">
        <v>129</v>
      </c>
      <c r="B1" s="37" t="s">
        <v>130</v>
      </c>
      <c r="C1" s="37" t="s">
        <v>131</v>
      </c>
      <c r="D1" s="38" t="s">
        <v>132</v>
      </c>
      <c r="E1" s="37" t="s">
        <v>30</v>
      </c>
      <c r="F1" s="38" t="s">
        <v>31</v>
      </c>
      <c r="G1" s="37" t="s">
        <v>32</v>
      </c>
      <c r="H1" s="38" t="s">
        <v>33</v>
      </c>
      <c r="I1" s="37" t="s">
        <v>34</v>
      </c>
      <c r="J1" s="38" t="s">
        <v>35</v>
      </c>
      <c r="K1" s="37" t="s">
        <v>90</v>
      </c>
      <c r="L1" s="38" t="s">
        <v>91</v>
      </c>
      <c r="M1" s="37" t="s">
        <v>92</v>
      </c>
      <c r="N1" s="38" t="s">
        <v>36</v>
      </c>
      <c r="O1" s="37" t="s">
        <v>133</v>
      </c>
    </row>
    <row r="2" spans="1:17" x14ac:dyDescent="0.25">
      <c r="A2" s="39" t="str">
        <f>INDEX('Active - Players'!B:C,MATCH(B2,'Active - Players'!C:C,0),1)</f>
        <v>Gillikin</v>
      </c>
      <c r="B2" s="59" t="s">
        <v>76</v>
      </c>
      <c r="C2" s="39"/>
      <c r="D2" s="74">
        <v>4</v>
      </c>
      <c r="E2" s="74">
        <v>219</v>
      </c>
      <c r="F2" s="74">
        <v>0</v>
      </c>
      <c r="G2" s="74">
        <v>0</v>
      </c>
      <c r="H2" s="74">
        <v>0</v>
      </c>
      <c r="I2" s="74">
        <v>0</v>
      </c>
      <c r="J2" s="41">
        <v>0</v>
      </c>
      <c r="K2" s="41">
        <v>1</v>
      </c>
      <c r="L2" s="41">
        <v>0</v>
      </c>
      <c r="M2" s="41">
        <v>0</v>
      </c>
      <c r="N2" s="41">
        <v>0</v>
      </c>
      <c r="O2" s="42">
        <f t="shared" ref="O2:O33" si="0">(D2*punt_score)+(E2*punt_per_yard)+(F2*punt_blocked)+(G2*touchback)+(H2*in_the_20)+(I2*out_of_backfield)-(J2*punt_return_td)+(K2*_60_64)+(L2*_65_69)+(M2*_70_74)+(N2*_75over)</f>
        <v>27.900000000000002</v>
      </c>
    </row>
    <row r="3" spans="1:17" x14ac:dyDescent="0.25">
      <c r="A3" s="39" t="str">
        <f>INDEX('Active - Players'!B:C,MATCH(B3,'Active - Players'!C:C,0),1)</f>
        <v>Pinion</v>
      </c>
      <c r="B3" s="63" t="s">
        <v>75</v>
      </c>
      <c r="C3" s="39"/>
      <c r="D3" s="74">
        <v>5</v>
      </c>
      <c r="E3" s="74">
        <v>200</v>
      </c>
      <c r="F3" s="74">
        <v>0</v>
      </c>
      <c r="G3" s="74">
        <v>1</v>
      </c>
      <c r="H3" s="74">
        <v>1</v>
      </c>
      <c r="I3" s="74">
        <v>0</v>
      </c>
      <c r="J3" s="41">
        <v>0</v>
      </c>
      <c r="K3" s="41">
        <v>0</v>
      </c>
      <c r="L3" s="41">
        <v>0</v>
      </c>
      <c r="M3" s="41">
        <v>0</v>
      </c>
      <c r="N3" s="41">
        <v>0</v>
      </c>
      <c r="O3" s="42">
        <f t="shared" si="0"/>
        <v>25.25</v>
      </c>
    </row>
    <row r="4" spans="1:17" x14ac:dyDescent="0.25">
      <c r="A4" s="39" t="str">
        <f>INDEX('Active - Players'!B:C,MATCH(B4,'Active - Players'!C:C,0),1)</f>
        <v>Stout</v>
      </c>
      <c r="B4" s="65" t="s">
        <v>96</v>
      </c>
      <c r="C4" s="39"/>
      <c r="D4" s="74">
        <v>5</v>
      </c>
      <c r="E4" s="74">
        <v>154</v>
      </c>
      <c r="F4" s="74">
        <v>1</v>
      </c>
      <c r="G4" s="74">
        <v>0</v>
      </c>
      <c r="H4" s="74">
        <v>3</v>
      </c>
      <c r="I4" s="74">
        <v>1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2">
        <f t="shared" si="0"/>
        <v>10.649999999999999</v>
      </c>
    </row>
    <row r="5" spans="1:17" x14ac:dyDescent="0.25">
      <c r="A5" s="39" t="str">
        <f>INDEX('Active - Players'!B:C,MATCH(B5,'Active - Players'!C:C,0),1)</f>
        <v>Martin</v>
      </c>
      <c r="B5" s="61" t="s">
        <v>58</v>
      </c>
      <c r="C5" s="39"/>
      <c r="D5" s="74">
        <v>6</v>
      </c>
      <c r="E5" s="74">
        <v>258</v>
      </c>
      <c r="F5" s="74">
        <v>0</v>
      </c>
      <c r="G5" s="74">
        <v>0</v>
      </c>
      <c r="H5" s="74">
        <v>2</v>
      </c>
      <c r="I5" s="74">
        <v>1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2">
        <f t="shared" si="0"/>
        <v>38.299999999999997</v>
      </c>
    </row>
    <row r="6" spans="1:17" x14ac:dyDescent="0.25">
      <c r="A6" s="39" t="str">
        <f>INDEX('Active - Players'!B:C,MATCH(B6,'Active - Players'!C:C,0),1)</f>
        <v>Hekker</v>
      </c>
      <c r="B6" s="50" t="s">
        <v>21</v>
      </c>
      <c r="C6" s="39" t="s">
        <v>145</v>
      </c>
      <c r="D6" s="74">
        <v>3</v>
      </c>
      <c r="E6" s="74">
        <v>114</v>
      </c>
      <c r="F6" s="74">
        <v>0</v>
      </c>
      <c r="G6" s="74">
        <v>0</v>
      </c>
      <c r="H6" s="74">
        <v>1</v>
      </c>
      <c r="I6" s="74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2">
        <f t="shared" si="0"/>
        <v>15.15</v>
      </c>
    </row>
    <row r="7" spans="1:17" x14ac:dyDescent="0.25">
      <c r="A7" s="39" t="str">
        <f>INDEX('Active - Players'!B:C,MATCH(B7,'Active - Players'!C:C,0),1)</f>
        <v>Gill</v>
      </c>
      <c r="B7" s="58" t="s">
        <v>93</v>
      </c>
      <c r="C7" s="39"/>
      <c r="D7" s="74">
        <v>3</v>
      </c>
      <c r="E7" s="74">
        <v>131</v>
      </c>
      <c r="F7" s="74">
        <v>0</v>
      </c>
      <c r="G7" s="74">
        <v>0</v>
      </c>
      <c r="H7" s="74">
        <v>1</v>
      </c>
      <c r="I7" s="74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2">
        <f t="shared" si="0"/>
        <v>16.850000000000001</v>
      </c>
    </row>
    <row r="8" spans="1:17" x14ac:dyDescent="0.25">
      <c r="A8" s="39" t="str">
        <f>INDEX('Active - Players'!B:C,MATCH(B8,'Active - Players'!C:C,0),1)</f>
        <v>Robbins</v>
      </c>
      <c r="B8" s="64" t="s">
        <v>54</v>
      </c>
      <c r="C8" s="39"/>
      <c r="D8" s="74">
        <v>3</v>
      </c>
      <c r="E8" s="74">
        <v>145</v>
      </c>
      <c r="F8" s="74">
        <v>0</v>
      </c>
      <c r="G8" s="74">
        <v>0</v>
      </c>
      <c r="H8" s="74">
        <v>1</v>
      </c>
      <c r="I8" s="74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2">
        <f t="shared" si="0"/>
        <v>18.25</v>
      </c>
    </row>
    <row r="9" spans="1:17" x14ac:dyDescent="0.25">
      <c r="A9" s="39" t="str">
        <f>INDEX('Active - Players'!B:C,MATCH(B9,'Active - Players'!C:C,0),1)</f>
        <v>Bojorquez</v>
      </c>
      <c r="B9" s="70" t="s">
        <v>82</v>
      </c>
      <c r="C9" s="39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2">
        <f t="shared" si="0"/>
        <v>0</v>
      </c>
    </row>
    <row r="10" spans="1:17" x14ac:dyDescent="0.25">
      <c r="A10" s="39" t="str">
        <f>INDEX('Active - Players'!B:C,MATCH(B10,'Active - Players'!C:C,0),1)</f>
        <v>Anger</v>
      </c>
      <c r="B10" s="45" t="s">
        <v>48</v>
      </c>
      <c r="C10" s="39" t="s">
        <v>141</v>
      </c>
      <c r="D10" s="74">
        <v>5</v>
      </c>
      <c r="E10" s="74">
        <f>54+56+48+48+52</f>
        <v>258</v>
      </c>
      <c r="F10" s="74">
        <v>0</v>
      </c>
      <c r="G10" s="74">
        <v>0</v>
      </c>
      <c r="H10" s="74">
        <v>1</v>
      </c>
      <c r="I10" s="74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2">
        <f t="shared" si="0"/>
        <v>30.05</v>
      </c>
    </row>
    <row r="11" spans="1:17" x14ac:dyDescent="0.25">
      <c r="A11" s="39" t="str">
        <f>INDEX('Active - Players'!B:C,MATCH(B11,'Active - Players'!C:C,0),1)</f>
        <v>Dixon</v>
      </c>
      <c r="B11" s="40" t="s">
        <v>57</v>
      </c>
      <c r="C11" s="39" t="s">
        <v>134</v>
      </c>
      <c r="D11" s="74">
        <v>4</v>
      </c>
      <c r="E11" s="74">
        <v>181</v>
      </c>
      <c r="F11" s="74">
        <v>0</v>
      </c>
      <c r="G11" s="74">
        <v>0</v>
      </c>
      <c r="H11" s="74">
        <v>0</v>
      </c>
      <c r="I11" s="74">
        <v>1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2">
        <f t="shared" si="0"/>
        <v>24.1</v>
      </c>
      <c r="Q11" s="75"/>
    </row>
    <row r="12" spans="1:17" x14ac:dyDescent="0.25">
      <c r="A12" s="39" t="str">
        <f>INDEX('Active - Players'!B:C,MATCH(B12,'Active - Players'!C:C,0),1)</f>
        <v>Fox</v>
      </c>
      <c r="B12" s="57" t="s">
        <v>72</v>
      </c>
      <c r="C12" s="39"/>
      <c r="D12" s="74">
        <v>2</v>
      </c>
      <c r="E12" s="74">
        <v>88</v>
      </c>
      <c r="F12" s="74">
        <v>0</v>
      </c>
      <c r="G12" s="74">
        <v>0</v>
      </c>
      <c r="H12" s="74">
        <v>2</v>
      </c>
      <c r="I12" s="74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2">
        <f t="shared" si="0"/>
        <v>15.3</v>
      </c>
    </row>
    <row r="13" spans="1:17" x14ac:dyDescent="0.25">
      <c r="A13" s="39" t="str">
        <f>INDEX('Active - Players'!B:C,MATCH(B13,'Active - Players'!C:C,0),1)</f>
        <v>Whelan</v>
      </c>
      <c r="B13" s="67" t="s">
        <v>106</v>
      </c>
      <c r="C13" s="39"/>
      <c r="D13" s="74">
        <v>3</v>
      </c>
      <c r="E13" s="74">
        <f>39+41+50</f>
        <v>130</v>
      </c>
      <c r="F13" s="74">
        <v>0</v>
      </c>
      <c r="G13" s="74">
        <v>0</v>
      </c>
      <c r="H13" s="74">
        <v>1</v>
      </c>
      <c r="I13" s="74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2">
        <f t="shared" si="0"/>
        <v>16.75</v>
      </c>
    </row>
    <row r="14" spans="1:17" x14ac:dyDescent="0.25">
      <c r="A14" s="39" t="str">
        <f>INDEX('Active - Players'!B:C,MATCH(B14,'Active - Players'!C:C,0),1)</f>
        <v>Johnston</v>
      </c>
      <c r="B14" s="47" t="s">
        <v>51</v>
      </c>
      <c r="C14" s="39" t="s">
        <v>143</v>
      </c>
      <c r="D14" s="74">
        <v>6</v>
      </c>
      <c r="E14" s="74">
        <v>234</v>
      </c>
      <c r="F14" s="74">
        <v>0</v>
      </c>
      <c r="G14" s="74">
        <v>0</v>
      </c>
      <c r="H14" s="74">
        <v>2</v>
      </c>
      <c r="I14" s="74">
        <v>1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2">
        <f t="shared" si="0"/>
        <v>35.900000000000006</v>
      </c>
      <c r="Q14" s="75"/>
    </row>
    <row r="15" spans="1:17" x14ac:dyDescent="0.25">
      <c r="A15" s="39" t="str">
        <f>INDEX('Active - Players'!B:C,MATCH(B15,'Active - Players'!C:C,0),1)</f>
        <v>Sanchez</v>
      </c>
      <c r="B15" s="45" t="s">
        <v>126</v>
      </c>
      <c r="C15" s="39"/>
      <c r="D15" s="74">
        <v>1</v>
      </c>
      <c r="E15" s="74">
        <v>50</v>
      </c>
      <c r="F15" s="74">
        <v>0</v>
      </c>
      <c r="G15" s="74">
        <v>0</v>
      </c>
      <c r="H15" s="74">
        <v>1</v>
      </c>
      <c r="I15" s="74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2">
        <f t="shared" si="0"/>
        <v>8.25</v>
      </c>
    </row>
    <row r="16" spans="1:17" x14ac:dyDescent="0.25">
      <c r="A16" s="39" t="str">
        <f>INDEX('Active - Players'!B:C,MATCH(B16,'Active - Players'!C:C,0),1)</f>
        <v>Cooke</v>
      </c>
      <c r="B16" s="44" t="s">
        <v>39</v>
      </c>
      <c r="C16" s="39" t="s">
        <v>137</v>
      </c>
      <c r="D16" s="74">
        <v>5</v>
      </c>
      <c r="E16" s="74">
        <v>247</v>
      </c>
      <c r="F16" s="74">
        <v>0</v>
      </c>
      <c r="G16" s="74">
        <v>1</v>
      </c>
      <c r="H16" s="74">
        <v>3</v>
      </c>
      <c r="I16" s="74">
        <v>0</v>
      </c>
      <c r="J16" s="41">
        <v>0</v>
      </c>
      <c r="K16" s="41">
        <v>1</v>
      </c>
      <c r="L16" s="41">
        <v>0</v>
      </c>
      <c r="M16" s="41">
        <v>0</v>
      </c>
      <c r="N16" s="41">
        <v>0</v>
      </c>
      <c r="O16" s="42">
        <f t="shared" si="0"/>
        <v>40.950000000000003</v>
      </c>
    </row>
    <row r="17" spans="1:17" x14ac:dyDescent="0.25">
      <c r="A17" s="39" t="str">
        <f>INDEX('Active - Players'!B:C,MATCH(B17,'Active - Players'!C:C,0),1)</f>
        <v>Townsend</v>
      </c>
      <c r="B17" s="66" t="s">
        <v>12</v>
      </c>
      <c r="C17" s="39"/>
      <c r="D17" s="74">
        <v>3</v>
      </c>
      <c r="E17" s="74">
        <v>140</v>
      </c>
      <c r="F17" s="74">
        <v>0</v>
      </c>
      <c r="G17" s="74">
        <v>1</v>
      </c>
      <c r="H17" s="74">
        <v>1</v>
      </c>
      <c r="I17" s="74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2">
        <f t="shared" si="0"/>
        <v>18.75</v>
      </c>
    </row>
    <row r="18" spans="1:17" x14ac:dyDescent="0.25">
      <c r="A18" s="39" t="str">
        <f>INDEX('Active - Players'!B:C,MATCH(B18,'Active - Players'!C:C,0),1)</f>
        <v>Cole</v>
      </c>
      <c r="B18" s="54" t="s">
        <v>27</v>
      </c>
      <c r="C18" s="39" t="s">
        <v>135</v>
      </c>
      <c r="D18" s="74">
        <v>4</v>
      </c>
      <c r="E18" s="74">
        <f>37+55+53+44</f>
        <v>189</v>
      </c>
      <c r="F18" s="74">
        <v>0</v>
      </c>
      <c r="G18" s="74">
        <v>0</v>
      </c>
      <c r="H18" s="74">
        <v>4</v>
      </c>
      <c r="I18" s="74">
        <v>1</v>
      </c>
      <c r="J18" s="41">
        <v>0</v>
      </c>
      <c r="K18" s="41">
        <v>0</v>
      </c>
      <c r="L18" s="41">
        <v>0</v>
      </c>
      <c r="M18" s="41">
        <v>0</v>
      </c>
      <c r="N18" s="41">
        <v>0</v>
      </c>
      <c r="O18" s="42">
        <f t="shared" si="0"/>
        <v>36.900000000000006</v>
      </c>
      <c r="Q18" s="75"/>
    </row>
    <row r="19" spans="1:17" x14ac:dyDescent="0.25">
      <c r="A19" s="39" t="str">
        <f>INDEX('Active - Players'!B:C,MATCH(B19,'Active - Players'!C:C,0),1)</f>
        <v>Scott</v>
      </c>
      <c r="B19" s="71" t="s">
        <v>160</v>
      </c>
      <c r="C19" s="39"/>
      <c r="D19" s="74">
        <v>0</v>
      </c>
      <c r="E19" s="74">
        <v>0</v>
      </c>
      <c r="F19" s="74">
        <v>0</v>
      </c>
      <c r="G19" s="74">
        <v>0</v>
      </c>
      <c r="H19" s="74">
        <v>0</v>
      </c>
      <c r="I19" s="74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2">
        <f t="shared" si="0"/>
        <v>0</v>
      </c>
    </row>
    <row r="20" spans="1:17" x14ac:dyDescent="0.25">
      <c r="A20" s="39" t="str">
        <f>INDEX('Active - Players'!B:C,MATCH(B20,'Active - Players'!C:C,0),1)</f>
        <v>Evans</v>
      </c>
      <c r="B20" s="49" t="s">
        <v>121</v>
      </c>
      <c r="C20" s="39" t="s">
        <v>138</v>
      </c>
      <c r="D20" s="74">
        <v>4</v>
      </c>
      <c r="E20" s="74">
        <v>215</v>
      </c>
      <c r="F20" s="74">
        <v>0</v>
      </c>
      <c r="G20" s="74">
        <v>0</v>
      </c>
      <c r="H20" s="74">
        <v>2</v>
      </c>
      <c r="I20" s="74">
        <v>1</v>
      </c>
      <c r="J20" s="41">
        <v>0</v>
      </c>
      <c r="K20" s="41">
        <v>0</v>
      </c>
      <c r="L20" s="41">
        <v>1</v>
      </c>
      <c r="M20" s="41">
        <v>0</v>
      </c>
      <c r="N20" s="41">
        <v>0</v>
      </c>
      <c r="O20" s="42">
        <f t="shared" si="0"/>
        <v>43.5</v>
      </c>
      <c r="Q20" s="75"/>
    </row>
    <row r="21" spans="1:17" x14ac:dyDescent="0.25">
      <c r="A21" s="39" t="str">
        <f>INDEX('Active - Players'!B:C,MATCH(B21,'Active - Players'!C:C,0),1)</f>
        <v>Bailey</v>
      </c>
      <c r="B21" s="55" t="s">
        <v>115</v>
      </c>
      <c r="C21" s="39"/>
      <c r="D21" s="74">
        <v>2</v>
      </c>
      <c r="E21" s="74">
        <v>69</v>
      </c>
      <c r="F21" s="74">
        <v>0</v>
      </c>
      <c r="G21" s="74">
        <v>0</v>
      </c>
      <c r="H21" s="74">
        <v>1</v>
      </c>
      <c r="I21" s="74">
        <v>1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2">
        <f t="shared" si="0"/>
        <v>15.4</v>
      </c>
    </row>
    <row r="22" spans="1:17" x14ac:dyDescent="0.25">
      <c r="A22" s="39" t="str">
        <f>INDEX('Active - Players'!B:C,MATCH(B22,'Active - Players'!C:C,0),1)</f>
        <v>Wright</v>
      </c>
      <c r="B22" s="69" t="s">
        <v>42</v>
      </c>
      <c r="C22" s="39"/>
      <c r="D22" s="74">
        <v>1</v>
      </c>
      <c r="E22" s="74">
        <v>54</v>
      </c>
      <c r="F22" s="74">
        <v>0</v>
      </c>
      <c r="G22" s="74">
        <v>0</v>
      </c>
      <c r="H22" s="74">
        <v>0</v>
      </c>
      <c r="I22" s="74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2">
        <f t="shared" si="0"/>
        <v>5.65</v>
      </c>
    </row>
    <row r="23" spans="1:17" x14ac:dyDescent="0.25">
      <c r="A23" s="39" t="str">
        <f>INDEX('Active - Players'!B:C,MATCH(B23,'Active - Players'!C:C,0),1)</f>
        <v>Baringer</v>
      </c>
      <c r="B23" s="56" t="s">
        <v>67</v>
      </c>
      <c r="C23" s="39"/>
      <c r="D23" s="74">
        <v>8</v>
      </c>
      <c r="E23" s="74">
        <v>353</v>
      </c>
      <c r="F23" s="74">
        <v>0</v>
      </c>
      <c r="G23" s="74">
        <v>0</v>
      </c>
      <c r="H23" s="74">
        <v>5</v>
      </c>
      <c r="I23" s="74">
        <v>2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2">
        <f t="shared" si="0"/>
        <v>62.300000000000004</v>
      </c>
    </row>
    <row r="24" spans="1:17" x14ac:dyDescent="0.25">
      <c r="A24" s="39" t="str">
        <f>INDEX('Active - Players'!B:C,MATCH(B24,'Active - Players'!C:C,0),1)</f>
        <v>Hedley</v>
      </c>
      <c r="B24" s="46" t="s">
        <v>64</v>
      </c>
      <c r="C24" s="39" t="s">
        <v>139</v>
      </c>
      <c r="D24" s="74">
        <v>7</v>
      </c>
      <c r="E24" s="74">
        <v>307</v>
      </c>
      <c r="F24" s="74">
        <v>0</v>
      </c>
      <c r="G24" s="74">
        <v>1</v>
      </c>
      <c r="H24" s="74">
        <v>3</v>
      </c>
      <c r="I24" s="74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2">
        <f t="shared" si="0"/>
        <v>42.45</v>
      </c>
    </row>
    <row r="25" spans="1:17" x14ac:dyDescent="0.25">
      <c r="A25" s="39" t="str">
        <f>INDEX('Active - Players'!B:C,MATCH(B25,'Active - Players'!C:C,0),1)</f>
        <v>Gillan</v>
      </c>
      <c r="B25" s="52" t="s">
        <v>99</v>
      </c>
      <c r="C25" s="39" t="s">
        <v>144</v>
      </c>
      <c r="D25" s="74">
        <v>4</v>
      </c>
      <c r="E25" s="74">
        <v>161</v>
      </c>
      <c r="F25" s="74">
        <v>0</v>
      </c>
      <c r="G25" s="74">
        <v>0</v>
      </c>
      <c r="H25" s="74">
        <v>3</v>
      </c>
      <c r="I25" s="74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2">
        <f t="shared" si="0"/>
        <v>26.1</v>
      </c>
    </row>
    <row r="26" spans="1:17" x14ac:dyDescent="0.25">
      <c r="A26" s="39" t="str">
        <f>INDEX('Active - Players'!B:C,MATCH(B26,'Active - Players'!C:C,0),1)</f>
        <v>Morstead</v>
      </c>
      <c r="B26" s="62" t="s">
        <v>102</v>
      </c>
      <c r="C26" s="39"/>
      <c r="D26" s="74">
        <v>3</v>
      </c>
      <c r="E26" s="74">
        <v>156</v>
      </c>
      <c r="F26" s="74">
        <v>0</v>
      </c>
      <c r="G26" s="74">
        <v>0</v>
      </c>
      <c r="H26" s="74">
        <v>1</v>
      </c>
      <c r="I26" s="74">
        <v>1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2">
        <f t="shared" si="0"/>
        <v>24.35</v>
      </c>
    </row>
    <row r="27" spans="1:17" x14ac:dyDescent="0.25">
      <c r="A27" s="39" t="str">
        <f>INDEX('Active - Players'!B:C,MATCH(B27,'Active - Players'!C:C,0),1)</f>
        <v>Mann</v>
      </c>
      <c r="B27" s="60" t="s">
        <v>105</v>
      </c>
      <c r="C27" s="39"/>
      <c r="D27" s="74">
        <v>1</v>
      </c>
      <c r="E27" s="74">
        <v>41</v>
      </c>
      <c r="F27" s="74">
        <v>0</v>
      </c>
      <c r="G27" s="74">
        <v>0</v>
      </c>
      <c r="H27" s="74">
        <v>1</v>
      </c>
      <c r="I27" s="74">
        <v>0</v>
      </c>
      <c r="J27" s="41">
        <v>0</v>
      </c>
      <c r="K27" s="41">
        <v>0</v>
      </c>
      <c r="L27" s="41">
        <v>0</v>
      </c>
      <c r="M27" s="41">
        <v>0</v>
      </c>
      <c r="N27" s="41">
        <v>0</v>
      </c>
      <c r="O27" s="42">
        <f t="shared" si="0"/>
        <v>7.3500000000000005</v>
      </c>
    </row>
    <row r="28" spans="1:17" x14ac:dyDescent="0.25">
      <c r="A28" s="39" t="str">
        <f>INDEX('Active - Players'!B:C,MATCH(B28,'Active - Players'!C:C,0),1)</f>
        <v>Wing</v>
      </c>
      <c r="B28" s="51" t="s">
        <v>79</v>
      </c>
      <c r="C28" s="39" t="s">
        <v>140</v>
      </c>
      <c r="D28" s="74">
        <v>6</v>
      </c>
      <c r="E28" s="74">
        <v>257</v>
      </c>
      <c r="F28" s="74">
        <v>0</v>
      </c>
      <c r="G28" s="74">
        <v>1</v>
      </c>
      <c r="H28" s="74">
        <v>2</v>
      </c>
      <c r="I28" s="74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2">
        <f t="shared" si="0"/>
        <v>34.200000000000003</v>
      </c>
    </row>
    <row r="29" spans="1:17" x14ac:dyDescent="0.25">
      <c r="A29" s="39" t="str">
        <f>INDEX('Active - Players'!B:C,MATCH(B29,'Active - Players'!C:C,0),1)</f>
        <v>Wishnowsky</v>
      </c>
      <c r="B29" s="68" t="s">
        <v>109</v>
      </c>
      <c r="C29" s="39"/>
      <c r="D29" s="74">
        <v>4</v>
      </c>
      <c r="E29" s="74">
        <f>44+59+36+48</f>
        <v>187</v>
      </c>
      <c r="F29" s="74">
        <v>0</v>
      </c>
      <c r="G29" s="74">
        <v>0</v>
      </c>
      <c r="H29" s="74">
        <v>3</v>
      </c>
      <c r="I29" s="74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2">
        <f t="shared" si="0"/>
        <v>28.7</v>
      </c>
    </row>
    <row r="30" spans="1:17" x14ac:dyDescent="0.25">
      <c r="A30" s="39" t="str">
        <f>INDEX('Active - Players'!B:C,MATCH(B30,'Active - Players'!C:C,0),1)</f>
        <v>Dickson</v>
      </c>
      <c r="B30" s="72" t="s">
        <v>18</v>
      </c>
      <c r="C30" s="39"/>
      <c r="D30" s="74">
        <v>0</v>
      </c>
      <c r="E30" s="74">
        <v>0</v>
      </c>
      <c r="F30" s="74">
        <v>0</v>
      </c>
      <c r="G30" s="74">
        <v>0</v>
      </c>
      <c r="H30" s="74">
        <v>0</v>
      </c>
      <c r="I30" s="74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2">
        <f t="shared" si="0"/>
        <v>0</v>
      </c>
    </row>
    <row r="31" spans="1:17" x14ac:dyDescent="0.25">
      <c r="A31" s="39" t="str">
        <f>INDEX('Active - Players'!B:C,MATCH(B31,'Active - Players'!C:C,0),1)</f>
        <v>Camarda</v>
      </c>
      <c r="B31" s="73" t="s">
        <v>63</v>
      </c>
      <c r="C31" s="39"/>
      <c r="D31" s="74">
        <v>0</v>
      </c>
      <c r="E31" s="74">
        <v>0</v>
      </c>
      <c r="F31" s="74">
        <v>0</v>
      </c>
      <c r="G31" s="74">
        <v>0</v>
      </c>
      <c r="H31" s="74">
        <v>0</v>
      </c>
      <c r="I31" s="74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2">
        <f t="shared" si="0"/>
        <v>0</v>
      </c>
    </row>
    <row r="32" spans="1:17" x14ac:dyDescent="0.25">
      <c r="A32" s="39" t="str">
        <f>INDEX('Active - Players'!B:C,MATCH(B32,'Active - Players'!C:C,0),1)</f>
        <v>Stonehouse</v>
      </c>
      <c r="B32" s="48" t="s">
        <v>24</v>
      </c>
      <c r="C32" s="39" t="s">
        <v>136</v>
      </c>
      <c r="D32" s="74">
        <v>1</v>
      </c>
      <c r="E32" s="74">
        <v>43</v>
      </c>
      <c r="F32" s="74">
        <v>0</v>
      </c>
      <c r="G32" s="74">
        <v>0</v>
      </c>
      <c r="H32" s="74">
        <v>0</v>
      </c>
      <c r="I32" s="74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2">
        <f t="shared" si="0"/>
        <v>4.55</v>
      </c>
    </row>
    <row r="33" spans="1:16" x14ac:dyDescent="0.25">
      <c r="A33" s="39" t="str">
        <f>INDEX('Active - Players'!B:C,MATCH(B33,'Active - Players'!C:C,0),1)</f>
        <v>Way</v>
      </c>
      <c r="B33" s="53" t="s">
        <v>45</v>
      </c>
      <c r="C33" s="39" t="s">
        <v>142</v>
      </c>
      <c r="D33" s="74">
        <v>2</v>
      </c>
      <c r="E33" s="74">
        <v>103</v>
      </c>
      <c r="F33" s="74">
        <v>0</v>
      </c>
      <c r="G33" s="74">
        <v>0</v>
      </c>
      <c r="H33" s="74">
        <v>0</v>
      </c>
      <c r="I33" s="74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2">
        <f t="shared" si="0"/>
        <v>10.8</v>
      </c>
    </row>
    <row r="41" spans="1:16" x14ac:dyDescent="0.25">
      <c r="N41" s="36"/>
      <c r="O41" s="36"/>
      <c r="P41" s="36"/>
    </row>
  </sheetData>
  <sortState xmlns:xlrd2="http://schemas.microsoft.com/office/spreadsheetml/2017/richdata2" ref="A2:O33">
    <sortCondition ref="B1:B33"/>
  </sortState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2C3E-66FF-4694-96E7-6B399779DF26}">
  <dimension ref="A1:G33"/>
  <sheetViews>
    <sheetView workbookViewId="0">
      <selection activeCell="N14" sqref="N14"/>
    </sheetView>
  </sheetViews>
  <sheetFormatPr defaultRowHeight="15" x14ac:dyDescent="0.25"/>
  <cols>
    <col min="1" max="1" width="24.140625" bestFit="1" customWidth="1"/>
  </cols>
  <sheetData>
    <row r="1" spans="1:7" x14ac:dyDescent="0.25">
      <c r="A1" s="37" t="s">
        <v>130</v>
      </c>
      <c r="B1" s="37" t="s">
        <v>161</v>
      </c>
      <c r="C1" s="37" t="s">
        <v>162</v>
      </c>
      <c r="D1" s="37" t="s">
        <v>163</v>
      </c>
      <c r="E1" s="37" t="s">
        <v>164</v>
      </c>
      <c r="F1" s="37" t="s">
        <v>165</v>
      </c>
      <c r="G1" s="37" t="s">
        <v>166</v>
      </c>
    </row>
    <row r="2" spans="1:7" x14ac:dyDescent="0.25">
      <c r="A2" s="56" t="s">
        <v>67</v>
      </c>
      <c r="B2" s="42">
        <f>VLOOKUP(A2,'Week 1'!$B:$P,14,FALSE)</f>
        <v>0</v>
      </c>
      <c r="C2" s="42">
        <f>VLOOKUP(A2,'Week 2'!$B:$O,14,FALSE)</f>
        <v>26.5</v>
      </c>
      <c r="D2" s="42">
        <f>VLOOKUP(A2,'Week 3'!$B:$O,14,FALSE)</f>
        <v>51.2</v>
      </c>
      <c r="E2" s="42">
        <f>VLOOKUP(A2,'Week 4'!$B:$O,14,FALSE)</f>
        <v>25.450000000000003</v>
      </c>
      <c r="F2" s="42">
        <f>VLOOKUP(A2,'Week 5'!$B:$O,14,FALSE)</f>
        <v>62.300000000000004</v>
      </c>
      <c r="G2" s="42">
        <f t="shared" ref="G2:G33" si="0">SUM(B2:F2)</f>
        <v>165.45000000000002</v>
      </c>
    </row>
    <row r="3" spans="1:7" x14ac:dyDescent="0.25">
      <c r="A3" s="51" t="s">
        <v>79</v>
      </c>
      <c r="B3" s="42">
        <f>VLOOKUP(A3,'Week 1'!$B:$P,14,FALSE)</f>
        <v>0</v>
      </c>
      <c r="C3" s="42">
        <f>VLOOKUP(A3,'Week 2'!$B:$O,14,FALSE)</f>
        <v>53.75</v>
      </c>
      <c r="D3" s="42">
        <f>VLOOKUP(A3,'Week 3'!$B:$O,14,FALSE)</f>
        <v>47.800000000000004</v>
      </c>
      <c r="E3" s="42">
        <f>VLOOKUP(A3,'Week 4'!$B:$O,14,FALSE)</f>
        <v>30.650000000000002</v>
      </c>
      <c r="F3" s="42">
        <f>VLOOKUP(A3,'Week 5'!$B:$O,14,FALSE)</f>
        <v>34.200000000000003</v>
      </c>
      <c r="G3" s="42">
        <f t="shared" si="0"/>
        <v>166.40000000000003</v>
      </c>
    </row>
    <row r="4" spans="1:7" x14ac:dyDescent="0.25">
      <c r="A4" s="73" t="s">
        <v>63</v>
      </c>
      <c r="B4" s="42">
        <f>VLOOKUP(A4,'Week 1'!$B:$P,14,FALSE)</f>
        <v>0</v>
      </c>
      <c r="C4" s="42">
        <f>VLOOKUP(A4,'Week 2'!$B:$O,14,FALSE)</f>
        <v>50.1</v>
      </c>
      <c r="D4" s="42">
        <f>VLOOKUP(A4,'Week 3'!$B:$O,14,FALSE)</f>
        <v>56</v>
      </c>
      <c r="E4" s="42">
        <f>VLOOKUP(A4,'Week 4'!$B:$O,14,FALSE)</f>
        <v>31.5</v>
      </c>
      <c r="F4" s="42">
        <v>0</v>
      </c>
      <c r="G4" s="42">
        <f t="shared" si="0"/>
        <v>137.6</v>
      </c>
    </row>
    <row r="5" spans="1:7" x14ac:dyDescent="0.25">
      <c r="A5" s="70" t="s">
        <v>82</v>
      </c>
      <c r="B5" s="42">
        <f>VLOOKUP(A5,'Week 1'!$B:$P,14,FALSE)</f>
        <v>0</v>
      </c>
      <c r="C5" s="42">
        <f>VLOOKUP(A5,'Week 2'!$B:$O,14,FALSE)</f>
        <v>30.650000000000002</v>
      </c>
      <c r="D5" s="42">
        <f>VLOOKUP(A5,'Week 3'!$B:$O,14,FALSE)</f>
        <v>25.65</v>
      </c>
      <c r="E5" s="42">
        <f>VLOOKUP(A5,'Week 4'!$B:$O,14,FALSE)</f>
        <v>57.6</v>
      </c>
      <c r="F5" s="42">
        <v>0</v>
      </c>
      <c r="G5" s="42">
        <f t="shared" si="0"/>
        <v>113.9</v>
      </c>
    </row>
    <row r="6" spans="1:7" x14ac:dyDescent="0.25">
      <c r="A6" s="46" t="s">
        <v>64</v>
      </c>
      <c r="B6" s="42">
        <f>VLOOKUP(A6,'Week 1'!$B:$P,14,FALSE)</f>
        <v>0</v>
      </c>
      <c r="C6" s="42">
        <f>VLOOKUP(A6,'Week 2'!$B:$O,14,FALSE)</f>
        <v>30.75</v>
      </c>
      <c r="D6" s="42">
        <f>VLOOKUP(A6,'Week 3'!$B:$O,14,FALSE)</f>
        <v>47.05</v>
      </c>
      <c r="E6" s="42">
        <f>VLOOKUP(A6,'Week 4'!$B:$O,14,FALSE)</f>
        <v>26.2</v>
      </c>
      <c r="F6" s="42">
        <f>VLOOKUP(A6,'Week 5'!$B:$O,14,FALSE)</f>
        <v>42.45</v>
      </c>
      <c r="G6" s="42">
        <f t="shared" si="0"/>
        <v>146.44999999999999</v>
      </c>
    </row>
    <row r="7" spans="1:7" x14ac:dyDescent="0.25">
      <c r="A7" s="63" t="s">
        <v>75</v>
      </c>
      <c r="B7" s="42">
        <f>VLOOKUP(A7,'Week 1'!$B:$P,14,FALSE)</f>
        <v>0</v>
      </c>
      <c r="C7" s="42">
        <f>VLOOKUP(A7,'Week 2'!$B:$O,14,FALSE)</f>
        <v>4.75</v>
      </c>
      <c r="D7" s="42">
        <f>VLOOKUP(A7,'Week 3'!$B:$O,14,FALSE)</f>
        <v>39</v>
      </c>
      <c r="E7" s="42">
        <f>VLOOKUP(A7,'Week 4'!$B:$O,14,FALSE)</f>
        <v>50.650000000000006</v>
      </c>
      <c r="F7" s="42">
        <f>VLOOKUP(A7,'Week 5'!$B:$O,14,FALSE)</f>
        <v>25.25</v>
      </c>
      <c r="G7" s="42">
        <f t="shared" si="0"/>
        <v>119.65</v>
      </c>
    </row>
    <row r="8" spans="1:7" x14ac:dyDescent="0.25">
      <c r="A8" s="48" t="s">
        <v>24</v>
      </c>
      <c r="B8" s="42">
        <f>VLOOKUP(A8,'Week 1'!$B:$P,14,FALSE)</f>
        <v>0</v>
      </c>
      <c r="C8" s="42">
        <f>VLOOKUP(A8,'Week 2'!$B:$O,14,FALSE)</f>
        <v>44.55</v>
      </c>
      <c r="D8" s="42">
        <f>VLOOKUP(A8,'Week 3'!$B:$O,14,FALSE)</f>
        <v>88.15</v>
      </c>
      <c r="E8" s="42">
        <f>VLOOKUP(A8,'Week 4'!$B:$O,14,FALSE)</f>
        <v>15.6</v>
      </c>
      <c r="F8" s="42">
        <f>VLOOKUP(A8,'Week 5'!$B:$O,14,FALSE)</f>
        <v>4.55</v>
      </c>
      <c r="G8" s="42">
        <f t="shared" si="0"/>
        <v>152.85</v>
      </c>
    </row>
    <row r="9" spans="1:7" x14ac:dyDescent="0.25">
      <c r="A9" s="62" t="s">
        <v>102</v>
      </c>
      <c r="B9" s="42">
        <f>VLOOKUP(A9,'Week 1'!$B:$P,14,FALSE)</f>
        <v>0</v>
      </c>
      <c r="C9" s="42">
        <f>VLOOKUP(A9,'Week 2'!$B:$O,14,FALSE)</f>
        <v>33.35</v>
      </c>
      <c r="D9" s="42">
        <f>VLOOKUP(A9,'Week 3'!$B:$O,14,FALSE)</f>
        <v>48</v>
      </c>
      <c r="E9" s="42">
        <f>VLOOKUP(A9,'Week 4'!$B:$O,14,FALSE)</f>
        <v>33.650000000000006</v>
      </c>
      <c r="F9" s="42">
        <f>VLOOKUP(A9,'Week 5'!$B:$O,14,FALSE)</f>
        <v>24.35</v>
      </c>
      <c r="G9" s="42">
        <f t="shared" si="0"/>
        <v>139.35</v>
      </c>
    </row>
    <row r="10" spans="1:7" x14ac:dyDescent="0.25">
      <c r="A10" s="65" t="s">
        <v>96</v>
      </c>
      <c r="B10" s="42">
        <f>VLOOKUP(A10,'Week 1'!$B:$P,14,FALSE)</f>
        <v>0</v>
      </c>
      <c r="C10" s="42">
        <f>VLOOKUP(A10,'Week 2'!$B:$O,14,FALSE)</f>
        <v>8.1</v>
      </c>
      <c r="D10" s="42">
        <f>VLOOKUP(A10,'Week 3'!$B:$O,14,FALSE)</f>
        <v>50.65</v>
      </c>
      <c r="E10" s="42">
        <f>VLOOKUP(A10,'Week 4'!$B:$O,14,FALSE)</f>
        <v>51.75</v>
      </c>
      <c r="F10" s="42">
        <f>VLOOKUP(A10,'Week 5'!$B:$O,14,FALSE)</f>
        <v>10.649999999999999</v>
      </c>
      <c r="G10" s="42">
        <f t="shared" si="0"/>
        <v>121.15</v>
      </c>
    </row>
    <row r="11" spans="1:7" x14ac:dyDescent="0.25">
      <c r="A11" s="54" t="s">
        <v>27</v>
      </c>
      <c r="B11" s="42">
        <f>VLOOKUP(A11,'Week 1'!$B:$P,14,FALSE)</f>
        <v>0</v>
      </c>
      <c r="C11" s="42">
        <f>VLOOKUP(A11,'Week 2'!$B:$O,14,FALSE)</f>
        <v>21.65</v>
      </c>
      <c r="D11" s="42">
        <f>VLOOKUP(A11,'Week 3'!$B:$O,14,FALSE)</f>
        <v>41.7</v>
      </c>
      <c r="E11" s="42">
        <f>VLOOKUP(A11,'Week 4'!$B:$O,14,FALSE)</f>
        <v>60.35</v>
      </c>
      <c r="F11" s="42">
        <f>VLOOKUP(A11,'Week 5'!$B:$O,14,FALSE)</f>
        <v>36.900000000000006</v>
      </c>
      <c r="G11" s="42">
        <f t="shared" si="0"/>
        <v>160.60000000000002</v>
      </c>
    </row>
    <row r="12" spans="1:7" x14ac:dyDescent="0.25">
      <c r="A12" s="44" t="s">
        <v>39</v>
      </c>
      <c r="B12" s="42">
        <f>VLOOKUP(A12,'Week 1'!$B:$P,14,FALSE)</f>
        <v>0</v>
      </c>
      <c r="C12" s="42">
        <f>VLOOKUP(A12,'Week 2'!$B:$O,14,FALSE)</f>
        <v>41.75</v>
      </c>
      <c r="D12" s="42">
        <f>VLOOKUP(A12,'Week 3'!$B:$O,14,FALSE)</f>
        <v>18.899999999999999</v>
      </c>
      <c r="E12" s="42">
        <f>VLOOKUP(A12,'Week 4'!$B:$O,14,FALSE)</f>
        <v>30.75</v>
      </c>
      <c r="F12" s="42">
        <f>VLOOKUP(A12,'Week 5'!$B:$O,14,FALSE)</f>
        <v>40.950000000000003</v>
      </c>
      <c r="G12" s="42">
        <f t="shared" si="0"/>
        <v>132.35000000000002</v>
      </c>
    </row>
    <row r="13" spans="1:7" x14ac:dyDescent="0.25">
      <c r="A13" s="64" t="s">
        <v>54</v>
      </c>
      <c r="B13" s="42">
        <f>VLOOKUP(A13,'Week 1'!$B:$P,14,FALSE)</f>
        <v>0</v>
      </c>
      <c r="C13" s="42">
        <f>VLOOKUP(A13,'Week 2'!$B:$O,14,FALSE)</f>
        <v>15.55</v>
      </c>
      <c r="D13" s="42">
        <f>VLOOKUP(A13,'Week 3'!$B:$O,14,FALSE)</f>
        <v>30</v>
      </c>
      <c r="E13" s="42">
        <f>VLOOKUP(A13,'Week 4'!$B:$O,14,FALSE)</f>
        <v>31.25</v>
      </c>
      <c r="F13" s="42">
        <f>VLOOKUP(A13,'Week 5'!$B:$O,14,FALSE)</f>
        <v>18.25</v>
      </c>
      <c r="G13" s="42">
        <f t="shared" si="0"/>
        <v>95.05</v>
      </c>
    </row>
    <row r="14" spans="1:7" x14ac:dyDescent="0.25">
      <c r="A14" s="50" t="s">
        <v>21</v>
      </c>
      <c r="B14" s="42">
        <f>VLOOKUP(A14,'Week 1'!$B:$P,14,FALSE)</f>
        <v>0</v>
      </c>
      <c r="C14" s="42">
        <f>VLOOKUP(A14,'Week 2'!$B:$O,14,FALSE)</f>
        <v>29.55</v>
      </c>
      <c r="D14" s="42">
        <f>VLOOKUP(A14,'Week 3'!$B:$O,14,FALSE)</f>
        <v>34.85</v>
      </c>
      <c r="E14" s="42">
        <f>VLOOKUP(A14,'Week 4'!$B:$O,14,FALSE)</f>
        <v>28.25</v>
      </c>
      <c r="F14" s="42">
        <f>VLOOKUP(A14,'Week 5'!$B:$O,14,FALSE)</f>
        <v>15.15</v>
      </c>
      <c r="G14" s="42">
        <f t="shared" si="0"/>
        <v>107.80000000000001</v>
      </c>
    </row>
    <row r="15" spans="1:7" x14ac:dyDescent="0.25">
      <c r="A15" s="49" t="s">
        <v>121</v>
      </c>
      <c r="B15" s="42">
        <f>VLOOKUP(A15,'Week 1'!$B:$P,14,FALSE)</f>
        <v>0</v>
      </c>
      <c r="C15" s="42">
        <f>VLOOKUP(A15,'Week 2'!$B:$O,14,FALSE)</f>
        <v>38</v>
      </c>
      <c r="D15" s="42">
        <f>VLOOKUP(A15,'Week 3'!$B:$O,14,FALSE)</f>
        <v>46.1</v>
      </c>
      <c r="E15" s="42">
        <f>VLOOKUP(A15,'Week 4'!$B:$O,14,FALSE)</f>
        <v>17.75</v>
      </c>
      <c r="F15" s="42">
        <f>VLOOKUP(A15,'Week 5'!$B:$O,14,FALSE)</f>
        <v>43.5</v>
      </c>
      <c r="G15" s="42">
        <f t="shared" si="0"/>
        <v>145.35</v>
      </c>
    </row>
    <row r="16" spans="1:7" x14ac:dyDescent="0.25">
      <c r="A16" s="52" t="s">
        <v>99</v>
      </c>
      <c r="B16" s="42">
        <f>VLOOKUP(A16,'Week 1'!$B:$P,14,FALSE)</f>
        <v>0</v>
      </c>
      <c r="C16" s="42">
        <f>VLOOKUP(A16,'Week 2'!$B:$O,14,FALSE)</f>
        <v>14.850000000000001</v>
      </c>
      <c r="D16" s="42">
        <f>VLOOKUP(A16,'Week 3'!$B:$O,14,FALSE)</f>
        <v>41.1</v>
      </c>
      <c r="E16" s="42">
        <f>VLOOKUP(A16,'Week 4'!$B:$O,14,FALSE)</f>
        <v>40.75</v>
      </c>
      <c r="F16" s="42">
        <f>VLOOKUP(A16,'Week 5'!$B:$O,14,FALSE)</f>
        <v>26.1</v>
      </c>
      <c r="G16" s="42">
        <f t="shared" si="0"/>
        <v>122.80000000000001</v>
      </c>
    </row>
    <row r="17" spans="1:7" x14ac:dyDescent="0.25">
      <c r="A17" s="45" t="s">
        <v>126</v>
      </c>
      <c r="B17" s="42">
        <f>VLOOKUP(A17,'Week 1'!$B:$P,14,FALSE)</f>
        <v>0</v>
      </c>
      <c r="C17" s="42">
        <f>VLOOKUP(A17,'Week 2'!$B:$O,14,FALSE)</f>
        <v>27.25</v>
      </c>
      <c r="D17" s="42">
        <f>VLOOKUP(A17,'Week 3'!$B:$O,14,FALSE)</f>
        <v>48.25</v>
      </c>
      <c r="E17" s="42">
        <f>VLOOKUP(A17,'Week 4'!$B:$O,14,FALSE)</f>
        <v>21.8</v>
      </c>
      <c r="F17" s="42">
        <f>VLOOKUP(A17,'Week 5'!$B:$O,14,FALSE)</f>
        <v>8.25</v>
      </c>
      <c r="G17" s="42">
        <f t="shared" si="0"/>
        <v>105.55</v>
      </c>
    </row>
    <row r="18" spans="1:7" x14ac:dyDescent="0.25">
      <c r="A18" s="68" t="s">
        <v>109</v>
      </c>
      <c r="B18" s="42">
        <f>VLOOKUP(A18,'Week 1'!$B:$P,14,FALSE)</f>
        <v>0</v>
      </c>
      <c r="C18" s="42">
        <f>VLOOKUP(A18,'Week 2'!$B:$O,14,FALSE)</f>
        <v>39.6</v>
      </c>
      <c r="D18" s="42">
        <f>VLOOKUP(A18,'Week 3'!$B:$O,14,FALSE)</f>
        <v>24.55</v>
      </c>
      <c r="E18" s="42">
        <f>VLOOKUP(A18,'Week 4'!$B:$O,14,FALSE)</f>
        <v>7.75</v>
      </c>
      <c r="F18" s="42">
        <f>VLOOKUP(A18,'Week 5'!$B:$O,14,FALSE)</f>
        <v>28.7</v>
      </c>
      <c r="G18" s="42">
        <f t="shared" si="0"/>
        <v>100.60000000000001</v>
      </c>
    </row>
    <row r="19" spans="1:7" x14ac:dyDescent="0.25">
      <c r="A19" s="67" t="s">
        <v>106</v>
      </c>
      <c r="B19" s="42">
        <f>VLOOKUP(A19,'Week 1'!$B:$P,14,FALSE)</f>
        <v>0</v>
      </c>
      <c r="C19" s="42">
        <f>VLOOKUP(A19,'Week 2'!$B:$O,14,FALSE)</f>
        <v>17.899999999999999</v>
      </c>
      <c r="D19" s="42">
        <f>VLOOKUP(A19,'Week 3'!$B:$O,14,FALSE)</f>
        <v>28.3</v>
      </c>
      <c r="E19" s="42">
        <f>VLOOKUP(A19,'Week 4'!$B:$O,14,FALSE)</f>
        <v>24.450000000000003</v>
      </c>
      <c r="F19" s="42">
        <f>VLOOKUP(A19,'Week 5'!$B:$O,14,FALSE)</f>
        <v>16.75</v>
      </c>
      <c r="G19" s="42">
        <f t="shared" si="0"/>
        <v>87.4</v>
      </c>
    </row>
    <row r="20" spans="1:7" x14ac:dyDescent="0.25">
      <c r="A20" s="58" t="s">
        <v>93</v>
      </c>
      <c r="B20" s="42">
        <f>VLOOKUP(A20,'Week 1'!$B:$P,14,FALSE)</f>
        <v>0</v>
      </c>
      <c r="C20" s="42">
        <f>VLOOKUP(A20,'Week 2'!$B:$O,14,FALSE)</f>
        <v>31.75</v>
      </c>
      <c r="D20" s="42">
        <f>VLOOKUP(A20,'Week 3'!$B:$O,14,FALSE)</f>
        <v>35.150000000000006</v>
      </c>
      <c r="E20" s="42">
        <f>VLOOKUP(A20,'Week 4'!$B:$O,14,FALSE)</f>
        <v>10</v>
      </c>
      <c r="F20" s="42">
        <f>VLOOKUP(A20,'Week 5'!$B:$O,14,FALSE)</f>
        <v>16.850000000000001</v>
      </c>
      <c r="G20" s="42">
        <f t="shared" si="0"/>
        <v>93.75</v>
      </c>
    </row>
    <row r="21" spans="1:7" x14ac:dyDescent="0.25">
      <c r="A21" s="72" t="s">
        <v>18</v>
      </c>
      <c r="B21" s="42">
        <f>VLOOKUP(A21,'Week 1'!$B:$P,14,FALSE)</f>
        <v>0</v>
      </c>
      <c r="C21" s="42">
        <f>VLOOKUP(A21,'Week 2'!$B:$O,14,FALSE)</f>
        <v>25.25</v>
      </c>
      <c r="D21" s="42">
        <f>VLOOKUP(A21,'Week 3'!$B:$O,14,FALSE)</f>
        <v>9.8000000000000007</v>
      </c>
      <c r="E21" s="42">
        <f>VLOOKUP(A21,'Week 4'!$B:$O,14,FALSE)</f>
        <v>36.400000000000006</v>
      </c>
      <c r="F21" s="42">
        <v>0</v>
      </c>
      <c r="G21" s="42">
        <f t="shared" si="0"/>
        <v>71.45</v>
      </c>
    </row>
    <row r="22" spans="1:7" x14ac:dyDescent="0.25">
      <c r="A22" s="47" t="s">
        <v>51</v>
      </c>
      <c r="B22" s="42">
        <f>VLOOKUP(A22,'Week 1'!$B:$P,14,FALSE)</f>
        <v>0</v>
      </c>
      <c r="C22" s="42">
        <f>VLOOKUP(A22,'Week 2'!$B:$O,14,FALSE)</f>
        <v>12.450000000000001</v>
      </c>
      <c r="D22" s="42">
        <f>VLOOKUP(A22,'Week 3'!$B:$O,14,FALSE)</f>
        <v>21.3</v>
      </c>
      <c r="E22" s="42">
        <f>VLOOKUP(A22,'Week 4'!$B:$O,14,FALSE)</f>
        <v>20.149999999999999</v>
      </c>
      <c r="F22" s="42">
        <f>VLOOKUP(A22,'Week 5'!$B:$O,14,FALSE)</f>
        <v>35.900000000000006</v>
      </c>
      <c r="G22" s="42">
        <f t="shared" si="0"/>
        <v>89.800000000000011</v>
      </c>
    </row>
    <row r="23" spans="1:7" x14ac:dyDescent="0.25">
      <c r="A23" s="57" t="s">
        <v>72</v>
      </c>
      <c r="B23" s="42">
        <f>VLOOKUP(A23,'Week 1'!$B:$P,14,FALSE)</f>
        <v>0</v>
      </c>
      <c r="C23" s="42">
        <f>VLOOKUP(A23,'Week 2'!$B:$O,14,FALSE)</f>
        <v>5.5500000000000007</v>
      </c>
      <c r="D23" s="42">
        <f>VLOOKUP(A23,'Week 3'!$B:$O,14,FALSE)</f>
        <v>39.900000000000006</v>
      </c>
      <c r="E23" s="42">
        <f>VLOOKUP(A23,'Week 4'!$B:$O,14,FALSE)</f>
        <v>18.600000000000001</v>
      </c>
      <c r="F23" s="42">
        <f>VLOOKUP(A23,'Week 5'!$B:$O,14,FALSE)</f>
        <v>15.3</v>
      </c>
      <c r="G23" s="42">
        <f t="shared" si="0"/>
        <v>79.350000000000009</v>
      </c>
    </row>
    <row r="24" spans="1:7" x14ac:dyDescent="0.25">
      <c r="A24" s="40" t="s">
        <v>57</v>
      </c>
      <c r="B24" s="42">
        <f>VLOOKUP(A24,'Week 1'!$B:$P,14,FALSE)</f>
        <v>0</v>
      </c>
      <c r="C24" s="42">
        <f>VLOOKUP(A24,'Week 2'!$B:$O,14,FALSE)</f>
        <v>13.25</v>
      </c>
      <c r="D24" s="42">
        <f>VLOOKUP(A24,'Week 3'!$B:$O,14,FALSE)</f>
        <v>38.650000000000006</v>
      </c>
      <c r="E24" s="42">
        <f>VLOOKUP(A24,'Week 4'!$B:$O,14,FALSE)</f>
        <v>22.5</v>
      </c>
      <c r="F24" s="42">
        <f>VLOOKUP(A24,'Week 5'!$B:$O,14,FALSE)</f>
        <v>24.1</v>
      </c>
      <c r="G24" s="42">
        <f t="shared" si="0"/>
        <v>98.5</v>
      </c>
    </row>
    <row r="25" spans="1:7" x14ac:dyDescent="0.25">
      <c r="A25" s="69" t="s">
        <v>42</v>
      </c>
      <c r="B25" s="42">
        <f>VLOOKUP(A25,'Week 1'!$B:$P,14,FALSE)</f>
        <v>0</v>
      </c>
      <c r="C25" s="42">
        <f>VLOOKUP(A25,'Week 2'!$B:$O,14,FALSE)</f>
        <v>22.25</v>
      </c>
      <c r="D25" s="42">
        <f>VLOOKUP(A25,'Week 3'!$B:$O,14,FALSE)</f>
        <v>25.25</v>
      </c>
      <c r="E25" s="42">
        <f>VLOOKUP(A25,'Week 4'!$B:$O,14,FALSE)</f>
        <v>29.1</v>
      </c>
      <c r="F25" s="42">
        <f>VLOOKUP(A25,'Week 5'!$B:$O,14,FALSE)</f>
        <v>5.65</v>
      </c>
      <c r="G25" s="42">
        <f t="shared" si="0"/>
        <v>82.25</v>
      </c>
    </row>
    <row r="26" spans="1:7" x14ac:dyDescent="0.25">
      <c r="A26" s="53" t="s">
        <v>45</v>
      </c>
      <c r="B26" s="42">
        <f>VLOOKUP(A26,'Week 1'!$B:$P,14,FALSE)</f>
        <v>0</v>
      </c>
      <c r="C26" s="42">
        <f>VLOOKUP(A26,'Week 2'!$B:$O,14,FALSE)</f>
        <v>29.05</v>
      </c>
      <c r="D26" s="42">
        <f>VLOOKUP(A26,'Week 3'!$B:$O,14,FALSE)</f>
        <v>15.75</v>
      </c>
      <c r="E26" s="42">
        <f>VLOOKUP(A26,'Week 4'!$B:$O,14,FALSE)</f>
        <v>18.75</v>
      </c>
      <c r="F26" s="42">
        <f>VLOOKUP(A26,'Week 5'!$B:$O,14,FALSE)</f>
        <v>10.8</v>
      </c>
      <c r="G26" s="42">
        <f t="shared" si="0"/>
        <v>74.349999999999994</v>
      </c>
    </row>
    <row r="27" spans="1:7" x14ac:dyDescent="0.25">
      <c r="A27" s="61" t="s">
        <v>58</v>
      </c>
      <c r="B27" s="42">
        <f>VLOOKUP(A27,'Week 1'!$B:$P,14,FALSE)</f>
        <v>0</v>
      </c>
      <c r="C27" s="42">
        <f>VLOOKUP(A27,'Week 2'!$B:$O,14,FALSE)</f>
        <v>13.65</v>
      </c>
      <c r="D27" s="42">
        <f>VLOOKUP(A27,'Week 3'!$B:$O,14,FALSE)</f>
        <v>23.25</v>
      </c>
      <c r="E27" s="42">
        <f>VLOOKUP(A27,'Week 4'!$B:$O,14,FALSE)</f>
        <v>12.8</v>
      </c>
      <c r="F27" s="42">
        <f>VLOOKUP(A27,'Week 5'!$B:$O,14,FALSE)</f>
        <v>38.299999999999997</v>
      </c>
      <c r="G27" s="42">
        <f t="shared" si="0"/>
        <v>88</v>
      </c>
    </row>
    <row r="28" spans="1:7" x14ac:dyDescent="0.25">
      <c r="A28" s="66" t="s">
        <v>12</v>
      </c>
      <c r="B28" s="42">
        <f>VLOOKUP(A28,'Week 1'!$B:$P,14,FALSE)</f>
        <v>0</v>
      </c>
      <c r="C28" s="42">
        <f>VLOOKUP(A28,'Week 2'!$B:$O,14,FALSE)</f>
        <v>22.8</v>
      </c>
      <c r="D28" s="42">
        <f>VLOOKUP(A28,'Week 3'!$B:$O,14,FALSE)</f>
        <v>13.75</v>
      </c>
      <c r="E28" s="42">
        <f>VLOOKUP(A28,'Week 4'!$B:$O,14,FALSE)</f>
        <v>12.200000000000001</v>
      </c>
      <c r="F28" s="42">
        <f>VLOOKUP(A28,'Week 5'!$B:$O,14,FALSE)</f>
        <v>18.75</v>
      </c>
      <c r="G28" s="42">
        <f t="shared" si="0"/>
        <v>67.5</v>
      </c>
    </row>
    <row r="29" spans="1:7" x14ac:dyDescent="0.25">
      <c r="A29" s="45" t="s">
        <v>48</v>
      </c>
      <c r="B29" s="42">
        <f>VLOOKUP(A29,'Week 1'!$B:$P,14,FALSE)</f>
        <v>0</v>
      </c>
      <c r="C29" s="42">
        <f>VLOOKUP(A29,'Week 2'!$B:$O,14,FALSE)</f>
        <v>18.55</v>
      </c>
      <c r="D29" s="42">
        <f>VLOOKUP(A29,'Week 3'!$B:$O,14,FALSE)</f>
        <v>13.700000000000001</v>
      </c>
      <c r="E29" s="42">
        <f>VLOOKUP(A29,'Week 4'!$B:$O,14,FALSE)</f>
        <v>17.899999999999999</v>
      </c>
      <c r="F29" s="42">
        <f>VLOOKUP(A29,'Week 5'!$B:$O,14,FALSE)</f>
        <v>30.05</v>
      </c>
      <c r="G29" s="42">
        <f t="shared" si="0"/>
        <v>80.2</v>
      </c>
    </row>
    <row r="30" spans="1:7" x14ac:dyDescent="0.25">
      <c r="A30" s="71" t="s">
        <v>160</v>
      </c>
      <c r="B30" s="42">
        <f>VLOOKUP(A30,'Week 1'!$B:$P,14,FALSE)</f>
        <v>0</v>
      </c>
      <c r="C30" s="42">
        <f>VLOOKUP(A30,'Week 2'!$B:$O,14,FALSE)</f>
        <v>35.799999999999997</v>
      </c>
      <c r="D30" s="42">
        <f>VLOOKUP(A30,'Week 3'!$B:$O,14,FALSE)</f>
        <v>19.950000000000003</v>
      </c>
      <c r="E30" s="42">
        <f>VLOOKUP(A30,'Week 4'!$B:$O,14,FALSE)</f>
        <v>21.9</v>
      </c>
      <c r="F30" s="42">
        <v>0</v>
      </c>
      <c r="G30" s="42">
        <f t="shared" si="0"/>
        <v>77.650000000000006</v>
      </c>
    </row>
    <row r="31" spans="1:7" x14ac:dyDescent="0.25">
      <c r="A31" s="59" t="s">
        <v>76</v>
      </c>
      <c r="B31" s="42">
        <f>VLOOKUP(A31,'Week 1'!$B:$P,14,FALSE)</f>
        <v>0</v>
      </c>
      <c r="C31" s="42">
        <f>VLOOKUP(A31,'Week 2'!$B:$O,14,FALSE)</f>
        <v>12.950000000000001</v>
      </c>
      <c r="D31" s="42">
        <f>VLOOKUP(A31,'Week 3'!$B:$O,14,FALSE)</f>
        <v>9.9</v>
      </c>
      <c r="E31" s="42">
        <f>VLOOKUP(A31,'Week 4'!$B:$O,14,FALSE)</f>
        <v>10.050000000000001</v>
      </c>
      <c r="F31" s="42">
        <f>VLOOKUP(A31,'Week 5'!$B:$O,14,FALSE)</f>
        <v>27.900000000000002</v>
      </c>
      <c r="G31" s="42">
        <f t="shared" si="0"/>
        <v>60.800000000000011</v>
      </c>
    </row>
    <row r="32" spans="1:7" x14ac:dyDescent="0.25">
      <c r="A32" s="60" t="s">
        <v>105</v>
      </c>
      <c r="B32" s="42">
        <f>VLOOKUP(A32,'Week 1'!$B:$P,14,FALSE)</f>
        <v>0</v>
      </c>
      <c r="C32" s="42">
        <f>VLOOKUP(A32,'Week 2'!$B:$O,14,FALSE)</f>
        <v>20.100000000000001</v>
      </c>
      <c r="D32" s="42">
        <f>VLOOKUP(A32,'Week 3'!$B:$O,14,FALSE)</f>
        <v>7.0500000000000007</v>
      </c>
      <c r="E32" s="42">
        <f>VLOOKUP(A32,'Week 4'!$B:$O,14,FALSE)</f>
        <v>15.25</v>
      </c>
      <c r="F32" s="42">
        <f>VLOOKUP(A32,'Week 5'!$B:$O,14,FALSE)</f>
        <v>7.3500000000000005</v>
      </c>
      <c r="G32" s="42">
        <f t="shared" si="0"/>
        <v>49.750000000000007</v>
      </c>
    </row>
    <row r="33" spans="1:7" x14ac:dyDescent="0.25">
      <c r="A33" s="55" t="s">
        <v>115</v>
      </c>
      <c r="B33" s="42">
        <f>VLOOKUP(A33,'Week 1'!$B:$P,14,FALSE)</f>
        <v>0</v>
      </c>
      <c r="C33" s="42">
        <f>VLOOKUP(A33,'Week 2'!$B:$O,14,FALSE)</f>
        <v>13.950000000000001</v>
      </c>
      <c r="D33" s="42">
        <f>VLOOKUP(A33,'Week 3'!$B:$O,14,FALSE)</f>
        <v>5.0500000000000007</v>
      </c>
      <c r="E33" s="42">
        <f>VLOOKUP(A33,'Week 4'!$B:$O,14,FALSE)</f>
        <v>19.55</v>
      </c>
      <c r="F33" s="42">
        <f>VLOOKUP(A33,'Week 5'!$B:$O,14,FALSE)</f>
        <v>15.4</v>
      </c>
      <c r="G33" s="42">
        <f t="shared" si="0"/>
        <v>53.949999999999996</v>
      </c>
    </row>
  </sheetData>
  <sortState xmlns:xlrd2="http://schemas.microsoft.com/office/spreadsheetml/2017/richdata2" ref="A2:G33">
    <sortCondition descending="1" ref="G1:G33"/>
  </sortState>
  <phoneticPr fontId="1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ED7C-D2E2-4D65-B804-27DD514A7F79}">
  <dimension ref="A1:O33"/>
  <sheetViews>
    <sheetView workbookViewId="0">
      <selection activeCell="C11" sqref="C11"/>
    </sheetView>
  </sheetViews>
  <sheetFormatPr defaultRowHeight="15" x14ac:dyDescent="0.25"/>
  <cols>
    <col min="1" max="1" width="12.140625" bestFit="1" customWidth="1"/>
    <col min="2" max="2" width="24.140625" bestFit="1" customWidth="1"/>
    <col min="3" max="3" width="27.140625" bestFit="1" customWidth="1"/>
    <col min="4" max="4" width="6" bestFit="1" customWidth="1"/>
    <col min="5" max="5" width="18.85546875" bestFit="1" customWidth="1"/>
    <col min="6" max="6" width="12.5703125" bestFit="1" customWidth="1"/>
    <col min="7" max="7" width="10.7109375" bestFit="1" customWidth="1"/>
    <col min="8" max="8" width="8.5703125" bestFit="1" customWidth="1"/>
    <col min="9" max="9" width="18.85546875" bestFit="1" customWidth="1"/>
    <col min="10" max="10" width="22" bestFit="1" customWidth="1"/>
    <col min="11" max="13" width="14.7109375" bestFit="1" customWidth="1"/>
    <col min="14" max="14" width="16.7109375" bestFit="1" customWidth="1"/>
    <col min="15" max="15" width="10.7109375" bestFit="1" customWidth="1"/>
  </cols>
  <sheetData>
    <row r="1" spans="1:15" x14ac:dyDescent="0.25">
      <c r="A1" s="37" t="s">
        <v>129</v>
      </c>
      <c r="B1" s="37" t="s">
        <v>130</v>
      </c>
      <c r="C1" s="37" t="s">
        <v>131</v>
      </c>
      <c r="D1" s="38" t="s">
        <v>132</v>
      </c>
      <c r="E1" s="37" t="s">
        <v>30</v>
      </c>
      <c r="F1" s="38" t="s">
        <v>31</v>
      </c>
      <c r="G1" s="37" t="s">
        <v>32</v>
      </c>
      <c r="H1" s="38" t="s">
        <v>33</v>
      </c>
      <c r="I1" s="37" t="s">
        <v>34</v>
      </c>
      <c r="J1" s="38" t="s">
        <v>35</v>
      </c>
      <c r="K1" s="37" t="s">
        <v>90</v>
      </c>
      <c r="L1" s="38" t="s">
        <v>91</v>
      </c>
      <c r="M1" s="37" t="s">
        <v>92</v>
      </c>
      <c r="N1" s="38" t="s">
        <v>36</v>
      </c>
      <c r="O1" s="37" t="s">
        <v>133</v>
      </c>
    </row>
    <row r="2" spans="1:15" x14ac:dyDescent="0.25">
      <c r="A2" s="39" t="str">
        <f>INDEX('Active - Players'!B:C,MATCH(B2,'Active - Players'!C:C,0),1)</f>
        <v>Gillikin</v>
      </c>
      <c r="B2" s="59" t="s">
        <v>76</v>
      </c>
      <c r="C2" s="39"/>
      <c r="D2" s="74">
        <v>4</v>
      </c>
      <c r="E2" s="74">
        <v>219</v>
      </c>
      <c r="F2" s="74">
        <v>0</v>
      </c>
      <c r="G2" s="74">
        <v>0</v>
      </c>
      <c r="H2" s="74">
        <v>0</v>
      </c>
      <c r="I2" s="74">
        <v>0</v>
      </c>
      <c r="J2" s="41">
        <v>0</v>
      </c>
      <c r="K2" s="41">
        <v>1</v>
      </c>
      <c r="L2" s="41">
        <v>0</v>
      </c>
      <c r="M2" s="41">
        <v>0</v>
      </c>
      <c r="N2" s="41">
        <v>0</v>
      </c>
      <c r="O2" s="42">
        <f t="shared" ref="O2:O33" si="0">(D2*punt_score)+(E2*punt_per_yard)+(F2*punt_blocked)+(G2*touchback)+(H2*in_the_20)+(I2*out_of_backfield)-(J2*punt_return_td)+(K2*_60_64)+(L2*_65_69)+(M2*_70_74)+(N2*_75over)</f>
        <v>27.900000000000002</v>
      </c>
    </row>
    <row r="3" spans="1:15" x14ac:dyDescent="0.25">
      <c r="A3" s="39" t="str">
        <f>INDEX('Active - Players'!B:C,MATCH(B3,'Active - Players'!C:C,0),1)</f>
        <v>Pinion</v>
      </c>
      <c r="B3" s="63" t="s">
        <v>75</v>
      </c>
      <c r="C3" s="39"/>
      <c r="D3" s="74">
        <v>5</v>
      </c>
      <c r="E3" s="74">
        <v>200</v>
      </c>
      <c r="F3" s="74">
        <v>0</v>
      </c>
      <c r="G3" s="74">
        <v>1</v>
      </c>
      <c r="H3" s="74">
        <v>1</v>
      </c>
      <c r="I3" s="74">
        <v>0</v>
      </c>
      <c r="J3" s="41">
        <v>0</v>
      </c>
      <c r="K3" s="41">
        <v>0</v>
      </c>
      <c r="L3" s="41">
        <v>0</v>
      </c>
      <c r="M3" s="41">
        <v>0</v>
      </c>
      <c r="N3" s="41">
        <v>0</v>
      </c>
      <c r="O3" s="42">
        <f t="shared" si="0"/>
        <v>25.25</v>
      </c>
    </row>
    <row r="4" spans="1:15" x14ac:dyDescent="0.25">
      <c r="A4" s="39" t="str">
        <f>INDEX('Active - Players'!B:C,MATCH(B4,'Active - Players'!C:C,0),1)</f>
        <v>Stout</v>
      </c>
      <c r="B4" s="65" t="s">
        <v>96</v>
      </c>
      <c r="C4" s="39"/>
      <c r="D4" s="74">
        <v>5</v>
      </c>
      <c r="E4" s="74">
        <v>154</v>
      </c>
      <c r="F4" s="74">
        <v>1</v>
      </c>
      <c r="G4" s="74">
        <v>0</v>
      </c>
      <c r="H4" s="74">
        <v>3</v>
      </c>
      <c r="I4" s="74">
        <v>1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2">
        <f t="shared" si="0"/>
        <v>10.649999999999999</v>
      </c>
    </row>
    <row r="5" spans="1:15" x14ac:dyDescent="0.25">
      <c r="A5" s="39" t="str">
        <f>INDEX('Active - Players'!B:C,MATCH(B5,'Active - Players'!C:C,0),1)</f>
        <v>Martin</v>
      </c>
      <c r="B5" s="61" t="s">
        <v>58</v>
      </c>
      <c r="C5" s="39"/>
      <c r="D5" s="74">
        <v>6</v>
      </c>
      <c r="E5" s="74">
        <v>258</v>
      </c>
      <c r="F5" s="74">
        <v>0</v>
      </c>
      <c r="G5" s="74">
        <v>0</v>
      </c>
      <c r="H5" s="74">
        <v>2</v>
      </c>
      <c r="I5" s="74">
        <v>1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2">
        <f t="shared" si="0"/>
        <v>38.299999999999997</v>
      </c>
    </row>
    <row r="6" spans="1:15" x14ac:dyDescent="0.25">
      <c r="A6" s="39" t="str">
        <f>INDEX('Active - Players'!B:C,MATCH(B6,'Active - Players'!C:C,0),1)</f>
        <v>Hekker</v>
      </c>
      <c r="B6" s="50" t="s">
        <v>21</v>
      </c>
      <c r="C6" s="39" t="s">
        <v>145</v>
      </c>
      <c r="D6" s="74">
        <v>3</v>
      </c>
      <c r="E6" s="74">
        <v>114</v>
      </c>
      <c r="F6" s="74">
        <v>0</v>
      </c>
      <c r="G6" s="74">
        <v>0</v>
      </c>
      <c r="H6" s="74">
        <v>1</v>
      </c>
      <c r="I6" s="74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2">
        <f t="shared" si="0"/>
        <v>15.15</v>
      </c>
    </row>
    <row r="7" spans="1:15" x14ac:dyDescent="0.25">
      <c r="A7" s="39" t="str">
        <f>INDEX('Active - Players'!B:C,MATCH(B7,'Active - Players'!C:C,0),1)</f>
        <v>Gill</v>
      </c>
      <c r="B7" s="58" t="s">
        <v>93</v>
      </c>
      <c r="C7" s="39"/>
      <c r="D7" s="74">
        <v>3</v>
      </c>
      <c r="E7" s="74">
        <v>131</v>
      </c>
      <c r="F7" s="74">
        <v>0</v>
      </c>
      <c r="G7" s="74">
        <v>0</v>
      </c>
      <c r="H7" s="74">
        <v>1</v>
      </c>
      <c r="I7" s="74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2">
        <f t="shared" si="0"/>
        <v>16.850000000000001</v>
      </c>
    </row>
    <row r="8" spans="1:15" x14ac:dyDescent="0.25">
      <c r="A8" s="39" t="str">
        <f>INDEX('Active - Players'!B:C,MATCH(B8,'Active - Players'!C:C,0),1)</f>
        <v>Robbins</v>
      </c>
      <c r="B8" s="64" t="s">
        <v>54</v>
      </c>
      <c r="C8" s="39"/>
      <c r="D8" s="74">
        <v>3</v>
      </c>
      <c r="E8" s="74">
        <v>145</v>
      </c>
      <c r="F8" s="74">
        <v>0</v>
      </c>
      <c r="G8" s="74">
        <v>0</v>
      </c>
      <c r="H8" s="74">
        <v>1</v>
      </c>
      <c r="I8" s="74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2">
        <f t="shared" si="0"/>
        <v>18.25</v>
      </c>
    </row>
    <row r="9" spans="1:15" x14ac:dyDescent="0.25">
      <c r="A9" s="39" t="str">
        <f>INDEX('Active - Players'!B:C,MATCH(B9,'Active - Players'!C:C,0),1)</f>
        <v>Bojorquez</v>
      </c>
      <c r="B9" s="70" t="s">
        <v>82</v>
      </c>
      <c r="C9" s="39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2">
        <f t="shared" si="0"/>
        <v>0</v>
      </c>
    </row>
    <row r="10" spans="1:15" x14ac:dyDescent="0.25">
      <c r="A10" s="39" t="str">
        <f>INDEX('Active - Players'!B:C,MATCH(B10,'Active - Players'!C:C,0),1)</f>
        <v>Anger</v>
      </c>
      <c r="B10" s="45" t="s">
        <v>48</v>
      </c>
      <c r="C10" s="39" t="s">
        <v>141</v>
      </c>
      <c r="D10" s="74">
        <v>5</v>
      </c>
      <c r="E10" s="74">
        <f>54+56+48+48+52</f>
        <v>258</v>
      </c>
      <c r="F10" s="74">
        <v>0</v>
      </c>
      <c r="G10" s="74">
        <v>0</v>
      </c>
      <c r="H10" s="74">
        <v>1</v>
      </c>
      <c r="I10" s="74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2">
        <f t="shared" si="0"/>
        <v>30.05</v>
      </c>
    </row>
    <row r="11" spans="1:15" x14ac:dyDescent="0.25">
      <c r="A11" s="39" t="str">
        <f>INDEX('Active - Players'!B:C,MATCH(B11,'Active - Players'!C:C,0),1)</f>
        <v>Dixon</v>
      </c>
      <c r="B11" s="40" t="s">
        <v>57</v>
      </c>
      <c r="C11" s="39" t="s">
        <v>134</v>
      </c>
      <c r="D11" s="74">
        <v>4</v>
      </c>
      <c r="E11" s="74">
        <v>181</v>
      </c>
      <c r="F11" s="74">
        <v>0</v>
      </c>
      <c r="G11" s="74">
        <v>0</v>
      </c>
      <c r="H11" s="74">
        <v>0</v>
      </c>
      <c r="I11" s="74">
        <v>1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2">
        <f t="shared" si="0"/>
        <v>24.1</v>
      </c>
    </row>
    <row r="12" spans="1:15" x14ac:dyDescent="0.25">
      <c r="A12" s="39" t="str">
        <f>INDEX('Active - Players'!B:C,MATCH(B12,'Active - Players'!C:C,0),1)</f>
        <v>Fox</v>
      </c>
      <c r="B12" s="57" t="s">
        <v>72</v>
      </c>
      <c r="C12" s="39"/>
      <c r="D12" s="74">
        <v>2</v>
      </c>
      <c r="E12" s="74">
        <v>88</v>
      </c>
      <c r="F12" s="74">
        <v>0</v>
      </c>
      <c r="G12" s="74">
        <v>0</v>
      </c>
      <c r="H12" s="74">
        <v>2</v>
      </c>
      <c r="I12" s="74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2">
        <f t="shared" si="0"/>
        <v>15.3</v>
      </c>
    </row>
    <row r="13" spans="1:15" x14ac:dyDescent="0.25">
      <c r="A13" s="39" t="str">
        <f>INDEX('Active - Players'!B:C,MATCH(B13,'Active - Players'!C:C,0),1)</f>
        <v>Whelan</v>
      </c>
      <c r="B13" s="67" t="s">
        <v>106</v>
      </c>
      <c r="C13" s="39"/>
      <c r="D13" s="74">
        <v>3</v>
      </c>
      <c r="E13" s="74">
        <f>39+41+50</f>
        <v>130</v>
      </c>
      <c r="F13" s="74">
        <v>0</v>
      </c>
      <c r="G13" s="74">
        <v>0</v>
      </c>
      <c r="H13" s="74">
        <v>1</v>
      </c>
      <c r="I13" s="74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2">
        <f t="shared" si="0"/>
        <v>16.75</v>
      </c>
    </row>
    <row r="14" spans="1:15" x14ac:dyDescent="0.25">
      <c r="A14" s="39" t="str">
        <f>INDEX('Active - Players'!B:C,MATCH(B14,'Active - Players'!C:C,0),1)</f>
        <v>Johnston</v>
      </c>
      <c r="B14" s="47" t="s">
        <v>51</v>
      </c>
      <c r="C14" s="39" t="s">
        <v>143</v>
      </c>
      <c r="D14" s="74">
        <v>6</v>
      </c>
      <c r="E14" s="74">
        <v>234</v>
      </c>
      <c r="F14" s="74">
        <v>0</v>
      </c>
      <c r="G14" s="74">
        <v>0</v>
      </c>
      <c r="H14" s="74">
        <v>2</v>
      </c>
      <c r="I14" s="74">
        <v>1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2">
        <f t="shared" si="0"/>
        <v>35.900000000000006</v>
      </c>
    </row>
    <row r="15" spans="1:15" x14ac:dyDescent="0.25">
      <c r="A15" s="39" t="str">
        <f>INDEX('Active - Players'!B:C,MATCH(B15,'Active - Players'!C:C,0),1)</f>
        <v>Sanchez</v>
      </c>
      <c r="B15" s="45" t="s">
        <v>126</v>
      </c>
      <c r="C15" s="39"/>
      <c r="D15" s="74">
        <v>1</v>
      </c>
      <c r="E15" s="74">
        <v>50</v>
      </c>
      <c r="F15" s="74">
        <v>0</v>
      </c>
      <c r="G15" s="74">
        <v>0</v>
      </c>
      <c r="H15" s="74">
        <v>1</v>
      </c>
      <c r="I15" s="74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2">
        <f t="shared" si="0"/>
        <v>8.25</v>
      </c>
    </row>
    <row r="16" spans="1:15" x14ac:dyDescent="0.25">
      <c r="A16" s="39" t="str">
        <f>INDEX('Active - Players'!B:C,MATCH(B16,'Active - Players'!C:C,0),1)</f>
        <v>Cooke</v>
      </c>
      <c r="B16" s="44" t="s">
        <v>39</v>
      </c>
      <c r="C16" s="39" t="s">
        <v>137</v>
      </c>
      <c r="D16" s="74">
        <v>5</v>
      </c>
      <c r="E16" s="74">
        <v>247</v>
      </c>
      <c r="F16" s="74">
        <v>0</v>
      </c>
      <c r="G16" s="74">
        <v>1</v>
      </c>
      <c r="H16" s="74">
        <v>3</v>
      </c>
      <c r="I16" s="74">
        <v>0</v>
      </c>
      <c r="J16" s="41">
        <v>0</v>
      </c>
      <c r="K16" s="41">
        <v>1</v>
      </c>
      <c r="L16" s="41">
        <v>0</v>
      </c>
      <c r="M16" s="41">
        <v>0</v>
      </c>
      <c r="N16" s="41">
        <v>0</v>
      </c>
      <c r="O16" s="42">
        <f t="shared" si="0"/>
        <v>40.950000000000003</v>
      </c>
    </row>
    <row r="17" spans="1:15" x14ac:dyDescent="0.25">
      <c r="A17" s="39" t="str">
        <f>INDEX('Active - Players'!B:C,MATCH(B17,'Active - Players'!C:C,0),1)</f>
        <v>Townsend</v>
      </c>
      <c r="B17" s="66" t="s">
        <v>12</v>
      </c>
      <c r="C17" s="39"/>
      <c r="D17" s="74">
        <v>3</v>
      </c>
      <c r="E17" s="74">
        <v>140</v>
      </c>
      <c r="F17" s="74">
        <v>0</v>
      </c>
      <c r="G17" s="74">
        <v>1</v>
      </c>
      <c r="H17" s="74">
        <v>1</v>
      </c>
      <c r="I17" s="74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2">
        <f t="shared" si="0"/>
        <v>18.75</v>
      </c>
    </row>
    <row r="18" spans="1:15" x14ac:dyDescent="0.25">
      <c r="A18" s="39" t="str">
        <f>INDEX('Active - Players'!B:C,MATCH(B18,'Active - Players'!C:C,0),1)</f>
        <v>Cole</v>
      </c>
      <c r="B18" s="54" t="s">
        <v>27</v>
      </c>
      <c r="C18" s="39" t="s">
        <v>135</v>
      </c>
      <c r="D18" s="74">
        <v>4</v>
      </c>
      <c r="E18" s="74">
        <f>37+55+53+44</f>
        <v>189</v>
      </c>
      <c r="F18" s="74">
        <v>0</v>
      </c>
      <c r="G18" s="74">
        <v>0</v>
      </c>
      <c r="H18" s="74">
        <v>4</v>
      </c>
      <c r="I18" s="74">
        <v>1</v>
      </c>
      <c r="J18" s="41">
        <v>0</v>
      </c>
      <c r="K18" s="41">
        <v>0</v>
      </c>
      <c r="L18" s="41">
        <v>0</v>
      </c>
      <c r="M18" s="41">
        <v>0</v>
      </c>
      <c r="N18" s="41">
        <v>0</v>
      </c>
      <c r="O18" s="42">
        <f t="shared" si="0"/>
        <v>36.900000000000006</v>
      </c>
    </row>
    <row r="19" spans="1:15" x14ac:dyDescent="0.25">
      <c r="A19" s="39" t="str">
        <f>INDEX('Active - Players'!B:C,MATCH(B19,'Active - Players'!C:C,0),1)</f>
        <v>Scott</v>
      </c>
      <c r="B19" s="71" t="s">
        <v>160</v>
      </c>
      <c r="C19" s="39"/>
      <c r="D19" s="74">
        <v>0</v>
      </c>
      <c r="E19" s="74">
        <v>0</v>
      </c>
      <c r="F19" s="74">
        <v>0</v>
      </c>
      <c r="G19" s="74">
        <v>0</v>
      </c>
      <c r="H19" s="74">
        <v>0</v>
      </c>
      <c r="I19" s="74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2">
        <f t="shared" si="0"/>
        <v>0</v>
      </c>
    </row>
    <row r="20" spans="1:15" x14ac:dyDescent="0.25">
      <c r="A20" s="39" t="str">
        <f>INDEX('Active - Players'!B:C,MATCH(B20,'Active - Players'!C:C,0),1)</f>
        <v>Evans</v>
      </c>
      <c r="B20" s="49" t="s">
        <v>121</v>
      </c>
      <c r="C20" s="39" t="s">
        <v>138</v>
      </c>
      <c r="D20" s="74">
        <v>4</v>
      </c>
      <c r="E20" s="74">
        <v>215</v>
      </c>
      <c r="F20" s="74">
        <v>0</v>
      </c>
      <c r="G20" s="74">
        <v>0</v>
      </c>
      <c r="H20" s="74">
        <v>2</v>
      </c>
      <c r="I20" s="74">
        <v>1</v>
      </c>
      <c r="J20" s="41">
        <v>0</v>
      </c>
      <c r="K20" s="41">
        <v>0</v>
      </c>
      <c r="L20" s="41">
        <v>1</v>
      </c>
      <c r="M20" s="41">
        <v>0</v>
      </c>
      <c r="N20" s="41">
        <v>0</v>
      </c>
      <c r="O20" s="42">
        <f t="shared" si="0"/>
        <v>43.5</v>
      </c>
    </row>
    <row r="21" spans="1:15" x14ac:dyDescent="0.25">
      <c r="A21" s="39" t="str">
        <f>INDEX('Active - Players'!B:C,MATCH(B21,'Active - Players'!C:C,0),1)</f>
        <v>Bailey</v>
      </c>
      <c r="B21" s="55" t="s">
        <v>115</v>
      </c>
      <c r="C21" s="39"/>
      <c r="D21" s="74">
        <v>2</v>
      </c>
      <c r="E21" s="74">
        <v>69</v>
      </c>
      <c r="F21" s="74">
        <v>0</v>
      </c>
      <c r="G21" s="74">
        <v>0</v>
      </c>
      <c r="H21" s="74">
        <v>1</v>
      </c>
      <c r="I21" s="74">
        <v>1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2">
        <f t="shared" si="0"/>
        <v>15.4</v>
      </c>
    </row>
    <row r="22" spans="1:15" x14ac:dyDescent="0.25">
      <c r="A22" s="39" t="str">
        <f>INDEX('Active - Players'!B:C,MATCH(B22,'Active - Players'!C:C,0),1)</f>
        <v>Wright</v>
      </c>
      <c r="B22" s="69" t="s">
        <v>42</v>
      </c>
      <c r="C22" s="39"/>
      <c r="D22" s="74">
        <v>1</v>
      </c>
      <c r="E22" s="74">
        <v>54</v>
      </c>
      <c r="F22" s="74">
        <v>0</v>
      </c>
      <c r="G22" s="74">
        <v>0</v>
      </c>
      <c r="H22" s="74">
        <v>0</v>
      </c>
      <c r="I22" s="74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2">
        <f t="shared" si="0"/>
        <v>5.65</v>
      </c>
    </row>
    <row r="23" spans="1:15" x14ac:dyDescent="0.25">
      <c r="A23" s="39" t="str">
        <f>INDEX('Active - Players'!B:C,MATCH(B23,'Active - Players'!C:C,0),1)</f>
        <v>Baringer</v>
      </c>
      <c r="B23" s="56" t="s">
        <v>67</v>
      </c>
      <c r="C23" s="39"/>
      <c r="D23" s="74">
        <v>8</v>
      </c>
      <c r="E23" s="74">
        <v>353</v>
      </c>
      <c r="F23" s="74">
        <v>0</v>
      </c>
      <c r="G23" s="74">
        <v>0</v>
      </c>
      <c r="H23" s="74">
        <v>5</v>
      </c>
      <c r="I23" s="74">
        <v>2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2">
        <f t="shared" si="0"/>
        <v>62.300000000000004</v>
      </c>
    </row>
    <row r="24" spans="1:15" x14ac:dyDescent="0.25">
      <c r="A24" s="39" t="str">
        <f>INDEX('Active - Players'!B:C,MATCH(B24,'Active - Players'!C:C,0),1)</f>
        <v>Hedley</v>
      </c>
      <c r="B24" s="46" t="s">
        <v>64</v>
      </c>
      <c r="C24" s="39" t="s">
        <v>139</v>
      </c>
      <c r="D24" s="74">
        <v>7</v>
      </c>
      <c r="E24" s="74">
        <v>307</v>
      </c>
      <c r="F24" s="74">
        <v>0</v>
      </c>
      <c r="G24" s="74">
        <v>1</v>
      </c>
      <c r="H24" s="74">
        <v>3</v>
      </c>
      <c r="I24" s="74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2">
        <f t="shared" si="0"/>
        <v>42.45</v>
      </c>
    </row>
    <row r="25" spans="1:15" x14ac:dyDescent="0.25">
      <c r="A25" s="39" t="str">
        <f>INDEX('Active - Players'!B:C,MATCH(B25,'Active - Players'!C:C,0),1)</f>
        <v>Gillan</v>
      </c>
      <c r="B25" s="52" t="s">
        <v>99</v>
      </c>
      <c r="C25" s="39" t="s">
        <v>144</v>
      </c>
      <c r="D25" s="74">
        <v>4</v>
      </c>
      <c r="E25" s="74">
        <v>161</v>
      </c>
      <c r="F25" s="74">
        <v>0</v>
      </c>
      <c r="G25" s="74">
        <v>0</v>
      </c>
      <c r="H25" s="74">
        <v>3</v>
      </c>
      <c r="I25" s="74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2">
        <f t="shared" si="0"/>
        <v>26.1</v>
      </c>
    </row>
    <row r="26" spans="1:15" x14ac:dyDescent="0.25">
      <c r="A26" s="39" t="str">
        <f>INDEX('Active - Players'!B:C,MATCH(B26,'Active - Players'!C:C,0),1)</f>
        <v>Morstead</v>
      </c>
      <c r="B26" s="62" t="s">
        <v>102</v>
      </c>
      <c r="C26" s="39"/>
      <c r="D26" s="74">
        <v>3</v>
      </c>
      <c r="E26" s="74">
        <v>156</v>
      </c>
      <c r="F26" s="74">
        <v>0</v>
      </c>
      <c r="G26" s="74">
        <v>0</v>
      </c>
      <c r="H26" s="74">
        <v>1</v>
      </c>
      <c r="I26" s="74">
        <v>1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2">
        <f t="shared" si="0"/>
        <v>24.35</v>
      </c>
    </row>
    <row r="27" spans="1:15" x14ac:dyDescent="0.25">
      <c r="A27" s="39" t="str">
        <f>INDEX('Active - Players'!B:C,MATCH(B27,'Active - Players'!C:C,0),1)</f>
        <v>Mann</v>
      </c>
      <c r="B27" s="60" t="s">
        <v>105</v>
      </c>
      <c r="C27" s="39"/>
      <c r="D27" s="74">
        <v>1</v>
      </c>
      <c r="E27" s="74">
        <v>41</v>
      </c>
      <c r="F27" s="74">
        <v>0</v>
      </c>
      <c r="G27" s="74">
        <v>0</v>
      </c>
      <c r="H27" s="74">
        <v>1</v>
      </c>
      <c r="I27" s="74">
        <v>0</v>
      </c>
      <c r="J27" s="41">
        <v>0</v>
      </c>
      <c r="K27" s="41">
        <v>0</v>
      </c>
      <c r="L27" s="41">
        <v>0</v>
      </c>
      <c r="M27" s="41">
        <v>0</v>
      </c>
      <c r="N27" s="41">
        <v>0</v>
      </c>
      <c r="O27" s="42">
        <f t="shared" si="0"/>
        <v>7.3500000000000005</v>
      </c>
    </row>
    <row r="28" spans="1:15" x14ac:dyDescent="0.25">
      <c r="A28" s="39" t="str">
        <f>INDEX('Active - Players'!B:C,MATCH(B28,'Active - Players'!C:C,0),1)</f>
        <v>Wing</v>
      </c>
      <c r="B28" s="51" t="s">
        <v>79</v>
      </c>
      <c r="C28" s="39" t="s">
        <v>140</v>
      </c>
      <c r="D28" s="74">
        <v>6</v>
      </c>
      <c r="E28" s="74">
        <v>257</v>
      </c>
      <c r="F28" s="74">
        <v>0</v>
      </c>
      <c r="G28" s="74">
        <v>1</v>
      </c>
      <c r="H28" s="74">
        <v>2</v>
      </c>
      <c r="I28" s="74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2">
        <f t="shared" si="0"/>
        <v>34.200000000000003</v>
      </c>
    </row>
    <row r="29" spans="1:15" x14ac:dyDescent="0.25">
      <c r="A29" s="39" t="str">
        <f>INDEX('Active - Players'!B:C,MATCH(B29,'Active - Players'!C:C,0),1)</f>
        <v>Wishnowsky</v>
      </c>
      <c r="B29" s="68" t="s">
        <v>109</v>
      </c>
      <c r="C29" s="39"/>
      <c r="D29" s="74">
        <v>4</v>
      </c>
      <c r="E29" s="74">
        <f>44+59+36+48</f>
        <v>187</v>
      </c>
      <c r="F29" s="74">
        <v>0</v>
      </c>
      <c r="G29" s="74">
        <v>0</v>
      </c>
      <c r="H29" s="74">
        <v>3</v>
      </c>
      <c r="I29" s="74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2">
        <f t="shared" si="0"/>
        <v>28.7</v>
      </c>
    </row>
    <row r="30" spans="1:15" x14ac:dyDescent="0.25">
      <c r="A30" s="39" t="str">
        <f>INDEX('Active - Players'!B:C,MATCH(B30,'Active - Players'!C:C,0),1)</f>
        <v>Dickson</v>
      </c>
      <c r="B30" s="72" t="s">
        <v>18</v>
      </c>
      <c r="C30" s="39"/>
      <c r="D30" s="74">
        <v>0</v>
      </c>
      <c r="E30" s="74">
        <v>0</v>
      </c>
      <c r="F30" s="74">
        <v>0</v>
      </c>
      <c r="G30" s="74">
        <v>0</v>
      </c>
      <c r="H30" s="74">
        <v>0</v>
      </c>
      <c r="I30" s="74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2">
        <f t="shared" si="0"/>
        <v>0</v>
      </c>
    </row>
    <row r="31" spans="1:15" x14ac:dyDescent="0.25">
      <c r="A31" s="39" t="str">
        <f>INDEX('Active - Players'!B:C,MATCH(B31,'Active - Players'!C:C,0),1)</f>
        <v>Camarda</v>
      </c>
      <c r="B31" s="73" t="s">
        <v>63</v>
      </c>
      <c r="C31" s="39"/>
      <c r="D31" s="74">
        <v>0</v>
      </c>
      <c r="E31" s="74">
        <v>0</v>
      </c>
      <c r="F31" s="74">
        <v>0</v>
      </c>
      <c r="G31" s="74">
        <v>0</v>
      </c>
      <c r="H31" s="74">
        <v>0</v>
      </c>
      <c r="I31" s="74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2">
        <f t="shared" si="0"/>
        <v>0</v>
      </c>
    </row>
    <row r="32" spans="1:15" x14ac:dyDescent="0.25">
      <c r="A32" s="39" t="str">
        <f>INDEX('Active - Players'!B:C,MATCH(B32,'Active - Players'!C:C,0),1)</f>
        <v>Stonehouse</v>
      </c>
      <c r="B32" s="48" t="s">
        <v>24</v>
      </c>
      <c r="C32" s="39" t="s">
        <v>136</v>
      </c>
      <c r="D32" s="74">
        <v>1</v>
      </c>
      <c r="E32" s="74">
        <v>43</v>
      </c>
      <c r="F32" s="74">
        <v>0</v>
      </c>
      <c r="G32" s="74">
        <v>0</v>
      </c>
      <c r="H32" s="74">
        <v>0</v>
      </c>
      <c r="I32" s="74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2">
        <f t="shared" si="0"/>
        <v>4.55</v>
      </c>
    </row>
    <row r="33" spans="1:15" x14ac:dyDescent="0.25">
      <c r="A33" s="39" t="str">
        <f>INDEX('Active - Players'!B:C,MATCH(B33,'Active - Players'!C:C,0),1)</f>
        <v>Way</v>
      </c>
      <c r="B33" s="53" t="s">
        <v>45</v>
      </c>
      <c r="C33" s="39" t="s">
        <v>142</v>
      </c>
      <c r="D33" s="74">
        <v>2</v>
      </c>
      <c r="E33" s="74">
        <v>103</v>
      </c>
      <c r="F33" s="74">
        <v>0</v>
      </c>
      <c r="G33" s="74">
        <v>0</v>
      </c>
      <c r="H33" s="74">
        <v>0</v>
      </c>
      <c r="I33" s="74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2">
        <f t="shared" si="0"/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11</vt:i4>
      </vt:variant>
    </vt:vector>
  </HeadingPairs>
  <TitlesOfParts>
    <vt:vector size="20" baseType="lpstr">
      <vt:lpstr>Active - Players</vt:lpstr>
      <vt:lpstr>Scoring</vt:lpstr>
      <vt:lpstr>Week 1</vt:lpstr>
      <vt:lpstr>Week 2</vt:lpstr>
      <vt:lpstr>Week 3</vt:lpstr>
      <vt:lpstr>Week 4</vt:lpstr>
      <vt:lpstr>Week 5</vt:lpstr>
      <vt:lpstr>Ranking - Wk5</vt:lpstr>
      <vt:lpstr>Week 6</vt:lpstr>
      <vt:lpstr>_60_64</vt:lpstr>
      <vt:lpstr>_65_69</vt:lpstr>
      <vt:lpstr>_70_74</vt:lpstr>
      <vt:lpstr>_75over</vt:lpstr>
      <vt:lpstr>in_the_20</vt:lpstr>
      <vt:lpstr>out_of_backfield</vt:lpstr>
      <vt:lpstr>punt_blocked</vt:lpstr>
      <vt:lpstr>punt_per_yard</vt:lpstr>
      <vt:lpstr>punt_return_td</vt:lpstr>
      <vt:lpstr>punt_score</vt:lpstr>
      <vt:lpstr>touchback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Williams</dc:creator>
  <cp:lastModifiedBy>Filip Gibarac</cp:lastModifiedBy>
  <dcterms:created xsi:type="dcterms:W3CDTF">2023-06-06T17:45:06Z</dcterms:created>
  <dcterms:modified xsi:type="dcterms:W3CDTF">2023-10-22T00:44:59Z</dcterms:modified>
</cp:coreProperties>
</file>