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stgraduate\4-Supply Chain Analytics\Group\"/>
    </mc:Choice>
  </mc:AlternateContent>
  <xr:revisionPtr revIDLastSave="0" documentId="13_ncr:1_{6208997E-031C-4346-BEFA-DDAE05D320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Q1" sheetId="3" r:id="rId2"/>
    <sheet name="Q2" sheetId="32" r:id="rId3"/>
    <sheet name="Q3" sheetId="8" r:id="rId4"/>
    <sheet name="Q4" sheetId="38" r:id="rId5"/>
    <sheet name="Q5" sheetId="30" r:id="rId6"/>
  </sheets>
  <definedNames>
    <definedName name="solver_adj" localSheetId="1" hidden="1">'Q1'!$C$4:$D$6,'Q1'!$C$11:$H$12</definedName>
    <definedName name="solver_adj" localSheetId="3" hidden="1">'Q3'!$C$18:$G$20,'Q3'!$C$23:$H$27,'Q3'!$K$25:$L$27,'Q3'!$C$33:$G$35,'Q3'!$C$38:$H$42,'Q3'!$K$40:$L$42,'Q3'!$C$48:$G$50,'Q3'!$C$53:$H$57,'Q3'!$K$55:$L$57</definedName>
    <definedName name="solver_adj" localSheetId="4" hidden="1">'Q4'!$C$18:$G$20,'Q4'!$C$23:$H$27,'Q4'!$K$25:$L$27,'Q4'!$C$33:$G$35,'Q4'!$C$38:$H$42,'Q4'!$K$40:$L$42,'Q4'!$C$48:$G$50,'Q4'!$C$53:$H$57,'Q4'!$K$55:$L$57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'Q1'!$C$13:$H$13</definedName>
    <definedName name="solver_lhs1" localSheetId="3" hidden="1">'Q3'!$C$21:$G$21</definedName>
    <definedName name="solver_lhs1" localSheetId="4" hidden="1">'Q4'!$C$21:$G$21</definedName>
    <definedName name="solver_lhs10" localSheetId="3" hidden="1">'Q3'!$I$23:$I$27</definedName>
    <definedName name="solver_lhs10" localSheetId="4" hidden="1">'Q4'!$I$23:$I$27</definedName>
    <definedName name="solver_lhs11" localSheetId="3" hidden="1">'Q3'!$I$38:$I$42</definedName>
    <definedName name="solver_lhs11" localSheetId="4" hidden="1">'Q4'!$I$38:$I$42</definedName>
    <definedName name="solver_lhs12" localSheetId="3" hidden="1">'Q3'!$I$53:$I$57</definedName>
    <definedName name="solver_lhs12" localSheetId="4" hidden="1">'Q4'!$I$53:$I$57</definedName>
    <definedName name="solver_lhs13" localSheetId="3" hidden="1">'Q3'!$K$25:$K$27</definedName>
    <definedName name="solver_lhs13" localSheetId="4" hidden="1">'Q4'!$K$25:$K$27</definedName>
    <definedName name="solver_lhs14" localSheetId="3" hidden="1">'Q3'!$K$25:$L$27</definedName>
    <definedName name="solver_lhs14" localSheetId="4" hidden="1">'Q4'!$K$25:$L$27</definedName>
    <definedName name="solver_lhs15" localSheetId="3" hidden="1">'Q3'!$K$40:$L$42</definedName>
    <definedName name="solver_lhs15" localSheetId="4" hidden="1">'Q4'!$K$40:$L$42</definedName>
    <definedName name="solver_lhs16" localSheetId="3" hidden="1">'Q3'!$K$55:$L$57</definedName>
    <definedName name="solver_lhs16" localSheetId="4" hidden="1">'Q4'!$K$55:$L$57</definedName>
    <definedName name="solver_lhs17" localSheetId="3" hidden="1">'Q3'!$M$40:$M$42</definedName>
    <definedName name="solver_lhs17" localSheetId="4" hidden="1">'Q4'!$M$40:$M$42</definedName>
    <definedName name="solver_lhs18" localSheetId="3" hidden="1">'Q3'!$M$55:$M$57</definedName>
    <definedName name="solver_lhs18" localSheetId="4" hidden="1">'Q4'!$M$55:$M$57</definedName>
    <definedName name="solver_lhs19" localSheetId="3" hidden="1">'Q3'!$M$55:$N$57</definedName>
    <definedName name="solver_lhs19" localSheetId="4" hidden="1">'Q4'!$M$55:$N$57</definedName>
    <definedName name="solver_lhs2" localSheetId="1" hidden="1">'Q1'!$C$7:$D$7</definedName>
    <definedName name="solver_lhs2" localSheetId="3" hidden="1">'Q3'!$C$28:$H$28</definedName>
    <definedName name="solver_lhs2" localSheetId="4" hidden="1">'Q4'!$C$28:$H$28</definedName>
    <definedName name="solver_lhs20" localSheetId="4" hidden="1">'Q4'!$M$55:$N$57</definedName>
    <definedName name="solver_lhs21" localSheetId="4" hidden="1">'Q4'!$M$55:$N$57</definedName>
    <definedName name="solver_lhs3" localSheetId="1" hidden="1">'Q1'!$E$4:$E$6</definedName>
    <definedName name="solver_lhs3" localSheetId="3" hidden="1">'Q3'!$C$36:$G$36</definedName>
    <definedName name="solver_lhs3" localSheetId="4" hidden="1">'Q4'!$C$36:$G$36</definedName>
    <definedName name="solver_lhs4" localSheetId="1" hidden="1">'Q1'!$I$11:$I$12</definedName>
    <definedName name="solver_lhs4" localSheetId="3" hidden="1">'Q3'!$C$43:$H$43</definedName>
    <definedName name="solver_lhs4" localSheetId="4" hidden="1">'Q4'!$C$43:$H$43</definedName>
    <definedName name="solver_lhs5" localSheetId="1" hidden="1">'Q1'!$I$11:$I$12</definedName>
    <definedName name="solver_lhs5" localSheetId="3" hidden="1">'Q3'!$C$51:$G$51</definedName>
    <definedName name="solver_lhs5" localSheetId="4" hidden="1">'Q4'!$C$51:$G$51</definedName>
    <definedName name="solver_lhs6" localSheetId="3" hidden="1">'Q3'!$C$58:$H$58</definedName>
    <definedName name="solver_lhs6" localSheetId="4" hidden="1">'Q4'!$C$58:$H$58</definedName>
    <definedName name="solver_lhs7" localSheetId="3" hidden="1">'Q3'!$H$18:$H$20</definedName>
    <definedName name="solver_lhs7" localSheetId="4" hidden="1">'Q4'!$H$18:$H$20</definedName>
    <definedName name="solver_lhs8" localSheetId="3" hidden="1">'Q3'!$H$33:$H$35</definedName>
    <definedName name="solver_lhs8" localSheetId="4" hidden="1">'Q4'!$H$33:$H$35</definedName>
    <definedName name="solver_lhs9" localSheetId="3" hidden="1">'Q3'!$H$48:$H$50</definedName>
    <definedName name="solver_lhs9" localSheetId="4" hidden="1">'Q4'!$H$48:$H$50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0</definedName>
    <definedName name="solver_num" localSheetId="1" hidden="1">4</definedName>
    <definedName name="solver_num" localSheetId="3" hidden="1">19</definedName>
    <definedName name="solver_num" localSheetId="4" hidden="1">19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data!$H$30</definedName>
    <definedName name="solver_opt" localSheetId="1" hidden="1">'Q1'!$I$2</definedName>
    <definedName name="solver_opt" localSheetId="3" hidden="1">'Q3'!$L$13</definedName>
    <definedName name="solver_opt" localSheetId="4" hidden="1">'Q4'!$L$13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2</definedName>
    <definedName name="solver_rel1" localSheetId="3" hidden="1">2</definedName>
    <definedName name="solver_rel1" localSheetId="4" hidden="1">2</definedName>
    <definedName name="solver_rel10" localSheetId="3" hidden="1">1</definedName>
    <definedName name="solver_rel10" localSheetId="4" hidden="1">1</definedName>
    <definedName name="solver_rel11" localSheetId="3" hidden="1">1</definedName>
    <definedName name="solver_rel11" localSheetId="4" hidden="1">1</definedName>
    <definedName name="solver_rel12" localSheetId="3" hidden="1">1</definedName>
    <definedName name="solver_rel12" localSheetId="4" hidden="1">1</definedName>
    <definedName name="solver_rel13" localSheetId="3" hidden="1">3</definedName>
    <definedName name="solver_rel13" localSheetId="4" hidden="1">3</definedName>
    <definedName name="solver_rel14" localSheetId="3" hidden="1">5</definedName>
    <definedName name="solver_rel14" localSheetId="4" hidden="1">5</definedName>
    <definedName name="solver_rel15" localSheetId="3" hidden="1">5</definedName>
    <definedName name="solver_rel15" localSheetId="4" hidden="1">5</definedName>
    <definedName name="solver_rel16" localSheetId="3" hidden="1">5</definedName>
    <definedName name="solver_rel16" localSheetId="4" hidden="1">5</definedName>
    <definedName name="solver_rel17" localSheetId="3" hidden="1">3</definedName>
    <definedName name="solver_rel17" localSheetId="4" hidden="1">3</definedName>
    <definedName name="solver_rel18" localSheetId="3" hidden="1">3</definedName>
    <definedName name="solver_rel18" localSheetId="4" hidden="1">3</definedName>
    <definedName name="solver_rel19" localSheetId="3" hidden="1">1</definedName>
    <definedName name="solver_rel19" localSheetId="4" hidden="1">1</definedName>
    <definedName name="solver_rel2" localSheetId="1" hidden="1">2</definedName>
    <definedName name="solver_rel2" localSheetId="3" hidden="1">2</definedName>
    <definedName name="solver_rel2" localSheetId="4" hidden="1">2</definedName>
    <definedName name="solver_rel20" localSheetId="4" hidden="1">1</definedName>
    <definedName name="solver_rel21" localSheetId="4" hidden="1">1</definedName>
    <definedName name="solver_rel3" localSheetId="1" hidden="1">1</definedName>
    <definedName name="solver_rel3" localSheetId="3" hidden="1">2</definedName>
    <definedName name="solver_rel3" localSheetId="4" hidden="1">2</definedName>
    <definedName name="solver_rel4" localSheetId="1" hidden="1">1</definedName>
    <definedName name="solver_rel4" localSheetId="3" hidden="1">2</definedName>
    <definedName name="solver_rel4" localSheetId="4" hidden="1">2</definedName>
    <definedName name="solver_rel5" localSheetId="1" hidden="1">1</definedName>
    <definedName name="solver_rel5" localSheetId="3" hidden="1">2</definedName>
    <definedName name="solver_rel5" localSheetId="4" hidden="1">2</definedName>
    <definedName name="solver_rel6" localSheetId="3" hidden="1">2</definedName>
    <definedName name="solver_rel6" localSheetId="4" hidden="1">2</definedName>
    <definedName name="solver_rel7" localSheetId="3" hidden="1">1</definedName>
    <definedName name="solver_rel7" localSheetId="4" hidden="1">1</definedName>
    <definedName name="solver_rel8" localSheetId="3" hidden="1">1</definedName>
    <definedName name="solver_rel8" localSheetId="4" hidden="1">1</definedName>
    <definedName name="solver_rel9" localSheetId="3" hidden="1">1</definedName>
    <definedName name="solver_rel9" localSheetId="4" hidden="1">1</definedName>
    <definedName name="solver_rhs1" localSheetId="1" hidden="1">'Q1'!$C$14:$H$14</definedName>
    <definedName name="solver_rhs1" localSheetId="3" hidden="1">'Q3'!$I$23:$I$27</definedName>
    <definedName name="solver_rhs1" localSheetId="4" hidden="1">'Q4'!$I$23:$I$27</definedName>
    <definedName name="solver_rhs10" localSheetId="3" hidden="1">'Q3'!$J$23:$J$27</definedName>
    <definedName name="solver_rhs10" localSheetId="4" hidden="1">'Q4'!$J$23:$J$27</definedName>
    <definedName name="solver_rhs11" localSheetId="3" hidden="1">'Q3'!$J$38:$J$42</definedName>
    <definedName name="solver_rhs11" localSheetId="4" hidden="1">'Q4'!$J$38:$J$42</definedName>
    <definedName name="solver_rhs12" localSheetId="3" hidden="1">'Q3'!$J$53:$J$57</definedName>
    <definedName name="solver_rhs12" localSheetId="4" hidden="1">'Q4'!$J$53:$J$57</definedName>
    <definedName name="solver_rhs13" localSheetId="3" hidden="1">'Q3'!$L$25:$L$27</definedName>
    <definedName name="solver_rhs13" localSheetId="4" hidden="1">'Q4'!$L$25:$L$27</definedName>
    <definedName name="solver_rhs14" localSheetId="3" hidden="1">二进制</definedName>
    <definedName name="solver_rhs14" localSheetId="4" hidden="1">二进制</definedName>
    <definedName name="solver_rhs15" localSheetId="3" hidden="1">二进制</definedName>
    <definedName name="solver_rhs15" localSheetId="4" hidden="1">二进制</definedName>
    <definedName name="solver_rhs16" localSheetId="3" hidden="1">二进制</definedName>
    <definedName name="solver_rhs16" localSheetId="4" hidden="1">二进制</definedName>
    <definedName name="solver_rhs17" localSheetId="3" hidden="1">'Q3'!$L$40:$L$42</definedName>
    <definedName name="solver_rhs17" localSheetId="4" hidden="1">'Q4'!$L$40:$L$42</definedName>
    <definedName name="solver_rhs18" localSheetId="3" hidden="1">'Q3'!$L$55:$L$57</definedName>
    <definedName name="solver_rhs18" localSheetId="4" hidden="1">'Q4'!$L$55:$L$57</definedName>
    <definedName name="solver_rhs19" localSheetId="3" hidden="1">1</definedName>
    <definedName name="solver_rhs19" localSheetId="4" hidden="1">1</definedName>
    <definedName name="solver_rhs2" localSheetId="1" hidden="1">'Q1'!$I$11:$I$12</definedName>
    <definedName name="solver_rhs2" localSheetId="3" hidden="1">'Q3'!$C$29:$H$29</definedName>
    <definedName name="solver_rhs2" localSheetId="4" hidden="1">'Q4'!$C$29:$H$29</definedName>
    <definedName name="solver_rhs20" localSheetId="4" hidden="1">1</definedName>
    <definedName name="solver_rhs21" localSheetId="4" hidden="1">1</definedName>
    <definedName name="solver_rhs3" localSheetId="1" hidden="1">'Q1'!$F$4:$F$6</definedName>
    <definedName name="solver_rhs3" localSheetId="3" hidden="1">'Q3'!$I$38:$I$42</definedName>
    <definedName name="solver_rhs3" localSheetId="4" hidden="1">'Q4'!$I$38:$I$42</definedName>
    <definedName name="solver_rhs4" localSheetId="1" hidden="1">'Q1'!$J$11:$J$12</definedName>
    <definedName name="solver_rhs4" localSheetId="3" hidden="1">'Q3'!$C$44:$H$44</definedName>
    <definedName name="solver_rhs4" localSheetId="4" hidden="1">'Q4'!$C$44:$H$44</definedName>
    <definedName name="solver_rhs5" localSheetId="1" hidden="1">'Q1'!$J$11:$J$12</definedName>
    <definedName name="solver_rhs5" localSheetId="3" hidden="1">'Q3'!$I$53:$I$57</definedName>
    <definedName name="solver_rhs5" localSheetId="4" hidden="1">'Q4'!$I$53:$I$57</definedName>
    <definedName name="solver_rhs6" localSheetId="3" hidden="1">'Q3'!$C$59:$H$59</definedName>
    <definedName name="solver_rhs6" localSheetId="4" hidden="1">'Q4'!$C$59:$H$59</definedName>
    <definedName name="solver_rhs7" localSheetId="3" hidden="1">'Q3'!$I$18:$I$20</definedName>
    <definedName name="solver_rhs7" localSheetId="4" hidden="1">'Q4'!$I$18:$I$20</definedName>
    <definedName name="solver_rhs8" localSheetId="3" hidden="1">'Q3'!$I$33:$I$35</definedName>
    <definedName name="solver_rhs8" localSheetId="4" hidden="1">'Q4'!$I$33:$I$35</definedName>
    <definedName name="solver_rhs9" localSheetId="3" hidden="1">'Q3'!$I$48:$I$50</definedName>
    <definedName name="solver_rhs9" localSheetId="4" hidden="1">'Q4'!$I$48:$I$50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</definedName>
    <definedName name="solver_tol" localSheetId="3" hidden="1">0</definedName>
    <definedName name="solver_tol" localSheetId="4" hidden="1">0</definedName>
    <definedName name="solver_typ" localSheetId="0" hidden="1">1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30" l="1"/>
  <c r="L35" i="30"/>
  <c r="L36" i="30"/>
  <c r="L37" i="30"/>
  <c r="L38" i="30"/>
  <c r="L39" i="30"/>
  <c r="M39" i="30"/>
  <c r="K35" i="30"/>
  <c r="K36" i="30"/>
  <c r="K37" i="30"/>
  <c r="K38" i="30"/>
  <c r="K39" i="30"/>
  <c r="L34" i="30"/>
  <c r="K34" i="30"/>
  <c r="L24" i="30"/>
  <c r="M24" i="30"/>
  <c r="L25" i="30"/>
  <c r="L26" i="30"/>
  <c r="L27" i="30"/>
  <c r="L28" i="30"/>
  <c r="L23" i="30"/>
  <c r="K24" i="30"/>
  <c r="K25" i="30"/>
  <c r="K26" i="30"/>
  <c r="K27" i="30"/>
  <c r="K28" i="30"/>
  <c r="K23" i="30"/>
  <c r="M23" i="30"/>
  <c r="K13" i="30"/>
  <c r="K14" i="30"/>
  <c r="K15" i="30"/>
  <c r="K16" i="30"/>
  <c r="K17" i="30"/>
  <c r="L13" i="30"/>
  <c r="M13" i="30"/>
  <c r="L14" i="30"/>
  <c r="L15" i="30"/>
  <c r="L16" i="30"/>
  <c r="L17" i="30"/>
  <c r="L12" i="30"/>
  <c r="K12" i="30"/>
  <c r="L13" i="8"/>
  <c r="H58" i="38"/>
  <c r="G58" i="38"/>
  <c r="F58" i="38"/>
  <c r="E58" i="38"/>
  <c r="D58" i="38"/>
  <c r="C58" i="38"/>
  <c r="N57" i="38"/>
  <c r="M57" i="38"/>
  <c r="J57" i="38"/>
  <c r="I57" i="38"/>
  <c r="N56" i="38"/>
  <c r="M56" i="38"/>
  <c r="J56" i="38"/>
  <c r="I56" i="38"/>
  <c r="N55" i="38"/>
  <c r="M55" i="38"/>
  <c r="J55" i="38"/>
  <c r="I55" i="38"/>
  <c r="I54" i="38"/>
  <c r="I53" i="38"/>
  <c r="G51" i="38"/>
  <c r="F51" i="38"/>
  <c r="E51" i="38"/>
  <c r="D51" i="38"/>
  <c r="C51" i="38"/>
  <c r="H50" i="38"/>
  <c r="H49" i="38"/>
  <c r="L48" i="38"/>
  <c r="H48" i="38"/>
  <c r="L47" i="38"/>
  <c r="Q53" i="38" s="1"/>
  <c r="H43" i="38"/>
  <c r="G43" i="38"/>
  <c r="F43" i="38"/>
  <c r="E43" i="38"/>
  <c r="D43" i="38"/>
  <c r="C43" i="38"/>
  <c r="N42" i="38"/>
  <c r="M42" i="38"/>
  <c r="J42" i="38"/>
  <c r="I42" i="38"/>
  <c r="N41" i="38"/>
  <c r="M41" i="38"/>
  <c r="J41" i="38"/>
  <c r="I41" i="38"/>
  <c r="N40" i="38"/>
  <c r="M40" i="38"/>
  <c r="J40" i="38"/>
  <c r="I40" i="38"/>
  <c r="I39" i="38"/>
  <c r="I38" i="38"/>
  <c r="G36" i="38"/>
  <c r="F36" i="38"/>
  <c r="E36" i="38"/>
  <c r="D36" i="38"/>
  <c r="C36" i="38"/>
  <c r="H35" i="38"/>
  <c r="H34" i="38"/>
  <c r="L33" i="38"/>
  <c r="H33" i="38"/>
  <c r="L32" i="38"/>
  <c r="H28" i="38"/>
  <c r="G28" i="38"/>
  <c r="F28" i="38"/>
  <c r="E28" i="38"/>
  <c r="D28" i="38"/>
  <c r="C28" i="38"/>
  <c r="J27" i="38"/>
  <c r="I27" i="38"/>
  <c r="J26" i="38"/>
  <c r="I26" i="38"/>
  <c r="J25" i="38"/>
  <c r="I25" i="38"/>
  <c r="I24" i="38"/>
  <c r="I23" i="38"/>
  <c r="G21" i="38"/>
  <c r="F21" i="38"/>
  <c r="E21" i="38"/>
  <c r="D21" i="38"/>
  <c r="C21" i="38"/>
  <c r="H20" i="38"/>
  <c r="H19" i="38"/>
  <c r="L18" i="38"/>
  <c r="H18" i="38"/>
  <c r="L17" i="38"/>
  <c r="I2" i="3"/>
  <c r="C13" i="3"/>
  <c r="L48" i="8"/>
  <c r="L33" i="8"/>
  <c r="L18" i="8"/>
  <c r="N56" i="8"/>
  <c r="N57" i="8"/>
  <c r="N55" i="8"/>
  <c r="J55" i="8"/>
  <c r="L47" i="8"/>
  <c r="R51" i="8"/>
  <c r="C51" i="8"/>
  <c r="N41" i="8"/>
  <c r="N42" i="8"/>
  <c r="N40" i="8"/>
  <c r="M40" i="8"/>
  <c r="J40" i="8"/>
  <c r="I38" i="8"/>
  <c r="C43" i="8"/>
  <c r="L32" i="8"/>
  <c r="H33" i="8"/>
  <c r="L17" i="8"/>
  <c r="C28" i="8"/>
  <c r="C21" i="8"/>
  <c r="H20" i="8"/>
  <c r="H19" i="8"/>
  <c r="H18" i="8"/>
  <c r="J26" i="8"/>
  <c r="J27" i="8"/>
  <c r="J25" i="8"/>
  <c r="M55" i="8"/>
  <c r="M56" i="8"/>
  <c r="M57" i="8"/>
  <c r="M41" i="8"/>
  <c r="M42" i="8"/>
  <c r="J56" i="8"/>
  <c r="J57" i="8"/>
  <c r="H58" i="8"/>
  <c r="G58" i="8"/>
  <c r="F58" i="8"/>
  <c r="E58" i="8"/>
  <c r="D58" i="8"/>
  <c r="C58" i="8"/>
  <c r="I57" i="8"/>
  <c r="I56" i="8"/>
  <c r="I55" i="8"/>
  <c r="I54" i="8"/>
  <c r="I53" i="8"/>
  <c r="G51" i="8"/>
  <c r="F51" i="8"/>
  <c r="E51" i="8"/>
  <c r="D51" i="8"/>
  <c r="H50" i="8"/>
  <c r="H49" i="8"/>
  <c r="H48" i="8"/>
  <c r="J41" i="8"/>
  <c r="J42" i="8"/>
  <c r="C36" i="8"/>
  <c r="H43" i="8"/>
  <c r="G43" i="8"/>
  <c r="F43" i="8"/>
  <c r="E43" i="8"/>
  <c r="D43" i="8"/>
  <c r="I42" i="8"/>
  <c r="I41" i="8"/>
  <c r="I40" i="8"/>
  <c r="I39" i="8"/>
  <c r="G36" i="8"/>
  <c r="F36" i="8"/>
  <c r="E36" i="8"/>
  <c r="D36" i="8"/>
  <c r="H35" i="8"/>
  <c r="H34" i="8"/>
  <c r="D28" i="8"/>
  <c r="E28" i="8"/>
  <c r="F28" i="8"/>
  <c r="G28" i="8"/>
  <c r="H28" i="8"/>
  <c r="I24" i="8"/>
  <c r="I25" i="8"/>
  <c r="I26" i="8"/>
  <c r="I27" i="8"/>
  <c r="I23" i="8"/>
  <c r="D21" i="8"/>
  <c r="E21" i="8"/>
  <c r="F21" i="8"/>
  <c r="G21" i="8"/>
  <c r="I11" i="3"/>
  <c r="D7" i="3"/>
  <c r="C7" i="3"/>
  <c r="D13" i="3"/>
  <c r="E13" i="3"/>
  <c r="F13" i="3"/>
  <c r="G13" i="3"/>
  <c r="H13" i="3"/>
  <c r="I12" i="3"/>
  <c r="E5" i="3"/>
  <c r="E6" i="3"/>
  <c r="E4" i="3"/>
  <c r="N30" i="1"/>
  <c r="L30" i="1"/>
  <c r="L16" i="1"/>
  <c r="L15" i="1"/>
  <c r="M35" i="30"/>
  <c r="M38" i="30"/>
  <c r="M17" i="30"/>
  <c r="M12" i="30"/>
  <c r="M16" i="30"/>
  <c r="M34" i="30"/>
  <c r="M37" i="30"/>
  <c r="M15" i="30"/>
  <c r="P26" i="30"/>
  <c r="M28" i="30"/>
  <c r="M14" i="30"/>
  <c r="M27" i="30"/>
  <c r="M26" i="30"/>
  <c r="M25" i="30"/>
  <c r="P28" i="30"/>
  <c r="P24" i="30"/>
  <c r="R58" i="8"/>
  <c r="R50" i="8"/>
  <c r="Q55" i="8"/>
  <c r="R49" i="8"/>
  <c r="R57" i="8"/>
  <c r="R47" i="8"/>
  <c r="Q51" i="8"/>
  <c r="Q63" i="8"/>
  <c r="Q57" i="8"/>
  <c r="R56" i="8"/>
  <c r="Q56" i="8"/>
  <c r="R63" i="8"/>
  <c r="R52" i="8"/>
  <c r="R55" i="8"/>
  <c r="Q60" i="8"/>
  <c r="R62" i="8"/>
  <c r="L34" i="8"/>
  <c r="L35" i="8"/>
  <c r="R60" i="8"/>
  <c r="Q59" i="8"/>
  <c r="L49" i="8"/>
  <c r="L50" i="8"/>
  <c r="Q48" i="8"/>
  <c r="Q50" i="8"/>
  <c r="Q53" i="8"/>
  <c r="L19" i="8"/>
  <c r="L20" i="8"/>
  <c r="R53" i="8"/>
  <c r="Q54" i="8"/>
  <c r="R61" i="8"/>
  <c r="Q58" i="8"/>
  <c r="R54" i="8"/>
  <c r="R59" i="8"/>
  <c r="Q47" i="8"/>
  <c r="R48" i="8"/>
  <c r="Q61" i="8"/>
  <c r="Q49" i="8"/>
  <c r="Q62" i="8"/>
  <c r="Q52" i="8"/>
  <c r="P23" i="30"/>
  <c r="P27" i="30"/>
  <c r="P25" i="30"/>
  <c r="L34" i="38" l="1"/>
  <c r="L35" i="38" s="1"/>
  <c r="L19" i="38"/>
  <c r="L20" i="38" s="1"/>
  <c r="R56" i="38"/>
  <c r="Q52" i="38"/>
  <c r="Q49" i="38"/>
  <c r="R54" i="38"/>
  <c r="Q51" i="38"/>
  <c r="R49" i="38"/>
  <c r="R51" i="38"/>
  <c r="R47" i="38"/>
  <c r="Q50" i="38"/>
  <c r="R60" i="38"/>
  <c r="R50" i="38"/>
  <c r="Q48" i="38"/>
  <c r="R55" i="38"/>
  <c r="Q59" i="38"/>
  <c r="R58" i="38"/>
  <c r="R48" i="38"/>
  <c r="R59" i="38"/>
  <c r="Q63" i="38"/>
  <c r="Q62" i="38"/>
  <c r="R61" i="38"/>
  <c r="Q54" i="38"/>
  <c r="R53" i="38"/>
  <c r="Q58" i="38"/>
  <c r="Q57" i="38"/>
  <c r="R62" i="38"/>
  <c r="R57" i="38"/>
  <c r="R63" i="38"/>
  <c r="Q47" i="38"/>
  <c r="Q60" i="38"/>
  <c r="L49" i="38"/>
  <c r="L50" i="38" s="1"/>
  <c r="R52" i="38"/>
  <c r="Q56" i="38"/>
  <c r="Q61" i="38"/>
  <c r="Q55" i="38"/>
  <c r="L13" i="38" l="1"/>
</calcChain>
</file>

<file path=xl/sharedStrings.xml><?xml version="1.0" encoding="utf-8"?>
<sst xmlns="http://schemas.openxmlformats.org/spreadsheetml/2006/main" count="1046" uniqueCount="429">
  <si>
    <t>TRANSPORTATION COSTS:</t>
  </si>
  <si>
    <t xml:space="preserve">CAPACITY: </t>
  </si>
  <si>
    <t>Annual capacity of malt plants</t>
  </si>
  <si>
    <t>Annual capacity of breweries</t>
  </si>
  <si>
    <t>(Million $ /1000 ton)</t>
  </si>
  <si>
    <t>Destinations</t>
  </si>
  <si>
    <t>(1000 tons/year)</t>
  </si>
  <si>
    <t>(Million litres/year)</t>
  </si>
  <si>
    <t>Existing Brewery Sites</t>
  </si>
  <si>
    <t>Potential Brewery Sites</t>
  </si>
  <si>
    <t>Afyon</t>
  </si>
  <si>
    <t xml:space="preserve">Existing Breweries </t>
  </si>
  <si>
    <t>Current</t>
  </si>
  <si>
    <t>Malt Plants</t>
  </si>
  <si>
    <t>Istanbul</t>
  </si>
  <si>
    <t>Ankara</t>
  </si>
  <si>
    <t>Izmir</t>
  </si>
  <si>
    <t>Sakarya</t>
  </si>
  <si>
    <t>Adana</t>
  </si>
  <si>
    <t>Konya</t>
  </si>
  <si>
    <t>Import (Izmir)</t>
  </si>
  <si>
    <t>Potential Breweries</t>
  </si>
  <si>
    <t>New</t>
  </si>
  <si>
    <t>Expansion</t>
  </si>
  <si>
    <t xml:space="preserve">MALT YIELD: </t>
  </si>
  <si>
    <t xml:space="preserve">Annual cost of shipping 1 million liters of beer from brewery j to distribution center k  </t>
  </si>
  <si>
    <t xml:space="preserve">M lts of beer brewered from </t>
  </si>
  <si>
    <t>(Million $/Million ltr)</t>
  </si>
  <si>
    <t xml:space="preserve">1000 ton of malt </t>
  </si>
  <si>
    <t>Distribution Centers</t>
  </si>
  <si>
    <t>Domestic</t>
  </si>
  <si>
    <t>Breweries</t>
  </si>
  <si>
    <t>Antalya</t>
  </si>
  <si>
    <t>Bursa</t>
  </si>
  <si>
    <t>Kayseri</t>
  </si>
  <si>
    <t>Export (Izmir)</t>
  </si>
  <si>
    <t>Import</t>
  </si>
  <si>
    <t>Existing</t>
  </si>
  <si>
    <t>Potential</t>
  </si>
  <si>
    <t>DEMAND:</t>
  </si>
  <si>
    <t xml:space="preserve">Annual demand at distribution centers </t>
  </si>
  <si>
    <t>Dist. Centers</t>
  </si>
  <si>
    <t>Year 1</t>
  </si>
  <si>
    <t xml:space="preserve"> </t>
  </si>
  <si>
    <t>Year 2</t>
  </si>
  <si>
    <t>Year 3</t>
  </si>
  <si>
    <t>FIXED COSTS:</t>
  </si>
  <si>
    <t>(Million $)</t>
  </si>
  <si>
    <t>Open</t>
  </si>
  <si>
    <t xml:space="preserve"> Expand</t>
  </si>
  <si>
    <t>Export(Izmir)</t>
  </si>
  <si>
    <t>Total</t>
  </si>
  <si>
    <t xml:space="preserve">Annual cost of shipping 1000 tons of malt from plant i to brewery j </t>
  </si>
  <si>
    <t>Capacity</t>
  </si>
  <si>
    <t>Total malt</t>
  </si>
  <si>
    <t>Total beer</t>
  </si>
  <si>
    <t>Demands</t>
  </si>
  <si>
    <t>Demand</t>
  </si>
  <si>
    <t>Fixed cost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</si>
  <si>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</si>
  <si>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</si>
  <si>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</si>
  <si>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</si>
  <si>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</si>
  <si>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</si>
  <si>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</si>
  <si>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</si>
  <si>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</si>
  <si>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</si>
  <si>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</si>
  <si>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</si>
  <si>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</si>
  <si>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</si>
  <si>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</si>
  <si>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</si>
  <si>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</si>
  <si>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</t>
  </si>
  <si>
    <t>Present value</t>
  </si>
  <si>
    <t>Supply</t>
  </si>
  <si>
    <t>Shipping cost</t>
  </si>
  <si>
    <t>Total brew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</si>
  <si>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</si>
  <si>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</si>
  <si>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</si>
  <si>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</si>
  <si>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</si>
  <si>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</si>
  <si>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</si>
  <si>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</si>
  <si>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</si>
  <si>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</si>
  <si>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</si>
  <si>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</si>
  <si>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</si>
  <si>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</si>
  <si>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</si>
  <si>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</si>
  <si>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</si>
  <si>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Afyon Istanbul</t>
  </si>
  <si>
    <t>Afyon Ankara</t>
  </si>
  <si>
    <t>Konya Istanbul</t>
  </si>
  <si>
    <t>$C$4</t>
  </si>
  <si>
    <t>Konya Ankara</t>
  </si>
  <si>
    <t>$C$5</t>
  </si>
  <si>
    <t>Istanbul Istanbul</t>
  </si>
  <si>
    <t>$C$11</t>
  </si>
  <si>
    <t>Istanbul Izmir</t>
  </si>
  <si>
    <t>$D$11</t>
  </si>
  <si>
    <t>Istanbul Antalya</t>
  </si>
  <si>
    <t>$E$11</t>
  </si>
  <si>
    <t>Istanbul Bursa</t>
  </si>
  <si>
    <t>$F$11</t>
  </si>
  <si>
    <t>Istanbul Kayseri</t>
  </si>
  <si>
    <t>$G$11</t>
  </si>
  <si>
    <t>Istanbul Export (Izmir)</t>
  </si>
  <si>
    <t>Ankara Istanbul</t>
  </si>
  <si>
    <t>$C$12</t>
  </si>
  <si>
    <t>Ankara Izmir</t>
  </si>
  <si>
    <t>$D$12</t>
  </si>
  <si>
    <t>Ankara Antalya</t>
  </si>
  <si>
    <t>$E$12</t>
  </si>
  <si>
    <t>Ankara Bursa</t>
  </si>
  <si>
    <t>$F$12</t>
  </si>
  <si>
    <t>Ankara Kayseri</t>
  </si>
  <si>
    <t>$G$12</t>
  </si>
  <si>
    <t>Ankara Export (Izmir)</t>
  </si>
  <si>
    <t>Supply Istanbul</t>
  </si>
  <si>
    <t>$C$13</t>
  </si>
  <si>
    <t>Supply Izmir</t>
  </si>
  <si>
    <t>$D$13</t>
  </si>
  <si>
    <t>Supply Antalya</t>
  </si>
  <si>
    <t>$E$13</t>
  </si>
  <si>
    <t>Supply Bursa</t>
  </si>
  <si>
    <t>$F$13</t>
  </si>
  <si>
    <t>Supply Kayseri</t>
  </si>
  <si>
    <t>$G$13</t>
  </si>
  <si>
    <t>Supply Export (Izmir)</t>
  </si>
  <si>
    <t>Total brew Istanbul</t>
  </si>
  <si>
    <t>$C$6</t>
  </si>
  <si>
    <t>Total brew Ankara</t>
  </si>
  <si>
    <t>Afyon Total malt</t>
  </si>
  <si>
    <t>$D$4</t>
  </si>
  <si>
    <t>Konya Total malt</t>
  </si>
  <si>
    <t>$D$5</t>
  </si>
  <si>
    <t>$H$11</t>
  </si>
  <si>
    <t>Istanbul Total beer</t>
  </si>
  <si>
    <t>$H$12</t>
  </si>
  <si>
    <t>Ankara Total beer</t>
  </si>
  <si>
    <t>Afyon Izmir</t>
  </si>
  <si>
    <t>Afyon Sakarya</t>
  </si>
  <si>
    <t>Afyon Adana</t>
  </si>
  <si>
    <t>$C$18</t>
  </si>
  <si>
    <t>$D$18</t>
  </si>
  <si>
    <t>Konya Izmir</t>
  </si>
  <si>
    <t>$E$18</t>
  </si>
  <si>
    <t>Konya Sakarya</t>
  </si>
  <si>
    <t>$F$18</t>
  </si>
  <si>
    <t>Konya Adana</t>
  </si>
  <si>
    <t>Import (Izmir) Istanbul</t>
  </si>
  <si>
    <t>$C$19</t>
  </si>
  <si>
    <t>Import (Izmir) Ankara</t>
  </si>
  <si>
    <t>$D$19</t>
  </si>
  <si>
    <t>Import (Izmir) Izmir</t>
  </si>
  <si>
    <t>$E$19</t>
  </si>
  <si>
    <t>Import (Izmir) Sakarya</t>
  </si>
  <si>
    <t>$F$19</t>
  </si>
  <si>
    <t>Import (Izmir) Adana</t>
  </si>
  <si>
    <t>$C$23</t>
  </si>
  <si>
    <t>$D$23</t>
  </si>
  <si>
    <t>$E$23</t>
  </si>
  <si>
    <t>$F$23</t>
  </si>
  <si>
    <t>$G$23</t>
  </si>
  <si>
    <t>Izmir Istanbul</t>
  </si>
  <si>
    <t>$C$24</t>
  </si>
  <si>
    <t>Izmir Izmir</t>
  </si>
  <si>
    <t>$D$24</t>
  </si>
  <si>
    <t>Izmir Antalya</t>
  </si>
  <si>
    <t>$E$24</t>
  </si>
  <si>
    <t>Izmir Bursa</t>
  </si>
  <si>
    <t>$F$24</t>
  </si>
  <si>
    <t>Izmir Kayseri</t>
  </si>
  <si>
    <t>$G$24</t>
  </si>
  <si>
    <t>Izmir Export (Izmir)</t>
  </si>
  <si>
    <t>Sakarya Istanbul</t>
  </si>
  <si>
    <t>$C$25</t>
  </si>
  <si>
    <t>Sakarya Izmir</t>
  </si>
  <si>
    <t>$D$25</t>
  </si>
  <si>
    <t>Sakarya Antalya</t>
  </si>
  <si>
    <t>$E$25</t>
  </si>
  <si>
    <t>Sakarya Bursa</t>
  </si>
  <si>
    <t>$F$25</t>
  </si>
  <si>
    <t>Sakarya Kayseri</t>
  </si>
  <si>
    <t>$G$25</t>
  </si>
  <si>
    <t>Sakarya Export (Izmir)</t>
  </si>
  <si>
    <t>Adana Istanbul</t>
  </si>
  <si>
    <t>$C$26</t>
  </si>
  <si>
    <t>Adana Izmir</t>
  </si>
  <si>
    <t>$D$26</t>
  </si>
  <si>
    <t>Adana Antalya</t>
  </si>
  <si>
    <t>$E$26</t>
  </si>
  <si>
    <t>Adana Bursa</t>
  </si>
  <si>
    <t>$F$26</t>
  </si>
  <si>
    <t>Adana Kayseri</t>
  </si>
  <si>
    <t>$G$26</t>
  </si>
  <si>
    <t>Adana Export (Izmir)</t>
  </si>
  <si>
    <t>$C$33</t>
  </si>
  <si>
    <t>$D$33</t>
  </si>
  <si>
    <t>$E$33</t>
  </si>
  <si>
    <t>$F$33</t>
  </si>
  <si>
    <t>$C$34</t>
  </si>
  <si>
    <t>$D$34</t>
  </si>
  <si>
    <t>$E$34</t>
  </si>
  <si>
    <t>$F$34</t>
  </si>
  <si>
    <t>$C$38</t>
  </si>
  <si>
    <t>$D$38</t>
  </si>
  <si>
    <t>$E$38</t>
  </si>
  <si>
    <t>$F$38</t>
  </si>
  <si>
    <t>$G$38</t>
  </si>
  <si>
    <t>$C$39</t>
  </si>
  <si>
    <t>$D$39</t>
  </si>
  <si>
    <t>$E$39</t>
  </si>
  <si>
    <t>$F$39</t>
  </si>
  <si>
    <t>$G$39</t>
  </si>
  <si>
    <t>$C$40</t>
  </si>
  <si>
    <t>$D$40</t>
  </si>
  <si>
    <t>$E$40</t>
  </si>
  <si>
    <t>$F$40</t>
  </si>
  <si>
    <t>$G$40</t>
  </si>
  <si>
    <t>$C$41</t>
  </si>
  <si>
    <t>$D$41</t>
  </si>
  <si>
    <t>$E$41</t>
  </si>
  <si>
    <t>$F$41</t>
  </si>
  <si>
    <t>$G$41</t>
  </si>
  <si>
    <t>$C$48</t>
  </si>
  <si>
    <t>$D$48</t>
  </si>
  <si>
    <t>$E$48</t>
  </si>
  <si>
    <t>$F$48</t>
  </si>
  <si>
    <t>$C$49</t>
  </si>
  <si>
    <t>$D$49</t>
  </si>
  <si>
    <t>$E$49</t>
  </si>
  <si>
    <t>$F$49</t>
  </si>
  <si>
    <t>$C$53</t>
  </si>
  <si>
    <t>$D$53</t>
  </si>
  <si>
    <t>$E$53</t>
  </si>
  <si>
    <t>$F$53</t>
  </si>
  <si>
    <t>$G$53</t>
  </si>
  <si>
    <t>$C$54</t>
  </si>
  <si>
    <t>$D$54</t>
  </si>
  <si>
    <t>$E$54</t>
  </si>
  <si>
    <t>$F$54</t>
  </si>
  <si>
    <t>$G$54</t>
  </si>
  <si>
    <t>$C$55</t>
  </si>
  <si>
    <t>$D$55</t>
  </si>
  <si>
    <t>$E$55</t>
  </si>
  <si>
    <t>$F$55</t>
  </si>
  <si>
    <t>$G$55</t>
  </si>
  <si>
    <t>$C$56</t>
  </si>
  <si>
    <t>$D$56</t>
  </si>
  <si>
    <t>$E$56</t>
  </si>
  <si>
    <t>$F$56</t>
  </si>
  <si>
    <t>$G$56</t>
  </si>
  <si>
    <t>$C$20</t>
  </si>
  <si>
    <t>$D$20</t>
  </si>
  <si>
    <t>Total brew Izmir</t>
  </si>
  <si>
    <t>$E$20</t>
  </si>
  <si>
    <t>Total brew Sakarya</t>
  </si>
  <si>
    <t>$F$20</t>
  </si>
  <si>
    <t>Total brew Adana</t>
  </si>
  <si>
    <t>$C$27</t>
  </si>
  <si>
    <t>$D$27</t>
  </si>
  <si>
    <t>$E$27</t>
  </si>
  <si>
    <t>$F$27</t>
  </si>
  <si>
    <t>$G$27</t>
  </si>
  <si>
    <t>$C$35</t>
  </si>
  <si>
    <t>$D$35</t>
  </si>
  <si>
    <t>$E$35</t>
  </si>
  <si>
    <t>$F$35</t>
  </si>
  <si>
    <t>$C$42</t>
  </si>
  <si>
    <t>$D$42</t>
  </si>
  <si>
    <t>$E$42</t>
  </si>
  <si>
    <t>$F$42</t>
  </si>
  <si>
    <t>$G$42</t>
  </si>
  <si>
    <t>$C$50</t>
  </si>
  <si>
    <t>$D$50</t>
  </si>
  <si>
    <t>$E$50</t>
  </si>
  <si>
    <t>$F$50</t>
  </si>
  <si>
    <t>$C$57</t>
  </si>
  <si>
    <t>$D$57</t>
  </si>
  <si>
    <t>$E$57</t>
  </si>
  <si>
    <t>$F$57</t>
  </si>
  <si>
    <t>$G$57</t>
  </si>
  <si>
    <t>$G$18</t>
  </si>
  <si>
    <t>$G$19</t>
  </si>
  <si>
    <t>Import (Izmir) Total malt</t>
  </si>
  <si>
    <t>$G$33</t>
  </si>
  <si>
    <t>$G$34</t>
  </si>
  <si>
    <t>$G$48</t>
  </si>
  <si>
    <t>$G$49</t>
  </si>
  <si>
    <t>$H$23</t>
  </si>
  <si>
    <t>$H$24</t>
  </si>
  <si>
    <t>Izmir Total beer</t>
  </si>
  <si>
    <t>$H$25</t>
  </si>
  <si>
    <t>Sakarya Total beer</t>
  </si>
  <si>
    <t>$H$26</t>
  </si>
  <si>
    <t>Adana Total beer</t>
  </si>
  <si>
    <t>$H$38</t>
  </si>
  <si>
    <t>$H$39</t>
  </si>
  <si>
    <t>$H$40</t>
  </si>
  <si>
    <t>$H$41</t>
  </si>
  <si>
    <t>$H$53</t>
  </si>
  <si>
    <t>$H$54</t>
  </si>
  <si>
    <t>$H$55</t>
  </si>
  <si>
    <t>$H$56</t>
  </si>
  <si>
    <t>Amount of malt shipped from plant i to brewery j in year 1 (1000 ton)</t>
  </si>
  <si>
    <t>(Million lt)</t>
  </si>
  <si>
    <t>Amount of beer shipped from brewery j to distribution center k in year 1 (Million liters)</t>
  </si>
  <si>
    <t>Total shipping cost</t>
  </si>
  <si>
    <t>(Million dollars)</t>
  </si>
  <si>
    <t>Current Shipment Plan</t>
  </si>
  <si>
    <t xml:space="preserve">Shipping cost: brewery j to distribution center k  </t>
  </si>
  <si>
    <t xml:space="preserve">Shipping cost: plant i to brewery j </t>
  </si>
  <si>
    <t>Discount rate</t>
  </si>
  <si>
    <t>Total cost</t>
  </si>
  <si>
    <t>Total open</t>
  </si>
  <si>
    <t>Total expand</t>
  </si>
  <si>
    <t>Range</t>
  </si>
  <si>
    <t>Std Range</t>
  </si>
  <si>
    <t>Malt yield</t>
  </si>
  <si>
    <t>Total malt &lt;= Capacity of malt plants</t>
  </si>
  <si>
    <t>Total beer &lt;= Capacity of breweries</t>
  </si>
  <si>
    <t>Supply = Demand</t>
  </si>
  <si>
    <t>Total brew = Total beer</t>
  </si>
  <si>
    <t>$D$6</t>
  </si>
  <si>
    <t>$H$13</t>
  </si>
  <si>
    <t>$C$7</t>
  </si>
  <si>
    <t>$D$7</t>
  </si>
  <si>
    <t>$E$4</t>
  </si>
  <si>
    <t>$E$5</t>
  </si>
  <si>
    <t>$E$6</t>
  </si>
  <si>
    <t>$I$11</t>
  </si>
  <si>
    <t>$I$12</t>
  </si>
  <si>
    <t>Sensitivity Report of Q1</t>
  </si>
  <si>
    <t>Open &gt;= Expand</t>
  </si>
  <si>
    <t>Open &amp; Expand: Binary variables</t>
  </si>
  <si>
    <t>Total open, Total expand &lt;= 1</t>
  </si>
  <si>
    <t>Net present value</t>
  </si>
  <si>
    <t>$G$20</t>
  </si>
  <si>
    <t>$H$27</t>
  </si>
  <si>
    <t>$G$35</t>
  </si>
  <si>
    <t>$H$42</t>
  </si>
  <si>
    <t>$G$50</t>
  </si>
  <si>
    <t>$H$57</t>
  </si>
  <si>
    <t>$C$21</t>
  </si>
  <si>
    <t>$D$21</t>
  </si>
  <si>
    <t>$E$21</t>
  </si>
  <si>
    <t>$F$21</t>
  </si>
  <si>
    <t>$G$21</t>
  </si>
  <si>
    <t>$C$28</t>
  </si>
  <si>
    <t>$D$28</t>
  </si>
  <si>
    <t>$E$28</t>
  </si>
  <si>
    <t>$F$28</t>
  </si>
  <si>
    <t>$G$28</t>
  </si>
  <si>
    <t>$H$28</t>
  </si>
  <si>
    <t>$C$36</t>
  </si>
  <si>
    <t>$D$36</t>
  </si>
  <si>
    <t>$E$36</t>
  </si>
  <si>
    <t>$F$36</t>
  </si>
  <si>
    <t>$G$36</t>
  </si>
  <si>
    <t>$C$43</t>
  </si>
  <si>
    <t>$D$43</t>
  </si>
  <si>
    <t>$E$43</t>
  </si>
  <si>
    <t>$F$43</t>
  </si>
  <si>
    <t>$G$43</t>
  </si>
  <si>
    <t>$H$43</t>
  </si>
  <si>
    <t>$C$51</t>
  </si>
  <si>
    <t>$D$51</t>
  </si>
  <si>
    <t>$E$51</t>
  </si>
  <si>
    <t>$F$51</t>
  </si>
  <si>
    <t>$G$51</t>
  </si>
  <si>
    <t>$C$58</t>
  </si>
  <si>
    <t>$D$58</t>
  </si>
  <si>
    <t>$E$58</t>
  </si>
  <si>
    <t>$F$58</t>
  </si>
  <si>
    <t>$G$58</t>
  </si>
  <si>
    <t>$H$58</t>
  </si>
  <si>
    <t>$H$18</t>
  </si>
  <si>
    <t>$H$19</t>
  </si>
  <si>
    <t>$H$20</t>
  </si>
  <si>
    <t>$H$33</t>
  </si>
  <si>
    <t>$H$34</t>
  </si>
  <si>
    <t>$H$35</t>
  </si>
  <si>
    <t>$H$48</t>
  </si>
  <si>
    <t>$H$49</t>
  </si>
  <si>
    <t>$H$50</t>
  </si>
  <si>
    <t>$I$23</t>
  </si>
  <si>
    <t>$I$24</t>
  </si>
  <si>
    <t>$I$25</t>
  </si>
  <si>
    <t>$I$26</t>
  </si>
  <si>
    <t>$I$27</t>
  </si>
  <si>
    <t>$I$38</t>
  </si>
  <si>
    <t>$I$39</t>
  </si>
  <si>
    <t>$I$40</t>
  </si>
  <si>
    <t>$I$41</t>
  </si>
  <si>
    <t>$I$42</t>
  </si>
  <si>
    <t>$I$53</t>
  </si>
  <si>
    <t>$I$54</t>
  </si>
  <si>
    <t>$I$55</t>
  </si>
  <si>
    <t>$I$56</t>
  </si>
  <si>
    <t>$I$57</t>
  </si>
  <si>
    <t>Sensitivity Report of Q3</t>
  </si>
  <si>
    <t>Amount of malt shipped from plant i to brewery j in year 1</t>
  </si>
  <si>
    <t>Amount of beer shipped from brewery j to distribution center k in year 1</t>
  </si>
  <si>
    <t>Minimize total shipping cost</t>
  </si>
  <si>
    <t>Variables</t>
  </si>
  <si>
    <t>Amount of malt shipped from plant i to brewery j</t>
  </si>
  <si>
    <t>Amount of beer shipped from brewery j to distribution center k</t>
  </si>
  <si>
    <t>Minimize net present value from year1 to year20</t>
  </si>
  <si>
    <t>Amount of malt shipped from plant i to brewery j in year 1,2,3</t>
  </si>
  <si>
    <t>Amount of beer shipped from brewery j to distribution center k in year 1,2,3</t>
  </si>
  <si>
    <t>Potential breweries open or expand in year 1,2,3</t>
  </si>
  <si>
    <t>Average standardised range 
per distribution centre</t>
  </si>
  <si>
    <t>Standardised range: 
Range of constraint per demand</t>
  </si>
  <si>
    <t>Since the solution is the most sensitive to the demand of Izmir, If extra efforts could be spent to get more accurate solution then, forecast the demand of Izmir</t>
  </si>
  <si>
    <t>0%-4.18%</t>
  </si>
  <si>
    <t>&gt;4.19%</t>
  </si>
  <si>
    <t>Use the same model as in Q3, try different discount rate to see at what rate the optimal solution is to open a brewery in year 1.</t>
  </si>
  <si>
    <t>Optimal solution</t>
  </si>
  <si>
    <t>Open a brewery in year 1</t>
  </si>
  <si>
    <t>Open a brewery in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</si>
</sst>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0.000"/>
    <numFmt numFmtId="166" formatCode="#,##0.000_);\(#,##0.000\)"/>
    <numFmt numFmtId="167" formatCode="0.0"/>
  </numFmts>
  <fonts count="26" x14ac:knownFonts="1">
    <font>
      <sz val="10"/>
      <name val="Arial"/>
      <family val="2"/>
    </font>
    <font>
      <sz val="8"/>
      <name val="MS Sans Serif"/>
      <family val="2"/>
    </font>
    <font>
      <b/>
      <sz val="8.5"/>
      <name val="MS Sans Serif"/>
      <family val="2"/>
    </font>
    <font>
      <b/>
      <sz val="10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b/>
      <i/>
      <sz val="8"/>
      <name val="MS Sans Serif"/>
      <family val="2"/>
    </font>
    <font>
      <b/>
      <i/>
      <sz val="8.5"/>
      <name val="MS Sans Serif"/>
      <family val="2"/>
    </font>
    <font>
      <i/>
      <sz val="8"/>
      <name val="MS Sans Serif"/>
      <family val="2"/>
    </font>
    <font>
      <i/>
      <sz val="8.5"/>
      <name val="MS Sans Serif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8"/>
      <name val="MS Sans Serif"/>
      <family val="2"/>
    </font>
    <font>
      <sz val="9.5"/>
      <name val="MS Sans Serif"/>
      <family val="2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8"/>
      <name val="MS Sans Serif"/>
    </font>
    <font>
      <sz val="8"/>
      <name val="MS Sans Serif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sz val="10"/>
      <color rgb="FF9C0006"/>
      <name val="Arial"/>
      <family val="2"/>
    </font>
    <font>
      <sz val="10"/>
      <color rgb="FFC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 style="thin">
        <color indexed="64"/>
      </right>
      <top style="double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1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/>
      <top/>
      <bottom style="medium">
        <color indexed="10"/>
      </bottom>
      <diagonal/>
    </border>
    <border>
      <left/>
      <right style="thick">
        <color indexed="12"/>
      </right>
      <top/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 style="medium">
        <color indexed="17"/>
      </left>
      <right style="medium">
        <color indexed="39"/>
      </right>
      <top style="medium">
        <color indexed="12"/>
      </top>
      <bottom/>
      <diagonal/>
    </border>
    <border>
      <left style="medium">
        <color indexed="39"/>
      </left>
      <right style="medium">
        <color indexed="10"/>
      </right>
      <top style="medium">
        <color indexed="10"/>
      </top>
      <bottom/>
      <diagonal/>
    </border>
    <border>
      <left style="medium">
        <color indexed="17"/>
      </left>
      <right/>
      <top/>
      <bottom/>
      <diagonal/>
    </border>
    <border>
      <left style="medium">
        <color indexed="17"/>
      </left>
      <right style="medium">
        <color indexed="39"/>
      </right>
      <top/>
      <bottom/>
      <diagonal/>
    </border>
    <border>
      <left style="medium">
        <color indexed="39"/>
      </left>
      <right style="medium">
        <color indexed="10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 style="medium">
        <color indexed="39"/>
      </right>
      <top/>
      <bottom style="medium">
        <color indexed="12"/>
      </bottom>
      <diagonal/>
    </border>
    <border>
      <left style="medium">
        <color indexed="39"/>
      </left>
      <right style="medium">
        <color indexed="10"/>
      </right>
      <top/>
      <bottom style="medium">
        <color indexed="10"/>
      </bottom>
      <diagonal/>
    </border>
    <border>
      <left style="medium">
        <color indexed="39"/>
      </left>
      <right/>
      <top style="medium">
        <color indexed="17"/>
      </top>
      <bottom style="medium">
        <color indexed="39"/>
      </bottom>
      <diagonal/>
    </border>
    <border>
      <left/>
      <right style="medium">
        <color indexed="12"/>
      </right>
      <top style="medium">
        <color indexed="17"/>
      </top>
      <bottom style="medium">
        <color indexed="39"/>
      </bottom>
      <diagonal/>
    </border>
    <border>
      <left style="medium">
        <color indexed="53"/>
      </left>
      <right/>
      <top style="medium">
        <color indexed="39"/>
      </top>
      <bottom style="medium">
        <color indexed="53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medium">
        <color indexed="12"/>
      </right>
      <top style="medium">
        <color indexed="12"/>
      </top>
      <bottom/>
      <diagonal/>
    </border>
    <border>
      <left/>
      <right style="thick">
        <color indexed="12"/>
      </right>
      <top style="medium">
        <color indexed="10"/>
      </top>
      <bottom/>
      <diagonal/>
    </border>
    <border>
      <left/>
      <right style="medium">
        <color indexed="17"/>
      </right>
      <top/>
      <bottom/>
      <diagonal/>
    </border>
    <border>
      <left/>
      <right style="thick">
        <color indexed="12"/>
      </right>
      <top/>
      <bottom style="medium">
        <color indexed="10"/>
      </bottom>
      <diagonal/>
    </border>
    <border>
      <left style="medium">
        <color indexed="12"/>
      </left>
      <right/>
      <top style="medium">
        <color indexed="17"/>
      </top>
      <bottom style="medium">
        <color indexed="12"/>
      </bottom>
      <diagonal/>
    </border>
    <border>
      <left/>
      <right/>
      <top style="medium">
        <color indexed="17"/>
      </top>
      <bottom style="medium">
        <color indexed="12"/>
      </bottom>
      <diagonal/>
    </border>
    <border>
      <left/>
      <right style="medium">
        <color indexed="12"/>
      </right>
      <top style="medium">
        <color indexed="17"/>
      </top>
      <bottom style="medium">
        <color indexed="12"/>
      </bottom>
      <diagonal/>
    </border>
    <border>
      <left style="thick">
        <color indexed="12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21"/>
      </right>
      <top/>
      <bottom style="thick">
        <color indexed="12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</cellStyleXfs>
  <cellXfs count="250">
    <xf numFmtId="0" fontId="0" fillId="0" borderId="0" xfId="0"/>
    <xf numFmtId="0" fontId="1" fillId="0" borderId="0" xfId="0" quotePrefix="1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4" fillId="0" borderId="2" xfId="0" applyFont="1" applyBorder="1" applyAlignment="1">
      <alignment horizontal="left"/>
    </xf>
    <xf numFmtId="0" fontId="6" fillId="0" borderId="4" xfId="0" applyFont="1" applyBorder="1" applyAlignment="1"/>
    <xf numFmtId="0" fontId="0" fillId="0" borderId="5" xfId="0" applyBorder="1" applyAlignment="1"/>
    <xf numFmtId="0" fontId="7" fillId="0" borderId="4" xfId="0" applyFont="1" applyBorder="1"/>
    <xf numFmtId="0" fontId="4" fillId="0" borderId="5" xfId="0" applyFont="1" applyBorder="1" applyAlignment="1">
      <alignment horizontal="left"/>
    </xf>
    <xf numFmtId="0" fontId="0" fillId="0" borderId="4" xfId="0" applyBorder="1"/>
    <xf numFmtId="0" fontId="4" fillId="0" borderId="0" xfId="0" applyFont="1" applyBorder="1" applyAlignment="1">
      <alignment horizontal="left"/>
    </xf>
    <xf numFmtId="0" fontId="0" fillId="0" borderId="5" xfId="0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4" xfId="0" applyFont="1" applyBorder="1"/>
    <xf numFmtId="3" fontId="0" fillId="0" borderId="5" xfId="0" applyNumberForma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9" fillId="0" borderId="0" xfId="0" applyFont="1" applyBorder="1"/>
    <xf numFmtId="0" fontId="5" fillId="0" borderId="4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0" xfId="0" applyFont="1" applyBorder="1"/>
    <xf numFmtId="165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 applyAlignment="1">
      <alignment horizontal="center"/>
    </xf>
    <xf numFmtId="0" fontId="9" fillId="0" borderId="5" xfId="0" applyFont="1" applyBorder="1"/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1" fillId="0" borderId="0" xfId="0" applyFont="1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" fillId="0" borderId="11" xfId="0" applyFont="1" applyBorder="1"/>
    <xf numFmtId="0" fontId="0" fillId="0" borderId="2" xfId="0" applyBorder="1" applyAlignment="1">
      <alignment horizontal="center"/>
    </xf>
    <xf numFmtId="0" fontId="7" fillId="0" borderId="12" xfId="0" applyFont="1" applyFill="1" applyBorder="1"/>
    <xf numFmtId="0" fontId="0" fillId="0" borderId="3" xfId="0" applyFill="1" applyBorder="1"/>
    <xf numFmtId="0" fontId="6" fillId="0" borderId="4" xfId="0" applyFont="1" applyBorder="1"/>
    <xf numFmtId="0" fontId="7" fillId="0" borderId="4" xfId="0" applyFont="1" applyFill="1" applyBorder="1"/>
    <xf numFmtId="0" fontId="0" fillId="0" borderId="5" xfId="0" applyFill="1" applyBorder="1"/>
    <xf numFmtId="0" fontId="1" fillId="0" borderId="4" xfId="0" applyFont="1" applyFill="1" applyBorder="1"/>
    <xf numFmtId="165" fontId="0" fillId="0" borderId="5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7" xfId="0" applyFont="1" applyFill="1" applyBorder="1"/>
    <xf numFmtId="165" fontId="0" fillId="0" borderId="8" xfId="0" applyNumberFormat="1" applyFill="1" applyBorder="1"/>
    <xf numFmtId="0" fontId="6" fillId="0" borderId="4" xfId="0" applyFont="1" applyBorder="1" applyAlignment="1">
      <alignment horizontal="right"/>
    </xf>
    <xf numFmtId="166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2" fillId="0" borderId="0" xfId="0" applyFont="1"/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0" fillId="0" borderId="4" xfId="0" applyFont="1" applyBorder="1"/>
    <xf numFmtId="0" fontId="0" fillId="0" borderId="1" xfId="0" applyBorder="1"/>
    <xf numFmtId="0" fontId="6" fillId="0" borderId="2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7" xfId="0" applyFont="1" applyBorder="1"/>
    <xf numFmtId="165" fontId="0" fillId="6" borderId="0" xfId="0" applyNumberFormat="1" applyFill="1" applyAlignment="1">
      <alignment vertical="center"/>
    </xf>
    <xf numFmtId="165" fontId="0" fillId="6" borderId="17" xfId="0" applyNumberFormat="1" applyFill="1" applyBorder="1" applyAlignment="1">
      <alignment vertical="center"/>
    </xf>
    <xf numFmtId="165" fontId="0" fillId="7" borderId="17" xfId="0" applyNumberFormat="1" applyFill="1" applyBorder="1" applyAlignment="1">
      <alignment vertical="center"/>
    </xf>
    <xf numFmtId="1" fontId="0" fillId="6" borderId="17" xfId="0" applyNumberFormat="1" applyFill="1" applyBorder="1" applyAlignment="1">
      <alignment vertical="center"/>
    </xf>
    <xf numFmtId="1" fontId="0" fillId="7" borderId="17" xfId="0" applyNumberFormat="1" applyFill="1" applyBorder="1" applyAlignment="1">
      <alignment vertical="center"/>
    </xf>
    <xf numFmtId="2" fontId="0" fillId="6" borderId="17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0" fontId="3" fillId="0" borderId="0" xfId="0" applyFont="1" applyAlignment="1">
      <alignment vertical="center"/>
    </xf>
    <xf numFmtId="165" fontId="4" fillId="6" borderId="0" xfId="0" applyNumberFormat="1" applyFont="1" applyFill="1" applyBorder="1" applyAlignment="1">
      <alignment vertical="center"/>
    </xf>
    <xf numFmtId="0" fontId="18" fillId="6" borderId="23" xfId="0" applyFont="1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0" xfId="0" quotePrefix="1" applyFont="1" applyFill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28" xfId="0" applyFill="1" applyBorder="1" applyAlignment="1">
      <alignment vertical="center"/>
    </xf>
    <xf numFmtId="0" fontId="19" fillId="6" borderId="26" xfId="0" applyFont="1" applyFill="1" applyBorder="1" applyAlignment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1" fontId="0" fillId="6" borderId="31" xfId="0" applyNumberFormat="1" applyFill="1" applyBorder="1" applyAlignment="1">
      <alignment horizontal="center" vertical="center"/>
    </xf>
    <xf numFmtId="1" fontId="0" fillId="6" borderId="3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1" fontId="0" fillId="6" borderId="35" xfId="0" applyNumberForma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left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1" fontId="0" fillId="6" borderId="38" xfId="0" applyNumberFormat="1" applyFill="1" applyBorder="1" applyAlignment="1">
      <alignment horizontal="center" vertical="center"/>
    </xf>
    <xf numFmtId="1" fontId="0" fillId="6" borderId="39" xfId="0" applyNumberForma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3" fontId="4" fillId="6" borderId="0" xfId="0" applyNumberFormat="1" applyFont="1" applyFill="1" applyAlignment="1">
      <alignment horizontal="left" vertical="center"/>
    </xf>
    <xf numFmtId="0" fontId="18" fillId="6" borderId="26" xfId="0" applyFont="1" applyFill="1" applyBorder="1" applyAlignment="1">
      <alignment horizontal="left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13" fillId="6" borderId="49" xfId="0" applyFont="1" applyFill="1" applyBorder="1" applyAlignment="1">
      <alignment horizontal="center" vertical="center"/>
    </xf>
    <xf numFmtId="0" fontId="13" fillId="6" borderId="50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19" fillId="6" borderId="52" xfId="0" applyFont="1" applyFill="1" applyBorder="1" applyAlignment="1">
      <alignment vertical="center"/>
    </xf>
    <xf numFmtId="0" fontId="0" fillId="6" borderId="53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8" fillId="3" borderId="54" xfId="0" applyFont="1" applyFill="1" applyBorder="1" applyAlignment="1">
      <alignment vertical="center"/>
    </xf>
    <xf numFmtId="0" fontId="18" fillId="3" borderId="55" xfId="0" applyFont="1" applyFill="1" applyBorder="1" applyAlignment="1">
      <alignment vertical="center"/>
    </xf>
    <xf numFmtId="165" fontId="0" fillId="3" borderId="56" xfId="0" applyNumberFormat="1" applyFill="1" applyBorder="1" applyAlignment="1">
      <alignment vertical="center"/>
    </xf>
    <xf numFmtId="0" fontId="0" fillId="6" borderId="57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4" fillId="6" borderId="54" xfId="0" applyFont="1" applyFill="1" applyBorder="1" applyAlignment="1">
      <alignment vertical="center"/>
    </xf>
    <xf numFmtId="0" fontId="17" fillId="0" borderId="62" xfId="0" applyFont="1" applyFill="1" applyBorder="1" applyAlignment="1">
      <alignment horizontal="center" vertical="center"/>
    </xf>
    <xf numFmtId="0" fontId="17" fillId="0" borderId="63" xfId="0" applyFont="1" applyFill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4" xfId="0" applyFont="1" applyFill="1" applyBorder="1" applyAlignment="1">
      <alignment vertical="center"/>
    </xf>
    <xf numFmtId="0" fontId="0" fillId="0" borderId="65" xfId="0" applyFont="1" applyFill="1" applyBorder="1" applyAlignment="1">
      <alignment vertical="center"/>
    </xf>
    <xf numFmtId="165" fontId="0" fillId="6" borderId="0" xfId="0" applyNumberFormat="1" applyFont="1" applyFill="1" applyAlignment="1">
      <alignment vertical="center"/>
    </xf>
    <xf numFmtId="165" fontId="0" fillId="6" borderId="17" xfId="0" applyNumberFormat="1" applyFont="1" applyFill="1" applyBorder="1" applyAlignment="1">
      <alignment vertical="center"/>
    </xf>
    <xf numFmtId="1" fontId="0" fillId="7" borderId="17" xfId="0" applyNumberFormat="1" applyFont="1" applyFill="1" applyBorder="1" applyAlignment="1">
      <alignment vertical="center"/>
    </xf>
    <xf numFmtId="165" fontId="0" fillId="7" borderId="17" xfId="0" applyNumberFormat="1" applyFont="1" applyFill="1" applyBorder="1" applyAlignment="1">
      <alignment vertical="center"/>
    </xf>
    <xf numFmtId="9" fontId="0" fillId="7" borderId="17" xfId="0" applyNumberFormat="1" applyFont="1" applyFill="1" applyBorder="1" applyAlignment="1">
      <alignment vertical="center"/>
    </xf>
    <xf numFmtId="1" fontId="0" fillId="6" borderId="17" xfId="0" applyNumberFormat="1" applyFont="1" applyFill="1" applyBorder="1" applyAlignment="1">
      <alignment vertical="center"/>
    </xf>
    <xf numFmtId="1" fontId="0" fillId="7" borderId="17" xfId="0" applyNumberFormat="1" applyFont="1" applyFill="1" applyBorder="1" applyAlignment="1">
      <alignment horizontal="right" vertical="center"/>
    </xf>
    <xf numFmtId="2" fontId="0" fillId="6" borderId="17" xfId="0" applyNumberFormat="1" applyFont="1" applyFill="1" applyBorder="1" applyAlignment="1">
      <alignment vertical="center"/>
    </xf>
    <xf numFmtId="167" fontId="0" fillId="6" borderId="17" xfId="0" applyNumberFormat="1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23" fillId="5" borderId="19" xfId="2" applyFont="1" applyBorder="1" applyAlignment="1">
      <alignment vertical="center"/>
    </xf>
    <xf numFmtId="0" fontId="24" fillId="4" borderId="19" xfId="1" applyFont="1" applyBorder="1" applyAlignment="1">
      <alignment vertical="center"/>
    </xf>
    <xf numFmtId="0" fontId="23" fillId="5" borderId="22" xfId="2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3" fillId="5" borderId="0" xfId="2" applyFont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23" fillId="5" borderId="15" xfId="2" applyFont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23" fillId="5" borderId="21" xfId="2" applyFont="1" applyBorder="1" applyAlignment="1">
      <alignment vertical="center"/>
    </xf>
    <xf numFmtId="0" fontId="23" fillId="5" borderId="18" xfId="2" applyFont="1" applyBorder="1" applyAlignment="1">
      <alignment vertical="center"/>
    </xf>
    <xf numFmtId="0" fontId="23" fillId="5" borderId="20" xfId="2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60" xfId="0" applyFont="1" applyBorder="1" applyAlignment="1">
      <alignment vertical="center"/>
    </xf>
    <xf numFmtId="0" fontId="16" fillId="0" borderId="61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22" xfId="0" applyFont="1" applyBorder="1" applyAlignment="1">
      <alignment vertical="center"/>
    </xf>
    <xf numFmtId="1" fontId="0" fillId="6" borderId="0" xfId="0" applyNumberFormat="1" applyFont="1" applyFill="1" applyBorder="1" applyAlignment="1">
      <alignment vertical="center"/>
    </xf>
    <xf numFmtId="165" fontId="0" fillId="6" borderId="0" xfId="0" applyNumberFormat="1" applyFont="1" applyFill="1" applyBorder="1" applyAlignment="1">
      <alignment vertical="center" wrapText="1"/>
    </xf>
    <xf numFmtId="165" fontId="0" fillId="8" borderId="17" xfId="0" applyNumberFormat="1" applyFill="1" applyBorder="1" applyAlignment="1">
      <alignment vertical="center"/>
    </xf>
    <xf numFmtId="2" fontId="0" fillId="9" borderId="17" xfId="0" applyNumberFormat="1" applyFill="1" applyBorder="1" applyAlignment="1">
      <alignment vertical="center"/>
    </xf>
    <xf numFmtId="1" fontId="0" fillId="9" borderId="17" xfId="0" applyNumberFormat="1" applyFill="1" applyBorder="1" applyAlignment="1">
      <alignment vertical="center"/>
    </xf>
    <xf numFmtId="165" fontId="0" fillId="8" borderId="17" xfId="0" applyNumberFormat="1" applyFont="1" applyFill="1" applyBorder="1" applyAlignment="1">
      <alignment vertical="center"/>
    </xf>
    <xf numFmtId="165" fontId="25" fillId="6" borderId="17" xfId="0" applyNumberFormat="1" applyFont="1" applyFill="1" applyBorder="1" applyAlignment="1">
      <alignment vertical="center"/>
    </xf>
    <xf numFmtId="1" fontId="0" fillId="9" borderId="17" xfId="0" applyNumberFormat="1" applyFont="1" applyFill="1" applyBorder="1" applyAlignment="1">
      <alignment vertical="center"/>
    </xf>
    <xf numFmtId="167" fontId="0" fillId="9" borderId="17" xfId="0" applyNumberFormat="1" applyFont="1" applyFill="1" applyBorder="1" applyAlignment="1">
      <alignment vertical="center"/>
    </xf>
    <xf numFmtId="165" fontId="0" fillId="9" borderId="0" xfId="0" applyNumberFormat="1" applyFont="1" applyFill="1" applyBorder="1" applyAlignment="1">
      <alignment horizontal="right" vertical="center"/>
    </xf>
    <xf numFmtId="2" fontId="0" fillId="9" borderId="17" xfId="0" applyNumberFormat="1" applyFont="1" applyFill="1" applyBorder="1" applyAlignment="1">
      <alignment vertical="center"/>
    </xf>
    <xf numFmtId="10" fontId="0" fillId="10" borderId="17" xfId="0" applyNumberFormat="1" applyFont="1" applyFill="1" applyBorder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0" fillId="6" borderId="17" xfId="0" applyNumberFormat="1" applyFill="1" applyBorder="1" applyAlignment="1">
      <alignment horizontal="center" vertical="center"/>
    </xf>
    <xf numFmtId="3" fontId="4" fillId="6" borderId="58" xfId="0" applyNumberFormat="1" applyFont="1" applyFill="1" applyBorder="1" applyAlignment="1">
      <alignment horizontal="center" vertical="center"/>
    </xf>
    <xf numFmtId="3" fontId="4" fillId="6" borderId="59" xfId="0" applyNumberFormat="1" applyFon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5" fontId="0" fillId="6" borderId="15" xfId="0" applyNumberFormat="1" applyFill="1" applyBorder="1" applyAlignment="1">
      <alignment horizontal="center" vertical="center"/>
    </xf>
    <xf numFmtId="165" fontId="0" fillId="6" borderId="16" xfId="0" applyNumberFormat="1" applyFill="1" applyBorder="1" applyAlignment="1">
      <alignment horizontal="center" vertical="center"/>
    </xf>
    <xf numFmtId="165" fontId="0" fillId="6" borderId="18" xfId="0" applyNumberFormat="1" applyFill="1" applyBorder="1" applyAlignment="1">
      <alignment horizontal="left" vertical="center"/>
    </xf>
    <xf numFmtId="165" fontId="0" fillId="6" borderId="0" xfId="0" applyNumberFormat="1" applyFill="1" applyBorder="1" applyAlignment="1">
      <alignment horizontal="left" vertical="center"/>
    </xf>
    <xf numFmtId="165" fontId="0" fillId="6" borderId="19" xfId="0" applyNumberFormat="1" applyFill="1" applyBorder="1" applyAlignment="1">
      <alignment horizontal="left" vertical="center"/>
    </xf>
    <xf numFmtId="165" fontId="0" fillId="6" borderId="20" xfId="0" applyNumberFormat="1" applyFill="1" applyBorder="1" applyAlignment="1">
      <alignment horizontal="left" vertical="center"/>
    </xf>
    <xf numFmtId="165" fontId="0" fillId="6" borderId="21" xfId="0" applyNumberFormat="1" applyFill="1" applyBorder="1" applyAlignment="1">
      <alignment horizontal="left" vertical="center"/>
    </xf>
    <xf numFmtId="165" fontId="0" fillId="6" borderId="22" xfId="0" applyNumberFormat="1" applyFill="1" applyBorder="1" applyAlignment="1">
      <alignment horizontal="left" vertical="center"/>
    </xf>
    <xf numFmtId="165" fontId="0" fillId="7" borderId="17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left" vertical="center"/>
    </xf>
    <xf numFmtId="165" fontId="0" fillId="6" borderId="60" xfId="0" applyNumberFormat="1" applyFill="1" applyBorder="1" applyAlignment="1">
      <alignment horizontal="left" vertical="center"/>
    </xf>
    <xf numFmtId="165" fontId="0" fillId="6" borderId="61" xfId="0" applyNumberFormat="1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60" xfId="0" applyNumberFormat="1" applyFont="1" applyFill="1" applyBorder="1" applyAlignment="1">
      <alignment horizontal="center" vertical="center"/>
    </xf>
    <xf numFmtId="165" fontId="0" fillId="6" borderId="61" xfId="0" applyNumberFormat="1" applyFont="1" applyFill="1" applyBorder="1" applyAlignment="1">
      <alignment horizontal="center" vertical="center"/>
    </xf>
    <xf numFmtId="165" fontId="0" fillId="7" borderId="17" xfId="0" applyNumberFormat="1" applyFont="1" applyFill="1" applyBorder="1" applyAlignment="1">
      <alignment horizontal="center" vertical="center"/>
    </xf>
    <xf numFmtId="165" fontId="0" fillId="6" borderId="18" xfId="0" applyNumberFormat="1" applyFont="1" applyFill="1" applyBorder="1" applyAlignment="1">
      <alignment horizontal="left" vertical="center"/>
    </xf>
    <xf numFmtId="165" fontId="0" fillId="6" borderId="0" xfId="0" applyNumberFormat="1" applyFont="1" applyFill="1" applyBorder="1" applyAlignment="1">
      <alignment horizontal="left" vertical="center"/>
    </xf>
    <xf numFmtId="165" fontId="0" fillId="6" borderId="19" xfId="0" applyNumberFormat="1" applyFont="1" applyFill="1" applyBorder="1" applyAlignment="1">
      <alignment horizontal="left" vertical="center"/>
    </xf>
    <xf numFmtId="165" fontId="0" fillId="6" borderId="20" xfId="0" applyNumberFormat="1" applyFont="1" applyFill="1" applyBorder="1" applyAlignment="1">
      <alignment horizontal="left" vertical="center"/>
    </xf>
    <xf numFmtId="165" fontId="0" fillId="6" borderId="21" xfId="0" applyNumberFormat="1" applyFont="1" applyFill="1" applyBorder="1" applyAlignment="1">
      <alignment horizontal="left" vertical="center"/>
    </xf>
    <xf numFmtId="165" fontId="0" fillId="6" borderId="22" xfId="0" applyNumberFormat="1" applyFont="1" applyFill="1" applyBorder="1" applyAlignment="1">
      <alignment horizontal="left" vertical="center"/>
    </xf>
    <xf numFmtId="165" fontId="0" fillId="6" borderId="9" xfId="0" applyNumberFormat="1" applyFont="1" applyFill="1" applyBorder="1" applyAlignment="1">
      <alignment horizontal="left" vertical="center"/>
    </xf>
    <xf numFmtId="165" fontId="0" fillId="6" borderId="61" xfId="0" applyNumberFormat="1" applyFont="1" applyFill="1" applyBorder="1" applyAlignment="1">
      <alignment horizontal="left" vertical="center"/>
    </xf>
    <xf numFmtId="165" fontId="0" fillId="10" borderId="17" xfId="0" applyNumberFormat="1" applyFont="1" applyFill="1" applyBorder="1" applyAlignment="1">
      <alignment horizontal="left" vertical="center" wrapText="1"/>
    </xf>
    <xf numFmtId="165" fontId="0" fillId="6" borderId="17" xfId="0" applyNumberFormat="1" applyFont="1" applyFill="1" applyBorder="1" applyAlignment="1">
      <alignment horizontal="center" vertical="center"/>
    </xf>
    <xf numFmtId="165" fontId="0" fillId="8" borderId="17" xfId="0" applyNumberFormat="1" applyFont="1" applyFill="1" applyBorder="1" applyAlignment="1">
      <alignment horizontal="center" vertical="center"/>
    </xf>
    <xf numFmtId="165" fontId="0" fillId="6" borderId="17" xfId="0" applyNumberFormat="1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colors>
    <mruColors>
      <color rgb="FFFFFFCC"/>
      <color rgb="FFFAF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/>
  </sheetViews>
  <sheetFormatPr defaultRowHeight="12.5" x14ac:dyDescent="0.25"/>
  <cols>
    <col min="9" max="9" width="5.54296875" customWidth="1"/>
    <col min="10" max="10" width="4" customWidth="1"/>
  </cols>
  <sheetData>
    <row r="1" spans="1:18" x14ac:dyDescent="0.25">
      <c r="A1" s="1"/>
    </row>
    <row r="2" spans="1:18" ht="13" x14ac:dyDescent="0.3">
      <c r="A2" s="2" t="s">
        <v>0</v>
      </c>
      <c r="B2" s="3"/>
      <c r="C2" s="4"/>
      <c r="D2" s="4"/>
      <c r="E2" s="4"/>
      <c r="F2" s="4"/>
      <c r="G2" s="4"/>
      <c r="H2" s="4"/>
      <c r="I2" s="4"/>
      <c r="K2" s="5" t="s">
        <v>1</v>
      </c>
      <c r="L2" s="4"/>
      <c r="M2" s="4"/>
      <c r="N2" s="4"/>
      <c r="O2" s="4"/>
      <c r="P2" s="4"/>
    </row>
    <row r="3" spans="1:18" ht="13" thickBot="1" x14ac:dyDescent="0.3">
      <c r="A3" s="4"/>
      <c r="B3" s="4"/>
      <c r="C3" s="4"/>
      <c r="D3" s="4"/>
      <c r="E3" s="4"/>
      <c r="F3" s="4"/>
      <c r="G3" s="4"/>
      <c r="H3" s="6"/>
      <c r="I3" s="4"/>
      <c r="K3" s="4"/>
      <c r="L3" s="4"/>
      <c r="M3" s="4"/>
      <c r="N3" s="4"/>
      <c r="O3" s="4"/>
      <c r="P3" s="4"/>
    </row>
    <row r="4" spans="1:18" ht="13" thickTop="1" x14ac:dyDescent="0.25">
      <c r="A4" s="7"/>
      <c r="B4" s="8" t="s">
        <v>52</v>
      </c>
      <c r="C4" s="9"/>
      <c r="D4" s="9"/>
      <c r="E4" s="9"/>
      <c r="F4" s="9"/>
      <c r="G4" s="10"/>
      <c r="H4" s="11"/>
      <c r="I4" s="4"/>
      <c r="K4" s="8" t="s">
        <v>2</v>
      </c>
      <c r="L4" s="12"/>
      <c r="M4" s="4"/>
      <c r="N4" s="8" t="s">
        <v>3</v>
      </c>
      <c r="O4" s="13"/>
      <c r="P4" s="9"/>
      <c r="Q4" s="9"/>
      <c r="R4" s="12"/>
    </row>
    <row r="5" spans="1:18" x14ac:dyDescent="0.25">
      <c r="A5" s="7"/>
      <c r="B5" s="14" t="s">
        <v>4</v>
      </c>
      <c r="D5" s="198" t="s">
        <v>5</v>
      </c>
      <c r="E5" s="198"/>
      <c r="F5" s="198"/>
      <c r="G5" s="15"/>
      <c r="H5" s="11"/>
      <c r="I5" s="4"/>
      <c r="K5" s="16"/>
      <c r="L5" s="17" t="s">
        <v>6</v>
      </c>
      <c r="M5" s="4"/>
      <c r="N5" s="18"/>
      <c r="O5" s="4"/>
      <c r="Q5" s="19" t="s">
        <v>7</v>
      </c>
      <c r="R5" s="20"/>
    </row>
    <row r="6" spans="1:18" x14ac:dyDescent="0.25">
      <c r="A6" s="4"/>
      <c r="B6" s="18"/>
      <c r="C6" s="199" t="s">
        <v>8</v>
      </c>
      <c r="D6" s="199"/>
      <c r="E6" s="199" t="s">
        <v>9</v>
      </c>
      <c r="F6" s="199"/>
      <c r="G6" s="200"/>
      <c r="H6" s="4"/>
      <c r="I6" s="4"/>
      <c r="K6" s="23" t="s">
        <v>10</v>
      </c>
      <c r="L6" s="24">
        <v>30</v>
      </c>
      <c r="M6" s="4"/>
      <c r="N6" s="25" t="s">
        <v>11</v>
      </c>
      <c r="O6" s="26"/>
      <c r="P6" s="27"/>
      <c r="Q6" s="28" t="s">
        <v>12</v>
      </c>
      <c r="R6" s="20"/>
    </row>
    <row r="7" spans="1:18" x14ac:dyDescent="0.25">
      <c r="A7" s="4"/>
      <c r="B7" s="29" t="s">
        <v>13</v>
      </c>
      <c r="C7" s="30" t="s">
        <v>14</v>
      </c>
      <c r="D7" s="30" t="s">
        <v>15</v>
      </c>
      <c r="E7" s="30" t="s">
        <v>16</v>
      </c>
      <c r="F7" s="30" t="s">
        <v>17</v>
      </c>
      <c r="G7" s="31" t="s">
        <v>18</v>
      </c>
      <c r="H7" s="6"/>
      <c r="I7" s="4"/>
      <c r="K7" s="23" t="s">
        <v>19</v>
      </c>
      <c r="L7" s="24">
        <v>68</v>
      </c>
      <c r="M7" s="4"/>
      <c r="N7" s="18"/>
      <c r="O7" s="4"/>
      <c r="P7" s="32" t="s">
        <v>14</v>
      </c>
      <c r="Q7" s="6">
        <v>220</v>
      </c>
      <c r="R7" s="20"/>
    </row>
    <row r="8" spans="1:18" ht="13" thickBot="1" x14ac:dyDescent="0.3">
      <c r="A8" s="4"/>
      <c r="B8" s="23" t="s">
        <v>10</v>
      </c>
      <c r="C8" s="33">
        <v>2.64374E-2</v>
      </c>
      <c r="D8" s="33">
        <v>1.6686399999999997E-2</v>
      </c>
      <c r="E8" s="33">
        <v>1.9920400000000001E-2</v>
      </c>
      <c r="F8" s="33">
        <v>1.9185400000000002E-2</v>
      </c>
      <c r="G8" s="33">
        <v>3.2170400000000002E-2</v>
      </c>
      <c r="H8" s="34"/>
      <c r="I8" s="4"/>
      <c r="K8" s="35" t="s">
        <v>20</v>
      </c>
      <c r="L8" s="36">
        <v>20</v>
      </c>
      <c r="M8" s="4"/>
      <c r="N8" s="18"/>
      <c r="O8" s="4"/>
      <c r="P8" s="32" t="s">
        <v>15</v>
      </c>
      <c r="Q8" s="6">
        <v>200</v>
      </c>
      <c r="R8" s="20"/>
    </row>
    <row r="9" spans="1:18" ht="13" thickTop="1" x14ac:dyDescent="0.25">
      <c r="A9" s="4"/>
      <c r="B9" s="23" t="s">
        <v>19</v>
      </c>
      <c r="C9" s="33">
        <v>3.6825400000000001E-2</v>
      </c>
      <c r="D9" s="33">
        <v>1.6735400000000001E-2</v>
      </c>
      <c r="E9" s="33">
        <v>3.0847400000000001E-2</v>
      </c>
      <c r="F9" s="33">
        <v>2.9573399999999996E-2</v>
      </c>
      <c r="G9" s="33">
        <v>2.1537399999999998E-2</v>
      </c>
      <c r="H9" s="34"/>
      <c r="I9" s="4"/>
      <c r="K9" s="32"/>
      <c r="L9" s="4"/>
      <c r="M9" s="4"/>
      <c r="N9" s="25" t="s">
        <v>21</v>
      </c>
      <c r="O9" s="26"/>
      <c r="P9" s="4"/>
      <c r="Q9" s="28" t="s">
        <v>22</v>
      </c>
      <c r="R9" s="37" t="s">
        <v>23</v>
      </c>
    </row>
    <row r="10" spans="1:18" x14ac:dyDescent="0.25">
      <c r="A10" s="4"/>
      <c r="B10" s="23" t="s">
        <v>20</v>
      </c>
      <c r="C10" s="38">
        <v>3.1778399999999998E-2</v>
      </c>
      <c r="D10" s="38">
        <v>3.2513400000000005E-2</v>
      </c>
      <c r="E10" s="38">
        <v>4.0934000000000005E-3</v>
      </c>
      <c r="F10" s="38">
        <v>2.7613399999999996E-2</v>
      </c>
      <c r="G10" s="39">
        <v>4.799740000000001E-2</v>
      </c>
      <c r="H10" s="34"/>
      <c r="I10" s="4"/>
      <c r="K10" s="32"/>
      <c r="L10" s="4"/>
      <c r="M10" s="4"/>
      <c r="N10" s="18"/>
      <c r="O10" s="4"/>
      <c r="P10" s="40" t="s">
        <v>16</v>
      </c>
      <c r="Q10" s="6">
        <v>70</v>
      </c>
      <c r="R10" s="41">
        <v>50</v>
      </c>
    </row>
    <row r="11" spans="1:18" ht="13" thickBot="1" x14ac:dyDescent="0.3">
      <c r="A11" s="4"/>
      <c r="B11" s="35"/>
      <c r="C11" s="42"/>
      <c r="D11" s="42"/>
      <c r="E11" s="42"/>
      <c r="F11" s="42"/>
      <c r="G11" s="43"/>
      <c r="H11" s="6"/>
      <c r="I11" s="4"/>
      <c r="K11" s="5" t="s">
        <v>24</v>
      </c>
      <c r="L11" s="44"/>
      <c r="M11" s="4"/>
      <c r="N11" s="18"/>
      <c r="O11" s="4"/>
      <c r="P11" s="32" t="s">
        <v>17</v>
      </c>
      <c r="Q11" s="45">
        <v>70</v>
      </c>
      <c r="R11" s="41">
        <v>50</v>
      </c>
    </row>
    <row r="12" spans="1:18" ht="13.5" thickTop="1" thickBot="1" x14ac:dyDescent="0.3">
      <c r="A12" s="4"/>
      <c r="B12" s="32"/>
      <c r="C12" s="6"/>
      <c r="D12" s="6"/>
      <c r="E12" s="6"/>
      <c r="F12" s="6"/>
      <c r="G12" s="6"/>
      <c r="H12" s="6"/>
      <c r="I12" s="4"/>
      <c r="M12" s="4"/>
      <c r="N12" s="46"/>
      <c r="O12" s="47"/>
      <c r="P12" s="48" t="s">
        <v>18</v>
      </c>
      <c r="Q12" s="42">
        <v>70</v>
      </c>
      <c r="R12" s="43">
        <v>50</v>
      </c>
    </row>
    <row r="13" spans="1:18" ht="13" thickTop="1" x14ac:dyDescent="0.25">
      <c r="A13" s="8" t="s">
        <v>25</v>
      </c>
      <c r="B13" s="9"/>
      <c r="C13" s="49"/>
      <c r="D13" s="49"/>
      <c r="E13" s="49"/>
      <c r="F13" s="49"/>
      <c r="G13" s="49"/>
      <c r="H13" s="10"/>
      <c r="I13" s="4"/>
      <c r="K13" s="50" t="s">
        <v>26</v>
      </c>
      <c r="L13" s="51"/>
      <c r="M13" s="4"/>
      <c r="N13" s="4"/>
      <c r="O13" s="4"/>
      <c r="P13" s="32"/>
      <c r="Q13" s="4"/>
      <c r="R13" s="4"/>
    </row>
    <row r="14" spans="1:18" x14ac:dyDescent="0.25">
      <c r="A14" s="52" t="s">
        <v>27</v>
      </c>
      <c r="B14" s="19"/>
      <c r="C14" s="198" t="s">
        <v>5</v>
      </c>
      <c r="D14" s="198"/>
      <c r="E14" s="198"/>
      <c r="F14" s="198"/>
      <c r="G14" s="198"/>
      <c r="H14" s="201"/>
      <c r="I14" s="4"/>
      <c r="K14" s="53" t="s">
        <v>28</v>
      </c>
      <c r="L14" s="54"/>
      <c r="M14" s="4"/>
      <c r="N14" s="4"/>
      <c r="O14" s="4"/>
      <c r="P14" s="32"/>
      <c r="Q14" s="4"/>
      <c r="R14" s="4"/>
    </row>
    <row r="15" spans="1:18" x14ac:dyDescent="0.25">
      <c r="A15" s="18"/>
      <c r="B15" s="19"/>
      <c r="C15" s="196" t="s">
        <v>29</v>
      </c>
      <c r="D15" s="196"/>
      <c r="E15" s="196"/>
      <c r="F15" s="196"/>
      <c r="G15" s="196"/>
      <c r="H15" s="197"/>
      <c r="I15" s="4"/>
      <c r="K15" s="55" t="s">
        <v>30</v>
      </c>
      <c r="L15" s="56">
        <f>1000/120</f>
        <v>8.3333333333333339</v>
      </c>
      <c r="M15" s="4"/>
      <c r="N15" s="4"/>
      <c r="O15" s="4"/>
      <c r="P15" s="32"/>
      <c r="Q15" s="4"/>
      <c r="R15" s="4"/>
    </row>
    <row r="16" spans="1:18" ht="13" thickBot="1" x14ac:dyDescent="0.3">
      <c r="A16" s="18"/>
      <c r="B16" s="27" t="s">
        <v>31</v>
      </c>
      <c r="C16" s="30" t="s">
        <v>14</v>
      </c>
      <c r="D16" s="30" t="s">
        <v>16</v>
      </c>
      <c r="E16" s="30" t="s">
        <v>32</v>
      </c>
      <c r="F16" s="30" t="s">
        <v>33</v>
      </c>
      <c r="G16" s="30" t="s">
        <v>34</v>
      </c>
      <c r="H16" s="57" t="s">
        <v>35</v>
      </c>
      <c r="I16" s="58"/>
      <c r="K16" s="59" t="s">
        <v>36</v>
      </c>
      <c r="L16" s="60">
        <f>1000/110</f>
        <v>9.0909090909090917</v>
      </c>
      <c r="M16" s="4"/>
      <c r="N16" s="4"/>
      <c r="O16" s="4"/>
      <c r="P16" s="32"/>
      <c r="Q16" s="4"/>
      <c r="R16" s="4"/>
    </row>
    <row r="17" spans="1:16" ht="13" thickTop="1" x14ac:dyDescent="0.25">
      <c r="A17" s="61" t="s">
        <v>37</v>
      </c>
      <c r="B17" s="32" t="s">
        <v>14</v>
      </c>
      <c r="C17" s="62">
        <v>0</v>
      </c>
      <c r="D17" s="62">
        <v>4.0357142857142855E-2</v>
      </c>
      <c r="E17" s="62">
        <v>5.171428571428572E-2</v>
      </c>
      <c r="F17" s="62">
        <v>1.7357142857142859E-2</v>
      </c>
      <c r="G17" s="62">
        <v>5.5142857142857146E-2</v>
      </c>
      <c r="H17" s="62">
        <v>4.1857142857142857E-2</v>
      </c>
      <c r="I17" s="63"/>
      <c r="K17" s="32"/>
      <c r="L17" s="4"/>
      <c r="M17" s="4"/>
      <c r="N17" s="4"/>
      <c r="O17" s="4"/>
      <c r="P17" s="4"/>
    </row>
    <row r="18" spans="1:16" x14ac:dyDescent="0.25">
      <c r="A18" s="18"/>
      <c r="B18" s="32" t="s">
        <v>15</v>
      </c>
      <c r="C18" s="62">
        <v>3.2357142857142862E-2</v>
      </c>
      <c r="D18" s="62">
        <v>4.1428571428571426E-2</v>
      </c>
      <c r="E18" s="62">
        <v>3.892857142857143E-2</v>
      </c>
      <c r="F18" s="62">
        <v>2.7285714285714285E-2</v>
      </c>
      <c r="G18" s="62">
        <v>2.2785714285714288E-2</v>
      </c>
      <c r="H18" s="62">
        <v>4.2928571428571427E-2</v>
      </c>
      <c r="I18" s="63"/>
    </row>
    <row r="19" spans="1:16" x14ac:dyDescent="0.25">
      <c r="A19" s="61" t="s">
        <v>38</v>
      </c>
      <c r="B19" s="40" t="s">
        <v>16</v>
      </c>
      <c r="C19" s="62">
        <v>4.0357142857142855E-2</v>
      </c>
      <c r="D19" s="62">
        <v>0</v>
      </c>
      <c r="E19" s="62">
        <v>3.1785714285714285E-2</v>
      </c>
      <c r="F19" s="62">
        <v>2.3E-2</v>
      </c>
      <c r="G19" s="62">
        <v>6.192857142857143E-2</v>
      </c>
      <c r="H19" s="62">
        <v>1.5E-3</v>
      </c>
      <c r="I19" s="63"/>
      <c r="K19" s="64" t="s">
        <v>39</v>
      </c>
    </row>
    <row r="20" spans="1:16" ht="13" thickBot="1" x14ac:dyDescent="0.3">
      <c r="A20" s="18"/>
      <c r="B20" s="32" t="s">
        <v>17</v>
      </c>
      <c r="C20" s="62">
        <v>1.0571428571428572E-2</v>
      </c>
      <c r="D20" s="62">
        <v>3.4285714285714287E-2</v>
      </c>
      <c r="E20" s="62">
        <v>4.1142857142857148E-2</v>
      </c>
      <c r="F20" s="62">
        <v>1.1285714285714286E-2</v>
      </c>
      <c r="G20" s="62">
        <v>4.4571428571428574E-2</v>
      </c>
      <c r="H20" s="62">
        <v>3.5785714285714289E-2</v>
      </c>
      <c r="I20" s="63"/>
    </row>
    <row r="21" spans="1:16" ht="13" thickTop="1" x14ac:dyDescent="0.25">
      <c r="A21" s="18"/>
      <c r="B21" s="32" t="s">
        <v>18</v>
      </c>
      <c r="C21" s="65">
        <v>6.7071428571428574E-2</v>
      </c>
      <c r="D21" s="65">
        <v>6.4000000000000001E-2</v>
      </c>
      <c r="E21" s="65">
        <v>3.9714285714285716E-2</v>
      </c>
      <c r="F21" s="65">
        <v>5.9785714285714289E-2</v>
      </c>
      <c r="G21" s="65">
        <v>2.3785714285714285E-2</v>
      </c>
      <c r="H21" s="66">
        <v>6.5500000000000003E-2</v>
      </c>
      <c r="I21" s="63"/>
      <c r="K21" s="8" t="s">
        <v>40</v>
      </c>
      <c r="L21" s="9"/>
      <c r="M21" s="9"/>
      <c r="N21" s="9"/>
      <c r="O21" s="9"/>
      <c r="P21" s="12"/>
    </row>
    <row r="22" spans="1:16" x14ac:dyDescent="0.25">
      <c r="A22" s="18"/>
      <c r="B22" s="32"/>
      <c r="C22" s="67"/>
      <c r="D22" s="67"/>
      <c r="E22" s="67"/>
      <c r="F22" s="67"/>
      <c r="G22" s="67"/>
      <c r="H22" s="68"/>
      <c r="I22" s="58"/>
      <c r="K22" s="18"/>
      <c r="L22" s="4"/>
      <c r="M22" s="4"/>
      <c r="N22" s="19" t="s">
        <v>7</v>
      </c>
      <c r="O22" s="4"/>
      <c r="P22" s="20"/>
    </row>
    <row r="23" spans="1:16" ht="13" thickBot="1" x14ac:dyDescent="0.3">
      <c r="A23" s="46"/>
      <c r="B23" s="48"/>
      <c r="C23" s="69"/>
      <c r="D23" s="69"/>
      <c r="E23" s="69"/>
      <c r="F23" s="69"/>
      <c r="G23" s="69"/>
      <c r="H23" s="70"/>
      <c r="I23" s="71"/>
      <c r="K23" s="25" t="s">
        <v>41</v>
      </c>
      <c r="L23" s="72" t="s">
        <v>42</v>
      </c>
      <c r="M23" s="72" t="s">
        <v>43</v>
      </c>
      <c r="N23" s="73" t="s">
        <v>44</v>
      </c>
      <c r="O23" s="72"/>
      <c r="P23" s="74" t="s">
        <v>45</v>
      </c>
    </row>
    <row r="24" spans="1:16" ht="13" thickTop="1" x14ac:dyDescent="0.25">
      <c r="A24" s="4"/>
      <c r="B24" s="32"/>
      <c r="C24" s="75"/>
      <c r="D24" s="75"/>
      <c r="E24" s="75"/>
      <c r="F24" s="75"/>
      <c r="G24" s="75"/>
      <c r="H24" s="75"/>
      <c r="I24" s="71"/>
      <c r="K24" s="76" t="s">
        <v>14</v>
      </c>
      <c r="L24" s="6">
        <v>103</v>
      </c>
      <c r="M24" s="4"/>
      <c r="N24" s="6">
        <v>110</v>
      </c>
      <c r="O24" s="4"/>
      <c r="P24" s="41">
        <v>125</v>
      </c>
    </row>
    <row r="25" spans="1:16" x14ac:dyDescent="0.25">
      <c r="A25" s="2" t="s">
        <v>46</v>
      </c>
      <c r="B25" s="32"/>
      <c r="C25" s="75"/>
      <c r="D25" s="75"/>
      <c r="E25" s="75"/>
      <c r="F25" s="75"/>
      <c r="G25" s="75"/>
      <c r="H25" s="75"/>
      <c r="I25" s="71"/>
      <c r="K25" s="76" t="s">
        <v>16</v>
      </c>
      <c r="L25" s="6">
        <v>74</v>
      </c>
      <c r="M25" s="4"/>
      <c r="N25" s="6">
        <v>80</v>
      </c>
      <c r="O25" s="4"/>
      <c r="P25" s="41">
        <v>90</v>
      </c>
    </row>
    <row r="26" spans="1:16" ht="13" thickBot="1" x14ac:dyDescent="0.3">
      <c r="A26" s="2"/>
      <c r="B26" s="32"/>
      <c r="C26" s="75"/>
      <c r="D26" s="75"/>
      <c r="E26" s="75"/>
      <c r="F26" s="75"/>
      <c r="G26" s="75"/>
      <c r="H26" s="75"/>
      <c r="I26" s="71"/>
      <c r="K26" s="76" t="s">
        <v>32</v>
      </c>
      <c r="L26" s="6">
        <v>50</v>
      </c>
      <c r="M26" s="4"/>
      <c r="N26" s="6">
        <v>53</v>
      </c>
      <c r="O26" s="4"/>
      <c r="P26" s="41">
        <v>60</v>
      </c>
    </row>
    <row r="27" spans="1:16" ht="13" thickTop="1" x14ac:dyDescent="0.25">
      <c r="A27" s="77"/>
      <c r="B27" s="78" t="s">
        <v>47</v>
      </c>
      <c r="C27" s="9"/>
      <c r="D27" s="12"/>
      <c r="E27" s="75"/>
      <c r="F27" s="75"/>
      <c r="G27" s="75"/>
      <c r="H27" s="75"/>
      <c r="I27" s="71"/>
      <c r="K27" s="76" t="s">
        <v>33</v>
      </c>
      <c r="L27" s="6">
        <v>60</v>
      </c>
      <c r="M27" s="4"/>
      <c r="N27" s="45">
        <v>75</v>
      </c>
      <c r="O27" s="4"/>
      <c r="P27" s="41">
        <v>85</v>
      </c>
    </row>
    <row r="28" spans="1:16" x14ac:dyDescent="0.25">
      <c r="A28" s="29" t="s">
        <v>9</v>
      </c>
      <c r="B28" s="4"/>
      <c r="C28" s="21" t="s">
        <v>48</v>
      </c>
      <c r="D28" s="22" t="s">
        <v>49</v>
      </c>
      <c r="E28" s="75"/>
      <c r="F28" s="75"/>
      <c r="G28" s="75"/>
      <c r="H28" s="75"/>
      <c r="I28" s="71"/>
      <c r="K28" s="76" t="s">
        <v>34</v>
      </c>
      <c r="L28" s="6">
        <v>102</v>
      </c>
      <c r="M28" s="4"/>
      <c r="N28" s="45">
        <v>110</v>
      </c>
      <c r="O28" s="4"/>
      <c r="P28" s="41">
        <v>125</v>
      </c>
    </row>
    <row r="29" spans="1:16" x14ac:dyDescent="0.25">
      <c r="A29" s="18"/>
      <c r="B29" s="40" t="s">
        <v>16</v>
      </c>
      <c r="C29" s="79">
        <v>75</v>
      </c>
      <c r="D29" s="80">
        <v>30</v>
      </c>
      <c r="E29" s="75"/>
      <c r="F29" s="75"/>
      <c r="G29" s="75"/>
      <c r="H29" s="75"/>
      <c r="I29" s="71"/>
      <c r="K29" s="76" t="s">
        <v>50</v>
      </c>
      <c r="L29" s="6">
        <v>13</v>
      </c>
      <c r="M29" s="4"/>
      <c r="N29" s="6">
        <v>13</v>
      </c>
      <c r="O29" s="4"/>
      <c r="P29" s="41">
        <v>15</v>
      </c>
    </row>
    <row r="30" spans="1:16" ht="13" thickBot="1" x14ac:dyDescent="0.3">
      <c r="A30" s="18"/>
      <c r="B30" s="32" t="s">
        <v>17</v>
      </c>
      <c r="C30" s="79">
        <v>70</v>
      </c>
      <c r="D30" s="80">
        <v>27</v>
      </c>
      <c r="E30" s="75"/>
      <c r="F30" s="75"/>
      <c r="G30" s="75"/>
      <c r="H30" s="75"/>
      <c r="I30" s="71"/>
      <c r="K30" s="81" t="s">
        <v>51</v>
      </c>
      <c r="L30" s="42">
        <f>SUM(L24:L29)</f>
        <v>402</v>
      </c>
      <c r="M30" s="47" t="s">
        <v>43</v>
      </c>
      <c r="N30" s="42">
        <f>SUM(N24:N29)</f>
        <v>441</v>
      </c>
      <c r="O30" s="47"/>
      <c r="P30" s="43">
        <v>500</v>
      </c>
    </row>
    <row r="31" spans="1:16" ht="13" thickTop="1" x14ac:dyDescent="0.25">
      <c r="A31" s="18"/>
      <c r="B31" s="32" t="s">
        <v>18</v>
      </c>
      <c r="C31" s="79">
        <v>68</v>
      </c>
      <c r="D31" s="80">
        <v>25</v>
      </c>
      <c r="E31" s="75"/>
      <c r="F31" s="75"/>
      <c r="G31" s="75"/>
      <c r="H31" s="75"/>
      <c r="I31" s="71"/>
    </row>
    <row r="32" spans="1:16" ht="13" thickBot="1" x14ac:dyDescent="0.3">
      <c r="A32" s="35"/>
      <c r="B32" s="47"/>
      <c r="C32" s="47"/>
      <c r="D32" s="70"/>
      <c r="E32" s="75"/>
      <c r="F32" s="75"/>
      <c r="G32" s="75"/>
      <c r="H32" s="75"/>
      <c r="I32" s="71"/>
    </row>
    <row r="33" spans="1:9" ht="13" thickTop="1" x14ac:dyDescent="0.25">
      <c r="A33" s="32"/>
      <c r="B33" s="4"/>
      <c r="C33" s="4"/>
      <c r="D33" s="75"/>
      <c r="E33" s="75"/>
      <c r="F33" s="75"/>
      <c r="G33" s="75"/>
      <c r="H33" s="75"/>
      <c r="I33" s="71"/>
    </row>
    <row r="34" spans="1:9" x14ac:dyDescent="0.25">
      <c r="A34" s="32"/>
      <c r="B34" s="4"/>
      <c r="C34" s="4"/>
      <c r="D34" s="75"/>
      <c r="E34" s="75"/>
      <c r="F34" s="75"/>
      <c r="G34" s="75"/>
      <c r="H34" s="75"/>
      <c r="I34" s="71"/>
    </row>
  </sheetData>
  <mergeCells count="5">
    <mergeCell ref="C15:H15"/>
    <mergeCell ref="D5:F5"/>
    <mergeCell ref="C6:D6"/>
    <mergeCell ref="E6:G6"/>
    <mergeCell ref="C14:H1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6"/>
  <sheetViews>
    <sheetView zoomScaleNormal="100" workbookViewId="0"/>
  </sheetViews>
  <sheetFormatPr defaultRowHeight="12.5" x14ac:dyDescent="0.25"/>
  <cols>
    <col min="1" max="1" width="2.6328125" style="82" customWidth="1"/>
    <col min="2" max="2" width="12.6328125" style="82" customWidth="1"/>
    <col min="3" max="4" width="8.1796875" style="82" customWidth="1"/>
    <col min="5" max="5" width="9.1796875" style="82" customWidth="1"/>
    <col min="6" max="6" width="8.6328125" style="82" customWidth="1"/>
    <col min="7" max="7" width="6.81640625" style="82" bestFit="1" customWidth="1"/>
    <col min="8" max="8" width="15.7265625" style="82" customWidth="1"/>
    <col min="9" max="9" width="9" style="82" bestFit="1" customWidth="1"/>
    <col min="10" max="10" width="7.81640625" style="82" bestFit="1" customWidth="1"/>
    <col min="11" max="11" width="8.7265625" style="82"/>
    <col min="12" max="12" width="11.6328125" style="82" bestFit="1" customWidth="1"/>
    <col min="13" max="15" width="7.6328125" style="82" customWidth="1"/>
    <col min="16" max="17" width="8.1796875" style="82" customWidth="1"/>
    <col min="18" max="18" width="11.6328125" style="82" bestFit="1" customWidth="1"/>
    <col min="19" max="16384" width="8.7265625" style="82"/>
  </cols>
  <sheetData>
    <row r="1" spans="2:18" ht="12" customHeight="1" x14ac:dyDescent="0.25"/>
    <row r="2" spans="2:18" ht="15" customHeight="1" x14ac:dyDescent="0.25">
      <c r="B2" s="205" t="s">
        <v>410</v>
      </c>
      <c r="C2" s="206"/>
      <c r="D2" s="206"/>
      <c r="E2" s="206"/>
      <c r="F2" s="207"/>
      <c r="H2" s="83" t="s">
        <v>316</v>
      </c>
      <c r="I2" s="186">
        <f>SUMPRODUCT(C4:D6,M3:N5)+SUMPRODUCT(C11:H12,M8:R9)</f>
        <v>9.9362099360000009</v>
      </c>
      <c r="L2" s="83" t="s">
        <v>79</v>
      </c>
      <c r="M2" s="83" t="s">
        <v>14</v>
      </c>
      <c r="N2" s="83" t="s">
        <v>15</v>
      </c>
      <c r="P2" s="202" t="s">
        <v>327</v>
      </c>
      <c r="Q2" s="202"/>
    </row>
    <row r="3" spans="2:18" ht="15" customHeight="1" x14ac:dyDescent="0.25">
      <c r="B3" s="83"/>
      <c r="C3" s="83" t="s">
        <v>14</v>
      </c>
      <c r="D3" s="83" t="s">
        <v>15</v>
      </c>
      <c r="E3" s="83" t="s">
        <v>54</v>
      </c>
      <c r="F3" s="83" t="s">
        <v>53</v>
      </c>
      <c r="L3" s="83" t="s">
        <v>10</v>
      </c>
      <c r="M3" s="84">
        <v>2.64374E-2</v>
      </c>
      <c r="N3" s="84">
        <v>1.6686399999999997E-2</v>
      </c>
      <c r="P3" s="83" t="s">
        <v>30</v>
      </c>
      <c r="Q3" s="84">
        <v>8.3333333333333339</v>
      </c>
    </row>
    <row r="4" spans="2:18" ht="15" customHeight="1" x14ac:dyDescent="0.25">
      <c r="B4" s="83" t="s">
        <v>10</v>
      </c>
      <c r="C4" s="187">
        <v>24.24</v>
      </c>
      <c r="D4" s="187">
        <v>5.7600000000000016</v>
      </c>
      <c r="E4" s="85">
        <f>C4+D4</f>
        <v>30</v>
      </c>
      <c r="F4" s="86">
        <v>30</v>
      </c>
      <c r="L4" s="83" t="s">
        <v>19</v>
      </c>
      <c r="M4" s="84">
        <v>3.6825400000000001E-2</v>
      </c>
      <c r="N4" s="84">
        <v>1.6735400000000001E-2</v>
      </c>
      <c r="P4" s="83" t="s">
        <v>36</v>
      </c>
      <c r="Q4" s="84">
        <v>9.0909090909090917</v>
      </c>
    </row>
    <row r="5" spans="2:18" ht="15" customHeight="1" x14ac:dyDescent="0.25">
      <c r="B5" s="83" t="s">
        <v>19</v>
      </c>
      <c r="C5" s="188">
        <v>0</v>
      </c>
      <c r="D5" s="187">
        <v>18.239999999999998</v>
      </c>
      <c r="E5" s="87">
        <f>C5+D5</f>
        <v>18.239999999999998</v>
      </c>
      <c r="F5" s="86">
        <v>68</v>
      </c>
      <c r="L5" s="83" t="s">
        <v>20</v>
      </c>
      <c r="M5" s="84">
        <v>3.1778399999999998E-2</v>
      </c>
      <c r="N5" s="84">
        <v>3.2513400000000005E-2</v>
      </c>
      <c r="P5" s="88"/>
      <c r="Q5" s="88"/>
    </row>
    <row r="6" spans="2:18" ht="15" customHeight="1" x14ac:dyDescent="0.25">
      <c r="B6" s="83" t="s">
        <v>20</v>
      </c>
      <c r="C6" s="188">
        <v>0</v>
      </c>
      <c r="D6" s="188">
        <v>0</v>
      </c>
      <c r="E6" s="85">
        <f>C6+D6</f>
        <v>0</v>
      </c>
      <c r="F6" s="86">
        <v>20</v>
      </c>
    </row>
    <row r="7" spans="2:18" ht="15" customHeight="1" x14ac:dyDescent="0.25">
      <c r="B7" s="83" t="s">
        <v>80</v>
      </c>
      <c r="C7" s="85">
        <f>(C4+C5)*Q3+C6*Q4</f>
        <v>202</v>
      </c>
      <c r="D7" s="85">
        <f>(D4+D5)*Q3+D6*Q4</f>
        <v>200</v>
      </c>
      <c r="E7" s="83"/>
      <c r="F7" s="83"/>
      <c r="L7" s="83" t="s">
        <v>79</v>
      </c>
      <c r="M7" s="83" t="s">
        <v>14</v>
      </c>
      <c r="N7" s="83" t="s">
        <v>16</v>
      </c>
      <c r="O7" s="83" t="s">
        <v>32</v>
      </c>
      <c r="P7" s="83" t="s">
        <v>33</v>
      </c>
      <c r="Q7" s="83" t="s">
        <v>34</v>
      </c>
      <c r="R7" s="83" t="s">
        <v>35</v>
      </c>
    </row>
    <row r="8" spans="2:18" ht="15" customHeight="1" x14ac:dyDescent="0.25">
      <c r="L8" s="83" t="s">
        <v>14</v>
      </c>
      <c r="M8" s="86">
        <v>0</v>
      </c>
      <c r="N8" s="84">
        <v>4.0357142857142855E-2</v>
      </c>
      <c r="O8" s="84">
        <v>5.171428571428572E-2</v>
      </c>
      <c r="P8" s="84">
        <v>1.7357142857142859E-2</v>
      </c>
      <c r="Q8" s="84">
        <v>5.5142857142857146E-2</v>
      </c>
      <c r="R8" s="84">
        <v>4.1857142857142857E-2</v>
      </c>
    </row>
    <row r="9" spans="2:18" ht="15" customHeight="1" x14ac:dyDescent="0.25">
      <c r="B9" s="202" t="s">
        <v>411</v>
      </c>
      <c r="C9" s="202"/>
      <c r="D9" s="202"/>
      <c r="E9" s="202"/>
      <c r="F9" s="202"/>
      <c r="G9" s="202"/>
      <c r="H9" s="202"/>
      <c r="I9" s="202"/>
      <c r="J9" s="202"/>
      <c r="L9" s="83" t="s">
        <v>15</v>
      </c>
      <c r="M9" s="84">
        <v>3.2357142857142862E-2</v>
      </c>
      <c r="N9" s="84">
        <v>4.1428571428571426E-2</v>
      </c>
      <c r="O9" s="84">
        <v>3.892857142857143E-2</v>
      </c>
      <c r="P9" s="84">
        <v>2.7285714285714285E-2</v>
      </c>
      <c r="Q9" s="84">
        <v>2.2785714285714288E-2</v>
      </c>
      <c r="R9" s="84">
        <v>4.2928571428571427E-2</v>
      </c>
    </row>
    <row r="10" spans="2:18" ht="15" customHeight="1" x14ac:dyDescent="0.25">
      <c r="B10" s="83"/>
      <c r="C10" s="83" t="s">
        <v>14</v>
      </c>
      <c r="D10" s="83" t="s">
        <v>16</v>
      </c>
      <c r="E10" s="83" t="s">
        <v>32</v>
      </c>
      <c r="F10" s="83" t="s">
        <v>33</v>
      </c>
      <c r="G10" s="83" t="s">
        <v>34</v>
      </c>
      <c r="H10" s="83" t="s">
        <v>35</v>
      </c>
      <c r="I10" s="83" t="s">
        <v>55</v>
      </c>
      <c r="J10" s="83" t="s">
        <v>53</v>
      </c>
    </row>
    <row r="11" spans="2:18" ht="15" customHeight="1" x14ac:dyDescent="0.25">
      <c r="B11" s="83" t="s">
        <v>14</v>
      </c>
      <c r="C11" s="188">
        <v>103</v>
      </c>
      <c r="D11" s="188">
        <v>39.000000000000007</v>
      </c>
      <c r="E11" s="188">
        <v>0</v>
      </c>
      <c r="F11" s="188">
        <v>60</v>
      </c>
      <c r="G11" s="188">
        <v>0</v>
      </c>
      <c r="H11" s="188">
        <v>0</v>
      </c>
      <c r="I11" s="85">
        <f>SUM(C11:H11)</f>
        <v>202</v>
      </c>
      <c r="J11" s="86">
        <v>220</v>
      </c>
      <c r="L11" s="214" t="s">
        <v>88</v>
      </c>
      <c r="M11" s="214"/>
      <c r="N11" s="214"/>
      <c r="O11" s="214"/>
      <c r="P11" s="214"/>
      <c r="Q11" s="214"/>
    </row>
    <row r="12" spans="2:18" ht="15" customHeight="1" x14ac:dyDescent="0.25">
      <c r="B12" s="83" t="s">
        <v>15</v>
      </c>
      <c r="C12" s="188">
        <v>0</v>
      </c>
      <c r="D12" s="188">
        <v>35</v>
      </c>
      <c r="E12" s="188">
        <v>50</v>
      </c>
      <c r="F12" s="188">
        <v>0</v>
      </c>
      <c r="G12" s="188">
        <v>102</v>
      </c>
      <c r="H12" s="188">
        <v>13</v>
      </c>
      <c r="I12" s="85">
        <f>SUM(C12:H12)</f>
        <v>200</v>
      </c>
      <c r="J12" s="86">
        <v>200</v>
      </c>
      <c r="L12" s="215" t="s">
        <v>412</v>
      </c>
      <c r="M12" s="216"/>
      <c r="N12" s="216"/>
      <c r="O12" s="216"/>
      <c r="P12" s="216"/>
      <c r="Q12" s="217"/>
    </row>
    <row r="13" spans="2:18" ht="15" customHeight="1" x14ac:dyDescent="0.25">
      <c r="B13" s="83" t="s">
        <v>78</v>
      </c>
      <c r="C13" s="85">
        <f>SUM(C11:C12)</f>
        <v>103</v>
      </c>
      <c r="D13" s="85">
        <f>D11+D12</f>
        <v>74</v>
      </c>
      <c r="E13" s="85">
        <f>E11+E12</f>
        <v>50</v>
      </c>
      <c r="F13" s="85">
        <f>F11+F12</f>
        <v>60</v>
      </c>
      <c r="G13" s="85">
        <f>G11+G12</f>
        <v>102</v>
      </c>
      <c r="H13" s="85">
        <f>H11+H12</f>
        <v>13</v>
      </c>
      <c r="I13" s="83"/>
      <c r="J13" s="83"/>
      <c r="L13" s="214" t="s">
        <v>93</v>
      </c>
      <c r="M13" s="214"/>
      <c r="N13" s="214"/>
      <c r="O13" s="214"/>
      <c r="P13" s="214"/>
      <c r="Q13" s="214"/>
    </row>
    <row r="14" spans="2:18" ht="15" customHeight="1" x14ac:dyDescent="0.25">
      <c r="B14" s="83" t="s">
        <v>56</v>
      </c>
      <c r="C14" s="86">
        <v>103</v>
      </c>
      <c r="D14" s="86">
        <v>74</v>
      </c>
      <c r="E14" s="86">
        <v>50</v>
      </c>
      <c r="F14" s="86">
        <v>60</v>
      </c>
      <c r="G14" s="86">
        <v>102</v>
      </c>
      <c r="H14" s="86">
        <v>13</v>
      </c>
      <c r="I14" s="83"/>
      <c r="J14" s="83"/>
      <c r="L14" s="208" t="s">
        <v>328</v>
      </c>
      <c r="M14" s="209"/>
      <c r="N14" s="209"/>
      <c r="O14" s="209"/>
      <c r="P14" s="209"/>
      <c r="Q14" s="210"/>
    </row>
    <row r="15" spans="2:18" ht="15" customHeight="1" x14ac:dyDescent="0.25">
      <c r="B15" s="88"/>
      <c r="C15" s="88"/>
      <c r="D15" s="88"/>
      <c r="E15" s="88"/>
      <c r="F15" s="88"/>
      <c r="G15" s="88"/>
      <c r="H15" s="88"/>
      <c r="I15" s="88"/>
      <c r="J15" s="88"/>
      <c r="L15" s="208" t="s">
        <v>329</v>
      </c>
      <c r="M15" s="209"/>
      <c r="N15" s="209"/>
      <c r="O15" s="209"/>
      <c r="P15" s="209"/>
      <c r="Q15" s="210"/>
    </row>
    <row r="16" spans="2:18" ht="15" customHeight="1" x14ac:dyDescent="0.25">
      <c r="L16" s="208" t="s">
        <v>331</v>
      </c>
      <c r="M16" s="209"/>
      <c r="N16" s="209"/>
      <c r="O16" s="209"/>
      <c r="P16" s="209"/>
      <c r="Q16" s="210"/>
    </row>
    <row r="17" spans="2:17" ht="13" customHeight="1" thickBot="1" x14ac:dyDescent="0.3">
      <c r="B17" s="89" t="s">
        <v>318</v>
      </c>
      <c r="C17" s="90"/>
      <c r="D17" s="88"/>
      <c r="E17" s="88"/>
      <c r="F17" s="88"/>
      <c r="G17" s="88"/>
      <c r="H17" s="88"/>
      <c r="I17" s="88"/>
      <c r="J17" s="88"/>
      <c r="L17" s="208" t="s">
        <v>330</v>
      </c>
      <c r="M17" s="209"/>
      <c r="N17" s="209"/>
      <c r="O17" s="209"/>
      <c r="P17" s="209"/>
      <c r="Q17" s="210"/>
    </row>
    <row r="18" spans="2:17" ht="13" customHeight="1" thickTop="1" x14ac:dyDescent="0.25">
      <c r="B18" s="91" t="s">
        <v>313</v>
      </c>
      <c r="C18" s="92"/>
      <c r="D18" s="92"/>
      <c r="E18" s="92"/>
      <c r="F18" s="92"/>
      <c r="G18" s="92"/>
      <c r="H18" s="92"/>
      <c r="I18" s="92"/>
      <c r="J18" s="93"/>
      <c r="L18" s="214" t="s">
        <v>413</v>
      </c>
      <c r="M18" s="214"/>
      <c r="N18" s="214"/>
      <c r="O18" s="214"/>
      <c r="P18" s="214"/>
      <c r="Q18" s="214"/>
    </row>
    <row r="19" spans="2:17" ht="13" thickBot="1" x14ac:dyDescent="0.3">
      <c r="B19" s="94"/>
      <c r="C19" s="95" t="s">
        <v>14</v>
      </c>
      <c r="D19" s="95" t="s">
        <v>15</v>
      </c>
      <c r="E19" s="96" t="s">
        <v>51</v>
      </c>
      <c r="F19" s="97" t="s">
        <v>53</v>
      </c>
      <c r="G19" s="98"/>
      <c r="H19" s="98"/>
      <c r="I19" s="98"/>
      <c r="J19" s="99"/>
      <c r="K19" s="88"/>
      <c r="L19" s="208" t="s">
        <v>414</v>
      </c>
      <c r="M19" s="209"/>
      <c r="N19" s="209"/>
      <c r="O19" s="209"/>
      <c r="P19" s="209"/>
      <c r="Q19" s="210"/>
    </row>
    <row r="20" spans="2:17" x14ac:dyDescent="0.25">
      <c r="B20" s="100" t="s">
        <v>10</v>
      </c>
      <c r="C20" s="101">
        <v>0</v>
      </c>
      <c r="D20" s="102">
        <v>24</v>
      </c>
      <c r="E20" s="103">
        <v>24</v>
      </c>
      <c r="F20" s="104">
        <v>30</v>
      </c>
      <c r="G20" s="98"/>
      <c r="H20" s="98"/>
      <c r="I20" s="98"/>
      <c r="J20" s="99"/>
      <c r="K20" s="88"/>
      <c r="L20" s="211" t="s">
        <v>415</v>
      </c>
      <c r="M20" s="212"/>
      <c r="N20" s="212"/>
      <c r="O20" s="212"/>
      <c r="P20" s="212"/>
      <c r="Q20" s="213"/>
    </row>
    <row r="21" spans="2:17" x14ac:dyDescent="0.25">
      <c r="B21" s="100" t="s">
        <v>19</v>
      </c>
      <c r="C21" s="105">
        <v>2.42</v>
      </c>
      <c r="D21" s="106">
        <v>0</v>
      </c>
      <c r="E21" s="107">
        <v>2.4218181818171476</v>
      </c>
      <c r="F21" s="108">
        <v>68</v>
      </c>
      <c r="G21" s="98"/>
      <c r="H21" s="98"/>
      <c r="I21" s="98"/>
      <c r="J21" s="99"/>
    </row>
    <row r="22" spans="2:17" ht="13" thickBot="1" x14ac:dyDescent="0.3">
      <c r="B22" s="109" t="s">
        <v>36</v>
      </c>
      <c r="C22" s="110">
        <v>20</v>
      </c>
      <c r="D22" s="111">
        <v>0</v>
      </c>
      <c r="E22" s="112">
        <v>20</v>
      </c>
      <c r="F22" s="113">
        <v>20</v>
      </c>
      <c r="G22" s="98"/>
      <c r="H22" s="98"/>
      <c r="I22" s="98"/>
      <c r="J22" s="99"/>
    </row>
    <row r="23" spans="2:17" ht="13" thickBot="1" x14ac:dyDescent="0.3">
      <c r="B23" s="100" t="s">
        <v>54</v>
      </c>
      <c r="C23" s="114">
        <v>22.42</v>
      </c>
      <c r="D23" s="115">
        <v>24</v>
      </c>
      <c r="E23" s="116"/>
      <c r="F23" s="117"/>
      <c r="G23" s="98"/>
      <c r="H23" s="98"/>
      <c r="I23" s="98"/>
      <c r="J23" s="99"/>
      <c r="L23" s="88"/>
    </row>
    <row r="24" spans="2:17" ht="13" thickBot="1" x14ac:dyDescent="0.3">
      <c r="B24" s="100" t="s">
        <v>55</v>
      </c>
      <c r="C24" s="118">
        <v>201.99999999999142</v>
      </c>
      <c r="D24" s="119">
        <v>200</v>
      </c>
      <c r="E24" s="120" t="s">
        <v>314</v>
      </c>
      <c r="F24" s="117"/>
      <c r="G24" s="98"/>
      <c r="H24" s="98"/>
      <c r="I24" s="98"/>
      <c r="J24" s="99"/>
      <c r="L24" s="88"/>
    </row>
    <row r="25" spans="2:17" x14ac:dyDescent="0.25">
      <c r="B25" s="94"/>
      <c r="C25" s="98"/>
      <c r="D25" s="98"/>
      <c r="E25" s="98"/>
      <c r="F25" s="98"/>
      <c r="G25" s="98"/>
      <c r="H25" s="98"/>
      <c r="I25" s="98"/>
      <c r="J25" s="99"/>
      <c r="L25" s="88"/>
    </row>
    <row r="26" spans="2:17" x14ac:dyDescent="0.25">
      <c r="B26" s="121" t="s">
        <v>315</v>
      </c>
      <c r="C26" s="98"/>
      <c r="D26" s="98"/>
      <c r="E26" s="98"/>
      <c r="F26" s="98"/>
      <c r="G26" s="98"/>
      <c r="H26" s="98"/>
      <c r="I26" s="98"/>
      <c r="J26" s="99"/>
      <c r="L26" s="88"/>
    </row>
    <row r="27" spans="2:17" ht="13" thickBot="1" x14ac:dyDescent="0.3">
      <c r="B27" s="94"/>
      <c r="C27" s="95" t="s">
        <v>14</v>
      </c>
      <c r="D27" s="95" t="s">
        <v>16</v>
      </c>
      <c r="E27" s="95" t="s">
        <v>32</v>
      </c>
      <c r="F27" s="95" t="s">
        <v>33</v>
      </c>
      <c r="G27" s="95" t="s">
        <v>34</v>
      </c>
      <c r="H27" s="95" t="s">
        <v>35</v>
      </c>
      <c r="I27" s="95" t="s">
        <v>51</v>
      </c>
      <c r="J27" s="122" t="s">
        <v>53</v>
      </c>
      <c r="L27" s="88"/>
    </row>
    <row r="28" spans="2:17" x14ac:dyDescent="0.25">
      <c r="B28" s="100" t="s">
        <v>14</v>
      </c>
      <c r="C28" s="101">
        <v>103</v>
      </c>
      <c r="D28" s="102">
        <v>48.999999999955406</v>
      </c>
      <c r="E28" s="102">
        <v>50</v>
      </c>
      <c r="F28" s="102">
        <v>0</v>
      </c>
      <c r="G28" s="102">
        <v>0</v>
      </c>
      <c r="H28" s="123">
        <v>0</v>
      </c>
      <c r="I28" s="124">
        <v>201.99999999998099</v>
      </c>
      <c r="J28" s="125">
        <v>220</v>
      </c>
      <c r="L28" s="88"/>
    </row>
    <row r="29" spans="2:17" ht="13" thickBot="1" x14ac:dyDescent="0.3">
      <c r="B29" s="100" t="s">
        <v>15</v>
      </c>
      <c r="C29" s="105">
        <v>0</v>
      </c>
      <c r="D29" s="106">
        <v>25.000000000065238</v>
      </c>
      <c r="E29" s="106">
        <v>0</v>
      </c>
      <c r="F29" s="106">
        <v>60</v>
      </c>
      <c r="G29" s="106">
        <v>102</v>
      </c>
      <c r="H29" s="126">
        <v>13</v>
      </c>
      <c r="I29" s="112">
        <v>200.00000000006526</v>
      </c>
      <c r="J29" s="127">
        <v>200</v>
      </c>
      <c r="L29" s="88"/>
    </row>
    <row r="30" spans="2:17" ht="13.5" thickBot="1" x14ac:dyDescent="0.3">
      <c r="B30" s="100" t="s">
        <v>51</v>
      </c>
      <c r="C30" s="128">
        <v>103</v>
      </c>
      <c r="D30" s="129">
        <v>74.000000000020648</v>
      </c>
      <c r="E30" s="129">
        <v>50</v>
      </c>
      <c r="F30" s="129">
        <v>60.000000000026048</v>
      </c>
      <c r="G30" s="129">
        <v>102</v>
      </c>
      <c r="H30" s="130">
        <v>13</v>
      </c>
      <c r="I30" s="131"/>
      <c r="J30" s="99"/>
      <c r="L30" s="88"/>
    </row>
    <row r="31" spans="2:17" ht="13" thickBot="1" x14ac:dyDescent="0.3">
      <c r="B31" s="132" t="s">
        <v>56</v>
      </c>
      <c r="C31" s="133">
        <v>103</v>
      </c>
      <c r="D31" s="134">
        <v>74</v>
      </c>
      <c r="E31" s="134">
        <v>50</v>
      </c>
      <c r="F31" s="134">
        <v>60</v>
      </c>
      <c r="G31" s="134">
        <v>102</v>
      </c>
      <c r="H31" s="135">
        <v>13</v>
      </c>
      <c r="I31" s="131" t="s">
        <v>43</v>
      </c>
      <c r="J31" s="99"/>
      <c r="L31" s="88"/>
    </row>
    <row r="32" spans="2:17" ht="13.5" thickTop="1" thickBot="1" x14ac:dyDescent="0.3">
      <c r="B32" s="94"/>
      <c r="C32" s="98"/>
      <c r="D32" s="98"/>
      <c r="E32" s="98"/>
      <c r="F32" s="98"/>
      <c r="G32" s="98"/>
      <c r="H32" s="136" t="s">
        <v>316</v>
      </c>
      <c r="I32" s="137"/>
      <c r="J32" s="138">
        <v>11.243511737559761</v>
      </c>
      <c r="L32" s="88"/>
    </row>
    <row r="33" spans="2:12" ht="13.5" thickTop="1" thickBot="1" x14ac:dyDescent="0.3">
      <c r="B33" s="139"/>
      <c r="C33" s="140"/>
      <c r="D33" s="140"/>
      <c r="E33" s="140"/>
      <c r="F33" s="140"/>
      <c r="G33" s="141" t="s">
        <v>43</v>
      </c>
      <c r="H33" s="140"/>
      <c r="I33" s="203" t="s">
        <v>317</v>
      </c>
      <c r="J33" s="204"/>
      <c r="L33" s="88"/>
    </row>
    <row r="34" spans="2:12" ht="13" thickTop="1" x14ac:dyDescent="0.25">
      <c r="L34" s="88"/>
    </row>
    <row r="35" spans="2:12" x14ac:dyDescent="0.25">
      <c r="L35" s="88"/>
    </row>
    <row r="36" spans="2:12" x14ac:dyDescent="0.25">
      <c r="L36" s="88"/>
    </row>
  </sheetData>
  <mergeCells count="14">
    <mergeCell ref="P2:Q2"/>
    <mergeCell ref="I33:J33"/>
    <mergeCell ref="B2:F2"/>
    <mergeCell ref="B9:J9"/>
    <mergeCell ref="L15:Q15"/>
    <mergeCell ref="L16:Q16"/>
    <mergeCell ref="L17:Q17"/>
    <mergeCell ref="L20:Q20"/>
    <mergeCell ref="L19:Q19"/>
    <mergeCell ref="L18:Q18"/>
    <mergeCell ref="L11:Q11"/>
    <mergeCell ref="L13:Q13"/>
    <mergeCell ref="L12:Q12"/>
    <mergeCell ref="L14:Q14"/>
  </mergeCells>
  <phoneticPr fontId="1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1"/>
  <sheetViews>
    <sheetView showGridLines="0" workbookViewId="0"/>
  </sheetViews>
  <sheetFormatPr defaultRowHeight="12.5" x14ac:dyDescent="0.25"/>
  <cols>
    <col min="1" max="1" width="2.6328125" style="147" customWidth="1"/>
    <col min="2" max="2" width="6.6328125" style="147" customWidth="1"/>
    <col min="3" max="3" width="20.26953125" style="147" bestFit="1" customWidth="1"/>
    <col min="4" max="4" width="5.81640625" style="147" bestFit="1" customWidth="1"/>
    <col min="5" max="5" width="12.7265625" style="147" bestFit="1" customWidth="1"/>
    <col min="6" max="6" width="11.81640625" style="147" bestFit="1" customWidth="1"/>
    <col min="7" max="8" width="12.08984375" style="147" bestFit="1" customWidth="1"/>
    <col min="9" max="16384" width="8.7265625" style="147"/>
  </cols>
  <sheetData>
    <row r="1" spans="2:8" ht="12" customHeight="1" x14ac:dyDescent="0.25"/>
    <row r="2" spans="2:8" ht="15" customHeight="1" x14ac:dyDescent="0.25">
      <c r="B2" s="218" t="s">
        <v>341</v>
      </c>
      <c r="C2" s="218"/>
      <c r="D2" s="218"/>
      <c r="E2" s="218"/>
      <c r="F2" s="218"/>
      <c r="G2" s="218"/>
      <c r="H2" s="218"/>
    </row>
    <row r="3" spans="2:8" ht="13" customHeight="1" x14ac:dyDescent="0.25"/>
    <row r="4" spans="2:8" ht="13" customHeight="1" thickBot="1" x14ac:dyDescent="0.3">
      <c r="B4" s="147" t="s">
        <v>81</v>
      </c>
    </row>
    <row r="5" spans="2:8" ht="13" customHeight="1" x14ac:dyDescent="0.25">
      <c r="B5" s="142"/>
      <c r="C5" s="142"/>
      <c r="D5" s="142" t="s">
        <v>84</v>
      </c>
      <c r="E5" s="142" t="s">
        <v>86</v>
      </c>
      <c r="F5" s="142" t="s">
        <v>88</v>
      </c>
      <c r="G5" s="142" t="s">
        <v>90</v>
      </c>
      <c r="H5" s="142" t="s">
        <v>90</v>
      </c>
    </row>
    <row r="6" spans="2:8" ht="13" customHeight="1" thickBot="1" x14ac:dyDescent="0.3">
      <c r="B6" s="143" t="s">
        <v>82</v>
      </c>
      <c r="C6" s="143" t="s">
        <v>83</v>
      </c>
      <c r="D6" s="143" t="s">
        <v>85</v>
      </c>
      <c r="E6" s="143" t="s">
        <v>87</v>
      </c>
      <c r="F6" s="143" t="s">
        <v>89</v>
      </c>
      <c r="G6" s="143" t="s">
        <v>91</v>
      </c>
      <c r="H6" s="143" t="s">
        <v>92</v>
      </c>
    </row>
    <row r="7" spans="2:8" ht="13" customHeight="1" x14ac:dyDescent="0.25">
      <c r="B7" s="148" t="s">
        <v>101</v>
      </c>
      <c r="C7" s="148" t="s">
        <v>98</v>
      </c>
      <c r="D7" s="148">
        <v>24.24</v>
      </c>
      <c r="E7" s="148">
        <v>0</v>
      </c>
      <c r="F7" s="148">
        <v>2.64374E-2</v>
      </c>
      <c r="G7" s="148">
        <v>2.6438000000000199E-3</v>
      </c>
      <c r="H7" s="148">
        <v>8.2242857142797454E-4</v>
      </c>
    </row>
    <row r="8" spans="2:8" ht="13" customHeight="1" x14ac:dyDescent="0.25">
      <c r="B8" s="148" t="s">
        <v>141</v>
      </c>
      <c r="C8" s="148" t="s">
        <v>99</v>
      </c>
      <c r="D8" s="148">
        <v>5.7600000000000016</v>
      </c>
      <c r="E8" s="148">
        <v>0</v>
      </c>
      <c r="F8" s="148">
        <v>1.6686399999999997E-2</v>
      </c>
      <c r="G8" s="148">
        <v>4.8999999999965589E-5</v>
      </c>
      <c r="H8" s="148">
        <v>2.6438000000000199E-3</v>
      </c>
    </row>
    <row r="9" spans="2:8" ht="13" customHeight="1" x14ac:dyDescent="0.25">
      <c r="B9" s="148" t="s">
        <v>103</v>
      </c>
      <c r="C9" s="148" t="s">
        <v>100</v>
      </c>
      <c r="D9" s="148">
        <v>0</v>
      </c>
      <c r="E9" s="148">
        <v>1.0339000000000096E-2</v>
      </c>
      <c r="F9" s="148">
        <v>3.6825400000000001E-2</v>
      </c>
      <c r="G9" s="148">
        <v>1E+30</v>
      </c>
      <c r="H9" s="148">
        <v>1.0339000000000096E-2</v>
      </c>
    </row>
    <row r="10" spans="2:8" ht="13" customHeight="1" x14ac:dyDescent="0.25">
      <c r="B10" s="148" t="s">
        <v>143</v>
      </c>
      <c r="C10" s="148" t="s">
        <v>102</v>
      </c>
      <c r="D10" s="148">
        <v>18.239999999999998</v>
      </c>
      <c r="E10" s="148">
        <v>0</v>
      </c>
      <c r="F10" s="148">
        <v>1.6735399999999998E-2</v>
      </c>
      <c r="G10" s="148">
        <v>2.6438000000000199E-3</v>
      </c>
      <c r="H10" s="148">
        <v>4.8999999999965575E-5</v>
      </c>
    </row>
    <row r="11" spans="2:8" ht="13" customHeight="1" x14ac:dyDescent="0.25">
      <c r="B11" s="148" t="s">
        <v>138</v>
      </c>
      <c r="C11" s="148" t="s">
        <v>158</v>
      </c>
      <c r="D11" s="148">
        <v>0</v>
      </c>
      <c r="E11" s="148">
        <v>2.8841454545454753E-3</v>
      </c>
      <c r="F11" s="148">
        <v>3.1778399999999998E-2</v>
      </c>
      <c r="G11" s="148">
        <v>1E+30</v>
      </c>
      <c r="H11" s="148">
        <v>2.8841454545454753E-3</v>
      </c>
    </row>
    <row r="12" spans="2:8" ht="13" customHeight="1" x14ac:dyDescent="0.25">
      <c r="B12" s="148" t="s">
        <v>332</v>
      </c>
      <c r="C12" s="148" t="s">
        <v>160</v>
      </c>
      <c r="D12" s="148">
        <v>0</v>
      </c>
      <c r="E12" s="148">
        <v>1.4256599999999968E-2</v>
      </c>
      <c r="F12" s="148">
        <v>3.2513399999999998E-2</v>
      </c>
      <c r="G12" s="148">
        <v>1E+30</v>
      </c>
      <c r="H12" s="148">
        <v>1.4256599999999968E-2</v>
      </c>
    </row>
    <row r="13" spans="2:8" ht="13" customHeight="1" x14ac:dyDescent="0.25">
      <c r="B13" s="148" t="s">
        <v>105</v>
      </c>
      <c r="C13" s="148" t="s">
        <v>104</v>
      </c>
      <c r="D13" s="148">
        <v>103</v>
      </c>
      <c r="E13" s="148">
        <v>0</v>
      </c>
      <c r="F13" s="148">
        <v>0</v>
      </c>
      <c r="G13" s="148">
        <v>3.1285714285714229E-2</v>
      </c>
      <c r="H13" s="148">
        <v>1E+30</v>
      </c>
    </row>
    <row r="14" spans="2:8" ht="13" customHeight="1" x14ac:dyDescent="0.25">
      <c r="B14" s="148" t="s">
        <v>107</v>
      </c>
      <c r="C14" s="148" t="s">
        <v>106</v>
      </c>
      <c r="D14" s="148">
        <v>39.000000000000007</v>
      </c>
      <c r="E14" s="148">
        <v>0</v>
      </c>
      <c r="F14" s="148">
        <v>4.0357142857142841E-2</v>
      </c>
      <c r="G14" s="148">
        <v>2.7755575615628914E-17</v>
      </c>
      <c r="H14" s="148">
        <v>9.8691428571356932E-5</v>
      </c>
    </row>
    <row r="15" spans="2:8" ht="13" customHeight="1" x14ac:dyDescent="0.25">
      <c r="B15" s="148" t="s">
        <v>109</v>
      </c>
      <c r="C15" s="148" t="s">
        <v>108</v>
      </c>
      <c r="D15" s="148">
        <v>0</v>
      </c>
      <c r="E15" s="148">
        <v>1.3857142857142984E-2</v>
      </c>
      <c r="F15" s="148">
        <v>5.1714285714285768E-2</v>
      </c>
      <c r="G15" s="148">
        <v>1E+30</v>
      </c>
      <c r="H15" s="148">
        <v>1.3857142857142984E-2</v>
      </c>
    </row>
    <row r="16" spans="2:8" ht="13" customHeight="1" x14ac:dyDescent="0.25">
      <c r="B16" s="148" t="s">
        <v>111</v>
      </c>
      <c r="C16" s="148" t="s">
        <v>110</v>
      </c>
      <c r="D16" s="148">
        <v>60</v>
      </c>
      <c r="E16" s="148">
        <v>0</v>
      </c>
      <c r="F16" s="148">
        <v>1.7357142857142849E-2</v>
      </c>
      <c r="G16" s="148">
        <v>8.857142857142758E-3</v>
      </c>
      <c r="H16" s="148">
        <v>1E+30</v>
      </c>
    </row>
    <row r="17" spans="2:8" ht="13" customHeight="1" x14ac:dyDescent="0.25">
      <c r="B17" s="148" t="s">
        <v>113</v>
      </c>
      <c r="C17" s="148" t="s">
        <v>112</v>
      </c>
      <c r="D17" s="148">
        <v>0</v>
      </c>
      <c r="E17" s="148">
        <v>3.3428571428571495E-2</v>
      </c>
      <c r="F17" s="148">
        <v>5.514285714285716E-2</v>
      </c>
      <c r="G17" s="148">
        <v>1E+30</v>
      </c>
      <c r="H17" s="148">
        <v>3.3428571428571495E-2</v>
      </c>
    </row>
    <row r="18" spans="2:8" ht="13" customHeight="1" x14ac:dyDescent="0.25">
      <c r="B18" s="148" t="s">
        <v>144</v>
      </c>
      <c r="C18" s="148" t="s">
        <v>114</v>
      </c>
      <c r="D18" s="148">
        <v>0</v>
      </c>
      <c r="E18" s="148">
        <v>2.7755575615628914E-17</v>
      </c>
      <c r="F18" s="148">
        <v>4.1857142857142815E-2</v>
      </c>
      <c r="G18" s="148">
        <v>1E+30</v>
      </c>
      <c r="H18" s="148">
        <v>2.7755575615628914E-17</v>
      </c>
    </row>
    <row r="19" spans="2:8" ht="13" customHeight="1" x14ac:dyDescent="0.25">
      <c r="B19" s="148" t="s">
        <v>116</v>
      </c>
      <c r="C19" s="148" t="s">
        <v>115</v>
      </c>
      <c r="D19" s="148">
        <v>0</v>
      </c>
      <c r="E19" s="148">
        <v>3.1285714285714229E-2</v>
      </c>
      <c r="F19" s="148">
        <v>3.2357142857142862E-2</v>
      </c>
      <c r="G19" s="148">
        <v>1E+30</v>
      </c>
      <c r="H19" s="148">
        <v>3.1285714285714229E-2</v>
      </c>
    </row>
    <row r="20" spans="2:8" ht="13" customHeight="1" x14ac:dyDescent="0.25">
      <c r="B20" s="148" t="s">
        <v>118</v>
      </c>
      <c r="C20" s="148" t="s">
        <v>117</v>
      </c>
      <c r="D20" s="148">
        <v>35</v>
      </c>
      <c r="E20" s="148">
        <v>0</v>
      </c>
      <c r="F20" s="148">
        <v>4.1428571428571481E-2</v>
      </c>
      <c r="G20" s="148">
        <v>9.8691428571356932E-5</v>
      </c>
      <c r="H20" s="148">
        <v>2.7755575615628914E-17</v>
      </c>
    </row>
    <row r="21" spans="2:8" ht="13" customHeight="1" x14ac:dyDescent="0.25">
      <c r="B21" s="148" t="s">
        <v>120</v>
      </c>
      <c r="C21" s="148" t="s">
        <v>119</v>
      </c>
      <c r="D21" s="148">
        <v>50</v>
      </c>
      <c r="E21" s="148">
        <v>0</v>
      </c>
      <c r="F21" s="148">
        <v>3.8928571428571423E-2</v>
      </c>
      <c r="G21" s="148">
        <v>1.3857142857142984E-2</v>
      </c>
      <c r="H21" s="148">
        <v>1E+30</v>
      </c>
    </row>
    <row r="22" spans="2:8" ht="13" customHeight="1" x14ac:dyDescent="0.25">
      <c r="B22" s="148" t="s">
        <v>122</v>
      </c>
      <c r="C22" s="148" t="s">
        <v>121</v>
      </c>
      <c r="D22" s="148">
        <v>0</v>
      </c>
      <c r="E22" s="148">
        <v>8.857142857142758E-3</v>
      </c>
      <c r="F22" s="148">
        <v>2.7285714285714247E-2</v>
      </c>
      <c r="G22" s="148">
        <v>1E+30</v>
      </c>
      <c r="H22" s="148">
        <v>8.857142857142758E-3</v>
      </c>
    </row>
    <row r="23" spans="2:8" ht="13" customHeight="1" x14ac:dyDescent="0.25">
      <c r="B23" s="148" t="s">
        <v>124</v>
      </c>
      <c r="C23" s="148" t="s">
        <v>123</v>
      </c>
      <c r="D23" s="148">
        <v>102</v>
      </c>
      <c r="E23" s="148">
        <v>0</v>
      </c>
      <c r="F23" s="148">
        <v>2.2785714285714298E-2</v>
      </c>
      <c r="G23" s="148">
        <v>3.3428571428571495E-2</v>
      </c>
      <c r="H23" s="148">
        <v>1E+30</v>
      </c>
    </row>
    <row r="24" spans="2:8" ht="13" customHeight="1" thickBot="1" x14ac:dyDescent="0.3">
      <c r="B24" s="149" t="s">
        <v>146</v>
      </c>
      <c r="C24" s="149" t="s">
        <v>125</v>
      </c>
      <c r="D24" s="149">
        <v>13</v>
      </c>
      <c r="E24" s="149">
        <v>0</v>
      </c>
      <c r="F24" s="149">
        <v>4.2928571428571427E-2</v>
      </c>
      <c r="G24" s="149">
        <v>2.7755575615628914E-17</v>
      </c>
      <c r="H24" s="149">
        <v>1E+30</v>
      </c>
    </row>
    <row r="25" spans="2:8" ht="13" customHeight="1" x14ac:dyDescent="0.25"/>
    <row r="26" spans="2:8" ht="13" customHeight="1" thickBot="1" x14ac:dyDescent="0.3">
      <c r="B26" s="147" t="s">
        <v>93</v>
      </c>
    </row>
    <row r="27" spans="2:8" ht="13" customHeight="1" x14ac:dyDescent="0.25">
      <c r="B27" s="142"/>
      <c r="C27" s="142"/>
      <c r="D27" s="142" t="s">
        <v>84</v>
      </c>
      <c r="E27" s="142" t="s">
        <v>94</v>
      </c>
      <c r="F27" s="142" t="s">
        <v>96</v>
      </c>
      <c r="G27" s="142" t="s">
        <v>90</v>
      </c>
      <c r="H27" s="142" t="s">
        <v>90</v>
      </c>
    </row>
    <row r="28" spans="2:8" ht="13" customHeight="1" thickBot="1" x14ac:dyDescent="0.3">
      <c r="B28" s="143" t="s">
        <v>82</v>
      </c>
      <c r="C28" s="143" t="s">
        <v>83</v>
      </c>
      <c r="D28" s="143" t="s">
        <v>85</v>
      </c>
      <c r="E28" s="143" t="s">
        <v>95</v>
      </c>
      <c r="F28" s="143" t="s">
        <v>97</v>
      </c>
      <c r="G28" s="143" t="s">
        <v>91</v>
      </c>
      <c r="H28" s="143" t="s">
        <v>92</v>
      </c>
    </row>
    <row r="29" spans="2:8" ht="13" customHeight="1" x14ac:dyDescent="0.25">
      <c r="B29" s="148" t="s">
        <v>127</v>
      </c>
      <c r="C29" s="148" t="s">
        <v>126</v>
      </c>
      <c r="D29" s="148">
        <v>103</v>
      </c>
      <c r="E29" s="148">
        <v>3.1783679999999965E-3</v>
      </c>
      <c r="F29" s="148">
        <v>103</v>
      </c>
      <c r="G29" s="148">
        <v>17.999999999999996</v>
      </c>
      <c r="H29" s="148">
        <v>103</v>
      </c>
    </row>
    <row r="30" spans="2:8" ht="13" customHeight="1" x14ac:dyDescent="0.25">
      <c r="B30" s="148" t="s">
        <v>129</v>
      </c>
      <c r="C30" s="148" t="s">
        <v>128</v>
      </c>
      <c r="D30" s="148">
        <v>74</v>
      </c>
      <c r="E30" s="148">
        <v>4.3535510857142842E-2</v>
      </c>
      <c r="F30" s="148">
        <v>74</v>
      </c>
      <c r="G30" s="148">
        <v>17.999999999999996</v>
      </c>
      <c r="H30" s="148">
        <v>39.000000000000014</v>
      </c>
    </row>
    <row r="31" spans="2:8" ht="13" customHeight="1" x14ac:dyDescent="0.25">
      <c r="B31" s="148" t="s">
        <v>131</v>
      </c>
      <c r="C31" s="148" t="s">
        <v>130</v>
      </c>
      <c r="D31" s="148">
        <v>50</v>
      </c>
      <c r="E31" s="148">
        <v>4.1035510857142785E-2</v>
      </c>
      <c r="F31" s="148">
        <v>50</v>
      </c>
      <c r="G31" s="148">
        <v>17.999999999999996</v>
      </c>
      <c r="H31" s="148">
        <v>39.000000000000014</v>
      </c>
    </row>
    <row r="32" spans="2:8" ht="13" customHeight="1" x14ac:dyDescent="0.25">
      <c r="B32" s="148" t="s">
        <v>133</v>
      </c>
      <c r="C32" s="148" t="s">
        <v>132</v>
      </c>
      <c r="D32" s="148">
        <v>60</v>
      </c>
      <c r="E32" s="148">
        <v>2.0535510857142846E-2</v>
      </c>
      <c r="F32" s="148">
        <v>60</v>
      </c>
      <c r="G32" s="148">
        <v>17.999999999999996</v>
      </c>
      <c r="H32" s="148">
        <v>60</v>
      </c>
    </row>
    <row r="33" spans="2:8" ht="13" customHeight="1" x14ac:dyDescent="0.25">
      <c r="B33" s="148" t="s">
        <v>135</v>
      </c>
      <c r="C33" s="148" t="s">
        <v>134</v>
      </c>
      <c r="D33" s="148">
        <v>102</v>
      </c>
      <c r="E33" s="148">
        <v>2.4892653714285656E-2</v>
      </c>
      <c r="F33" s="148">
        <v>102</v>
      </c>
      <c r="G33" s="148">
        <v>17.999999999999996</v>
      </c>
      <c r="H33" s="148">
        <v>39.000000000000014</v>
      </c>
    </row>
    <row r="34" spans="2:8" ht="13" customHeight="1" x14ac:dyDescent="0.25">
      <c r="B34" s="148" t="s">
        <v>333</v>
      </c>
      <c r="C34" s="148" t="s">
        <v>136</v>
      </c>
      <c r="D34" s="148">
        <v>13</v>
      </c>
      <c r="E34" s="148">
        <v>4.5035510857142788E-2</v>
      </c>
      <c r="F34" s="148">
        <v>13</v>
      </c>
      <c r="G34" s="148">
        <v>17.999999999999996</v>
      </c>
      <c r="H34" s="148">
        <v>13</v>
      </c>
    </row>
    <row r="35" spans="2:8" ht="13" customHeight="1" x14ac:dyDescent="0.25">
      <c r="B35" s="148" t="s">
        <v>334</v>
      </c>
      <c r="C35" s="148" t="s">
        <v>137</v>
      </c>
      <c r="D35" s="148">
        <v>202</v>
      </c>
      <c r="E35" s="148">
        <v>3.1783679999999965E-3</v>
      </c>
      <c r="F35" s="148">
        <v>0</v>
      </c>
      <c r="G35" s="148">
        <v>48.000000000000028</v>
      </c>
      <c r="H35" s="148">
        <v>152.00000000000003</v>
      </c>
    </row>
    <row r="36" spans="2:8" ht="13" customHeight="1" x14ac:dyDescent="0.25">
      <c r="B36" s="148" t="s">
        <v>335</v>
      </c>
      <c r="C36" s="148" t="s">
        <v>139</v>
      </c>
      <c r="D36" s="148">
        <v>200</v>
      </c>
      <c r="E36" s="148">
        <v>2.0082480000000076E-3</v>
      </c>
      <c r="F36" s="148">
        <v>0</v>
      </c>
      <c r="G36" s="148">
        <v>414.66666666666674</v>
      </c>
      <c r="H36" s="148">
        <v>152</v>
      </c>
    </row>
    <row r="37" spans="2:8" ht="13" customHeight="1" x14ac:dyDescent="0.25">
      <c r="B37" s="148" t="s">
        <v>336</v>
      </c>
      <c r="C37" s="148" t="s">
        <v>140</v>
      </c>
      <c r="D37" s="148">
        <v>30</v>
      </c>
      <c r="E37" s="148">
        <v>-4.8999999999965575E-5</v>
      </c>
      <c r="F37" s="148">
        <v>30</v>
      </c>
      <c r="G37" s="148">
        <v>18.239999999999998</v>
      </c>
      <c r="H37" s="148">
        <v>5.7600000000000025</v>
      </c>
    </row>
    <row r="38" spans="2:8" ht="13" customHeight="1" x14ac:dyDescent="0.25">
      <c r="B38" s="148" t="s">
        <v>337</v>
      </c>
      <c r="C38" s="148" t="s">
        <v>142</v>
      </c>
      <c r="D38" s="148">
        <v>18.239999999999998</v>
      </c>
      <c r="E38" s="148">
        <v>0</v>
      </c>
      <c r="F38" s="148">
        <v>68</v>
      </c>
      <c r="G38" s="148">
        <v>1E+30</v>
      </c>
      <c r="H38" s="148">
        <v>49.760000000000005</v>
      </c>
    </row>
    <row r="39" spans="2:8" ht="13" customHeight="1" x14ac:dyDescent="0.25">
      <c r="B39" s="148" t="s">
        <v>338</v>
      </c>
      <c r="C39" s="148" t="s">
        <v>293</v>
      </c>
      <c r="D39" s="148">
        <v>0</v>
      </c>
      <c r="E39" s="148">
        <v>0</v>
      </c>
      <c r="F39" s="148">
        <v>20</v>
      </c>
      <c r="G39" s="148">
        <v>1E+30</v>
      </c>
      <c r="H39" s="148">
        <v>20</v>
      </c>
    </row>
    <row r="40" spans="2:8" ht="13" customHeight="1" x14ac:dyDescent="0.25">
      <c r="B40" s="148" t="s">
        <v>339</v>
      </c>
      <c r="C40" s="148" t="s">
        <v>145</v>
      </c>
      <c r="D40" s="148">
        <v>202</v>
      </c>
      <c r="E40" s="148">
        <v>0</v>
      </c>
      <c r="F40" s="148">
        <v>220</v>
      </c>
      <c r="G40" s="148">
        <v>1E+30</v>
      </c>
      <c r="H40" s="148">
        <v>17.999999999999993</v>
      </c>
    </row>
    <row r="41" spans="2:8" ht="13" customHeight="1" thickBot="1" x14ac:dyDescent="0.3">
      <c r="B41" s="149" t="s">
        <v>340</v>
      </c>
      <c r="C41" s="149" t="s">
        <v>147</v>
      </c>
      <c r="D41" s="149">
        <v>200</v>
      </c>
      <c r="E41" s="149">
        <v>-9.8691428571356932E-5</v>
      </c>
      <c r="F41" s="149">
        <v>200</v>
      </c>
      <c r="G41" s="149">
        <v>39.000000000000007</v>
      </c>
      <c r="H41" s="149">
        <v>17.999999999999993</v>
      </c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00"/>
  <sheetViews>
    <sheetView zoomScaleNormal="100" workbookViewId="0"/>
  </sheetViews>
  <sheetFormatPr defaultRowHeight="12.5" x14ac:dyDescent="0.25"/>
  <cols>
    <col min="1" max="1" width="2.6328125" style="150" customWidth="1"/>
    <col min="2" max="2" width="11.6328125" style="150" bestFit="1" customWidth="1"/>
    <col min="3" max="3" width="7" style="150" bestFit="1" customWidth="1"/>
    <col min="4" max="4" width="6.453125" style="150" bestFit="1" customWidth="1"/>
    <col min="5" max="5" width="6.7265625" style="150" bestFit="1" customWidth="1"/>
    <col min="6" max="6" width="7.453125" style="150" bestFit="1" customWidth="1"/>
    <col min="7" max="7" width="6.81640625" style="150" bestFit="1" customWidth="1"/>
    <col min="8" max="8" width="11.6328125" style="150" bestFit="1" customWidth="1"/>
    <col min="9" max="10" width="9" style="150" bestFit="1" customWidth="1"/>
    <col min="11" max="11" width="11.6328125" style="150" bestFit="1" customWidth="1"/>
    <col min="12" max="12" width="8.90625" style="150" bestFit="1" customWidth="1"/>
    <col min="13" max="13" width="9.26953125" style="150" bestFit="1" customWidth="1"/>
    <col min="14" max="14" width="11.26953125" style="150" customWidth="1"/>
    <col min="15" max="15" width="4.6328125" style="150" customWidth="1"/>
    <col min="16" max="16" width="7.6328125" style="150" customWidth="1"/>
    <col min="17" max="18" width="11.6328125" style="150" customWidth="1"/>
    <col min="19" max="19" width="14" style="150" customWidth="1"/>
    <col min="20" max="16384" width="8.7265625" style="150"/>
  </cols>
  <sheetData>
    <row r="1" spans="2:19" ht="12" customHeight="1" x14ac:dyDescent="0.25"/>
    <row r="2" spans="2:19" ht="15" customHeight="1" x14ac:dyDescent="0.25">
      <c r="B2" s="219" t="s">
        <v>320</v>
      </c>
      <c r="C2" s="220"/>
      <c r="D2" s="220"/>
      <c r="E2" s="220"/>
      <c r="F2" s="220"/>
      <c r="G2" s="221"/>
      <c r="J2" s="151" t="s">
        <v>58</v>
      </c>
      <c r="K2" s="151" t="s">
        <v>48</v>
      </c>
      <c r="L2" s="151" t="s">
        <v>49</v>
      </c>
      <c r="N2" s="222" t="s">
        <v>88</v>
      </c>
      <c r="O2" s="222"/>
      <c r="P2" s="222"/>
      <c r="Q2" s="222"/>
      <c r="R2" s="222"/>
      <c r="S2" s="222"/>
    </row>
    <row r="3" spans="2:19" ht="15" customHeight="1" x14ac:dyDescent="0.25">
      <c r="B3" s="151"/>
      <c r="C3" s="151" t="s">
        <v>14</v>
      </c>
      <c r="D3" s="151" t="s">
        <v>15</v>
      </c>
      <c r="E3" s="190" t="s">
        <v>16</v>
      </c>
      <c r="F3" s="190" t="s">
        <v>17</v>
      </c>
      <c r="G3" s="190" t="s">
        <v>18</v>
      </c>
      <c r="J3" s="151" t="s">
        <v>16</v>
      </c>
      <c r="K3" s="152">
        <v>75</v>
      </c>
      <c r="L3" s="152">
        <v>30</v>
      </c>
      <c r="N3" s="223" t="s">
        <v>416</v>
      </c>
      <c r="O3" s="224"/>
      <c r="P3" s="224"/>
      <c r="Q3" s="224"/>
      <c r="R3" s="224"/>
      <c r="S3" s="225"/>
    </row>
    <row r="4" spans="2:19" ht="15" customHeight="1" x14ac:dyDescent="0.25">
      <c r="B4" s="151" t="s">
        <v>10</v>
      </c>
      <c r="C4" s="153">
        <v>2.64374E-2</v>
      </c>
      <c r="D4" s="153">
        <v>1.6686399999999997E-2</v>
      </c>
      <c r="E4" s="153">
        <v>1.9920400000000001E-2</v>
      </c>
      <c r="F4" s="153">
        <v>1.9185400000000002E-2</v>
      </c>
      <c r="G4" s="153">
        <v>3.2170400000000002E-2</v>
      </c>
      <c r="J4" s="151" t="s">
        <v>17</v>
      </c>
      <c r="K4" s="152">
        <v>70</v>
      </c>
      <c r="L4" s="152">
        <v>27</v>
      </c>
      <c r="N4" s="222" t="s">
        <v>93</v>
      </c>
      <c r="O4" s="222"/>
      <c r="P4" s="222"/>
      <c r="Q4" s="222"/>
      <c r="R4" s="222"/>
      <c r="S4" s="222"/>
    </row>
    <row r="5" spans="2:19" ht="15" customHeight="1" x14ac:dyDescent="0.25">
      <c r="B5" s="151" t="s">
        <v>19</v>
      </c>
      <c r="C5" s="153">
        <v>3.6825400000000001E-2</v>
      </c>
      <c r="D5" s="153">
        <v>1.6735400000000001E-2</v>
      </c>
      <c r="E5" s="153">
        <v>3.0847400000000001E-2</v>
      </c>
      <c r="F5" s="153">
        <v>2.9573399999999996E-2</v>
      </c>
      <c r="G5" s="153">
        <v>2.1537399999999998E-2</v>
      </c>
      <c r="J5" s="151" t="s">
        <v>18</v>
      </c>
      <c r="K5" s="152">
        <v>68</v>
      </c>
      <c r="L5" s="152">
        <v>25</v>
      </c>
      <c r="N5" s="223" t="s">
        <v>328</v>
      </c>
      <c r="O5" s="224"/>
      <c r="P5" s="224"/>
      <c r="Q5" s="224"/>
      <c r="R5" s="224"/>
      <c r="S5" s="225"/>
    </row>
    <row r="6" spans="2:19" ht="15" customHeight="1" x14ac:dyDescent="0.25">
      <c r="B6" s="151" t="s">
        <v>20</v>
      </c>
      <c r="C6" s="153">
        <v>3.1778399999999998E-2</v>
      </c>
      <c r="D6" s="153">
        <v>3.2513400000000005E-2</v>
      </c>
      <c r="E6" s="153">
        <v>4.0934000000000005E-3</v>
      </c>
      <c r="F6" s="153">
        <v>2.7613399999999996E-2</v>
      </c>
      <c r="G6" s="153">
        <v>4.799740000000001E-2</v>
      </c>
      <c r="N6" s="223" t="s">
        <v>329</v>
      </c>
      <c r="O6" s="224"/>
      <c r="P6" s="224"/>
      <c r="Q6" s="224"/>
      <c r="R6" s="224"/>
      <c r="S6" s="225"/>
    </row>
    <row r="7" spans="2:19" ht="15" customHeight="1" x14ac:dyDescent="0.25">
      <c r="N7" s="223" t="s">
        <v>331</v>
      </c>
      <c r="O7" s="224"/>
      <c r="P7" s="224"/>
      <c r="Q7" s="224"/>
      <c r="R7" s="224"/>
      <c r="S7" s="225"/>
    </row>
    <row r="8" spans="2:19" ht="15" customHeight="1" x14ac:dyDescent="0.25">
      <c r="B8" s="219" t="s">
        <v>319</v>
      </c>
      <c r="C8" s="220"/>
      <c r="D8" s="220"/>
      <c r="E8" s="220"/>
      <c r="F8" s="220"/>
      <c r="G8" s="220"/>
      <c r="H8" s="221"/>
      <c r="J8" s="219" t="s">
        <v>327</v>
      </c>
      <c r="K8" s="221"/>
      <c r="N8" s="223" t="s">
        <v>330</v>
      </c>
      <c r="O8" s="224"/>
      <c r="P8" s="224"/>
      <c r="Q8" s="224"/>
      <c r="R8" s="224"/>
      <c r="S8" s="225"/>
    </row>
    <row r="9" spans="2:19" ht="15" customHeight="1" x14ac:dyDescent="0.25">
      <c r="B9" s="151"/>
      <c r="C9" s="151" t="s">
        <v>14</v>
      </c>
      <c r="D9" s="151" t="s">
        <v>16</v>
      </c>
      <c r="E9" s="151" t="s">
        <v>32</v>
      </c>
      <c r="F9" s="151" t="s">
        <v>33</v>
      </c>
      <c r="G9" s="151" t="s">
        <v>34</v>
      </c>
      <c r="H9" s="151" t="s">
        <v>35</v>
      </c>
      <c r="J9" s="151" t="s">
        <v>30</v>
      </c>
      <c r="K9" s="153">
        <v>8.3333333333333339</v>
      </c>
      <c r="N9" s="223" t="s">
        <v>343</v>
      </c>
      <c r="O9" s="224"/>
      <c r="P9" s="224"/>
      <c r="Q9" s="224"/>
      <c r="R9" s="224"/>
      <c r="S9" s="225"/>
    </row>
    <row r="10" spans="2:19" ht="15" customHeight="1" x14ac:dyDescent="0.25">
      <c r="B10" s="151" t="s">
        <v>14</v>
      </c>
      <c r="C10" s="152">
        <v>0</v>
      </c>
      <c r="D10" s="153">
        <v>4.0357142857142855E-2</v>
      </c>
      <c r="E10" s="153">
        <v>5.171428571428572E-2</v>
      </c>
      <c r="F10" s="153">
        <v>1.7357142857142859E-2</v>
      </c>
      <c r="G10" s="153">
        <v>5.5142857142857146E-2</v>
      </c>
      <c r="H10" s="153">
        <v>4.1857142857142857E-2</v>
      </c>
      <c r="J10" s="151" t="s">
        <v>36</v>
      </c>
      <c r="K10" s="153">
        <v>9.0909090909090917</v>
      </c>
      <c r="N10" s="223" t="s">
        <v>342</v>
      </c>
      <c r="O10" s="224"/>
      <c r="P10" s="224"/>
      <c r="Q10" s="224"/>
      <c r="R10" s="224"/>
      <c r="S10" s="225"/>
    </row>
    <row r="11" spans="2:19" ht="15" customHeight="1" x14ac:dyDescent="0.25">
      <c r="B11" s="151" t="s">
        <v>15</v>
      </c>
      <c r="C11" s="153">
        <v>3.2357142857142862E-2</v>
      </c>
      <c r="D11" s="153">
        <v>4.1428571428571426E-2</v>
      </c>
      <c r="E11" s="153">
        <v>3.892857142857143E-2</v>
      </c>
      <c r="F11" s="153">
        <v>2.7285714285714285E-2</v>
      </c>
      <c r="G11" s="153">
        <v>2.2785714285714288E-2</v>
      </c>
      <c r="H11" s="153">
        <v>4.2928571428571427E-2</v>
      </c>
      <c r="N11" s="226" t="s">
        <v>344</v>
      </c>
      <c r="O11" s="227"/>
      <c r="P11" s="227"/>
      <c r="Q11" s="227"/>
      <c r="R11" s="227"/>
      <c r="S11" s="228"/>
    </row>
    <row r="12" spans="2:19" ht="15" customHeight="1" x14ac:dyDescent="0.25">
      <c r="B12" s="190" t="s">
        <v>16</v>
      </c>
      <c r="C12" s="153">
        <v>4.0357142857142855E-2</v>
      </c>
      <c r="D12" s="152">
        <v>0</v>
      </c>
      <c r="E12" s="153">
        <v>3.1785714285714285E-2</v>
      </c>
      <c r="F12" s="153">
        <v>2.3E-2</v>
      </c>
      <c r="G12" s="153">
        <v>6.192857142857143E-2</v>
      </c>
      <c r="H12" s="153">
        <v>1.5E-3</v>
      </c>
      <c r="J12" s="229" t="s">
        <v>321</v>
      </c>
      <c r="K12" s="230"/>
      <c r="L12" s="154">
        <v>0.1</v>
      </c>
      <c r="N12" s="222" t="s">
        <v>413</v>
      </c>
      <c r="O12" s="222"/>
      <c r="P12" s="222"/>
      <c r="Q12" s="222"/>
      <c r="R12" s="222"/>
      <c r="S12" s="222"/>
    </row>
    <row r="13" spans="2:19" ht="15" customHeight="1" x14ac:dyDescent="0.25">
      <c r="B13" s="190" t="s">
        <v>17</v>
      </c>
      <c r="C13" s="153">
        <v>1.0571428571428572E-2</v>
      </c>
      <c r="D13" s="153">
        <v>3.4285714285714287E-2</v>
      </c>
      <c r="E13" s="153">
        <v>4.1142857142857148E-2</v>
      </c>
      <c r="F13" s="153">
        <v>1.1285714285714286E-2</v>
      </c>
      <c r="G13" s="153">
        <v>4.4571428571428574E-2</v>
      </c>
      <c r="H13" s="153">
        <v>3.5785714285714289E-2</v>
      </c>
      <c r="J13" s="229" t="s">
        <v>345</v>
      </c>
      <c r="K13" s="230"/>
      <c r="L13" s="189">
        <f>NPV(L12,L19,L34,L49,Q47:Q63)</f>
        <v>151.78879557996149</v>
      </c>
      <c r="N13" s="223" t="s">
        <v>417</v>
      </c>
      <c r="O13" s="224"/>
      <c r="P13" s="224"/>
      <c r="Q13" s="224"/>
      <c r="R13" s="224"/>
      <c r="S13" s="225"/>
    </row>
    <row r="14" spans="2:19" ht="15" customHeight="1" x14ac:dyDescent="0.25">
      <c r="B14" s="190" t="s">
        <v>18</v>
      </c>
      <c r="C14" s="153">
        <v>6.7071428571428574E-2</v>
      </c>
      <c r="D14" s="153">
        <v>6.4000000000000001E-2</v>
      </c>
      <c r="E14" s="153">
        <v>3.9714285714285716E-2</v>
      </c>
      <c r="F14" s="153">
        <v>5.9785714285714289E-2</v>
      </c>
      <c r="G14" s="153">
        <v>2.3785714285714285E-2</v>
      </c>
      <c r="H14" s="153">
        <v>6.5500000000000003E-2</v>
      </c>
      <c r="N14" s="223" t="s">
        <v>418</v>
      </c>
      <c r="O14" s="224"/>
      <c r="P14" s="224"/>
      <c r="Q14" s="224"/>
      <c r="R14" s="224"/>
      <c r="S14" s="225"/>
    </row>
    <row r="15" spans="2:19" ht="15" customHeight="1" x14ac:dyDescent="0.25">
      <c r="N15" s="226" t="s">
        <v>419</v>
      </c>
      <c r="O15" s="227"/>
      <c r="P15" s="227"/>
      <c r="Q15" s="227"/>
      <c r="R15" s="227"/>
      <c r="S15" s="228"/>
    </row>
    <row r="16" spans="2:19" ht="15" customHeight="1" x14ac:dyDescent="0.25">
      <c r="B16" s="219" t="s">
        <v>42</v>
      </c>
      <c r="C16" s="220"/>
      <c r="D16" s="220"/>
      <c r="E16" s="220"/>
      <c r="F16" s="220"/>
      <c r="G16" s="220"/>
      <c r="H16" s="220"/>
      <c r="I16" s="220"/>
      <c r="J16" s="220"/>
      <c r="K16" s="220"/>
      <c r="L16" s="221"/>
    </row>
    <row r="17" spans="2:14" ht="15" customHeight="1" x14ac:dyDescent="0.25">
      <c r="B17" s="151"/>
      <c r="C17" s="151" t="s">
        <v>14</v>
      </c>
      <c r="D17" s="151" t="s">
        <v>15</v>
      </c>
      <c r="E17" s="190" t="s">
        <v>16</v>
      </c>
      <c r="F17" s="190" t="s">
        <v>17</v>
      </c>
      <c r="G17" s="190" t="s">
        <v>18</v>
      </c>
      <c r="H17" s="151" t="s">
        <v>54</v>
      </c>
      <c r="I17" s="151" t="s">
        <v>53</v>
      </c>
      <c r="J17" s="151"/>
      <c r="K17" s="151" t="s">
        <v>79</v>
      </c>
      <c r="L17" s="151">
        <f>SUMPRODUCT($C$4:$G$6,C18:G20)+SUMPRODUCT($C$10:$H$14,C23:H27)</f>
        <v>9.9362099360000009</v>
      </c>
    </row>
    <row r="18" spans="2:14" ht="15" customHeight="1" x14ac:dyDescent="0.25">
      <c r="B18" s="151" t="s">
        <v>10</v>
      </c>
      <c r="C18" s="194">
        <v>24.240000000000002</v>
      </c>
      <c r="D18" s="194">
        <v>5.7599999999999785</v>
      </c>
      <c r="E18" s="191">
        <v>0</v>
      </c>
      <c r="F18" s="191">
        <v>0</v>
      </c>
      <c r="G18" s="191">
        <v>0</v>
      </c>
      <c r="H18" s="155">
        <f>SUM(C18:G18)</f>
        <v>29.999999999999979</v>
      </c>
      <c r="I18" s="156">
        <v>30</v>
      </c>
      <c r="J18" s="151"/>
      <c r="K18" s="151" t="s">
        <v>58</v>
      </c>
      <c r="L18" s="155">
        <f>SUMPRODUCT(K25:K27,$K$3:$K$5)+SUMPRODUCT(L25:L27,$L$3:$L$5)</f>
        <v>0</v>
      </c>
    </row>
    <row r="19" spans="2:14" ht="15" customHeight="1" x14ac:dyDescent="0.25">
      <c r="B19" s="151" t="s">
        <v>19</v>
      </c>
      <c r="C19" s="191">
        <v>0</v>
      </c>
      <c r="D19" s="194">
        <v>18.240000000000013</v>
      </c>
      <c r="E19" s="191">
        <v>0</v>
      </c>
      <c r="F19" s="191">
        <v>0</v>
      </c>
      <c r="G19" s="191">
        <v>0</v>
      </c>
      <c r="H19" s="157">
        <f>SUM(C19:G19)</f>
        <v>18.240000000000013</v>
      </c>
      <c r="I19" s="156">
        <v>68</v>
      </c>
      <c r="J19" s="151"/>
      <c r="K19" s="151" t="s">
        <v>322</v>
      </c>
      <c r="L19" s="151">
        <f>SUM(L17:L18)</f>
        <v>9.9362099360000009</v>
      </c>
    </row>
    <row r="20" spans="2:14" ht="15" customHeight="1" x14ac:dyDescent="0.25">
      <c r="B20" s="151" t="s">
        <v>20</v>
      </c>
      <c r="C20" s="191">
        <v>0</v>
      </c>
      <c r="D20" s="191">
        <v>0</v>
      </c>
      <c r="E20" s="191">
        <v>5.6898930012039572E-15</v>
      </c>
      <c r="F20" s="191">
        <v>0</v>
      </c>
      <c r="G20" s="191">
        <v>0</v>
      </c>
      <c r="H20" s="155">
        <f>SUM(C20:G20)</f>
        <v>5.6898930012039572E-15</v>
      </c>
      <c r="I20" s="156">
        <v>20</v>
      </c>
      <c r="J20" s="151"/>
      <c r="K20" s="151" t="s">
        <v>77</v>
      </c>
      <c r="L20" s="151">
        <f>L19/(1+L12)</f>
        <v>9.0329181236363638</v>
      </c>
    </row>
    <row r="21" spans="2:14" ht="15" customHeight="1" x14ac:dyDescent="0.25">
      <c r="B21" s="151" t="s">
        <v>80</v>
      </c>
      <c r="C21" s="155">
        <f>(C18+C19)*$K$9+C20*$K$10</f>
        <v>202.00000000000003</v>
      </c>
      <c r="D21" s="155">
        <f>(D18+D19)*$K$9+D20*$K$10</f>
        <v>199.99999999999994</v>
      </c>
      <c r="E21" s="155">
        <f>(E18+E19)*$K$9+E20*$K$10</f>
        <v>5.1726300010945068E-14</v>
      </c>
      <c r="F21" s="155">
        <f>(F18+F19)*$K$9+F20*$K$10</f>
        <v>0</v>
      </c>
      <c r="G21" s="155">
        <f>(G18+G19)*$K$9+G20*$K$10</f>
        <v>0</v>
      </c>
      <c r="H21" s="151"/>
      <c r="I21" s="151"/>
      <c r="J21" s="151"/>
      <c r="K21" s="151"/>
      <c r="L21" s="151"/>
    </row>
    <row r="22" spans="2:14" ht="15" customHeight="1" x14ac:dyDescent="0.25">
      <c r="B22" s="151"/>
      <c r="C22" s="151" t="s">
        <v>14</v>
      </c>
      <c r="D22" s="151" t="s">
        <v>16</v>
      </c>
      <c r="E22" s="151" t="s">
        <v>32</v>
      </c>
      <c r="F22" s="151" t="s">
        <v>33</v>
      </c>
      <c r="G22" s="151" t="s">
        <v>34</v>
      </c>
      <c r="H22" s="151" t="s">
        <v>35</v>
      </c>
      <c r="I22" s="151" t="s">
        <v>55</v>
      </c>
      <c r="J22" s="151" t="s">
        <v>53</v>
      </c>
      <c r="K22" s="151"/>
      <c r="L22" s="151"/>
    </row>
    <row r="23" spans="2:14" ht="15" customHeight="1" x14ac:dyDescent="0.25">
      <c r="B23" s="151" t="s">
        <v>14</v>
      </c>
      <c r="C23" s="191">
        <v>103.00000000000003</v>
      </c>
      <c r="D23" s="191">
        <v>26.000000000000014</v>
      </c>
      <c r="E23" s="191">
        <v>0</v>
      </c>
      <c r="F23" s="191">
        <v>59.999999999999957</v>
      </c>
      <c r="G23" s="191">
        <v>0</v>
      </c>
      <c r="H23" s="191">
        <v>13.000000000000025</v>
      </c>
      <c r="I23" s="155">
        <f>SUM(C23:H23)</f>
        <v>202.00000000000003</v>
      </c>
      <c r="J23" s="156">
        <v>220</v>
      </c>
      <c r="K23" s="151"/>
      <c r="L23" s="151"/>
    </row>
    <row r="24" spans="2:14" ht="15" customHeight="1" x14ac:dyDescent="0.25">
      <c r="B24" s="151" t="s">
        <v>15</v>
      </c>
      <c r="C24" s="191">
        <v>0</v>
      </c>
      <c r="D24" s="191">
        <v>47.999999999999844</v>
      </c>
      <c r="E24" s="191">
        <v>50.000000000000163</v>
      </c>
      <c r="F24" s="191">
        <v>0</v>
      </c>
      <c r="G24" s="191">
        <v>101.99999999999999</v>
      </c>
      <c r="H24" s="191">
        <v>0</v>
      </c>
      <c r="I24" s="155">
        <f>SUM(C24:H24)</f>
        <v>200</v>
      </c>
      <c r="J24" s="156">
        <v>200</v>
      </c>
      <c r="K24" s="151" t="s">
        <v>48</v>
      </c>
      <c r="L24" s="151" t="s">
        <v>23</v>
      </c>
    </row>
    <row r="25" spans="2:14" ht="15" customHeight="1" x14ac:dyDescent="0.25">
      <c r="B25" s="190" t="s">
        <v>16</v>
      </c>
      <c r="C25" s="191">
        <v>0</v>
      </c>
      <c r="D25" s="191">
        <v>1.3866685577568344E-13</v>
      </c>
      <c r="E25" s="191">
        <v>0</v>
      </c>
      <c r="F25" s="191">
        <v>0</v>
      </c>
      <c r="G25" s="191">
        <v>0</v>
      </c>
      <c r="H25" s="191">
        <v>0</v>
      </c>
      <c r="I25" s="155">
        <f>SUM(C25:H25)</f>
        <v>1.3866685577568344E-13</v>
      </c>
      <c r="J25" s="156">
        <f>70*K25+50*L25</f>
        <v>0</v>
      </c>
      <c r="K25" s="191">
        <v>0</v>
      </c>
      <c r="L25" s="191">
        <v>0</v>
      </c>
    </row>
    <row r="26" spans="2:14" ht="15" customHeight="1" x14ac:dyDescent="0.25">
      <c r="B26" s="190" t="s">
        <v>17</v>
      </c>
      <c r="C26" s="191">
        <v>0</v>
      </c>
      <c r="D26" s="191">
        <v>0</v>
      </c>
      <c r="E26" s="191">
        <v>0</v>
      </c>
      <c r="F26" s="191">
        <v>4.8236442669470791E-14</v>
      </c>
      <c r="G26" s="191">
        <v>0</v>
      </c>
      <c r="H26" s="191">
        <v>0</v>
      </c>
      <c r="I26" s="155">
        <f>SUM(C26:H26)</f>
        <v>4.8236442669470791E-14</v>
      </c>
      <c r="J26" s="156">
        <f>70*K26+50*L26</f>
        <v>0</v>
      </c>
      <c r="K26" s="191">
        <v>0</v>
      </c>
      <c r="L26" s="191">
        <v>0</v>
      </c>
    </row>
    <row r="27" spans="2:14" ht="15" customHeight="1" x14ac:dyDescent="0.25">
      <c r="B27" s="190" t="s">
        <v>18</v>
      </c>
      <c r="C27" s="191">
        <v>0</v>
      </c>
      <c r="D27" s="191">
        <v>0</v>
      </c>
      <c r="E27" s="191">
        <v>0</v>
      </c>
      <c r="F27" s="191">
        <v>0</v>
      </c>
      <c r="G27" s="191">
        <v>0</v>
      </c>
      <c r="H27" s="191">
        <v>0</v>
      </c>
      <c r="I27" s="155">
        <f>SUM(C27:H27)</f>
        <v>0</v>
      </c>
      <c r="J27" s="156">
        <f>70*K27+50*L27</f>
        <v>0</v>
      </c>
      <c r="K27" s="191">
        <v>0</v>
      </c>
      <c r="L27" s="191">
        <v>0</v>
      </c>
    </row>
    <row r="28" spans="2:14" ht="15" customHeight="1" x14ac:dyDescent="0.25">
      <c r="B28" s="151" t="s">
        <v>78</v>
      </c>
      <c r="C28" s="155">
        <f t="shared" ref="C28:H28" si="0">SUM(C23:C27)</f>
        <v>103.00000000000003</v>
      </c>
      <c r="D28" s="155">
        <f t="shared" si="0"/>
        <v>74</v>
      </c>
      <c r="E28" s="155">
        <f t="shared" si="0"/>
        <v>50.000000000000163</v>
      </c>
      <c r="F28" s="155">
        <f t="shared" si="0"/>
        <v>60.000000000000007</v>
      </c>
      <c r="G28" s="155">
        <f t="shared" si="0"/>
        <v>101.99999999999999</v>
      </c>
      <c r="H28" s="155">
        <f t="shared" si="0"/>
        <v>13.000000000000025</v>
      </c>
      <c r="I28" s="155"/>
      <c r="J28" s="151"/>
      <c r="K28" s="151"/>
      <c r="L28" s="151"/>
    </row>
    <row r="29" spans="2:14" ht="15" customHeight="1" x14ac:dyDescent="0.25">
      <c r="B29" s="151" t="s">
        <v>57</v>
      </c>
      <c r="C29" s="156">
        <v>103</v>
      </c>
      <c r="D29" s="156">
        <v>74</v>
      </c>
      <c r="E29" s="156">
        <v>50</v>
      </c>
      <c r="F29" s="156">
        <v>60</v>
      </c>
      <c r="G29" s="156">
        <v>102</v>
      </c>
      <c r="H29" s="156">
        <v>13</v>
      </c>
      <c r="I29" s="155"/>
      <c r="J29" s="151"/>
      <c r="K29" s="151"/>
      <c r="L29" s="151"/>
    </row>
    <row r="30" spans="2:14" ht="15" customHeight="1" x14ac:dyDescent="0.25"/>
    <row r="31" spans="2:14" ht="15" customHeight="1" x14ac:dyDescent="0.25">
      <c r="B31" s="219" t="s">
        <v>44</v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1"/>
    </row>
    <row r="32" spans="2:14" ht="15" customHeight="1" x14ac:dyDescent="0.25">
      <c r="B32" s="151"/>
      <c r="C32" s="151" t="s">
        <v>14</v>
      </c>
      <c r="D32" s="151" t="s">
        <v>15</v>
      </c>
      <c r="E32" s="190" t="s">
        <v>16</v>
      </c>
      <c r="F32" s="190" t="s">
        <v>17</v>
      </c>
      <c r="G32" s="190" t="s">
        <v>18</v>
      </c>
      <c r="H32" s="151" t="s">
        <v>54</v>
      </c>
      <c r="I32" s="151" t="s">
        <v>53</v>
      </c>
      <c r="J32" s="151"/>
      <c r="K32" s="151" t="s">
        <v>79</v>
      </c>
      <c r="L32" s="151">
        <f>SUMPRODUCT($C$4:$G$6,C33:G35)+SUMPRODUCT($C$10:$H$14,C38:H42)</f>
        <v>7.8353671022857272</v>
      </c>
      <c r="M32" s="151"/>
      <c r="N32" s="151"/>
    </row>
    <row r="33" spans="2:21" ht="15" customHeight="1" x14ac:dyDescent="0.25">
      <c r="B33" s="151" t="s">
        <v>10</v>
      </c>
      <c r="C33" s="192">
        <v>22.200000000000077</v>
      </c>
      <c r="D33" s="192">
        <v>7.7999999999998906</v>
      </c>
      <c r="E33" s="191">
        <v>0</v>
      </c>
      <c r="F33" s="191">
        <v>1.3322676295501878E-15</v>
      </c>
      <c r="G33" s="191">
        <v>0</v>
      </c>
      <c r="H33" s="155">
        <f>SUM(C33:G33)</f>
        <v>29.999999999999968</v>
      </c>
      <c r="I33" s="156">
        <v>30</v>
      </c>
      <c r="J33" s="151"/>
      <c r="K33" s="151" t="s">
        <v>58</v>
      </c>
      <c r="L33" s="155">
        <f>SUMPRODUCT(K40:K42,$K$3:$K$5)+SUMPRODUCT(L40:L42,$L$3:$L$5)</f>
        <v>75</v>
      </c>
      <c r="M33" s="151"/>
      <c r="N33" s="151"/>
    </row>
    <row r="34" spans="2:21" ht="15" customHeight="1" x14ac:dyDescent="0.25">
      <c r="B34" s="151" t="s">
        <v>19</v>
      </c>
      <c r="C34" s="191">
        <v>0</v>
      </c>
      <c r="D34" s="194">
        <v>14.520000000000126</v>
      </c>
      <c r="E34" s="191">
        <v>0</v>
      </c>
      <c r="F34" s="191">
        <v>0</v>
      </c>
      <c r="G34" s="191">
        <v>0</v>
      </c>
      <c r="H34" s="157">
        <f>SUM(C34:G34)</f>
        <v>14.520000000000126</v>
      </c>
      <c r="I34" s="156">
        <v>68</v>
      </c>
      <c r="J34" s="151"/>
      <c r="K34" s="151" t="s">
        <v>322</v>
      </c>
      <c r="L34" s="151">
        <f>SUM(L32:L33)</f>
        <v>82.83536710228573</v>
      </c>
      <c r="M34" s="151"/>
      <c r="N34" s="151"/>
    </row>
    <row r="35" spans="2:21" ht="15" customHeight="1" x14ac:dyDescent="0.25">
      <c r="B35" s="151" t="s">
        <v>20</v>
      </c>
      <c r="C35" s="191">
        <v>0</v>
      </c>
      <c r="D35" s="191">
        <v>0</v>
      </c>
      <c r="E35" s="192">
        <v>7.6999999999999824</v>
      </c>
      <c r="F35" s="191">
        <v>0</v>
      </c>
      <c r="G35" s="191">
        <v>0</v>
      </c>
      <c r="H35" s="158">
        <f>SUM(C35:G35)</f>
        <v>7.6999999999999824</v>
      </c>
      <c r="I35" s="156">
        <v>20</v>
      </c>
      <c r="J35" s="151"/>
      <c r="K35" s="151" t="s">
        <v>77</v>
      </c>
      <c r="L35" s="151">
        <f>L34/((1+L12)^2)</f>
        <v>68.458981076269183</v>
      </c>
      <c r="M35" s="151"/>
      <c r="N35" s="151"/>
    </row>
    <row r="36" spans="2:21" ht="15" customHeight="1" x14ac:dyDescent="0.25">
      <c r="B36" s="151" t="s">
        <v>80</v>
      </c>
      <c r="C36" s="155">
        <f>(C33+C34)*$K$9+C35*$K$10</f>
        <v>185.00000000000065</v>
      </c>
      <c r="D36" s="155">
        <f>(D33+D34)*$K$9+D35*$K$10</f>
        <v>186.00000000000014</v>
      </c>
      <c r="E36" s="155">
        <f>(E33+E34)*$K$9+E35*$K$10</f>
        <v>69.999999999999844</v>
      </c>
      <c r="F36" s="155">
        <f>(F33+F34)*$K$9+F35*$K$10</f>
        <v>1.1102230246251565E-14</v>
      </c>
      <c r="G36" s="155">
        <f>(G33+G34)*$K$9+G35*$K$10</f>
        <v>0</v>
      </c>
      <c r="H36" s="151"/>
      <c r="I36" s="151"/>
      <c r="J36" s="151"/>
      <c r="K36" s="151"/>
      <c r="L36" s="151"/>
      <c r="M36" s="151"/>
      <c r="N36" s="151"/>
    </row>
    <row r="37" spans="2:21" ht="15" customHeight="1" x14ac:dyDescent="0.25">
      <c r="B37" s="151"/>
      <c r="C37" s="151" t="s">
        <v>14</v>
      </c>
      <c r="D37" s="151" t="s">
        <v>16</v>
      </c>
      <c r="E37" s="151" t="s">
        <v>32</v>
      </c>
      <c r="F37" s="151" t="s">
        <v>33</v>
      </c>
      <c r="G37" s="151" t="s">
        <v>34</v>
      </c>
      <c r="H37" s="151" t="s">
        <v>35</v>
      </c>
      <c r="I37" s="151" t="s">
        <v>55</v>
      </c>
      <c r="J37" s="151" t="s">
        <v>53</v>
      </c>
      <c r="K37" s="151"/>
      <c r="L37" s="151"/>
      <c r="M37" s="151"/>
      <c r="N37" s="151"/>
    </row>
    <row r="38" spans="2:21" ht="15" customHeight="1" x14ac:dyDescent="0.25">
      <c r="B38" s="151" t="s">
        <v>14</v>
      </c>
      <c r="C38" s="191">
        <v>109.99999999999999</v>
      </c>
      <c r="D38" s="191">
        <v>0</v>
      </c>
      <c r="E38" s="191">
        <v>0</v>
      </c>
      <c r="F38" s="191">
        <v>75.000000000000668</v>
      </c>
      <c r="G38" s="191">
        <v>0</v>
      </c>
      <c r="H38" s="191">
        <v>0</v>
      </c>
      <c r="I38" s="155">
        <f>SUM(C38:H38)</f>
        <v>185.00000000000065</v>
      </c>
      <c r="J38" s="156">
        <v>220</v>
      </c>
      <c r="K38" s="155"/>
      <c r="L38" s="155"/>
      <c r="M38" s="155"/>
      <c r="N38" s="155"/>
    </row>
    <row r="39" spans="2:21" ht="15" customHeight="1" x14ac:dyDescent="0.25">
      <c r="B39" s="151" t="s">
        <v>15</v>
      </c>
      <c r="C39" s="191">
        <v>0</v>
      </c>
      <c r="D39" s="191">
        <v>22.999999999999943</v>
      </c>
      <c r="E39" s="191">
        <v>53</v>
      </c>
      <c r="F39" s="191">
        <v>0</v>
      </c>
      <c r="G39" s="191">
        <v>110.00000000000009</v>
      </c>
      <c r="H39" s="191">
        <v>0</v>
      </c>
      <c r="I39" s="155">
        <f>SUM(C39:H39)</f>
        <v>186.00000000000003</v>
      </c>
      <c r="J39" s="156">
        <v>200</v>
      </c>
      <c r="K39" s="155" t="s">
        <v>48</v>
      </c>
      <c r="L39" s="155" t="s">
        <v>23</v>
      </c>
      <c r="M39" s="155" t="s">
        <v>323</v>
      </c>
      <c r="N39" s="155" t="s">
        <v>324</v>
      </c>
    </row>
    <row r="40" spans="2:21" ht="15" customHeight="1" x14ac:dyDescent="0.25">
      <c r="B40" s="190" t="s">
        <v>16</v>
      </c>
      <c r="C40" s="191">
        <v>0</v>
      </c>
      <c r="D40" s="191">
        <v>57.000000000000057</v>
      </c>
      <c r="E40" s="191">
        <v>0</v>
      </c>
      <c r="F40" s="191">
        <v>0</v>
      </c>
      <c r="G40" s="191">
        <v>0</v>
      </c>
      <c r="H40" s="191">
        <v>12.999999999999996</v>
      </c>
      <c r="I40" s="155">
        <f>SUM(C40:H40)</f>
        <v>70.000000000000057</v>
      </c>
      <c r="J40" s="156">
        <f>70*(K25+K40)+50*L40</f>
        <v>70</v>
      </c>
      <c r="K40" s="191">
        <v>1</v>
      </c>
      <c r="L40" s="191">
        <v>0</v>
      </c>
      <c r="M40" s="152">
        <f t="shared" ref="M40:N42" si="1">K25+K40</f>
        <v>1</v>
      </c>
      <c r="N40" s="152">
        <f t="shared" si="1"/>
        <v>0</v>
      </c>
    </row>
    <row r="41" spans="2:21" ht="15" customHeight="1" x14ac:dyDescent="0.25">
      <c r="B41" s="190" t="s">
        <v>17</v>
      </c>
      <c r="C41" s="191">
        <v>0</v>
      </c>
      <c r="D41" s="191">
        <v>0</v>
      </c>
      <c r="E41" s="191">
        <v>0</v>
      </c>
      <c r="F41" s="191">
        <v>2.4868995751603507E-14</v>
      </c>
      <c r="G41" s="191">
        <v>0</v>
      </c>
      <c r="H41" s="191">
        <v>0</v>
      </c>
      <c r="I41" s="155">
        <f>SUM(C41:H41)</f>
        <v>2.4868995751603507E-14</v>
      </c>
      <c r="J41" s="156">
        <f>70*(K26+K41)+50*L41</f>
        <v>0</v>
      </c>
      <c r="K41" s="191">
        <v>0</v>
      </c>
      <c r="L41" s="191">
        <v>0</v>
      </c>
      <c r="M41" s="152">
        <f t="shared" si="1"/>
        <v>0</v>
      </c>
      <c r="N41" s="152">
        <f t="shared" si="1"/>
        <v>0</v>
      </c>
    </row>
    <row r="42" spans="2:21" ht="15" customHeight="1" x14ac:dyDescent="0.25">
      <c r="B42" s="190" t="s">
        <v>18</v>
      </c>
      <c r="C42" s="191">
        <v>0</v>
      </c>
      <c r="D42" s="191">
        <v>0</v>
      </c>
      <c r="E42" s="191">
        <v>0</v>
      </c>
      <c r="F42" s="191">
        <v>0</v>
      </c>
      <c r="G42" s="191">
        <v>0</v>
      </c>
      <c r="H42" s="191">
        <v>0</v>
      </c>
      <c r="I42" s="155">
        <f>SUM(C42:H42)</f>
        <v>0</v>
      </c>
      <c r="J42" s="156">
        <f>70*(K27+K42)+50*L42</f>
        <v>0</v>
      </c>
      <c r="K42" s="191">
        <v>0</v>
      </c>
      <c r="L42" s="191">
        <v>0</v>
      </c>
      <c r="M42" s="152">
        <f t="shared" si="1"/>
        <v>0</v>
      </c>
      <c r="N42" s="152">
        <f t="shared" si="1"/>
        <v>0</v>
      </c>
    </row>
    <row r="43" spans="2:21" ht="15" customHeight="1" x14ac:dyDescent="0.25">
      <c r="B43" s="151" t="s">
        <v>78</v>
      </c>
      <c r="C43" s="155">
        <f t="shared" ref="C43:H43" si="2">SUM(C38:C42)</f>
        <v>109.99999999999999</v>
      </c>
      <c r="D43" s="155">
        <f t="shared" si="2"/>
        <v>80</v>
      </c>
      <c r="E43" s="155">
        <f t="shared" si="2"/>
        <v>53</v>
      </c>
      <c r="F43" s="155">
        <f t="shared" si="2"/>
        <v>75.000000000000696</v>
      </c>
      <c r="G43" s="155">
        <f t="shared" si="2"/>
        <v>110.00000000000009</v>
      </c>
      <c r="H43" s="155">
        <f t="shared" si="2"/>
        <v>12.999999999999996</v>
      </c>
      <c r="I43" s="155"/>
      <c r="J43" s="155"/>
      <c r="K43" s="155"/>
      <c r="L43" s="155"/>
      <c r="M43" s="155"/>
      <c r="N43" s="155"/>
    </row>
    <row r="44" spans="2:21" ht="15" customHeight="1" x14ac:dyDescent="0.25">
      <c r="B44" s="151" t="s">
        <v>57</v>
      </c>
      <c r="C44" s="156">
        <v>110</v>
      </c>
      <c r="D44" s="156">
        <v>80</v>
      </c>
      <c r="E44" s="156">
        <v>53</v>
      </c>
      <c r="F44" s="156">
        <v>75</v>
      </c>
      <c r="G44" s="156">
        <v>110</v>
      </c>
      <c r="H44" s="156">
        <v>13</v>
      </c>
      <c r="I44" s="155"/>
      <c r="J44" s="155"/>
      <c r="K44" s="155"/>
      <c r="L44" s="155"/>
      <c r="M44" s="155"/>
      <c r="N44" s="155"/>
    </row>
    <row r="45" spans="2:21" ht="15" customHeight="1" x14ac:dyDescent="0.25"/>
    <row r="46" spans="2:21" ht="15" customHeight="1" x14ac:dyDescent="0.25">
      <c r="B46" s="219" t="s">
        <v>45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1"/>
      <c r="P46" s="151" t="s">
        <v>76</v>
      </c>
      <c r="Q46" s="151" t="s">
        <v>79</v>
      </c>
      <c r="R46" s="151" t="s">
        <v>77</v>
      </c>
      <c r="T46" s="159"/>
      <c r="U46" s="159"/>
    </row>
    <row r="47" spans="2:21" ht="15" customHeight="1" x14ac:dyDescent="0.25">
      <c r="B47" s="151"/>
      <c r="C47" s="151" t="s">
        <v>14</v>
      </c>
      <c r="D47" s="151" t="s">
        <v>15</v>
      </c>
      <c r="E47" s="190" t="s">
        <v>16</v>
      </c>
      <c r="F47" s="190" t="s">
        <v>17</v>
      </c>
      <c r="G47" s="190" t="s">
        <v>18</v>
      </c>
      <c r="H47" s="151" t="s">
        <v>54</v>
      </c>
      <c r="I47" s="151" t="s">
        <v>53</v>
      </c>
      <c r="J47" s="151"/>
      <c r="K47" s="151" t="s">
        <v>79</v>
      </c>
      <c r="L47" s="151">
        <f>SUMPRODUCT($C$4:$G$6,C48:G50)+SUMPRODUCT($C$10:$H$14,C53:H57)</f>
        <v>7.63606517714285</v>
      </c>
      <c r="M47" s="151"/>
      <c r="N47" s="151"/>
      <c r="P47" s="151" t="s">
        <v>59</v>
      </c>
      <c r="Q47" s="151">
        <f>$L$47</f>
        <v>7.63606517714285</v>
      </c>
      <c r="R47" s="151">
        <f>$L$47/((1+$L$12)^4)</f>
        <v>5.2155352620332271</v>
      </c>
      <c r="T47" s="159"/>
      <c r="U47" s="159"/>
    </row>
    <row r="48" spans="2:21" ht="15" customHeight="1" x14ac:dyDescent="0.25">
      <c r="B48" s="151" t="s">
        <v>10</v>
      </c>
      <c r="C48" s="192">
        <v>25.199999999999982</v>
      </c>
      <c r="D48" s="192">
        <v>4.8000000000000167</v>
      </c>
      <c r="E48" s="191">
        <v>0</v>
      </c>
      <c r="F48" s="191">
        <v>8.8817841970012523E-16</v>
      </c>
      <c r="G48" s="191">
        <v>0</v>
      </c>
      <c r="H48" s="155">
        <f>SUM(C48:G48)</f>
        <v>30</v>
      </c>
      <c r="I48" s="156">
        <v>30</v>
      </c>
      <c r="J48" s="151"/>
      <c r="K48" s="151" t="s">
        <v>58</v>
      </c>
      <c r="L48" s="155">
        <f>SUMPRODUCT(K55:K57,$K$3:$K$5)+SUMPRODUCT(L55:L57,$L$3:$L$5)</f>
        <v>30</v>
      </c>
      <c r="M48" s="151"/>
      <c r="N48" s="151"/>
      <c r="P48" s="151" t="s">
        <v>60</v>
      </c>
      <c r="Q48" s="151">
        <f t="shared" ref="Q48:Q63" si="3">$L$47</f>
        <v>7.63606517714285</v>
      </c>
      <c r="R48" s="151">
        <f>$L$47/((1+$L$12)^5)</f>
        <v>4.7413956927574787</v>
      </c>
      <c r="T48" s="159"/>
      <c r="U48" s="159"/>
    </row>
    <row r="49" spans="2:21" ht="15" customHeight="1" x14ac:dyDescent="0.25">
      <c r="B49" s="151" t="s">
        <v>19</v>
      </c>
      <c r="C49" s="191">
        <v>0</v>
      </c>
      <c r="D49" s="192">
        <v>15.599999999999923</v>
      </c>
      <c r="E49" s="191">
        <v>0</v>
      </c>
      <c r="F49" s="191">
        <v>0</v>
      </c>
      <c r="G49" s="191">
        <v>0</v>
      </c>
      <c r="H49" s="158">
        <f>SUM(C49:G49)</f>
        <v>15.599999999999923</v>
      </c>
      <c r="I49" s="156">
        <v>68</v>
      </c>
      <c r="J49" s="151"/>
      <c r="K49" s="151" t="s">
        <v>322</v>
      </c>
      <c r="L49" s="151">
        <f>SUM(L47:L48)</f>
        <v>37.636065177142854</v>
      </c>
      <c r="M49" s="151"/>
      <c r="N49" s="151"/>
      <c r="P49" s="151" t="s">
        <v>61</v>
      </c>
      <c r="Q49" s="151">
        <f t="shared" si="3"/>
        <v>7.63606517714285</v>
      </c>
      <c r="R49" s="151">
        <f>$L$47/((1+$L$12)^6)</f>
        <v>4.3103597206886164</v>
      </c>
      <c r="S49" s="159"/>
      <c r="T49" s="159"/>
      <c r="U49" s="159"/>
    </row>
    <row r="50" spans="2:21" ht="15" customHeight="1" x14ac:dyDescent="0.25">
      <c r="B50" s="151" t="s">
        <v>20</v>
      </c>
      <c r="C50" s="191">
        <v>0</v>
      </c>
      <c r="D50" s="191">
        <v>0</v>
      </c>
      <c r="E50" s="192">
        <v>13.200000000000092</v>
      </c>
      <c r="F50" s="191">
        <v>0</v>
      </c>
      <c r="G50" s="191">
        <v>0</v>
      </c>
      <c r="H50" s="158">
        <f>SUM(C50:G50)</f>
        <v>13.200000000000092</v>
      </c>
      <c r="I50" s="156">
        <v>20</v>
      </c>
      <c r="J50" s="151"/>
      <c r="K50" s="151" t="s">
        <v>77</v>
      </c>
      <c r="L50" s="151">
        <f>L49/((1+L12)^3)</f>
        <v>28.276532815283879</v>
      </c>
      <c r="M50" s="151"/>
      <c r="N50" s="151"/>
      <c r="P50" s="151" t="s">
        <v>62</v>
      </c>
      <c r="Q50" s="151">
        <f t="shared" si="3"/>
        <v>7.63606517714285</v>
      </c>
      <c r="R50" s="151">
        <f>$L$47/((1+$L$12)^7)</f>
        <v>3.918508836989651</v>
      </c>
      <c r="S50" s="159"/>
      <c r="T50" s="159"/>
      <c r="U50" s="159"/>
    </row>
    <row r="51" spans="2:21" ht="15" customHeight="1" x14ac:dyDescent="0.25">
      <c r="B51" s="151" t="s">
        <v>80</v>
      </c>
      <c r="C51" s="155">
        <f>(C48+C49)*$K$9+C50*$K$10</f>
        <v>209.99999999999986</v>
      </c>
      <c r="D51" s="155">
        <f>(D48+D49)*$K$9+D50*$K$10</f>
        <v>169.99999999999952</v>
      </c>
      <c r="E51" s="155">
        <f>(E48+E49)*$K$9+E50*$K$10</f>
        <v>120.00000000000084</v>
      </c>
      <c r="F51" s="155">
        <f>(F48+F49)*$K$9+F50*$K$10</f>
        <v>7.4014868308343775E-15</v>
      </c>
      <c r="G51" s="155">
        <f>(G48+G49)*$K$9+G50*$K$10</f>
        <v>0</v>
      </c>
      <c r="H51" s="151"/>
      <c r="I51" s="151"/>
      <c r="J51" s="151"/>
      <c r="K51" s="151"/>
      <c r="L51" s="151"/>
      <c r="M51" s="151"/>
      <c r="N51" s="151"/>
      <c r="P51" s="151" t="s">
        <v>63</v>
      </c>
      <c r="Q51" s="151">
        <f t="shared" si="3"/>
        <v>7.63606517714285</v>
      </c>
      <c r="R51" s="151">
        <f>$L$47/((1+$L$12)^8)</f>
        <v>3.5622807608996832</v>
      </c>
      <c r="S51" s="159"/>
      <c r="T51" s="159"/>
      <c r="U51" s="159"/>
    </row>
    <row r="52" spans="2:21" ht="15" customHeight="1" x14ac:dyDescent="0.25">
      <c r="B52" s="151"/>
      <c r="C52" s="151" t="s">
        <v>14</v>
      </c>
      <c r="D52" s="151" t="s">
        <v>16</v>
      </c>
      <c r="E52" s="151" t="s">
        <v>32</v>
      </c>
      <c r="F52" s="151" t="s">
        <v>33</v>
      </c>
      <c r="G52" s="151" t="s">
        <v>34</v>
      </c>
      <c r="H52" s="151" t="s">
        <v>35</v>
      </c>
      <c r="I52" s="151" t="s">
        <v>55</v>
      </c>
      <c r="J52" s="151" t="s">
        <v>53</v>
      </c>
      <c r="K52" s="151"/>
      <c r="L52" s="151"/>
      <c r="M52" s="151"/>
      <c r="N52" s="151"/>
      <c r="P52" s="151" t="s">
        <v>64</v>
      </c>
      <c r="Q52" s="151">
        <f t="shared" si="3"/>
        <v>7.63606517714285</v>
      </c>
      <c r="R52" s="151">
        <f>$L$47/((1+$L$12)^9)</f>
        <v>3.2384370553633479</v>
      </c>
      <c r="S52" s="159"/>
      <c r="T52" s="159"/>
      <c r="U52" s="159"/>
    </row>
    <row r="53" spans="2:21" ht="15" customHeight="1" x14ac:dyDescent="0.25">
      <c r="B53" s="151" t="s">
        <v>14</v>
      </c>
      <c r="C53" s="191">
        <v>125</v>
      </c>
      <c r="D53" s="191">
        <v>0</v>
      </c>
      <c r="E53" s="191">
        <v>0</v>
      </c>
      <c r="F53" s="191">
        <v>84.999999999999929</v>
      </c>
      <c r="G53" s="191">
        <v>0</v>
      </c>
      <c r="H53" s="191">
        <v>0</v>
      </c>
      <c r="I53" s="155">
        <f>SUM(C53:H53)</f>
        <v>209.99999999999994</v>
      </c>
      <c r="J53" s="156">
        <v>220</v>
      </c>
      <c r="K53" s="155"/>
      <c r="L53" s="155"/>
      <c r="M53" s="155"/>
      <c r="N53" s="155"/>
      <c r="P53" s="151" t="s">
        <v>65</v>
      </c>
      <c r="Q53" s="151">
        <f t="shared" si="3"/>
        <v>7.63606517714285</v>
      </c>
      <c r="R53" s="151">
        <f>$L$47/((1+$L$12)^10)</f>
        <v>2.9440336866939525</v>
      </c>
      <c r="S53" s="159"/>
      <c r="T53" s="159"/>
      <c r="U53" s="159"/>
    </row>
    <row r="54" spans="2:21" ht="15" customHeight="1" x14ac:dyDescent="0.25">
      <c r="B54" s="151" t="s">
        <v>15</v>
      </c>
      <c r="C54" s="191">
        <v>0</v>
      </c>
      <c r="D54" s="191">
        <v>0</v>
      </c>
      <c r="E54" s="191">
        <v>44.99999999999946</v>
      </c>
      <c r="F54" s="191">
        <v>0</v>
      </c>
      <c r="G54" s="191">
        <v>124.99999999999999</v>
      </c>
      <c r="H54" s="191">
        <v>0</v>
      </c>
      <c r="I54" s="155">
        <f>SUM(C54:H54)</f>
        <v>169.99999999999943</v>
      </c>
      <c r="J54" s="156">
        <v>200</v>
      </c>
      <c r="K54" s="155" t="s">
        <v>48</v>
      </c>
      <c r="L54" s="155" t="s">
        <v>23</v>
      </c>
      <c r="M54" s="155" t="s">
        <v>323</v>
      </c>
      <c r="N54" s="155" t="s">
        <v>324</v>
      </c>
      <c r="P54" s="151" t="s">
        <v>66</v>
      </c>
      <c r="Q54" s="151">
        <f t="shared" si="3"/>
        <v>7.63606517714285</v>
      </c>
      <c r="R54" s="151">
        <f>$L$47/((1+$L$12)^11)</f>
        <v>2.6763942606308655</v>
      </c>
      <c r="S54" s="159"/>
      <c r="T54" s="159"/>
      <c r="U54" s="159"/>
    </row>
    <row r="55" spans="2:21" ht="15" customHeight="1" x14ac:dyDescent="0.25">
      <c r="B55" s="190" t="s">
        <v>16</v>
      </c>
      <c r="C55" s="191">
        <v>0</v>
      </c>
      <c r="D55" s="191">
        <v>89.999999999999957</v>
      </c>
      <c r="E55" s="191">
        <v>15.000000000000529</v>
      </c>
      <c r="F55" s="191">
        <v>0</v>
      </c>
      <c r="G55" s="191">
        <v>0</v>
      </c>
      <c r="H55" s="191">
        <v>14.999999999999986</v>
      </c>
      <c r="I55" s="155">
        <f>SUM(C55:H55)</f>
        <v>120.00000000000047</v>
      </c>
      <c r="J55" s="156">
        <f>70*(K25+K40+K55)+50*L55</f>
        <v>120</v>
      </c>
      <c r="K55" s="191">
        <v>0</v>
      </c>
      <c r="L55" s="191">
        <v>1</v>
      </c>
      <c r="M55" s="152">
        <f t="shared" ref="M55:N57" si="4">K25+K40+K55</f>
        <v>1</v>
      </c>
      <c r="N55" s="152">
        <f t="shared" si="4"/>
        <v>1</v>
      </c>
      <c r="P55" s="151" t="s">
        <v>67</v>
      </c>
      <c r="Q55" s="151">
        <f t="shared" si="3"/>
        <v>7.63606517714285</v>
      </c>
      <c r="R55" s="151">
        <f>$L$47/((1+$L$12)^12)</f>
        <v>2.4330856914826051</v>
      </c>
      <c r="S55" s="159"/>
      <c r="T55" s="159"/>
      <c r="U55" s="159"/>
    </row>
    <row r="56" spans="2:21" ht="15" customHeight="1" x14ac:dyDescent="0.25">
      <c r="B56" s="190" t="s">
        <v>17</v>
      </c>
      <c r="C56" s="191">
        <v>0</v>
      </c>
      <c r="D56" s="191">
        <v>0</v>
      </c>
      <c r="E56" s="191">
        <v>0</v>
      </c>
      <c r="F56" s="191">
        <v>0</v>
      </c>
      <c r="G56" s="191">
        <v>0</v>
      </c>
      <c r="H56" s="191">
        <v>0</v>
      </c>
      <c r="I56" s="155">
        <f>SUM(C56:H56)</f>
        <v>0</v>
      </c>
      <c r="J56" s="156">
        <f>70*(K26+K41+K56)+50*L56</f>
        <v>0</v>
      </c>
      <c r="K56" s="191">
        <v>0</v>
      </c>
      <c r="L56" s="191">
        <v>0</v>
      </c>
      <c r="M56" s="152">
        <f t="shared" si="4"/>
        <v>0</v>
      </c>
      <c r="N56" s="152">
        <f t="shared" si="4"/>
        <v>0</v>
      </c>
      <c r="P56" s="151" t="s">
        <v>68</v>
      </c>
      <c r="Q56" s="151">
        <f t="shared" si="3"/>
        <v>7.63606517714285</v>
      </c>
      <c r="R56" s="151">
        <f>$L$47/((1+$L$12)^13)</f>
        <v>2.2118960831660046</v>
      </c>
      <c r="S56" s="159"/>
      <c r="T56" s="159"/>
      <c r="U56" s="159"/>
    </row>
    <row r="57" spans="2:21" ht="15" customHeight="1" x14ac:dyDescent="0.25">
      <c r="B57" s="190" t="s">
        <v>18</v>
      </c>
      <c r="C57" s="191">
        <v>0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I57" s="155">
        <f>SUM(C57:H57)</f>
        <v>0</v>
      </c>
      <c r="J57" s="156">
        <f>70*(K27+K42+K57)+50*L57</f>
        <v>0</v>
      </c>
      <c r="K57" s="191">
        <v>0</v>
      </c>
      <c r="L57" s="191">
        <v>0</v>
      </c>
      <c r="M57" s="152">
        <f t="shared" si="4"/>
        <v>0</v>
      </c>
      <c r="N57" s="152">
        <f t="shared" si="4"/>
        <v>0</v>
      </c>
      <c r="P57" s="151" t="s">
        <v>69</v>
      </c>
      <c r="Q57" s="151">
        <f t="shared" si="3"/>
        <v>7.63606517714285</v>
      </c>
      <c r="R57" s="151">
        <f>$L$47/((1+$L$12)^14)</f>
        <v>2.0108146210600037</v>
      </c>
      <c r="S57" s="159"/>
      <c r="T57" s="159"/>
      <c r="U57" s="159"/>
    </row>
    <row r="58" spans="2:21" ht="15" customHeight="1" x14ac:dyDescent="0.25">
      <c r="B58" s="151" t="s">
        <v>78</v>
      </c>
      <c r="C58" s="155">
        <f t="shared" ref="C58:H58" si="5">SUM(C53:C57)</f>
        <v>125</v>
      </c>
      <c r="D58" s="155">
        <f t="shared" si="5"/>
        <v>89.999999999999957</v>
      </c>
      <c r="E58" s="155">
        <f t="shared" si="5"/>
        <v>59.999999999999986</v>
      </c>
      <c r="F58" s="155">
        <f t="shared" si="5"/>
        <v>84.999999999999929</v>
      </c>
      <c r="G58" s="155">
        <f t="shared" si="5"/>
        <v>124.99999999999999</v>
      </c>
      <c r="H58" s="155">
        <f t="shared" si="5"/>
        <v>14.999999999999986</v>
      </c>
      <c r="I58" s="155"/>
      <c r="J58" s="155"/>
      <c r="K58" s="155"/>
      <c r="L58" s="155"/>
      <c r="M58" s="155"/>
      <c r="N58" s="155"/>
      <c r="P58" s="151" t="s">
        <v>70</v>
      </c>
      <c r="Q58" s="151">
        <f t="shared" si="3"/>
        <v>7.63606517714285</v>
      </c>
      <c r="R58" s="151">
        <f>$L$47/((1+$L$12)^15)</f>
        <v>1.8280132918727305</v>
      </c>
      <c r="S58" s="159"/>
      <c r="T58" s="159"/>
      <c r="U58" s="159"/>
    </row>
    <row r="59" spans="2:21" ht="15" customHeight="1" x14ac:dyDescent="0.25">
      <c r="B59" s="151" t="s">
        <v>57</v>
      </c>
      <c r="C59" s="156">
        <v>125</v>
      </c>
      <c r="D59" s="156">
        <v>90</v>
      </c>
      <c r="E59" s="156">
        <v>60</v>
      </c>
      <c r="F59" s="156">
        <v>85</v>
      </c>
      <c r="G59" s="156">
        <v>125</v>
      </c>
      <c r="H59" s="156">
        <v>15</v>
      </c>
      <c r="I59" s="155"/>
      <c r="J59" s="155"/>
      <c r="K59" s="155"/>
      <c r="L59" s="155"/>
      <c r="M59" s="155"/>
      <c r="N59" s="155"/>
      <c r="P59" s="151" t="s">
        <v>71</v>
      </c>
      <c r="Q59" s="151">
        <f t="shared" si="3"/>
        <v>7.63606517714285</v>
      </c>
      <c r="R59" s="151">
        <f>$L$47/((1+$L$12)^16)</f>
        <v>1.6618302653388459</v>
      </c>
      <c r="S59" s="159"/>
      <c r="T59" s="159"/>
      <c r="U59" s="159"/>
    </row>
    <row r="60" spans="2:21" ht="15" customHeight="1" x14ac:dyDescent="0.25">
      <c r="B60" s="159"/>
      <c r="C60" s="160"/>
      <c r="D60" s="160"/>
      <c r="E60" s="160"/>
      <c r="F60" s="160"/>
      <c r="G60" s="160"/>
      <c r="H60" s="193"/>
      <c r="I60" s="159"/>
      <c r="J60" s="159"/>
      <c r="K60" s="159"/>
      <c r="L60" s="159"/>
      <c r="M60" s="159"/>
      <c r="P60" s="151" t="s">
        <v>72</v>
      </c>
      <c r="Q60" s="151">
        <f t="shared" si="3"/>
        <v>7.63606517714285</v>
      </c>
      <c r="R60" s="151">
        <f>$L$47/((1+$L$12)^17)</f>
        <v>1.5107547866716782</v>
      </c>
      <c r="S60" s="159"/>
      <c r="T60" s="159"/>
      <c r="U60" s="159"/>
    </row>
    <row r="61" spans="2:21" ht="15" customHeight="1" x14ac:dyDescent="0.25">
      <c r="B61" s="161"/>
      <c r="C61" s="159"/>
      <c r="D61" s="159"/>
      <c r="E61" s="159"/>
      <c r="F61" s="159"/>
      <c r="P61" s="151" t="s">
        <v>73</v>
      </c>
      <c r="Q61" s="151">
        <f t="shared" si="3"/>
        <v>7.63606517714285</v>
      </c>
      <c r="R61" s="151">
        <f>$L$47/((1+$L$12)^18)</f>
        <v>1.3734134424287983</v>
      </c>
      <c r="S61" s="159"/>
      <c r="T61" s="159"/>
      <c r="U61" s="159"/>
    </row>
    <row r="62" spans="2:21" ht="15" customHeight="1" x14ac:dyDescent="0.25">
      <c r="B62" s="159"/>
      <c r="C62" s="159"/>
      <c r="D62" s="159"/>
      <c r="E62" s="159"/>
      <c r="F62" s="159"/>
      <c r="P62" s="151" t="s">
        <v>74</v>
      </c>
      <c r="Q62" s="151">
        <f t="shared" si="3"/>
        <v>7.63606517714285</v>
      </c>
      <c r="R62" s="151">
        <f>$L$47/((1+$L$12)^19)</f>
        <v>1.2485576749352707</v>
      </c>
      <c r="S62" s="159"/>
      <c r="T62" s="159"/>
      <c r="U62" s="159"/>
    </row>
    <row r="63" spans="2:21" ht="15" customHeight="1" x14ac:dyDescent="0.25">
      <c r="B63" s="159"/>
      <c r="C63" s="159"/>
      <c r="D63" s="159"/>
      <c r="E63" s="159"/>
      <c r="F63" s="159"/>
      <c r="N63" s="159"/>
      <c r="P63" s="151" t="s">
        <v>75</v>
      </c>
      <c r="Q63" s="151">
        <f t="shared" si="3"/>
        <v>7.63606517714285</v>
      </c>
      <c r="R63" s="151">
        <f>$L$47/((1+$L$12)^20)</f>
        <v>1.1350524317593371</v>
      </c>
      <c r="S63" s="159"/>
      <c r="T63" s="159"/>
      <c r="U63" s="159"/>
    </row>
    <row r="64" spans="2:21" ht="15" customHeight="1" x14ac:dyDescent="0.25">
      <c r="B64" s="159"/>
      <c r="C64" s="159"/>
      <c r="D64" s="159"/>
      <c r="E64" s="159"/>
      <c r="F64" s="159"/>
      <c r="S64" s="159"/>
      <c r="T64" s="159"/>
      <c r="U64" s="159"/>
    </row>
    <row r="65" spans="2:19" ht="15" customHeight="1" x14ac:dyDescent="0.25">
      <c r="B65" s="159"/>
      <c r="C65" s="159"/>
      <c r="D65" s="159"/>
      <c r="E65" s="159"/>
      <c r="F65" s="159"/>
      <c r="S65" s="159"/>
    </row>
    <row r="66" spans="2:19" ht="15" customHeight="1" x14ac:dyDescent="0.25">
      <c r="B66" s="159"/>
      <c r="C66" s="159"/>
      <c r="D66" s="159"/>
      <c r="E66" s="159"/>
      <c r="F66" s="159"/>
      <c r="S66" s="159"/>
    </row>
    <row r="67" spans="2:19" ht="15" customHeight="1" x14ac:dyDescent="0.25">
      <c r="B67" s="159"/>
      <c r="C67" s="159"/>
      <c r="D67" s="159"/>
      <c r="E67" s="159"/>
      <c r="F67" s="159"/>
      <c r="S67" s="159"/>
    </row>
    <row r="68" spans="2:19" ht="15" customHeight="1" x14ac:dyDescent="0.25">
      <c r="B68" s="159"/>
      <c r="C68" s="159"/>
      <c r="D68" s="159"/>
      <c r="E68" s="159"/>
      <c r="F68" s="159"/>
    </row>
    <row r="69" spans="2:19" ht="15" customHeight="1" x14ac:dyDescent="0.25">
      <c r="B69" s="159"/>
      <c r="C69" s="159"/>
      <c r="D69" s="159"/>
      <c r="E69" s="159"/>
      <c r="F69" s="159"/>
    </row>
    <row r="70" spans="2:19" ht="15" customHeight="1" x14ac:dyDescent="0.25">
      <c r="B70" s="159"/>
      <c r="C70" s="159"/>
      <c r="D70" s="159"/>
      <c r="E70" s="159"/>
      <c r="F70" s="159"/>
    </row>
    <row r="71" spans="2:19" ht="15" customHeight="1" x14ac:dyDescent="0.25">
      <c r="B71" s="159"/>
      <c r="C71" s="159"/>
      <c r="D71" s="159"/>
      <c r="E71" s="159"/>
      <c r="F71" s="159"/>
    </row>
    <row r="72" spans="2:19" ht="15" customHeight="1" x14ac:dyDescent="0.25">
      <c r="B72" s="159"/>
      <c r="C72" s="159"/>
      <c r="D72" s="159"/>
      <c r="E72" s="159"/>
      <c r="F72" s="159"/>
    </row>
    <row r="73" spans="2:19" ht="15" customHeight="1" x14ac:dyDescent="0.25">
      <c r="B73" s="159"/>
      <c r="C73" s="159"/>
      <c r="D73" s="159"/>
      <c r="E73" s="159"/>
      <c r="F73" s="159"/>
    </row>
    <row r="74" spans="2:19" ht="15" customHeight="1" x14ac:dyDescent="0.25">
      <c r="B74" s="159"/>
      <c r="C74" s="159"/>
      <c r="D74" s="159"/>
      <c r="E74" s="159"/>
      <c r="F74" s="159"/>
    </row>
    <row r="75" spans="2:19" ht="15" customHeight="1" x14ac:dyDescent="0.25">
      <c r="B75" s="159"/>
      <c r="C75" s="159"/>
      <c r="D75" s="159"/>
      <c r="E75" s="159"/>
      <c r="F75" s="159"/>
    </row>
    <row r="76" spans="2:19" ht="15" customHeight="1" x14ac:dyDescent="0.25">
      <c r="B76" s="159"/>
      <c r="C76" s="159"/>
      <c r="D76" s="159"/>
      <c r="E76" s="159"/>
      <c r="F76" s="159"/>
    </row>
    <row r="77" spans="2:19" ht="15" customHeight="1" x14ac:dyDescent="0.25">
      <c r="B77" s="159"/>
      <c r="C77" s="159"/>
      <c r="D77" s="159"/>
      <c r="E77" s="159"/>
      <c r="F77" s="159"/>
    </row>
    <row r="78" spans="2:19" ht="15" customHeight="1" x14ac:dyDescent="0.25">
      <c r="B78" s="159"/>
      <c r="C78" s="159"/>
      <c r="D78" s="159"/>
      <c r="E78" s="159"/>
      <c r="F78" s="159"/>
    </row>
    <row r="79" spans="2:19" ht="15" customHeight="1" x14ac:dyDescent="0.25">
      <c r="B79" s="159"/>
      <c r="C79" s="159"/>
      <c r="D79" s="159"/>
      <c r="E79" s="159"/>
      <c r="F79" s="159"/>
    </row>
    <row r="80" spans="2:19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22">
    <mergeCell ref="B2:G2"/>
    <mergeCell ref="B8:H8"/>
    <mergeCell ref="J8:K8"/>
    <mergeCell ref="B16:L16"/>
    <mergeCell ref="J12:K12"/>
    <mergeCell ref="J13:K13"/>
    <mergeCell ref="B31:N31"/>
    <mergeCell ref="B46:N46"/>
    <mergeCell ref="N2:S2"/>
    <mergeCell ref="N4:S4"/>
    <mergeCell ref="N3:S3"/>
    <mergeCell ref="N5:S5"/>
    <mergeCell ref="N15:S15"/>
    <mergeCell ref="N6:S6"/>
    <mergeCell ref="N7:S7"/>
    <mergeCell ref="N8:S8"/>
    <mergeCell ref="N12:S12"/>
    <mergeCell ref="N13:S13"/>
    <mergeCell ref="N14:S14"/>
    <mergeCell ref="N11:S11"/>
    <mergeCell ref="N10:S10"/>
    <mergeCell ref="N9:S9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00"/>
  <sheetViews>
    <sheetView zoomScaleNormal="100" workbookViewId="0"/>
  </sheetViews>
  <sheetFormatPr defaultRowHeight="12.5" x14ac:dyDescent="0.25"/>
  <cols>
    <col min="1" max="1" width="2.6328125" style="150" customWidth="1"/>
    <col min="2" max="2" width="11.6328125" style="150" bestFit="1" customWidth="1"/>
    <col min="3" max="3" width="7" style="150" bestFit="1" customWidth="1"/>
    <col min="4" max="4" width="6.453125" style="150" bestFit="1" customWidth="1"/>
    <col min="5" max="5" width="6.7265625" style="150" bestFit="1" customWidth="1"/>
    <col min="6" max="6" width="7.453125" style="150" bestFit="1" customWidth="1"/>
    <col min="7" max="7" width="6.81640625" style="150" bestFit="1" customWidth="1"/>
    <col min="8" max="8" width="11.6328125" style="150" bestFit="1" customWidth="1"/>
    <col min="9" max="10" width="9" style="150" bestFit="1" customWidth="1"/>
    <col min="11" max="11" width="11.6328125" style="150" bestFit="1" customWidth="1"/>
    <col min="12" max="12" width="8.90625" style="150" bestFit="1" customWidth="1"/>
    <col min="13" max="13" width="9.26953125" style="150" customWidth="1"/>
    <col min="14" max="14" width="11.08984375" style="150" bestFit="1" customWidth="1"/>
    <col min="15" max="15" width="4.6328125" style="150" customWidth="1"/>
    <col min="16" max="16" width="7.26953125" style="150" bestFit="1" customWidth="1"/>
    <col min="17" max="17" width="11.453125" style="150" bestFit="1" customWidth="1"/>
    <col min="18" max="18" width="11.6328125" style="150" customWidth="1"/>
    <col min="19" max="19" width="13.54296875" style="150" customWidth="1"/>
    <col min="20" max="20" width="11.7265625" style="150" customWidth="1"/>
    <col min="21" max="16384" width="8.7265625" style="150"/>
  </cols>
  <sheetData>
    <row r="1" spans="2:19" ht="12" customHeight="1" x14ac:dyDescent="0.25"/>
    <row r="2" spans="2:19" ht="15" customHeight="1" x14ac:dyDescent="0.25">
      <c r="B2" s="219" t="s">
        <v>320</v>
      </c>
      <c r="C2" s="220"/>
      <c r="D2" s="220"/>
      <c r="E2" s="220"/>
      <c r="F2" s="220"/>
      <c r="G2" s="221"/>
      <c r="J2" s="151" t="s">
        <v>58</v>
      </c>
      <c r="K2" s="151" t="s">
        <v>48</v>
      </c>
      <c r="L2" s="151" t="s">
        <v>49</v>
      </c>
      <c r="N2" s="222" t="s">
        <v>88</v>
      </c>
      <c r="O2" s="222"/>
      <c r="P2" s="222"/>
      <c r="Q2" s="222"/>
      <c r="R2" s="222"/>
      <c r="S2" s="222"/>
    </row>
    <row r="3" spans="2:19" ht="15" customHeight="1" x14ac:dyDescent="0.25">
      <c r="B3" s="151"/>
      <c r="C3" s="151" t="s">
        <v>14</v>
      </c>
      <c r="D3" s="151" t="s">
        <v>15</v>
      </c>
      <c r="E3" s="190" t="s">
        <v>16</v>
      </c>
      <c r="F3" s="190" t="s">
        <v>17</v>
      </c>
      <c r="G3" s="190" t="s">
        <v>18</v>
      </c>
      <c r="J3" s="151" t="s">
        <v>16</v>
      </c>
      <c r="K3" s="152">
        <v>75</v>
      </c>
      <c r="L3" s="152">
        <v>30</v>
      </c>
      <c r="N3" s="223" t="s">
        <v>416</v>
      </c>
      <c r="O3" s="224"/>
      <c r="P3" s="224"/>
      <c r="Q3" s="224"/>
      <c r="R3" s="224"/>
      <c r="S3" s="225"/>
    </row>
    <row r="4" spans="2:19" ht="15" customHeight="1" x14ac:dyDescent="0.25">
      <c r="B4" s="151" t="s">
        <v>10</v>
      </c>
      <c r="C4" s="153">
        <v>2.64374E-2</v>
      </c>
      <c r="D4" s="153">
        <v>1.6686399999999997E-2</v>
      </c>
      <c r="E4" s="153">
        <v>1.9920400000000001E-2</v>
      </c>
      <c r="F4" s="153">
        <v>1.9185400000000002E-2</v>
      </c>
      <c r="G4" s="153">
        <v>3.2170400000000002E-2</v>
      </c>
      <c r="J4" s="151" t="s">
        <v>17</v>
      </c>
      <c r="K4" s="152">
        <v>70</v>
      </c>
      <c r="L4" s="152">
        <v>27</v>
      </c>
      <c r="N4" s="222" t="s">
        <v>93</v>
      </c>
      <c r="O4" s="222"/>
      <c r="P4" s="222"/>
      <c r="Q4" s="222"/>
      <c r="R4" s="222"/>
      <c r="S4" s="222"/>
    </row>
    <row r="5" spans="2:19" ht="15" customHeight="1" x14ac:dyDescent="0.25">
      <c r="B5" s="151" t="s">
        <v>19</v>
      </c>
      <c r="C5" s="153">
        <v>3.6825400000000001E-2</v>
      </c>
      <c r="D5" s="153">
        <v>1.6735400000000001E-2</v>
      </c>
      <c r="E5" s="153">
        <v>3.0847400000000001E-2</v>
      </c>
      <c r="F5" s="153">
        <v>2.9573399999999996E-2</v>
      </c>
      <c r="G5" s="153">
        <v>2.1537399999999998E-2</v>
      </c>
      <c r="J5" s="151" t="s">
        <v>18</v>
      </c>
      <c r="K5" s="152">
        <v>68</v>
      </c>
      <c r="L5" s="152">
        <v>25</v>
      </c>
      <c r="N5" s="223" t="s">
        <v>328</v>
      </c>
      <c r="O5" s="224"/>
      <c r="P5" s="224"/>
      <c r="Q5" s="224"/>
      <c r="R5" s="224"/>
      <c r="S5" s="225"/>
    </row>
    <row r="6" spans="2:19" ht="15" customHeight="1" x14ac:dyDescent="0.25">
      <c r="B6" s="151" t="s">
        <v>20</v>
      </c>
      <c r="C6" s="153">
        <v>3.1778399999999998E-2</v>
      </c>
      <c r="D6" s="153">
        <v>3.2513400000000005E-2</v>
      </c>
      <c r="E6" s="153">
        <v>4.0934000000000005E-3</v>
      </c>
      <c r="F6" s="153">
        <v>2.7613399999999996E-2</v>
      </c>
      <c r="G6" s="153">
        <v>4.799740000000001E-2</v>
      </c>
      <c r="N6" s="223" t="s">
        <v>329</v>
      </c>
      <c r="O6" s="224"/>
      <c r="P6" s="224"/>
      <c r="Q6" s="224"/>
      <c r="R6" s="224"/>
      <c r="S6" s="225"/>
    </row>
    <row r="7" spans="2:19" ht="15" customHeight="1" x14ac:dyDescent="0.25">
      <c r="N7" s="223" t="s">
        <v>331</v>
      </c>
      <c r="O7" s="224"/>
      <c r="P7" s="224"/>
      <c r="Q7" s="224"/>
      <c r="R7" s="224"/>
      <c r="S7" s="225"/>
    </row>
    <row r="8" spans="2:19" ht="15" customHeight="1" x14ac:dyDescent="0.25">
      <c r="B8" s="219" t="s">
        <v>319</v>
      </c>
      <c r="C8" s="220"/>
      <c r="D8" s="220"/>
      <c r="E8" s="220"/>
      <c r="F8" s="220"/>
      <c r="G8" s="220"/>
      <c r="H8" s="221"/>
      <c r="J8" s="219" t="s">
        <v>327</v>
      </c>
      <c r="K8" s="221"/>
      <c r="N8" s="223" t="s">
        <v>330</v>
      </c>
      <c r="O8" s="224"/>
      <c r="P8" s="224"/>
      <c r="Q8" s="224"/>
      <c r="R8" s="224"/>
      <c r="S8" s="225"/>
    </row>
    <row r="9" spans="2:19" ht="15" customHeight="1" x14ac:dyDescent="0.25">
      <c r="B9" s="151"/>
      <c r="C9" s="151" t="s">
        <v>14</v>
      </c>
      <c r="D9" s="151" t="s">
        <v>16</v>
      </c>
      <c r="E9" s="151" t="s">
        <v>32</v>
      </c>
      <c r="F9" s="151" t="s">
        <v>33</v>
      </c>
      <c r="G9" s="151" t="s">
        <v>34</v>
      </c>
      <c r="H9" s="151" t="s">
        <v>35</v>
      </c>
      <c r="J9" s="151" t="s">
        <v>30</v>
      </c>
      <c r="K9" s="153">
        <v>8.3333333333333339</v>
      </c>
      <c r="N9" s="223" t="s">
        <v>343</v>
      </c>
      <c r="O9" s="224"/>
      <c r="P9" s="224"/>
      <c r="Q9" s="224"/>
      <c r="R9" s="224"/>
      <c r="S9" s="225"/>
    </row>
    <row r="10" spans="2:19" ht="15" customHeight="1" x14ac:dyDescent="0.25">
      <c r="B10" s="151" t="s">
        <v>14</v>
      </c>
      <c r="C10" s="152">
        <v>0</v>
      </c>
      <c r="D10" s="153">
        <v>4.0357142857142855E-2</v>
      </c>
      <c r="E10" s="153">
        <v>5.171428571428572E-2</v>
      </c>
      <c r="F10" s="153">
        <v>1.7357142857142859E-2</v>
      </c>
      <c r="G10" s="153">
        <v>5.5142857142857146E-2</v>
      </c>
      <c r="H10" s="153">
        <v>4.1857142857142857E-2</v>
      </c>
      <c r="J10" s="151" t="s">
        <v>36</v>
      </c>
      <c r="K10" s="153">
        <v>9.0909090909090917</v>
      </c>
      <c r="N10" s="223" t="s">
        <v>342</v>
      </c>
      <c r="O10" s="224"/>
      <c r="P10" s="224"/>
      <c r="Q10" s="224"/>
      <c r="R10" s="224"/>
      <c r="S10" s="225"/>
    </row>
    <row r="11" spans="2:19" ht="15" customHeight="1" x14ac:dyDescent="0.25">
      <c r="B11" s="151" t="s">
        <v>15</v>
      </c>
      <c r="C11" s="153">
        <v>3.2357142857142862E-2</v>
      </c>
      <c r="D11" s="153">
        <v>4.1428571428571426E-2</v>
      </c>
      <c r="E11" s="153">
        <v>3.892857142857143E-2</v>
      </c>
      <c r="F11" s="153">
        <v>2.7285714285714285E-2</v>
      </c>
      <c r="G11" s="153">
        <v>2.2785714285714288E-2</v>
      </c>
      <c r="H11" s="153">
        <v>4.2928571428571427E-2</v>
      </c>
      <c r="N11" s="226" t="s">
        <v>344</v>
      </c>
      <c r="O11" s="227"/>
      <c r="P11" s="227"/>
      <c r="Q11" s="227"/>
      <c r="R11" s="227"/>
      <c r="S11" s="228"/>
    </row>
    <row r="12" spans="2:19" ht="15" customHeight="1" x14ac:dyDescent="0.25">
      <c r="B12" s="190" t="s">
        <v>16</v>
      </c>
      <c r="C12" s="153">
        <v>4.0357142857142855E-2</v>
      </c>
      <c r="D12" s="152">
        <v>0</v>
      </c>
      <c r="E12" s="153">
        <v>3.1785714285714285E-2</v>
      </c>
      <c r="F12" s="153">
        <v>2.3E-2</v>
      </c>
      <c r="G12" s="153">
        <v>6.192857142857143E-2</v>
      </c>
      <c r="H12" s="153">
        <v>1.5E-3</v>
      </c>
      <c r="J12" s="234" t="s">
        <v>321</v>
      </c>
      <c r="K12" s="234"/>
      <c r="L12" s="195">
        <v>4.1799999999999997E-2</v>
      </c>
      <c r="N12" s="222" t="s">
        <v>413</v>
      </c>
      <c r="O12" s="222"/>
      <c r="P12" s="222"/>
      <c r="Q12" s="222"/>
      <c r="R12" s="222"/>
      <c r="S12" s="222"/>
    </row>
    <row r="13" spans="2:19" ht="15" customHeight="1" x14ac:dyDescent="0.25">
      <c r="B13" s="190" t="s">
        <v>17</v>
      </c>
      <c r="C13" s="153">
        <v>1.0571428571428572E-2</v>
      </c>
      <c r="D13" s="153">
        <v>3.4285714285714287E-2</v>
      </c>
      <c r="E13" s="153">
        <v>4.1142857142857148E-2</v>
      </c>
      <c r="F13" s="153">
        <v>1.1285714285714286E-2</v>
      </c>
      <c r="G13" s="153">
        <v>4.4571428571428574E-2</v>
      </c>
      <c r="H13" s="153">
        <v>3.5785714285714289E-2</v>
      </c>
      <c r="J13" s="234" t="s">
        <v>345</v>
      </c>
      <c r="K13" s="234"/>
      <c r="L13" s="151">
        <f>NPV(L12,L19,L34,L49,Q47:Q63)</f>
        <v>200.16411678598388</v>
      </c>
      <c r="N13" s="223" t="s">
        <v>417</v>
      </c>
      <c r="O13" s="224"/>
      <c r="P13" s="224"/>
      <c r="Q13" s="224"/>
      <c r="R13" s="224"/>
      <c r="S13" s="225"/>
    </row>
    <row r="14" spans="2:19" ht="15" customHeight="1" x14ac:dyDescent="0.25">
      <c r="B14" s="190" t="s">
        <v>18</v>
      </c>
      <c r="C14" s="153">
        <v>6.7071428571428574E-2</v>
      </c>
      <c r="D14" s="153">
        <v>6.4000000000000001E-2</v>
      </c>
      <c r="E14" s="153">
        <v>3.9714285714285716E-2</v>
      </c>
      <c r="F14" s="153">
        <v>5.9785714285714289E-2</v>
      </c>
      <c r="G14" s="153">
        <v>2.3785714285714285E-2</v>
      </c>
      <c r="H14" s="153">
        <v>6.5500000000000003E-2</v>
      </c>
      <c r="J14" s="224"/>
      <c r="K14" s="224"/>
      <c r="L14" s="159"/>
      <c r="N14" s="223" t="s">
        <v>418</v>
      </c>
      <c r="O14" s="224"/>
      <c r="P14" s="224"/>
      <c r="Q14" s="224"/>
      <c r="R14" s="224"/>
      <c r="S14" s="225"/>
    </row>
    <row r="15" spans="2:19" ht="15" customHeight="1" x14ac:dyDescent="0.25">
      <c r="N15" s="226" t="s">
        <v>419</v>
      </c>
      <c r="O15" s="227"/>
      <c r="P15" s="227"/>
      <c r="Q15" s="227"/>
      <c r="R15" s="227"/>
      <c r="S15" s="228"/>
    </row>
    <row r="16" spans="2:19" ht="15" customHeight="1" x14ac:dyDescent="0.25">
      <c r="B16" s="232" t="s">
        <v>42</v>
      </c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159"/>
    </row>
    <row r="17" spans="2:19" ht="15" customHeight="1" x14ac:dyDescent="0.25">
      <c r="B17" s="151"/>
      <c r="C17" s="151" t="s">
        <v>14</v>
      </c>
      <c r="D17" s="151" t="s">
        <v>15</v>
      </c>
      <c r="E17" s="190" t="s">
        <v>16</v>
      </c>
      <c r="F17" s="190" t="s">
        <v>17</v>
      </c>
      <c r="G17" s="190" t="s">
        <v>18</v>
      </c>
      <c r="H17" s="151" t="s">
        <v>54</v>
      </c>
      <c r="I17" s="151" t="s">
        <v>53</v>
      </c>
      <c r="J17" s="151"/>
      <c r="K17" s="151" t="s">
        <v>79</v>
      </c>
      <c r="L17" s="151">
        <f>SUMPRODUCT($C$4:$G$6,C18:G20)+SUMPRODUCT($C$10:$H$14,C23:H27)</f>
        <v>6.9233027902857431</v>
      </c>
      <c r="M17" s="159"/>
      <c r="N17" s="231" t="s">
        <v>425</v>
      </c>
      <c r="O17" s="231"/>
      <c r="P17" s="231"/>
      <c r="Q17" s="231"/>
      <c r="R17" s="231"/>
      <c r="S17" s="185"/>
    </row>
    <row r="18" spans="2:19" ht="15" customHeight="1" x14ac:dyDescent="0.25">
      <c r="B18" s="151" t="s">
        <v>10</v>
      </c>
      <c r="C18" s="194">
        <v>19.559999999999977</v>
      </c>
      <c r="D18" s="194">
        <v>10.440000000000152</v>
      </c>
      <c r="E18" s="191">
        <v>0</v>
      </c>
      <c r="F18" s="191">
        <v>0</v>
      </c>
      <c r="G18" s="191">
        <v>0</v>
      </c>
      <c r="H18" s="155">
        <f>SUM(C18:G18)</f>
        <v>30.000000000000128</v>
      </c>
      <c r="I18" s="156">
        <v>30</v>
      </c>
      <c r="J18" s="151"/>
      <c r="K18" s="151" t="s">
        <v>58</v>
      </c>
      <c r="L18" s="155">
        <f>SUMPRODUCT(K25:K27,$K$3:$K$5)+SUMPRODUCT(L25:L27,$L$3:$L$5)</f>
        <v>75</v>
      </c>
      <c r="M18" s="159"/>
      <c r="N18" s="231"/>
      <c r="O18" s="231"/>
      <c r="P18" s="231"/>
      <c r="Q18" s="231"/>
      <c r="R18" s="231"/>
      <c r="S18" s="185"/>
    </row>
    <row r="19" spans="2:19" ht="15" customHeight="1" x14ac:dyDescent="0.25">
      <c r="B19" s="151" t="s">
        <v>19</v>
      </c>
      <c r="C19" s="191">
        <v>0</v>
      </c>
      <c r="D19" s="194">
        <v>9.8399999999999359</v>
      </c>
      <c r="E19" s="191">
        <v>0</v>
      </c>
      <c r="F19" s="191">
        <v>0</v>
      </c>
      <c r="G19" s="191">
        <v>0</v>
      </c>
      <c r="H19" s="157">
        <f>SUM(C19:G19)</f>
        <v>9.8399999999999359</v>
      </c>
      <c r="I19" s="156">
        <v>68</v>
      </c>
      <c r="J19" s="151"/>
      <c r="K19" s="151" t="s">
        <v>322</v>
      </c>
      <c r="L19" s="151">
        <f>SUM(L17:L18)</f>
        <v>81.923302790285746</v>
      </c>
      <c r="M19" s="159"/>
      <c r="N19" s="231"/>
      <c r="O19" s="231"/>
      <c r="P19" s="231"/>
      <c r="Q19" s="231"/>
      <c r="R19" s="231"/>
      <c r="S19" s="185"/>
    </row>
    <row r="20" spans="2:19" ht="15" customHeight="1" x14ac:dyDescent="0.25">
      <c r="B20" s="151" t="s">
        <v>20</v>
      </c>
      <c r="C20" s="191">
        <v>0</v>
      </c>
      <c r="D20" s="191">
        <v>0</v>
      </c>
      <c r="E20" s="191">
        <v>7.7000000000000606</v>
      </c>
      <c r="F20" s="191">
        <v>0</v>
      </c>
      <c r="G20" s="191">
        <v>0</v>
      </c>
      <c r="H20" s="155">
        <f>SUM(C20:G20)</f>
        <v>7.7000000000000606</v>
      </c>
      <c r="I20" s="156">
        <v>20</v>
      </c>
      <c r="J20" s="151"/>
      <c r="K20" s="151" t="s">
        <v>77</v>
      </c>
      <c r="L20" s="151">
        <f>L19/(1+L12)</f>
        <v>78.636305231604666</v>
      </c>
      <c r="M20" s="159"/>
      <c r="N20" s="232" t="s">
        <v>321</v>
      </c>
      <c r="O20" s="232"/>
      <c r="P20" s="232" t="s">
        <v>426</v>
      </c>
      <c r="Q20" s="232"/>
      <c r="R20" s="232"/>
      <c r="S20" s="185"/>
    </row>
    <row r="21" spans="2:19" ht="15" customHeight="1" x14ac:dyDescent="0.25">
      <c r="B21" s="151" t="s">
        <v>80</v>
      </c>
      <c r="C21" s="155">
        <f>(C18+C19)*$K$9+C20*$K$10</f>
        <v>162.99999999999983</v>
      </c>
      <c r="D21" s="155">
        <f>(D18+D19)*$K$9+D20*$K$10</f>
        <v>169.00000000000074</v>
      </c>
      <c r="E21" s="155">
        <f>(E18+E19)*$K$9+E20*$K$10</f>
        <v>70.000000000000554</v>
      </c>
      <c r="F21" s="155">
        <f>(F18+F19)*$K$9+F20*$K$10</f>
        <v>0</v>
      </c>
      <c r="G21" s="155">
        <f>(G18+G19)*$K$9+G20*$K$10</f>
        <v>0</v>
      </c>
      <c r="H21" s="151"/>
      <c r="I21" s="151"/>
      <c r="J21" s="151"/>
      <c r="K21" s="151"/>
      <c r="L21" s="151"/>
      <c r="M21" s="159"/>
      <c r="N21" s="233" t="s">
        <v>423</v>
      </c>
      <c r="O21" s="233"/>
      <c r="P21" s="232" t="s">
        <v>427</v>
      </c>
      <c r="Q21" s="232"/>
      <c r="R21" s="232"/>
      <c r="S21" s="159"/>
    </row>
    <row r="22" spans="2:19" ht="15" customHeight="1" x14ac:dyDescent="0.25">
      <c r="B22" s="151"/>
      <c r="C22" s="151" t="s">
        <v>14</v>
      </c>
      <c r="D22" s="151" t="s">
        <v>16</v>
      </c>
      <c r="E22" s="151" t="s">
        <v>32</v>
      </c>
      <c r="F22" s="151" t="s">
        <v>33</v>
      </c>
      <c r="G22" s="151" t="s">
        <v>34</v>
      </c>
      <c r="H22" s="151" t="s">
        <v>35</v>
      </c>
      <c r="I22" s="151" t="s">
        <v>55</v>
      </c>
      <c r="J22" s="151" t="s">
        <v>53</v>
      </c>
      <c r="K22" s="151"/>
      <c r="L22" s="151"/>
      <c r="M22" s="159"/>
      <c r="N22" s="232" t="s">
        <v>424</v>
      </c>
      <c r="O22" s="232"/>
      <c r="P22" s="232" t="s">
        <v>428</v>
      </c>
      <c r="Q22" s="232"/>
      <c r="R22" s="232"/>
    </row>
    <row r="23" spans="2:19" ht="15" customHeight="1" x14ac:dyDescent="0.25">
      <c r="B23" s="151" t="s">
        <v>14</v>
      </c>
      <c r="C23" s="191">
        <v>103.00000000000001</v>
      </c>
      <c r="D23" s="191">
        <v>0</v>
      </c>
      <c r="E23" s="191">
        <v>0</v>
      </c>
      <c r="F23" s="191">
        <v>59.999999999999886</v>
      </c>
      <c r="G23" s="191">
        <v>0</v>
      </c>
      <c r="H23" s="191">
        <v>0</v>
      </c>
      <c r="I23" s="155">
        <f>SUM(C23:H23)</f>
        <v>162.99999999999989</v>
      </c>
      <c r="J23" s="156">
        <v>220</v>
      </c>
      <c r="K23" s="151"/>
      <c r="L23" s="151"/>
      <c r="M23" s="159"/>
    </row>
    <row r="24" spans="2:19" ht="15" customHeight="1" x14ac:dyDescent="0.25">
      <c r="B24" s="151" t="s">
        <v>15</v>
      </c>
      <c r="C24" s="191">
        <v>0</v>
      </c>
      <c r="D24" s="191">
        <v>4.0000000000006448</v>
      </c>
      <c r="E24" s="191">
        <v>49.999999999999993</v>
      </c>
      <c r="F24" s="191">
        <v>0</v>
      </c>
      <c r="G24" s="191">
        <v>102.00000000000006</v>
      </c>
      <c r="H24" s="191">
        <v>13</v>
      </c>
      <c r="I24" s="155">
        <f>SUM(C24:H24)</f>
        <v>169.00000000000068</v>
      </c>
      <c r="J24" s="156">
        <v>200</v>
      </c>
      <c r="K24" s="151" t="s">
        <v>48</v>
      </c>
      <c r="L24" s="151" t="s">
        <v>23</v>
      </c>
      <c r="M24" s="184"/>
    </row>
    <row r="25" spans="2:19" ht="15" customHeight="1" x14ac:dyDescent="0.25">
      <c r="B25" s="190" t="s">
        <v>16</v>
      </c>
      <c r="C25" s="191">
        <v>0</v>
      </c>
      <c r="D25" s="191">
        <v>69.999999999999474</v>
      </c>
      <c r="E25" s="191">
        <v>0</v>
      </c>
      <c r="F25" s="191">
        <v>0</v>
      </c>
      <c r="G25" s="191">
        <v>0</v>
      </c>
      <c r="H25" s="191">
        <v>0</v>
      </c>
      <c r="I25" s="155">
        <f>SUM(C25:H25)</f>
        <v>69.999999999999474</v>
      </c>
      <c r="J25" s="156">
        <f>70*K25+50*L25</f>
        <v>70</v>
      </c>
      <c r="K25" s="191">
        <v>1</v>
      </c>
      <c r="L25" s="191">
        <v>0</v>
      </c>
      <c r="M25" s="184"/>
    </row>
    <row r="26" spans="2:19" ht="15" customHeight="1" x14ac:dyDescent="0.25">
      <c r="B26" s="190" t="s">
        <v>17</v>
      </c>
      <c r="C26" s="191">
        <v>0</v>
      </c>
      <c r="D26" s="191">
        <v>0</v>
      </c>
      <c r="E26" s="191">
        <v>0</v>
      </c>
      <c r="F26" s="191">
        <v>8.3908060874633425E-14</v>
      </c>
      <c r="G26" s="191">
        <v>0</v>
      </c>
      <c r="H26" s="191">
        <v>0</v>
      </c>
      <c r="I26" s="155">
        <f>SUM(C26:H26)</f>
        <v>8.3908060874633425E-14</v>
      </c>
      <c r="J26" s="156">
        <f>70*K26+50*L26</f>
        <v>0</v>
      </c>
      <c r="K26" s="191">
        <v>0</v>
      </c>
      <c r="L26" s="191">
        <v>0</v>
      </c>
      <c r="M26" s="159"/>
    </row>
    <row r="27" spans="2:19" ht="15" customHeight="1" x14ac:dyDescent="0.25">
      <c r="B27" s="190" t="s">
        <v>18</v>
      </c>
      <c r="C27" s="191">
        <v>0</v>
      </c>
      <c r="D27" s="191">
        <v>0</v>
      </c>
      <c r="E27" s="191">
        <v>3.3294002475615456E-14</v>
      </c>
      <c r="F27" s="191">
        <v>0</v>
      </c>
      <c r="G27" s="191">
        <v>0</v>
      </c>
      <c r="H27" s="191">
        <v>0</v>
      </c>
      <c r="I27" s="155">
        <f>SUM(C27:H27)</f>
        <v>3.3294002475615456E-14</v>
      </c>
      <c r="J27" s="156">
        <f>70*K27+50*L27</f>
        <v>0</v>
      </c>
      <c r="K27" s="191">
        <v>0</v>
      </c>
      <c r="L27" s="191">
        <v>0</v>
      </c>
      <c r="M27" s="159"/>
    </row>
    <row r="28" spans="2:19" ht="15" customHeight="1" x14ac:dyDescent="0.25">
      <c r="B28" s="151" t="s">
        <v>78</v>
      </c>
      <c r="C28" s="155">
        <f t="shared" ref="C28:H28" si="0">SUM(C23:C27)</f>
        <v>103.00000000000001</v>
      </c>
      <c r="D28" s="155">
        <f t="shared" si="0"/>
        <v>74.000000000000114</v>
      </c>
      <c r="E28" s="155">
        <f t="shared" si="0"/>
        <v>50.000000000000028</v>
      </c>
      <c r="F28" s="155">
        <f t="shared" si="0"/>
        <v>59.999999999999972</v>
      </c>
      <c r="G28" s="155">
        <f t="shared" si="0"/>
        <v>102.00000000000006</v>
      </c>
      <c r="H28" s="155">
        <f t="shared" si="0"/>
        <v>13</v>
      </c>
      <c r="I28" s="155"/>
      <c r="J28" s="151"/>
      <c r="K28" s="151"/>
      <c r="L28" s="151"/>
      <c r="M28" s="159"/>
    </row>
    <row r="29" spans="2:19" ht="15" customHeight="1" x14ac:dyDescent="0.25">
      <c r="B29" s="151" t="s">
        <v>57</v>
      </c>
      <c r="C29" s="156">
        <v>103</v>
      </c>
      <c r="D29" s="156">
        <v>74</v>
      </c>
      <c r="E29" s="156">
        <v>50</v>
      </c>
      <c r="F29" s="156">
        <v>60</v>
      </c>
      <c r="G29" s="156">
        <v>102</v>
      </c>
      <c r="H29" s="156">
        <v>13</v>
      </c>
      <c r="I29" s="155"/>
      <c r="J29" s="151"/>
      <c r="K29" s="151"/>
      <c r="L29" s="151"/>
      <c r="M29" s="159"/>
    </row>
    <row r="30" spans="2:19" ht="15" customHeight="1" x14ac:dyDescent="0.25"/>
    <row r="31" spans="2:19" ht="15" customHeight="1" x14ac:dyDescent="0.25">
      <c r="B31" s="219" t="s">
        <v>44</v>
      </c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1"/>
    </row>
    <row r="32" spans="2:19" ht="15" customHeight="1" x14ac:dyDescent="0.25">
      <c r="B32" s="151"/>
      <c r="C32" s="151" t="s">
        <v>14</v>
      </c>
      <c r="D32" s="151" t="s">
        <v>15</v>
      </c>
      <c r="E32" s="190" t="s">
        <v>16</v>
      </c>
      <c r="F32" s="190" t="s">
        <v>17</v>
      </c>
      <c r="G32" s="190" t="s">
        <v>18</v>
      </c>
      <c r="H32" s="151" t="s">
        <v>54</v>
      </c>
      <c r="I32" s="151" t="s">
        <v>53</v>
      </c>
      <c r="J32" s="151"/>
      <c r="K32" s="151" t="s">
        <v>79</v>
      </c>
      <c r="L32" s="151">
        <f>SUMPRODUCT($C$4:$G$6,C33:G35)+SUMPRODUCT($C$10:$H$14,C38:H42)</f>
        <v>7.8353671022857814</v>
      </c>
      <c r="M32" s="151"/>
      <c r="N32" s="151"/>
    </row>
    <row r="33" spans="2:21" ht="15" customHeight="1" x14ac:dyDescent="0.25">
      <c r="B33" s="151" t="s">
        <v>10</v>
      </c>
      <c r="C33" s="192">
        <v>22.19999999999991</v>
      </c>
      <c r="D33" s="192">
        <v>7.8000000000000727</v>
      </c>
      <c r="E33" s="191">
        <v>0</v>
      </c>
      <c r="F33" s="191">
        <v>1.4408426862558946E-14</v>
      </c>
      <c r="G33" s="191">
        <v>0</v>
      </c>
      <c r="H33" s="155">
        <f>SUM(C33:G33)</f>
        <v>29.999999999999996</v>
      </c>
      <c r="I33" s="156">
        <v>30</v>
      </c>
      <c r="J33" s="151"/>
      <c r="K33" s="151" t="s">
        <v>58</v>
      </c>
      <c r="L33" s="155">
        <f>SUMPRODUCT(K40:K42,$K$3:$K$5)+SUMPRODUCT(L40:L42,$L$3:$L$5)</f>
        <v>0</v>
      </c>
      <c r="M33" s="151"/>
      <c r="N33" s="151"/>
    </row>
    <row r="34" spans="2:21" ht="15" customHeight="1" x14ac:dyDescent="0.25">
      <c r="B34" s="151" t="s">
        <v>19</v>
      </c>
      <c r="C34" s="191">
        <v>0</v>
      </c>
      <c r="D34" s="194">
        <v>14.520000000000103</v>
      </c>
      <c r="E34" s="191">
        <v>0</v>
      </c>
      <c r="F34" s="191">
        <v>0</v>
      </c>
      <c r="G34" s="191">
        <v>0</v>
      </c>
      <c r="H34" s="157">
        <f>SUM(C34:G34)</f>
        <v>14.520000000000103</v>
      </c>
      <c r="I34" s="156">
        <v>68</v>
      </c>
      <c r="J34" s="151"/>
      <c r="K34" s="151" t="s">
        <v>322</v>
      </c>
      <c r="L34" s="151">
        <f>SUM(L32:L33)</f>
        <v>7.8353671022857814</v>
      </c>
      <c r="M34" s="151"/>
      <c r="N34" s="151"/>
    </row>
    <row r="35" spans="2:21" ht="15" customHeight="1" x14ac:dyDescent="0.25">
      <c r="B35" s="151" t="s">
        <v>20</v>
      </c>
      <c r="C35" s="191">
        <v>0</v>
      </c>
      <c r="D35" s="191">
        <v>0</v>
      </c>
      <c r="E35" s="192">
        <v>7.6999999999999096</v>
      </c>
      <c r="F35" s="191">
        <v>0</v>
      </c>
      <c r="G35" s="191">
        <v>0</v>
      </c>
      <c r="H35" s="158">
        <f>SUM(C35:G35)</f>
        <v>7.6999999999999096</v>
      </c>
      <c r="I35" s="156">
        <v>20</v>
      </c>
      <c r="J35" s="151"/>
      <c r="K35" s="151" t="s">
        <v>77</v>
      </c>
      <c r="L35" s="151">
        <f>L34/((1+L12)^2)</f>
        <v>7.2192260813099596</v>
      </c>
      <c r="M35" s="151"/>
      <c r="N35" s="151"/>
    </row>
    <row r="36" spans="2:21" ht="15" customHeight="1" x14ac:dyDescent="0.25">
      <c r="B36" s="151" t="s">
        <v>80</v>
      </c>
      <c r="C36" s="155">
        <f>(C33+C34)*$K$9+C35*$K$10</f>
        <v>184.99999999999926</v>
      </c>
      <c r="D36" s="155">
        <f>(D33+D34)*$K$9+D35*$K$10</f>
        <v>186.00000000000148</v>
      </c>
      <c r="E36" s="155">
        <f>(E33+E34)*$K$9+E35*$K$10</f>
        <v>69.99999999999919</v>
      </c>
      <c r="F36" s="155">
        <f>(F33+F34)*$K$9+F35*$K$10</f>
        <v>1.2007022385465789E-13</v>
      </c>
      <c r="G36" s="155">
        <f>(G33+G34)*$K$9+G35*$K$10</f>
        <v>0</v>
      </c>
      <c r="H36" s="151"/>
      <c r="I36" s="151"/>
      <c r="J36" s="151"/>
      <c r="K36" s="151"/>
      <c r="L36" s="151"/>
      <c r="M36" s="151"/>
      <c r="N36" s="151"/>
    </row>
    <row r="37" spans="2:21" ht="15" customHeight="1" x14ac:dyDescent="0.25">
      <c r="B37" s="151"/>
      <c r="C37" s="151" t="s">
        <v>14</v>
      </c>
      <c r="D37" s="151" t="s">
        <v>16</v>
      </c>
      <c r="E37" s="151" t="s">
        <v>32</v>
      </c>
      <c r="F37" s="151" t="s">
        <v>33</v>
      </c>
      <c r="G37" s="151" t="s">
        <v>34</v>
      </c>
      <c r="H37" s="151" t="s">
        <v>35</v>
      </c>
      <c r="I37" s="151" t="s">
        <v>55</v>
      </c>
      <c r="J37" s="151" t="s">
        <v>53</v>
      </c>
      <c r="K37" s="151"/>
      <c r="L37" s="151"/>
      <c r="M37" s="151"/>
      <c r="N37" s="151"/>
    </row>
    <row r="38" spans="2:21" ht="15" customHeight="1" x14ac:dyDescent="0.25">
      <c r="B38" s="151" t="s">
        <v>14</v>
      </c>
      <c r="C38" s="191">
        <v>110</v>
      </c>
      <c r="D38" s="191">
        <v>0</v>
      </c>
      <c r="E38" s="191">
        <v>0</v>
      </c>
      <c r="F38" s="191">
        <v>74.999999999999417</v>
      </c>
      <c r="G38" s="191">
        <v>0</v>
      </c>
      <c r="H38" s="191">
        <v>0</v>
      </c>
      <c r="I38" s="155">
        <f>SUM(C38:H38)</f>
        <v>184.99999999999943</v>
      </c>
      <c r="J38" s="156">
        <v>220</v>
      </c>
      <c r="K38" s="155"/>
      <c r="L38" s="155"/>
      <c r="M38" s="155"/>
      <c r="N38" s="155"/>
    </row>
    <row r="39" spans="2:21" ht="15" customHeight="1" x14ac:dyDescent="0.25">
      <c r="B39" s="151" t="s">
        <v>15</v>
      </c>
      <c r="C39" s="191">
        <v>0</v>
      </c>
      <c r="D39" s="191">
        <v>23.000000000001741</v>
      </c>
      <c r="E39" s="191">
        <v>52.999999999999687</v>
      </c>
      <c r="F39" s="191">
        <v>0</v>
      </c>
      <c r="G39" s="191">
        <v>110.00000000000007</v>
      </c>
      <c r="H39" s="191">
        <v>0</v>
      </c>
      <c r="I39" s="155">
        <f>SUM(C39:H39)</f>
        <v>186.00000000000148</v>
      </c>
      <c r="J39" s="156">
        <v>200</v>
      </c>
      <c r="K39" s="155" t="s">
        <v>48</v>
      </c>
      <c r="L39" s="155" t="s">
        <v>23</v>
      </c>
      <c r="M39" s="155" t="s">
        <v>323</v>
      </c>
      <c r="N39" s="155" t="s">
        <v>324</v>
      </c>
    </row>
    <row r="40" spans="2:21" ht="15" customHeight="1" x14ac:dyDescent="0.25">
      <c r="B40" s="190" t="s">
        <v>16</v>
      </c>
      <c r="C40" s="191">
        <v>0</v>
      </c>
      <c r="D40" s="191">
        <v>56.999999999998295</v>
      </c>
      <c r="E40" s="191">
        <v>0</v>
      </c>
      <c r="F40" s="191">
        <v>0</v>
      </c>
      <c r="G40" s="191">
        <v>0</v>
      </c>
      <c r="H40" s="191">
        <v>13.00000000000003</v>
      </c>
      <c r="I40" s="155">
        <f>SUM(C40:H40)</f>
        <v>69.999999999998323</v>
      </c>
      <c r="J40" s="156">
        <f>70*(K25+K40)+50*L40</f>
        <v>70</v>
      </c>
      <c r="K40" s="191">
        <v>0</v>
      </c>
      <c r="L40" s="191">
        <v>0</v>
      </c>
      <c r="M40" s="152">
        <f t="shared" ref="M40:N42" si="1">K25+K40</f>
        <v>1</v>
      </c>
      <c r="N40" s="152">
        <f t="shared" si="1"/>
        <v>0</v>
      </c>
    </row>
    <row r="41" spans="2:21" ht="15" customHeight="1" x14ac:dyDescent="0.25">
      <c r="B41" s="190" t="s">
        <v>17</v>
      </c>
      <c r="C41" s="191">
        <v>0</v>
      </c>
      <c r="D41" s="191">
        <v>0</v>
      </c>
      <c r="E41" s="191">
        <v>0</v>
      </c>
      <c r="F41" s="191">
        <v>0</v>
      </c>
      <c r="G41" s="191">
        <v>0</v>
      </c>
      <c r="H41" s="191">
        <v>0</v>
      </c>
      <c r="I41" s="155">
        <f>SUM(C41:H41)</f>
        <v>0</v>
      </c>
      <c r="J41" s="156">
        <f>70*(K26+K41)+50*L41</f>
        <v>0</v>
      </c>
      <c r="K41" s="191">
        <v>0</v>
      </c>
      <c r="L41" s="191">
        <v>0</v>
      </c>
      <c r="M41" s="152">
        <f t="shared" si="1"/>
        <v>0</v>
      </c>
      <c r="N41" s="152">
        <f t="shared" si="1"/>
        <v>0</v>
      </c>
    </row>
    <row r="42" spans="2:21" ht="15" customHeight="1" x14ac:dyDescent="0.25">
      <c r="B42" s="190" t="s">
        <v>18</v>
      </c>
      <c r="C42" s="191">
        <v>0</v>
      </c>
      <c r="D42" s="191">
        <v>0</v>
      </c>
      <c r="E42" s="191">
        <v>3.697280250803228E-13</v>
      </c>
      <c r="F42" s="191">
        <v>0</v>
      </c>
      <c r="G42" s="191">
        <v>0</v>
      </c>
      <c r="H42" s="191">
        <v>0</v>
      </c>
      <c r="I42" s="155">
        <f>SUM(C42:H42)</f>
        <v>3.697280250803228E-13</v>
      </c>
      <c r="J42" s="156">
        <f>70*(K27+K42)+50*L42</f>
        <v>0</v>
      </c>
      <c r="K42" s="191">
        <v>0</v>
      </c>
      <c r="L42" s="191">
        <v>0</v>
      </c>
      <c r="M42" s="152">
        <f t="shared" si="1"/>
        <v>0</v>
      </c>
      <c r="N42" s="152">
        <f t="shared" si="1"/>
        <v>0</v>
      </c>
    </row>
    <row r="43" spans="2:21" ht="15" customHeight="1" x14ac:dyDescent="0.25">
      <c r="B43" s="151" t="s">
        <v>78</v>
      </c>
      <c r="C43" s="155">
        <f t="shared" ref="C43:H43" si="2">SUM(C38:C42)</f>
        <v>110</v>
      </c>
      <c r="D43" s="155">
        <f t="shared" si="2"/>
        <v>80.000000000000028</v>
      </c>
      <c r="E43" s="155">
        <f t="shared" si="2"/>
        <v>53.000000000000057</v>
      </c>
      <c r="F43" s="155">
        <f t="shared" si="2"/>
        <v>74.999999999999417</v>
      </c>
      <c r="G43" s="155">
        <f t="shared" si="2"/>
        <v>110.00000000000007</v>
      </c>
      <c r="H43" s="155">
        <f t="shared" si="2"/>
        <v>13.00000000000003</v>
      </c>
      <c r="I43" s="155"/>
      <c r="J43" s="155"/>
      <c r="K43" s="155"/>
      <c r="L43" s="155"/>
      <c r="M43" s="155"/>
      <c r="N43" s="155"/>
    </row>
    <row r="44" spans="2:21" ht="15" customHeight="1" x14ac:dyDescent="0.25">
      <c r="B44" s="151" t="s">
        <v>57</v>
      </c>
      <c r="C44" s="156">
        <v>110</v>
      </c>
      <c r="D44" s="156">
        <v>80</v>
      </c>
      <c r="E44" s="156">
        <v>53</v>
      </c>
      <c r="F44" s="156">
        <v>75</v>
      </c>
      <c r="G44" s="156">
        <v>110</v>
      </c>
      <c r="H44" s="156">
        <v>13</v>
      </c>
      <c r="I44" s="155"/>
      <c r="J44" s="155"/>
      <c r="K44" s="155"/>
      <c r="L44" s="155"/>
      <c r="M44" s="155"/>
      <c r="N44" s="155"/>
      <c r="T44" s="159"/>
    </row>
    <row r="45" spans="2:21" ht="15" customHeight="1" x14ac:dyDescent="0.25">
      <c r="T45" s="159"/>
    </row>
    <row r="46" spans="2:21" ht="15" customHeight="1" x14ac:dyDescent="0.25">
      <c r="B46" s="219" t="s">
        <v>45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1"/>
      <c r="P46" s="151" t="s">
        <v>76</v>
      </c>
      <c r="Q46" s="151" t="s">
        <v>79</v>
      </c>
      <c r="R46" s="151" t="s">
        <v>77</v>
      </c>
      <c r="T46" s="159"/>
      <c r="U46" s="159"/>
    </row>
    <row r="47" spans="2:21" ht="15" customHeight="1" x14ac:dyDescent="0.25">
      <c r="B47" s="151"/>
      <c r="C47" s="151" t="s">
        <v>14</v>
      </c>
      <c r="D47" s="151" t="s">
        <v>15</v>
      </c>
      <c r="E47" s="190" t="s">
        <v>16</v>
      </c>
      <c r="F47" s="190" t="s">
        <v>17</v>
      </c>
      <c r="G47" s="190" t="s">
        <v>18</v>
      </c>
      <c r="H47" s="151" t="s">
        <v>54</v>
      </c>
      <c r="I47" s="151" t="s">
        <v>53</v>
      </c>
      <c r="J47" s="151"/>
      <c r="K47" s="151" t="s">
        <v>79</v>
      </c>
      <c r="L47" s="151">
        <f>SUMPRODUCT($C$4:$G$6,C48:G50)+SUMPRODUCT($C$10:$H$14,C53:H57)</f>
        <v>7.6360651771428802</v>
      </c>
      <c r="M47" s="151"/>
      <c r="N47" s="151"/>
      <c r="P47" s="151" t="s">
        <v>59</v>
      </c>
      <c r="Q47" s="151">
        <f>$L$47</f>
        <v>7.6360651771428802</v>
      </c>
      <c r="R47" s="151">
        <f>$L$47/((1+$L$12)^4)</f>
        <v>6.4823460916482398</v>
      </c>
      <c r="T47" s="159"/>
      <c r="U47" s="159"/>
    </row>
    <row r="48" spans="2:21" ht="15" customHeight="1" x14ac:dyDescent="0.25">
      <c r="B48" s="151" t="s">
        <v>10</v>
      </c>
      <c r="C48" s="192">
        <v>25.200000000000031</v>
      </c>
      <c r="D48" s="192">
        <v>4.7999999999999634</v>
      </c>
      <c r="E48" s="191">
        <v>0</v>
      </c>
      <c r="F48" s="191">
        <v>0</v>
      </c>
      <c r="G48" s="191">
        <v>0</v>
      </c>
      <c r="H48" s="155">
        <f>SUM(C48:G48)</f>
        <v>29.999999999999993</v>
      </c>
      <c r="I48" s="156">
        <v>30</v>
      </c>
      <c r="J48" s="151"/>
      <c r="K48" s="151" t="s">
        <v>58</v>
      </c>
      <c r="L48" s="155">
        <f>SUMPRODUCT(K55:K57,$K$3:$K$5)+SUMPRODUCT(L55:L57,$L$3:$L$5)</f>
        <v>30</v>
      </c>
      <c r="M48" s="151"/>
      <c r="N48" s="151"/>
      <c r="P48" s="151" t="s">
        <v>60</v>
      </c>
      <c r="Q48" s="151">
        <f t="shared" ref="Q48:Q63" si="3">$L$47</f>
        <v>7.6360651771428802</v>
      </c>
      <c r="R48" s="151">
        <f>$L$47/((1+$L$12)^5)</f>
        <v>6.222255799240008</v>
      </c>
      <c r="T48" s="159"/>
      <c r="U48" s="159"/>
    </row>
    <row r="49" spans="2:21" ht="15" customHeight="1" x14ac:dyDescent="0.25">
      <c r="B49" s="151" t="s">
        <v>19</v>
      </c>
      <c r="C49" s="191">
        <v>0</v>
      </c>
      <c r="D49" s="192">
        <v>15.600000000000167</v>
      </c>
      <c r="E49" s="191">
        <v>0</v>
      </c>
      <c r="F49" s="191">
        <v>0</v>
      </c>
      <c r="G49" s="191">
        <v>0</v>
      </c>
      <c r="H49" s="158">
        <f>SUM(C49:G49)</f>
        <v>15.600000000000167</v>
      </c>
      <c r="I49" s="156">
        <v>68</v>
      </c>
      <c r="J49" s="151"/>
      <c r="K49" s="151" t="s">
        <v>322</v>
      </c>
      <c r="L49" s="151">
        <f>SUM(L47:L48)</f>
        <v>37.636065177142882</v>
      </c>
      <c r="M49" s="151"/>
      <c r="N49" s="151"/>
      <c r="P49" s="151" t="s">
        <v>61</v>
      </c>
      <c r="Q49" s="151">
        <f t="shared" si="3"/>
        <v>7.6360651771428802</v>
      </c>
      <c r="R49" s="151">
        <f>$L$47/((1+$L$12)^6)</f>
        <v>5.9726010743328919</v>
      </c>
      <c r="S49" s="159"/>
      <c r="T49" s="159"/>
      <c r="U49" s="159"/>
    </row>
    <row r="50" spans="2:21" ht="15" customHeight="1" x14ac:dyDescent="0.25">
      <c r="B50" s="151" t="s">
        <v>20</v>
      </c>
      <c r="C50" s="191">
        <v>0</v>
      </c>
      <c r="D50" s="191">
        <v>0</v>
      </c>
      <c r="E50" s="192">
        <v>13.199999999999894</v>
      </c>
      <c r="F50" s="191">
        <v>0</v>
      </c>
      <c r="G50" s="191">
        <v>0</v>
      </c>
      <c r="H50" s="158">
        <f>SUM(C50:G50)</f>
        <v>13.199999999999894</v>
      </c>
      <c r="I50" s="156">
        <v>20</v>
      </c>
      <c r="J50" s="151"/>
      <c r="K50" s="151" t="s">
        <v>77</v>
      </c>
      <c r="L50" s="151">
        <f>L49/((1+L12)^3)</f>
        <v>33.285198608195245</v>
      </c>
      <c r="M50" s="151"/>
      <c r="N50" s="151"/>
      <c r="P50" s="151" t="s">
        <v>62</v>
      </c>
      <c r="Q50" s="151">
        <f t="shared" si="3"/>
        <v>7.6360651771428802</v>
      </c>
      <c r="R50" s="151">
        <f>$L$47/((1+$L$12)^7)</f>
        <v>5.7329632120684311</v>
      </c>
      <c r="S50" s="159"/>
      <c r="T50" s="159"/>
      <c r="U50" s="159"/>
    </row>
    <row r="51" spans="2:21" ht="15" customHeight="1" x14ac:dyDescent="0.25">
      <c r="B51" s="151" t="s">
        <v>80</v>
      </c>
      <c r="C51" s="155">
        <f>(C48+C49)*$K$9+C50*$K$10</f>
        <v>210.00000000000028</v>
      </c>
      <c r="D51" s="155">
        <f>(D48+D49)*$K$9+D50*$K$10</f>
        <v>170.00000000000111</v>
      </c>
      <c r="E51" s="155">
        <f>(E48+E49)*$K$9+E50*$K$10</f>
        <v>119.99999999999905</v>
      </c>
      <c r="F51" s="155">
        <f>(F48+F49)*$K$9+F50*$K$10</f>
        <v>0</v>
      </c>
      <c r="G51" s="155">
        <f>(G48+G49)*$K$9+G50*$K$10</f>
        <v>0</v>
      </c>
      <c r="H51" s="151"/>
      <c r="I51" s="151"/>
      <c r="J51" s="151"/>
      <c r="K51" s="151"/>
      <c r="L51" s="151"/>
      <c r="M51" s="151"/>
      <c r="N51" s="151"/>
      <c r="P51" s="151" t="s">
        <v>63</v>
      </c>
      <c r="Q51" s="151">
        <f t="shared" si="3"/>
        <v>7.6360651771428802</v>
      </c>
      <c r="R51" s="151">
        <f>$L$47/((1+$L$12)^8)</f>
        <v>5.5029403072263676</v>
      </c>
      <c r="S51" s="159"/>
      <c r="T51" s="159"/>
      <c r="U51" s="159"/>
    </row>
    <row r="52" spans="2:21" ht="15" customHeight="1" x14ac:dyDescent="0.25">
      <c r="B52" s="151"/>
      <c r="C52" s="151" t="s">
        <v>14</v>
      </c>
      <c r="D52" s="151" t="s">
        <v>16</v>
      </c>
      <c r="E52" s="151" t="s">
        <v>32</v>
      </c>
      <c r="F52" s="151" t="s">
        <v>33</v>
      </c>
      <c r="G52" s="151" t="s">
        <v>34</v>
      </c>
      <c r="H52" s="151" t="s">
        <v>35</v>
      </c>
      <c r="I52" s="151" t="s">
        <v>55</v>
      </c>
      <c r="J52" s="151" t="s">
        <v>53</v>
      </c>
      <c r="K52" s="151"/>
      <c r="L52" s="151"/>
      <c r="M52" s="151"/>
      <c r="N52" s="151"/>
      <c r="P52" s="151" t="s">
        <v>64</v>
      </c>
      <c r="Q52" s="151">
        <f t="shared" si="3"/>
        <v>7.6360651771428802</v>
      </c>
      <c r="R52" s="151">
        <f>$L$47/((1+$L$12)^9)</f>
        <v>5.2821465801750511</v>
      </c>
      <c r="S52" s="159"/>
      <c r="T52" s="159"/>
      <c r="U52" s="159"/>
    </row>
    <row r="53" spans="2:21" ht="15" customHeight="1" x14ac:dyDescent="0.25">
      <c r="B53" s="151" t="s">
        <v>14</v>
      </c>
      <c r="C53" s="191">
        <v>125.00000000000001</v>
      </c>
      <c r="D53" s="191">
        <v>0</v>
      </c>
      <c r="E53" s="191">
        <v>0</v>
      </c>
      <c r="F53" s="191">
        <v>85.000000000000369</v>
      </c>
      <c r="G53" s="191">
        <v>0</v>
      </c>
      <c r="H53" s="191">
        <v>0</v>
      </c>
      <c r="I53" s="155">
        <f>SUM(C53:H53)</f>
        <v>210.0000000000004</v>
      </c>
      <c r="J53" s="156">
        <v>220</v>
      </c>
      <c r="K53" s="155"/>
      <c r="L53" s="155"/>
      <c r="M53" s="155"/>
      <c r="N53" s="155"/>
      <c r="P53" s="151" t="s">
        <v>65</v>
      </c>
      <c r="Q53" s="151">
        <f t="shared" si="3"/>
        <v>7.6360651771428802</v>
      </c>
      <c r="R53" s="151">
        <f>$L$47/((1+$L$12)^10)</f>
        <v>5.0702117298666254</v>
      </c>
      <c r="S53" s="159"/>
      <c r="T53" s="159"/>
      <c r="U53" s="159"/>
    </row>
    <row r="54" spans="2:21" ht="15" customHeight="1" x14ac:dyDescent="0.25">
      <c r="B54" s="151" t="s">
        <v>15</v>
      </c>
      <c r="C54" s="191">
        <v>0</v>
      </c>
      <c r="D54" s="191">
        <v>0</v>
      </c>
      <c r="E54" s="191">
        <v>45.000000000001094</v>
      </c>
      <c r="F54" s="191">
        <v>0</v>
      </c>
      <c r="G54" s="191">
        <v>125.00000000000003</v>
      </c>
      <c r="H54" s="191">
        <v>0</v>
      </c>
      <c r="I54" s="155">
        <f>SUM(C54:H54)</f>
        <v>170.00000000000114</v>
      </c>
      <c r="J54" s="156">
        <v>200</v>
      </c>
      <c r="K54" s="155" t="s">
        <v>48</v>
      </c>
      <c r="L54" s="155" t="s">
        <v>23</v>
      </c>
      <c r="M54" s="155" t="s">
        <v>323</v>
      </c>
      <c r="N54" s="155" t="s">
        <v>324</v>
      </c>
      <c r="P54" s="151" t="s">
        <v>66</v>
      </c>
      <c r="Q54" s="151">
        <f t="shared" si="3"/>
        <v>7.6360651771428802</v>
      </c>
      <c r="R54" s="151">
        <f>$L$47/((1+$L$12)^11)</f>
        <v>4.8667803127919225</v>
      </c>
      <c r="S54" s="159"/>
      <c r="T54" s="159"/>
      <c r="U54" s="159"/>
    </row>
    <row r="55" spans="2:21" ht="15" customHeight="1" x14ac:dyDescent="0.25">
      <c r="B55" s="190" t="s">
        <v>16</v>
      </c>
      <c r="C55" s="191">
        <v>0</v>
      </c>
      <c r="D55" s="191">
        <v>89.999999999999929</v>
      </c>
      <c r="E55" s="191">
        <v>14.999999999999071</v>
      </c>
      <c r="F55" s="191">
        <v>0</v>
      </c>
      <c r="G55" s="191">
        <v>0</v>
      </c>
      <c r="H55" s="191">
        <v>15</v>
      </c>
      <c r="I55" s="155">
        <f>SUM(C55:H55)</f>
        <v>119.99999999999901</v>
      </c>
      <c r="J55" s="156">
        <f>70*(K25+K40+K55)+50*L55</f>
        <v>120</v>
      </c>
      <c r="K55" s="191">
        <v>0</v>
      </c>
      <c r="L55" s="191">
        <v>1</v>
      </c>
      <c r="M55" s="152">
        <f t="shared" ref="M55:N57" si="4">K25+K40+K55</f>
        <v>1</v>
      </c>
      <c r="N55" s="152">
        <f t="shared" si="4"/>
        <v>1</v>
      </c>
      <c r="P55" s="151" t="s">
        <v>67</v>
      </c>
      <c r="Q55" s="151">
        <f t="shared" si="3"/>
        <v>7.6360651771428802</v>
      </c>
      <c r="R55" s="151">
        <f>$L$47/((1+$L$12)^12)</f>
        <v>4.6715111468534483</v>
      </c>
      <c r="S55" s="159"/>
      <c r="T55" s="159"/>
      <c r="U55" s="159"/>
    </row>
    <row r="56" spans="2:21" ht="15" customHeight="1" x14ac:dyDescent="0.25">
      <c r="B56" s="190" t="s">
        <v>17</v>
      </c>
      <c r="C56" s="191">
        <v>0</v>
      </c>
      <c r="D56" s="191">
        <v>0</v>
      </c>
      <c r="E56" s="191">
        <v>0</v>
      </c>
      <c r="F56" s="191">
        <v>0</v>
      </c>
      <c r="G56" s="191">
        <v>0</v>
      </c>
      <c r="H56" s="191">
        <v>0</v>
      </c>
      <c r="I56" s="155">
        <f>SUM(C56:H56)</f>
        <v>0</v>
      </c>
      <c r="J56" s="156">
        <f>70*(K26+K41+K56)+50*L56</f>
        <v>0</v>
      </c>
      <c r="K56" s="191">
        <v>0</v>
      </c>
      <c r="L56" s="191">
        <v>0</v>
      </c>
      <c r="M56" s="152">
        <f t="shared" si="4"/>
        <v>0</v>
      </c>
      <c r="N56" s="152">
        <f t="shared" si="4"/>
        <v>0</v>
      </c>
      <c r="P56" s="151" t="s">
        <v>68</v>
      </c>
      <c r="Q56" s="151">
        <f t="shared" si="3"/>
        <v>7.6360651771428802</v>
      </c>
      <c r="R56" s="151">
        <f>$L$47/((1+$L$12)^13)</f>
        <v>4.4840767391566976</v>
      </c>
      <c r="S56" s="159"/>
      <c r="T56" s="159"/>
      <c r="U56" s="159"/>
    </row>
    <row r="57" spans="2:21" ht="15" customHeight="1" x14ac:dyDescent="0.25">
      <c r="B57" s="190" t="s">
        <v>18</v>
      </c>
      <c r="C57" s="191">
        <v>0</v>
      </c>
      <c r="D57" s="191">
        <v>0</v>
      </c>
      <c r="E57" s="191">
        <v>0</v>
      </c>
      <c r="F57" s="191">
        <v>0</v>
      </c>
      <c r="G57" s="191">
        <v>0</v>
      </c>
      <c r="H57" s="191">
        <v>0</v>
      </c>
      <c r="I57" s="155">
        <f>SUM(C57:H57)</f>
        <v>0</v>
      </c>
      <c r="J57" s="156">
        <f>70*(K27+K42+K57)+50*L57</f>
        <v>0</v>
      </c>
      <c r="K57" s="191">
        <v>0</v>
      </c>
      <c r="L57" s="191">
        <v>0</v>
      </c>
      <c r="M57" s="152">
        <f t="shared" si="4"/>
        <v>0</v>
      </c>
      <c r="N57" s="152">
        <f t="shared" si="4"/>
        <v>0</v>
      </c>
      <c r="P57" s="151" t="s">
        <v>69</v>
      </c>
      <c r="Q57" s="151">
        <f t="shared" si="3"/>
        <v>7.6360651771428802</v>
      </c>
      <c r="R57" s="151">
        <f>$L$47/((1+$L$12)^14)</f>
        <v>4.3041627367601238</v>
      </c>
      <c r="S57" s="159"/>
      <c r="T57" s="159"/>
      <c r="U57" s="159"/>
    </row>
    <row r="58" spans="2:21" ht="15" customHeight="1" x14ac:dyDescent="0.25">
      <c r="B58" s="151" t="s">
        <v>78</v>
      </c>
      <c r="C58" s="155">
        <f t="shared" ref="C58:H58" si="5">SUM(C53:C57)</f>
        <v>125.00000000000001</v>
      </c>
      <c r="D58" s="155">
        <f t="shared" si="5"/>
        <v>89.999999999999929</v>
      </c>
      <c r="E58" s="155">
        <f t="shared" si="5"/>
        <v>60.000000000000163</v>
      </c>
      <c r="F58" s="155">
        <f t="shared" si="5"/>
        <v>85.000000000000369</v>
      </c>
      <c r="G58" s="155">
        <f t="shared" si="5"/>
        <v>125.00000000000003</v>
      </c>
      <c r="H58" s="155">
        <f t="shared" si="5"/>
        <v>15</v>
      </c>
      <c r="I58" s="155"/>
      <c r="J58" s="155"/>
      <c r="K58" s="155"/>
      <c r="L58" s="155"/>
      <c r="M58" s="155"/>
      <c r="N58" s="155"/>
      <c r="P58" s="151" t="s">
        <v>70</v>
      </c>
      <c r="Q58" s="151">
        <f t="shared" si="3"/>
        <v>7.6360651771428802</v>
      </c>
      <c r="R58" s="151">
        <f>$L$47/((1+$L$12)^15)</f>
        <v>4.1314673994625872</v>
      </c>
      <c r="S58" s="159"/>
      <c r="T58" s="159"/>
      <c r="U58" s="159"/>
    </row>
    <row r="59" spans="2:21" ht="15" customHeight="1" x14ac:dyDescent="0.25">
      <c r="B59" s="151" t="s">
        <v>57</v>
      </c>
      <c r="C59" s="156">
        <v>125</v>
      </c>
      <c r="D59" s="156">
        <v>90</v>
      </c>
      <c r="E59" s="156">
        <v>60</v>
      </c>
      <c r="F59" s="156">
        <v>85</v>
      </c>
      <c r="G59" s="156">
        <v>125</v>
      </c>
      <c r="H59" s="156">
        <v>15</v>
      </c>
      <c r="I59" s="155"/>
      <c r="J59" s="155"/>
      <c r="K59" s="155"/>
      <c r="L59" s="155"/>
      <c r="M59" s="155"/>
      <c r="N59" s="155"/>
      <c r="P59" s="151" t="s">
        <v>71</v>
      </c>
      <c r="Q59" s="151">
        <f t="shared" si="3"/>
        <v>7.6360651771428802</v>
      </c>
      <c r="R59" s="151">
        <f>$L$47/((1+$L$12)^16)</f>
        <v>3.9657010937440842</v>
      </c>
      <c r="S59" s="159"/>
      <c r="T59" s="159"/>
      <c r="U59" s="159"/>
    </row>
    <row r="60" spans="2:21" ht="15" customHeight="1" x14ac:dyDescent="0.25">
      <c r="B60" s="159"/>
      <c r="C60" s="160"/>
      <c r="D60" s="160"/>
      <c r="E60" s="160"/>
      <c r="F60" s="160"/>
      <c r="G60" s="160"/>
      <c r="H60" s="160"/>
      <c r="I60" s="159"/>
      <c r="J60" s="159"/>
      <c r="K60" s="159"/>
      <c r="L60" s="159"/>
      <c r="M60" s="159"/>
      <c r="P60" s="151" t="s">
        <v>72</v>
      </c>
      <c r="Q60" s="151">
        <f t="shared" si="3"/>
        <v>7.6360651771428802</v>
      </c>
      <c r="R60" s="151">
        <f>$L$47/((1+$L$12)^17)</f>
        <v>3.806585807011023</v>
      </c>
      <c r="S60" s="159"/>
      <c r="T60" s="159"/>
      <c r="U60" s="159"/>
    </row>
    <row r="61" spans="2:21" ht="15" customHeight="1" x14ac:dyDescent="0.25">
      <c r="B61" s="161"/>
      <c r="C61" s="159"/>
      <c r="D61" s="159"/>
      <c r="E61" s="159"/>
      <c r="F61" s="159"/>
      <c r="P61" s="151" t="s">
        <v>73</v>
      </c>
      <c r="Q61" s="151">
        <f t="shared" si="3"/>
        <v>7.6360651771428802</v>
      </c>
      <c r="R61" s="151">
        <f>$L$47/((1+$L$12)^18)</f>
        <v>3.6538546813313717</v>
      </c>
      <c r="S61" s="159"/>
      <c r="T61" s="159"/>
      <c r="U61" s="159"/>
    </row>
    <row r="62" spans="2:21" ht="15" customHeight="1" x14ac:dyDescent="0.25">
      <c r="B62" s="159"/>
      <c r="C62" s="159"/>
      <c r="D62" s="159"/>
      <c r="E62" s="159"/>
      <c r="F62" s="159"/>
      <c r="P62" s="151" t="s">
        <v>74</v>
      </c>
      <c r="Q62" s="151">
        <f t="shared" si="3"/>
        <v>7.6360651771428802</v>
      </c>
      <c r="R62" s="151">
        <f>$L$47/((1+$L$12)^19)</f>
        <v>3.5072515658776839</v>
      </c>
      <c r="S62" s="159"/>
      <c r="T62" s="159"/>
      <c r="U62" s="159"/>
    </row>
    <row r="63" spans="2:21" ht="15" customHeight="1" x14ac:dyDescent="0.25">
      <c r="B63" s="159"/>
      <c r="C63" s="159"/>
      <c r="D63" s="159"/>
      <c r="E63" s="159"/>
      <c r="F63" s="159"/>
      <c r="P63" s="151" t="s">
        <v>75</v>
      </c>
      <c r="Q63" s="151">
        <f t="shared" si="3"/>
        <v>7.6360651771428802</v>
      </c>
      <c r="R63" s="151">
        <f>$L$47/((1+$L$12)^20)</f>
        <v>3.3665305873273987</v>
      </c>
      <c r="S63" s="159"/>
      <c r="U63" s="159"/>
    </row>
    <row r="64" spans="2:21" ht="15" customHeight="1" x14ac:dyDescent="0.25">
      <c r="B64" s="159"/>
      <c r="C64" s="159"/>
      <c r="D64" s="159"/>
      <c r="E64" s="159"/>
      <c r="F64" s="159"/>
      <c r="S64" s="159"/>
      <c r="U64" s="159"/>
    </row>
    <row r="65" spans="2:19" ht="15" customHeight="1" x14ac:dyDescent="0.25">
      <c r="B65" s="159"/>
      <c r="C65" s="159"/>
      <c r="D65" s="159"/>
      <c r="E65" s="159"/>
      <c r="F65" s="159"/>
      <c r="N65" s="159"/>
      <c r="S65" s="159"/>
    </row>
    <row r="66" spans="2:19" ht="15" customHeight="1" x14ac:dyDescent="0.25">
      <c r="B66" s="159"/>
      <c r="C66" s="159"/>
      <c r="D66" s="159"/>
      <c r="E66" s="159"/>
      <c r="F66" s="159"/>
      <c r="S66" s="159"/>
    </row>
    <row r="67" spans="2:19" ht="15" customHeight="1" x14ac:dyDescent="0.25">
      <c r="B67" s="159"/>
      <c r="C67" s="159"/>
      <c r="D67" s="159"/>
      <c r="E67" s="159"/>
      <c r="F67" s="159"/>
      <c r="S67" s="159"/>
    </row>
    <row r="68" spans="2:19" ht="15" customHeight="1" x14ac:dyDescent="0.25">
      <c r="B68" s="159"/>
      <c r="C68" s="159"/>
      <c r="D68" s="159"/>
      <c r="E68" s="159"/>
      <c r="F68" s="159"/>
    </row>
    <row r="69" spans="2:19" ht="15" customHeight="1" x14ac:dyDescent="0.25">
      <c r="B69" s="159"/>
      <c r="C69" s="159"/>
      <c r="D69" s="159"/>
      <c r="E69" s="159"/>
      <c r="F69" s="159"/>
    </row>
    <row r="70" spans="2:19" ht="15" customHeight="1" x14ac:dyDescent="0.25">
      <c r="B70" s="159"/>
      <c r="C70" s="159"/>
      <c r="D70" s="159"/>
      <c r="E70" s="159"/>
      <c r="F70" s="159"/>
    </row>
    <row r="71" spans="2:19" ht="15" customHeight="1" x14ac:dyDescent="0.25">
      <c r="B71" s="159"/>
      <c r="C71" s="159"/>
      <c r="D71" s="159"/>
      <c r="E71" s="159"/>
      <c r="F71" s="159"/>
    </row>
    <row r="72" spans="2:19" ht="15" customHeight="1" x14ac:dyDescent="0.25">
      <c r="B72" s="159"/>
      <c r="C72" s="159"/>
      <c r="D72" s="159"/>
      <c r="E72" s="159"/>
      <c r="F72" s="159"/>
    </row>
    <row r="73" spans="2:19" ht="15" customHeight="1" x14ac:dyDescent="0.25">
      <c r="B73" s="159"/>
      <c r="C73" s="159"/>
      <c r="D73" s="159"/>
      <c r="E73" s="159"/>
      <c r="F73" s="159"/>
    </row>
    <row r="74" spans="2:19" ht="15" customHeight="1" x14ac:dyDescent="0.25">
      <c r="B74" s="159"/>
      <c r="C74" s="159"/>
      <c r="D74" s="159"/>
      <c r="E74" s="159"/>
      <c r="F74" s="159"/>
    </row>
    <row r="75" spans="2:19" ht="15" customHeight="1" x14ac:dyDescent="0.25">
      <c r="B75" s="159"/>
      <c r="C75" s="159"/>
      <c r="D75" s="159"/>
      <c r="E75" s="159"/>
      <c r="F75" s="159"/>
    </row>
    <row r="76" spans="2:19" ht="15" customHeight="1" x14ac:dyDescent="0.25">
      <c r="B76" s="159"/>
      <c r="C76" s="159"/>
      <c r="D76" s="159"/>
      <c r="E76" s="159"/>
      <c r="F76" s="159"/>
    </row>
    <row r="77" spans="2:19" ht="15" customHeight="1" x14ac:dyDescent="0.25">
      <c r="B77" s="159"/>
      <c r="C77" s="159"/>
      <c r="D77" s="159"/>
      <c r="E77" s="159"/>
      <c r="F77" s="159"/>
    </row>
    <row r="78" spans="2:19" ht="15" customHeight="1" x14ac:dyDescent="0.25">
      <c r="B78" s="159"/>
      <c r="C78" s="159"/>
      <c r="D78" s="159"/>
      <c r="E78" s="159"/>
      <c r="F78" s="159"/>
    </row>
    <row r="79" spans="2:19" ht="15" customHeight="1" x14ac:dyDescent="0.25">
      <c r="B79" s="159"/>
      <c r="C79" s="159"/>
      <c r="D79" s="159"/>
      <c r="E79" s="159"/>
      <c r="F79" s="159"/>
    </row>
    <row r="80" spans="2:19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mergeCells count="30">
    <mergeCell ref="B2:G2"/>
    <mergeCell ref="N10:S10"/>
    <mergeCell ref="N9:S9"/>
    <mergeCell ref="N8:S8"/>
    <mergeCell ref="N7:S7"/>
    <mergeCell ref="B8:H8"/>
    <mergeCell ref="J8:K8"/>
    <mergeCell ref="B31:N31"/>
    <mergeCell ref="B46:N46"/>
    <mergeCell ref="N2:S2"/>
    <mergeCell ref="N12:S12"/>
    <mergeCell ref="N4:S4"/>
    <mergeCell ref="N15:S15"/>
    <mergeCell ref="N14:S14"/>
    <mergeCell ref="B16:L16"/>
    <mergeCell ref="N11:S11"/>
    <mergeCell ref="J12:K12"/>
    <mergeCell ref="N5:S5"/>
    <mergeCell ref="N3:S3"/>
    <mergeCell ref="N13:S13"/>
    <mergeCell ref="J14:K14"/>
    <mergeCell ref="J13:K13"/>
    <mergeCell ref="N6:S6"/>
    <mergeCell ref="N17:R19"/>
    <mergeCell ref="P22:R22"/>
    <mergeCell ref="P21:R21"/>
    <mergeCell ref="P20:R20"/>
    <mergeCell ref="N22:O22"/>
    <mergeCell ref="N21:O21"/>
    <mergeCell ref="N20:O20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03"/>
  <sheetViews>
    <sheetView showGridLines="0" zoomScaleNormal="100" workbookViewId="0"/>
  </sheetViews>
  <sheetFormatPr defaultColWidth="8.81640625" defaultRowHeight="12.5" x14ac:dyDescent="0.25"/>
  <cols>
    <col min="1" max="1" width="2.6328125" style="147" customWidth="1"/>
    <col min="2" max="2" width="6.6328125" style="147" customWidth="1"/>
    <col min="3" max="3" width="20.26953125" style="147" bestFit="1" customWidth="1"/>
    <col min="4" max="4" width="5.81640625" style="147" bestFit="1" customWidth="1"/>
    <col min="5" max="5" width="12.7265625" style="147" bestFit="1" customWidth="1"/>
    <col min="6" max="6" width="11.81640625" style="147" bestFit="1" customWidth="1"/>
    <col min="7" max="8" width="12.08984375" style="147" bestFit="1" customWidth="1"/>
    <col min="9" max="9" width="5.6328125" style="147" customWidth="1"/>
    <col min="10" max="10" width="17.7265625" style="147" bestFit="1" customWidth="1"/>
    <col min="11" max="11" width="7.81640625" style="147" bestFit="1" customWidth="1"/>
    <col min="12" max="12" width="6.26953125" style="147" bestFit="1" customWidth="1"/>
    <col min="13" max="13" width="11.81640625" style="147" bestFit="1" customWidth="1"/>
    <col min="14" max="14" width="5.6328125" style="147" customWidth="1"/>
    <col min="15" max="15" width="17.7265625" style="147" bestFit="1" customWidth="1"/>
    <col min="16" max="16" width="11.81640625" style="147" bestFit="1" customWidth="1"/>
    <col min="17" max="16384" width="8.81640625" style="147"/>
  </cols>
  <sheetData>
    <row r="1" spans="2:14" ht="12" customHeight="1" x14ac:dyDescent="0.25"/>
    <row r="2" spans="2:14" ht="15" customHeight="1" x14ac:dyDescent="0.25">
      <c r="B2" s="218" t="s">
        <v>409</v>
      </c>
      <c r="C2" s="218"/>
      <c r="D2" s="218"/>
      <c r="E2" s="218"/>
      <c r="F2" s="218"/>
      <c r="G2" s="218"/>
      <c r="H2" s="218"/>
    </row>
    <row r="3" spans="2:14" ht="13" customHeight="1" x14ac:dyDescent="0.25"/>
    <row r="4" spans="2:14" ht="13" customHeight="1" thickBot="1" x14ac:dyDescent="0.3">
      <c r="B4" s="147" t="s">
        <v>93</v>
      </c>
    </row>
    <row r="5" spans="2:14" ht="13" customHeight="1" x14ac:dyDescent="0.25">
      <c r="B5" s="144"/>
      <c r="C5" s="144"/>
      <c r="D5" s="144" t="s">
        <v>84</v>
      </c>
      <c r="E5" s="144" t="s">
        <v>94</v>
      </c>
      <c r="F5" s="144" t="s">
        <v>96</v>
      </c>
      <c r="G5" s="144" t="s">
        <v>90</v>
      </c>
      <c r="H5" s="144" t="s">
        <v>90</v>
      </c>
    </row>
    <row r="6" spans="2:14" ht="13" customHeight="1" thickBot="1" x14ac:dyDescent="0.3">
      <c r="B6" s="145" t="s">
        <v>82</v>
      </c>
      <c r="C6" s="145" t="s">
        <v>83</v>
      </c>
      <c r="D6" s="145" t="s">
        <v>85</v>
      </c>
      <c r="E6" s="145" t="s">
        <v>95</v>
      </c>
      <c r="F6" s="145" t="s">
        <v>97</v>
      </c>
      <c r="G6" s="145" t="s">
        <v>91</v>
      </c>
      <c r="H6" s="145" t="s">
        <v>92</v>
      </c>
    </row>
    <row r="7" spans="2:14" ht="13" customHeight="1" x14ac:dyDescent="0.25">
      <c r="B7" s="148" t="s">
        <v>352</v>
      </c>
      <c r="C7" s="162" t="s">
        <v>137</v>
      </c>
      <c r="D7" s="162">
        <v>202.00000000000003</v>
      </c>
      <c r="E7" s="162">
        <v>2.889425454545176E-3</v>
      </c>
      <c r="F7" s="162">
        <v>0</v>
      </c>
      <c r="G7" s="162">
        <v>47.999999999999993</v>
      </c>
      <c r="H7" s="162">
        <v>152</v>
      </c>
    </row>
    <row r="8" spans="2:14" ht="13" customHeight="1" x14ac:dyDescent="0.25">
      <c r="B8" s="148" t="s">
        <v>353</v>
      </c>
      <c r="C8" s="162" t="s">
        <v>139</v>
      </c>
      <c r="D8" s="162">
        <v>200</v>
      </c>
      <c r="E8" s="162">
        <v>1.825679999998327E-3</v>
      </c>
      <c r="F8" s="162">
        <v>0</v>
      </c>
      <c r="G8" s="162">
        <v>414.66666666666674</v>
      </c>
      <c r="H8" s="162">
        <v>152</v>
      </c>
      <c r="J8" s="235" t="s">
        <v>421</v>
      </c>
      <c r="K8" s="239"/>
      <c r="L8" s="239"/>
      <c r="M8" s="240"/>
      <c r="N8" s="171"/>
    </row>
    <row r="9" spans="2:14" ht="13" customHeight="1" x14ac:dyDescent="0.25">
      <c r="B9" s="148" t="s">
        <v>354</v>
      </c>
      <c r="C9" s="162" t="s">
        <v>263</v>
      </c>
      <c r="D9" s="162">
        <v>0</v>
      </c>
      <c r="E9" s="162">
        <v>4.0933999999879763E-4</v>
      </c>
      <c r="F9" s="162">
        <v>0</v>
      </c>
      <c r="G9" s="162">
        <v>181.81818181818178</v>
      </c>
      <c r="H9" s="162">
        <v>0</v>
      </c>
      <c r="J9" s="241"/>
      <c r="K9" s="242"/>
      <c r="L9" s="242"/>
      <c r="M9" s="243"/>
    </row>
    <row r="10" spans="2:14" ht="13" customHeight="1" x14ac:dyDescent="0.25">
      <c r="B10" s="148" t="s">
        <v>355</v>
      </c>
      <c r="C10" s="162" t="s">
        <v>265</v>
      </c>
      <c r="D10" s="162">
        <v>0</v>
      </c>
      <c r="E10" s="162">
        <v>2.0982981818156044E-3</v>
      </c>
      <c r="F10" s="162">
        <v>0</v>
      </c>
      <c r="G10" s="162">
        <v>48</v>
      </c>
      <c r="H10" s="162">
        <v>0</v>
      </c>
      <c r="J10" s="164"/>
      <c r="K10" s="171"/>
      <c r="L10" s="171"/>
      <c r="M10" s="165"/>
    </row>
    <row r="11" spans="2:14" ht="13" customHeight="1" x14ac:dyDescent="0.25">
      <c r="B11" s="148" t="s">
        <v>356</v>
      </c>
      <c r="C11" s="162" t="s">
        <v>267</v>
      </c>
      <c r="D11" s="162">
        <v>0</v>
      </c>
      <c r="E11" s="162">
        <v>2.349534545454046E-3</v>
      </c>
      <c r="F11" s="162">
        <v>0</v>
      </c>
      <c r="G11" s="162">
        <v>414.6666666666668</v>
      </c>
      <c r="H11" s="162">
        <v>0</v>
      </c>
      <c r="J11" s="179" t="s">
        <v>83</v>
      </c>
      <c r="K11" s="180" t="s">
        <v>57</v>
      </c>
      <c r="L11" s="180" t="s">
        <v>325</v>
      </c>
      <c r="M11" s="181" t="s">
        <v>326</v>
      </c>
    </row>
    <row r="12" spans="2:14" ht="13" customHeight="1" x14ac:dyDescent="0.25">
      <c r="B12" s="173" t="s">
        <v>357</v>
      </c>
      <c r="C12" s="174" t="s">
        <v>126</v>
      </c>
      <c r="D12" s="174">
        <v>103</v>
      </c>
      <c r="E12" s="174">
        <v>2.889425454545176E-3</v>
      </c>
      <c r="F12" s="174">
        <v>103</v>
      </c>
      <c r="G12" s="174">
        <v>18.000000000000004</v>
      </c>
      <c r="H12" s="174">
        <v>103</v>
      </c>
      <c r="J12" s="177" t="s">
        <v>126</v>
      </c>
      <c r="K12" s="171">
        <f t="shared" ref="K12:K17" si="0">F12</f>
        <v>103</v>
      </c>
      <c r="L12" s="171">
        <f t="shared" ref="L12:L17" si="1">G12+H12</f>
        <v>121</v>
      </c>
      <c r="M12" s="167">
        <f t="shared" ref="M12:M17" si="2">L12/K12</f>
        <v>1.174757281553398</v>
      </c>
    </row>
    <row r="13" spans="2:14" ht="13" customHeight="1" x14ac:dyDescent="0.25">
      <c r="B13" s="170" t="s">
        <v>358</v>
      </c>
      <c r="C13" s="172" t="s">
        <v>128</v>
      </c>
      <c r="D13" s="172">
        <v>74</v>
      </c>
      <c r="E13" s="172">
        <v>3.9577737142839735E-2</v>
      </c>
      <c r="F13" s="172">
        <v>74</v>
      </c>
      <c r="G13" s="172">
        <v>18.000000000000004</v>
      </c>
      <c r="H13" s="172">
        <v>26</v>
      </c>
      <c r="J13" s="177" t="s">
        <v>128</v>
      </c>
      <c r="K13" s="171">
        <f t="shared" si="0"/>
        <v>74</v>
      </c>
      <c r="L13" s="171">
        <f t="shared" si="1"/>
        <v>44</v>
      </c>
      <c r="M13" s="168">
        <f t="shared" si="2"/>
        <v>0.59459459459459463</v>
      </c>
    </row>
    <row r="14" spans="2:14" ht="13" customHeight="1" x14ac:dyDescent="0.25">
      <c r="B14" s="170" t="s">
        <v>359</v>
      </c>
      <c r="C14" s="172" t="s">
        <v>130</v>
      </c>
      <c r="D14" s="172">
        <v>50</v>
      </c>
      <c r="E14" s="172">
        <v>3.730500987012874E-2</v>
      </c>
      <c r="F14" s="172">
        <v>50</v>
      </c>
      <c r="G14" s="172">
        <v>18.000000000000004</v>
      </c>
      <c r="H14" s="172">
        <v>26</v>
      </c>
      <c r="J14" s="177" t="s">
        <v>130</v>
      </c>
      <c r="K14" s="171">
        <f t="shared" si="0"/>
        <v>50</v>
      </c>
      <c r="L14" s="171">
        <f t="shared" si="1"/>
        <v>44</v>
      </c>
      <c r="M14" s="167">
        <f t="shared" si="2"/>
        <v>0.88</v>
      </c>
    </row>
    <row r="15" spans="2:14" ht="13" customHeight="1" x14ac:dyDescent="0.25">
      <c r="B15" s="170" t="s">
        <v>360</v>
      </c>
      <c r="C15" s="172" t="s">
        <v>132</v>
      </c>
      <c r="D15" s="172">
        <v>60</v>
      </c>
      <c r="E15" s="172">
        <v>1.8668646233782057E-2</v>
      </c>
      <c r="F15" s="172">
        <v>60</v>
      </c>
      <c r="G15" s="172">
        <v>18.000000000000004</v>
      </c>
      <c r="H15" s="172">
        <v>60</v>
      </c>
      <c r="J15" s="177" t="s">
        <v>132</v>
      </c>
      <c r="K15" s="171">
        <f t="shared" si="0"/>
        <v>60</v>
      </c>
      <c r="L15" s="171">
        <f t="shared" si="1"/>
        <v>78</v>
      </c>
      <c r="M15" s="167">
        <f t="shared" si="2"/>
        <v>1.3</v>
      </c>
    </row>
    <row r="16" spans="2:14" ht="13" customHeight="1" x14ac:dyDescent="0.25">
      <c r="B16" s="170" t="s">
        <v>361</v>
      </c>
      <c r="C16" s="172" t="s">
        <v>134</v>
      </c>
      <c r="D16" s="172">
        <v>102</v>
      </c>
      <c r="E16" s="172">
        <v>2.2629685194791027E-2</v>
      </c>
      <c r="F16" s="172">
        <v>102</v>
      </c>
      <c r="G16" s="172">
        <v>18.000000000000004</v>
      </c>
      <c r="H16" s="172">
        <v>26</v>
      </c>
      <c r="J16" s="177" t="s">
        <v>134</v>
      </c>
      <c r="K16" s="171">
        <f t="shared" si="0"/>
        <v>102</v>
      </c>
      <c r="L16" s="171">
        <f t="shared" si="1"/>
        <v>44</v>
      </c>
      <c r="M16" s="168">
        <f t="shared" si="2"/>
        <v>0.43137254901960786</v>
      </c>
    </row>
    <row r="17" spans="2:16" ht="13" customHeight="1" x14ac:dyDescent="0.25">
      <c r="B17" s="175" t="s">
        <v>362</v>
      </c>
      <c r="C17" s="176" t="s">
        <v>136</v>
      </c>
      <c r="D17" s="176">
        <v>13</v>
      </c>
      <c r="E17" s="176">
        <v>4.0941373506489076E-2</v>
      </c>
      <c r="F17" s="176">
        <v>13</v>
      </c>
      <c r="G17" s="176">
        <v>18.000000000000004</v>
      </c>
      <c r="H17" s="176">
        <v>13</v>
      </c>
      <c r="J17" s="178" t="s">
        <v>136</v>
      </c>
      <c r="K17" s="166">
        <f t="shared" si="0"/>
        <v>13</v>
      </c>
      <c r="L17" s="166">
        <f t="shared" si="1"/>
        <v>31.000000000000004</v>
      </c>
      <c r="M17" s="169">
        <f t="shared" si="2"/>
        <v>2.384615384615385</v>
      </c>
    </row>
    <row r="18" spans="2:16" ht="13" customHeight="1" x14ac:dyDescent="0.25">
      <c r="B18" s="170" t="s">
        <v>363</v>
      </c>
      <c r="C18" s="171" t="s">
        <v>137</v>
      </c>
      <c r="D18" s="171">
        <v>184.99999999999994</v>
      </c>
      <c r="E18" s="171">
        <v>2.6267504132272308E-3</v>
      </c>
      <c r="F18" s="171">
        <v>0</v>
      </c>
      <c r="G18" s="171">
        <v>65.000000000000071</v>
      </c>
      <c r="H18" s="171">
        <v>120.99999999999996</v>
      </c>
      <c r="J18" s="164"/>
      <c r="K18" s="171"/>
      <c r="L18" s="171"/>
      <c r="M18" s="165"/>
    </row>
    <row r="19" spans="2:16" ht="13" customHeight="1" x14ac:dyDescent="0.25">
      <c r="B19" s="148" t="s">
        <v>364</v>
      </c>
      <c r="C19" s="162" t="s">
        <v>139</v>
      </c>
      <c r="D19" s="162">
        <v>186.00000000000003</v>
      </c>
      <c r="E19" s="162">
        <v>1.6597090909113051E-3</v>
      </c>
      <c r="F19" s="162">
        <v>0</v>
      </c>
      <c r="G19" s="162">
        <v>445.66666666666674</v>
      </c>
      <c r="H19" s="162">
        <v>120.99999999999996</v>
      </c>
      <c r="J19" s="164"/>
      <c r="K19" s="171"/>
      <c r="L19" s="171"/>
      <c r="M19" s="165"/>
      <c r="O19" s="235" t="s">
        <v>420</v>
      </c>
      <c r="P19" s="236"/>
    </row>
    <row r="20" spans="2:16" ht="13" customHeight="1" x14ac:dyDescent="0.25">
      <c r="B20" s="148" t="s">
        <v>365</v>
      </c>
      <c r="C20" s="162" t="s">
        <v>263</v>
      </c>
      <c r="D20" s="162">
        <v>70.000000000000014</v>
      </c>
      <c r="E20" s="162">
        <v>3.7212727272661054E-4</v>
      </c>
      <c r="F20" s="162">
        <v>0</v>
      </c>
      <c r="G20" s="162">
        <v>111.8181818181818</v>
      </c>
      <c r="H20" s="162">
        <v>70</v>
      </c>
      <c r="J20" s="164"/>
      <c r="K20" s="171"/>
      <c r="L20" s="171"/>
      <c r="M20" s="165"/>
      <c r="O20" s="237"/>
      <c r="P20" s="238"/>
    </row>
    <row r="21" spans="2:16" ht="13" customHeight="1" x14ac:dyDescent="0.25">
      <c r="B21" s="148" t="s">
        <v>366</v>
      </c>
      <c r="C21" s="162" t="s">
        <v>265</v>
      </c>
      <c r="D21" s="162">
        <v>0</v>
      </c>
      <c r="E21" s="162">
        <v>1.9075438016545967E-3</v>
      </c>
      <c r="F21" s="162">
        <v>0</v>
      </c>
      <c r="G21" s="162">
        <v>65.000000000000099</v>
      </c>
      <c r="H21" s="162">
        <v>0</v>
      </c>
      <c r="J21" s="164"/>
      <c r="K21" s="171"/>
      <c r="L21" s="171"/>
      <c r="M21" s="165"/>
      <c r="O21" s="164"/>
      <c r="P21" s="165"/>
    </row>
    <row r="22" spans="2:16" ht="13" customHeight="1" x14ac:dyDescent="0.25">
      <c r="B22" s="148" t="s">
        <v>367</v>
      </c>
      <c r="C22" s="162" t="s">
        <v>267</v>
      </c>
      <c r="D22" s="162">
        <v>0</v>
      </c>
      <c r="E22" s="162">
        <v>2.1359404958690331E-3</v>
      </c>
      <c r="F22" s="162">
        <v>0</v>
      </c>
      <c r="G22" s="162">
        <v>445.66666666666674</v>
      </c>
      <c r="H22" s="162">
        <v>0</v>
      </c>
      <c r="J22" s="179" t="s">
        <v>83</v>
      </c>
      <c r="K22" s="180" t="s">
        <v>57</v>
      </c>
      <c r="L22" s="180" t="s">
        <v>325</v>
      </c>
      <c r="M22" s="181" t="s">
        <v>326</v>
      </c>
      <c r="O22" s="179" t="s">
        <v>57</v>
      </c>
      <c r="P22" s="181" t="s">
        <v>326</v>
      </c>
    </row>
    <row r="23" spans="2:16" ht="13" customHeight="1" x14ac:dyDescent="0.25">
      <c r="B23" s="173" t="s">
        <v>368</v>
      </c>
      <c r="C23" s="174" t="s">
        <v>126</v>
      </c>
      <c r="D23" s="174">
        <v>110</v>
      </c>
      <c r="E23" s="174">
        <v>2.6267504132272308E-3</v>
      </c>
      <c r="F23" s="174">
        <v>110</v>
      </c>
      <c r="G23" s="174">
        <v>35.000000000000021</v>
      </c>
      <c r="H23" s="174">
        <v>110</v>
      </c>
      <c r="J23" s="177" t="s">
        <v>126</v>
      </c>
      <c r="K23" s="171">
        <f t="shared" ref="K23:K28" si="3">F23</f>
        <v>110</v>
      </c>
      <c r="L23" s="171">
        <f t="shared" ref="L23:L28" si="4">G23+H23</f>
        <v>145.00000000000003</v>
      </c>
      <c r="M23" s="167">
        <f t="shared" ref="M23:M28" si="5">L23/K23</f>
        <v>1.3181818181818183</v>
      </c>
      <c r="O23" s="177" t="s">
        <v>126</v>
      </c>
      <c r="P23" s="165">
        <f t="shared" ref="P23:P28" si="6">AVERAGE(M12,M23,M34)</f>
        <v>1.1909796999117388</v>
      </c>
    </row>
    <row r="24" spans="2:16" ht="13" customHeight="1" x14ac:dyDescent="0.25">
      <c r="B24" s="170" t="s">
        <v>369</v>
      </c>
      <c r="C24" s="172" t="s">
        <v>128</v>
      </c>
      <c r="D24" s="172">
        <v>80.000000000000043</v>
      </c>
      <c r="E24" s="172">
        <v>3.589819787486706E-2</v>
      </c>
      <c r="F24" s="172">
        <v>80</v>
      </c>
      <c r="G24" s="172">
        <v>13.999999999999956</v>
      </c>
      <c r="H24" s="172">
        <v>10.000000000000041</v>
      </c>
      <c r="J24" s="177" t="s">
        <v>128</v>
      </c>
      <c r="K24" s="171">
        <f t="shared" si="3"/>
        <v>80</v>
      </c>
      <c r="L24" s="171">
        <f t="shared" si="4"/>
        <v>23.999999999999996</v>
      </c>
      <c r="M24" s="168">
        <f t="shared" si="5"/>
        <v>0.29999999999999993</v>
      </c>
      <c r="O24" s="177" t="s">
        <v>128</v>
      </c>
      <c r="P24" s="168">
        <f t="shared" si="6"/>
        <v>0.52042042042042036</v>
      </c>
    </row>
    <row r="25" spans="2:16" ht="13" customHeight="1" x14ac:dyDescent="0.25">
      <c r="B25" s="170" t="s">
        <v>370</v>
      </c>
      <c r="C25" s="172" t="s">
        <v>130</v>
      </c>
      <c r="D25" s="172">
        <v>53</v>
      </c>
      <c r="E25" s="172">
        <v>3.3832082172376682E-2</v>
      </c>
      <c r="F25" s="172">
        <v>53</v>
      </c>
      <c r="G25" s="172">
        <v>13.999999999999956</v>
      </c>
      <c r="H25" s="172">
        <v>53</v>
      </c>
      <c r="J25" s="177" t="s">
        <v>130</v>
      </c>
      <c r="K25" s="171">
        <f t="shared" si="3"/>
        <v>53</v>
      </c>
      <c r="L25" s="171">
        <f t="shared" si="4"/>
        <v>66.999999999999957</v>
      </c>
      <c r="M25" s="167">
        <f t="shared" si="5"/>
        <v>1.2641509433962257</v>
      </c>
      <c r="O25" s="177" t="s">
        <v>130</v>
      </c>
      <c r="P25" s="165">
        <f t="shared" si="6"/>
        <v>1.131383647798742</v>
      </c>
    </row>
    <row r="26" spans="2:16" ht="13" customHeight="1" x14ac:dyDescent="0.25">
      <c r="B26" s="170" t="s">
        <v>371</v>
      </c>
      <c r="C26" s="172" t="s">
        <v>132</v>
      </c>
      <c r="D26" s="172">
        <v>75</v>
      </c>
      <c r="E26" s="172">
        <v>1.6971496576189227E-2</v>
      </c>
      <c r="F26" s="172">
        <v>75</v>
      </c>
      <c r="G26" s="172">
        <v>35.000000000000021</v>
      </c>
      <c r="H26" s="172">
        <v>75</v>
      </c>
      <c r="J26" s="177" t="s">
        <v>132</v>
      </c>
      <c r="K26" s="171">
        <f t="shared" si="3"/>
        <v>75</v>
      </c>
      <c r="L26" s="171">
        <f t="shared" si="4"/>
        <v>110.00000000000003</v>
      </c>
      <c r="M26" s="167">
        <f t="shared" si="5"/>
        <v>1.466666666666667</v>
      </c>
      <c r="O26" s="177" t="s">
        <v>132</v>
      </c>
      <c r="P26" s="165">
        <f t="shared" si="6"/>
        <v>1.2947712418300654</v>
      </c>
    </row>
    <row r="27" spans="2:16" ht="13" customHeight="1" x14ac:dyDescent="0.25">
      <c r="B27" s="170" t="s">
        <v>372</v>
      </c>
      <c r="C27" s="172" t="s">
        <v>134</v>
      </c>
      <c r="D27" s="172">
        <v>110</v>
      </c>
      <c r="E27" s="172">
        <v>2.0490877922081274E-2</v>
      </c>
      <c r="F27" s="172">
        <v>110</v>
      </c>
      <c r="G27" s="172">
        <v>13.999999999999956</v>
      </c>
      <c r="H27" s="172">
        <v>110</v>
      </c>
      <c r="J27" s="177" t="s">
        <v>134</v>
      </c>
      <c r="K27" s="171">
        <f t="shared" si="3"/>
        <v>110</v>
      </c>
      <c r="L27" s="171">
        <f t="shared" si="4"/>
        <v>123.99999999999996</v>
      </c>
      <c r="M27" s="167">
        <f t="shared" si="5"/>
        <v>1.127272727272727</v>
      </c>
      <c r="O27" s="177" t="s">
        <v>134</v>
      </c>
      <c r="P27" s="168">
        <f t="shared" si="6"/>
        <v>0.93288175876411161</v>
      </c>
    </row>
    <row r="28" spans="2:16" ht="13" customHeight="1" x14ac:dyDescent="0.25">
      <c r="B28" s="175" t="s">
        <v>373</v>
      </c>
      <c r="C28" s="176" t="s">
        <v>136</v>
      </c>
      <c r="D28" s="176">
        <v>13.000000000000002</v>
      </c>
      <c r="E28" s="176">
        <v>3.7137867296347063E-2</v>
      </c>
      <c r="F28" s="176">
        <v>13</v>
      </c>
      <c r="G28" s="176">
        <v>13.999999999999956</v>
      </c>
      <c r="H28" s="176">
        <v>13.000000000000002</v>
      </c>
      <c r="J28" s="178" t="s">
        <v>136</v>
      </c>
      <c r="K28" s="166">
        <f t="shared" si="3"/>
        <v>13</v>
      </c>
      <c r="L28" s="166">
        <f t="shared" si="4"/>
        <v>26.999999999999957</v>
      </c>
      <c r="M28" s="169">
        <f t="shared" si="5"/>
        <v>2.0769230769230735</v>
      </c>
      <c r="O28" s="178" t="s">
        <v>136</v>
      </c>
      <c r="P28" s="183">
        <f t="shared" si="6"/>
        <v>2.1538461538461529</v>
      </c>
    </row>
    <row r="29" spans="2:16" ht="13" customHeight="1" x14ac:dyDescent="0.25">
      <c r="B29" s="170" t="s">
        <v>374</v>
      </c>
      <c r="C29" s="171" t="s">
        <v>137</v>
      </c>
      <c r="D29" s="171">
        <v>209.99999999999991</v>
      </c>
      <c r="E29" s="171">
        <v>2.1543062625072436E-2</v>
      </c>
      <c r="F29" s="171">
        <v>0</v>
      </c>
      <c r="G29" s="171">
        <v>40.000000000000092</v>
      </c>
      <c r="H29" s="171">
        <v>130</v>
      </c>
      <c r="J29" s="164"/>
      <c r="K29" s="171"/>
      <c r="L29" s="171"/>
      <c r="M29" s="165"/>
      <c r="O29" s="164"/>
      <c r="P29" s="165"/>
    </row>
    <row r="30" spans="2:16" ht="13" customHeight="1" x14ac:dyDescent="0.25">
      <c r="B30" s="148" t="s">
        <v>375</v>
      </c>
      <c r="C30" s="162" t="s">
        <v>139</v>
      </c>
      <c r="D30" s="162">
        <v>170.00000000000003</v>
      </c>
      <c r="E30" s="162">
        <v>1.3611958222172644E-2</v>
      </c>
      <c r="F30" s="162">
        <v>0</v>
      </c>
      <c r="G30" s="162">
        <v>436.66666666666657</v>
      </c>
      <c r="H30" s="162">
        <v>129.99999999999997</v>
      </c>
      <c r="J30" s="164"/>
      <c r="K30" s="171"/>
      <c r="L30" s="171"/>
      <c r="M30" s="165"/>
      <c r="O30" s="244" t="s">
        <v>422</v>
      </c>
      <c r="P30" s="245"/>
    </row>
    <row r="31" spans="2:16" ht="13" customHeight="1" x14ac:dyDescent="0.25">
      <c r="B31" s="148" t="s">
        <v>376</v>
      </c>
      <c r="C31" s="162" t="s">
        <v>263</v>
      </c>
      <c r="D31" s="162">
        <v>120.00000000000001</v>
      </c>
      <c r="E31" s="162">
        <v>3.0519691176232613E-3</v>
      </c>
      <c r="F31" s="162">
        <v>0</v>
      </c>
      <c r="G31" s="162">
        <v>61.818181818181792</v>
      </c>
      <c r="H31" s="162">
        <v>120</v>
      </c>
      <c r="J31" s="164"/>
      <c r="K31" s="171"/>
      <c r="L31" s="171"/>
      <c r="M31" s="165"/>
      <c r="O31" s="246"/>
      <c r="P31" s="247"/>
    </row>
    <row r="32" spans="2:16" ht="13" customHeight="1" x14ac:dyDescent="0.25">
      <c r="B32" s="148" t="s">
        <v>377</v>
      </c>
      <c r="C32" s="162" t="s">
        <v>265</v>
      </c>
      <c r="D32" s="162">
        <v>0</v>
      </c>
      <c r="E32" s="162">
        <v>1.5644552817889238E-2</v>
      </c>
      <c r="F32" s="162">
        <v>0</v>
      </c>
      <c r="G32" s="162">
        <v>40.000000000000085</v>
      </c>
      <c r="H32" s="162">
        <v>0</v>
      </c>
      <c r="J32" s="164"/>
      <c r="K32" s="171"/>
      <c r="L32" s="171"/>
      <c r="M32" s="165"/>
      <c r="O32" s="246"/>
      <c r="P32" s="247"/>
    </row>
    <row r="33" spans="2:16" ht="13" customHeight="1" x14ac:dyDescent="0.25">
      <c r="B33" s="148" t="s">
        <v>378</v>
      </c>
      <c r="C33" s="162" t="s">
        <v>267</v>
      </c>
      <c r="D33" s="162">
        <v>0</v>
      </c>
      <c r="E33" s="162">
        <v>1.7517728229630613E-2</v>
      </c>
      <c r="F33" s="162">
        <v>0</v>
      </c>
      <c r="G33" s="162">
        <v>436.66666666666657</v>
      </c>
      <c r="H33" s="162">
        <v>0</v>
      </c>
      <c r="J33" s="179" t="s">
        <v>83</v>
      </c>
      <c r="K33" s="180" t="s">
        <v>57</v>
      </c>
      <c r="L33" s="180" t="s">
        <v>325</v>
      </c>
      <c r="M33" s="181" t="s">
        <v>326</v>
      </c>
      <c r="O33" s="246"/>
      <c r="P33" s="247"/>
    </row>
    <row r="34" spans="2:16" ht="13" customHeight="1" x14ac:dyDescent="0.25">
      <c r="B34" s="173" t="s">
        <v>379</v>
      </c>
      <c r="C34" s="174" t="s">
        <v>126</v>
      </c>
      <c r="D34" s="174">
        <v>125</v>
      </c>
      <c r="E34" s="174">
        <v>2.1543062625072436E-2</v>
      </c>
      <c r="F34" s="174">
        <v>125</v>
      </c>
      <c r="G34" s="174">
        <v>10.000000000000014</v>
      </c>
      <c r="H34" s="174">
        <v>125</v>
      </c>
      <c r="J34" s="177" t="s">
        <v>126</v>
      </c>
      <c r="K34" s="171">
        <f t="shared" ref="K34:K39" si="7">F34</f>
        <v>125</v>
      </c>
      <c r="L34" s="171">
        <f t="shared" ref="L34:L39" si="8">G34+H34</f>
        <v>135</v>
      </c>
      <c r="M34" s="167">
        <f t="shared" ref="M34:M39" si="9">L34/K34</f>
        <v>1.08</v>
      </c>
      <c r="O34" s="248"/>
      <c r="P34" s="249"/>
    </row>
    <row r="35" spans="2:16" ht="13" customHeight="1" x14ac:dyDescent="0.25">
      <c r="B35" s="170" t="s">
        <v>380</v>
      </c>
      <c r="C35" s="172" t="s">
        <v>128</v>
      </c>
      <c r="D35" s="172">
        <v>90</v>
      </c>
      <c r="E35" s="172">
        <v>6.2026433434157202E-2</v>
      </c>
      <c r="F35" s="172">
        <v>90</v>
      </c>
      <c r="G35" s="172">
        <v>15</v>
      </c>
      <c r="H35" s="172">
        <v>45</v>
      </c>
      <c r="J35" s="177" t="s">
        <v>128</v>
      </c>
      <c r="K35" s="171">
        <f t="shared" si="7"/>
        <v>90</v>
      </c>
      <c r="L35" s="171">
        <f t="shared" si="8"/>
        <v>60</v>
      </c>
      <c r="M35" s="168">
        <f t="shared" si="9"/>
        <v>0.66666666666666663</v>
      </c>
      <c r="O35" s="182"/>
      <c r="P35" s="182"/>
    </row>
    <row r="36" spans="2:16" ht="13" customHeight="1" x14ac:dyDescent="0.25">
      <c r="B36" s="170" t="s">
        <v>381</v>
      </c>
      <c r="C36" s="172" t="s">
        <v>130</v>
      </c>
      <c r="D36" s="172">
        <v>60</v>
      </c>
      <c r="E36" s="172">
        <v>0.27747084812742329</v>
      </c>
      <c r="F36" s="172">
        <v>60</v>
      </c>
      <c r="G36" s="172">
        <v>29.999999999999989</v>
      </c>
      <c r="H36" s="172">
        <v>45</v>
      </c>
      <c r="J36" s="177" t="s">
        <v>130</v>
      </c>
      <c r="K36" s="171">
        <f t="shared" si="7"/>
        <v>60</v>
      </c>
      <c r="L36" s="171">
        <f t="shared" si="8"/>
        <v>74.999999999999986</v>
      </c>
      <c r="M36" s="167">
        <f t="shared" si="9"/>
        <v>1.2499999999999998</v>
      </c>
    </row>
    <row r="37" spans="2:16" ht="13" customHeight="1" x14ac:dyDescent="0.25">
      <c r="B37" s="170" t="s">
        <v>382</v>
      </c>
      <c r="C37" s="172" t="s">
        <v>132</v>
      </c>
      <c r="D37" s="172">
        <v>85</v>
      </c>
      <c r="E37" s="172">
        <v>0.13919023739014047</v>
      </c>
      <c r="F37" s="172">
        <v>85</v>
      </c>
      <c r="G37" s="172">
        <v>10.000000000000014</v>
      </c>
      <c r="H37" s="172">
        <v>85</v>
      </c>
      <c r="J37" s="177" t="s">
        <v>132</v>
      </c>
      <c r="K37" s="171">
        <f t="shared" si="7"/>
        <v>85</v>
      </c>
      <c r="L37" s="171">
        <f t="shared" si="8"/>
        <v>95.000000000000014</v>
      </c>
      <c r="M37" s="167">
        <f t="shared" si="9"/>
        <v>1.1176470588235297</v>
      </c>
    </row>
    <row r="38" spans="2:16" ht="13" customHeight="1" x14ac:dyDescent="0.25">
      <c r="B38" s="170" t="s">
        <v>383</v>
      </c>
      <c r="C38" s="172" t="s">
        <v>134</v>
      </c>
      <c r="D38" s="172">
        <v>125</v>
      </c>
      <c r="E38" s="172">
        <v>0.16805413414836484</v>
      </c>
      <c r="F38" s="172">
        <v>125</v>
      </c>
      <c r="G38" s="172">
        <v>29.999999999999989</v>
      </c>
      <c r="H38" s="172">
        <v>125</v>
      </c>
      <c r="J38" s="177" t="s">
        <v>134</v>
      </c>
      <c r="K38" s="171">
        <f t="shared" si="7"/>
        <v>125</v>
      </c>
      <c r="L38" s="171">
        <f t="shared" si="8"/>
        <v>155</v>
      </c>
      <c r="M38" s="167">
        <f t="shared" si="9"/>
        <v>1.24</v>
      </c>
    </row>
    <row r="39" spans="2:16" ht="13" customHeight="1" x14ac:dyDescent="0.25">
      <c r="B39" s="175" t="s">
        <v>384</v>
      </c>
      <c r="C39" s="176" t="s">
        <v>136</v>
      </c>
      <c r="D39" s="176">
        <v>15</v>
      </c>
      <c r="E39" s="176">
        <v>7.2193473228638727E-2</v>
      </c>
      <c r="F39" s="176">
        <v>15</v>
      </c>
      <c r="G39" s="176">
        <v>15</v>
      </c>
      <c r="H39" s="176">
        <v>15</v>
      </c>
      <c r="J39" s="178" t="s">
        <v>136</v>
      </c>
      <c r="K39" s="166">
        <f t="shared" si="7"/>
        <v>15</v>
      </c>
      <c r="L39" s="166">
        <f t="shared" si="8"/>
        <v>30</v>
      </c>
      <c r="M39" s="169">
        <f t="shared" si="9"/>
        <v>2</v>
      </c>
    </row>
    <row r="40" spans="2:16" ht="13" customHeight="1" x14ac:dyDescent="0.25">
      <c r="B40" s="170" t="s">
        <v>385</v>
      </c>
      <c r="C40" s="171" t="s">
        <v>140</v>
      </c>
      <c r="D40" s="171">
        <v>30.000000000000004</v>
      </c>
      <c r="E40" s="171">
        <v>-4.454545452858838E-5</v>
      </c>
      <c r="F40" s="171">
        <v>30</v>
      </c>
      <c r="G40" s="171">
        <v>18.239999999999998</v>
      </c>
      <c r="H40" s="171">
        <v>5.76</v>
      </c>
      <c r="J40" s="171"/>
    </row>
    <row r="41" spans="2:16" ht="13" customHeight="1" x14ac:dyDescent="0.25">
      <c r="B41" s="148" t="s">
        <v>386</v>
      </c>
      <c r="C41" s="162" t="s">
        <v>142</v>
      </c>
      <c r="D41" s="162">
        <v>18.239999999999998</v>
      </c>
      <c r="E41" s="162">
        <v>0</v>
      </c>
      <c r="F41" s="162">
        <v>68</v>
      </c>
      <c r="G41" s="162">
        <v>1E+30</v>
      </c>
      <c r="H41" s="162">
        <v>49.760000000000005</v>
      </c>
    </row>
    <row r="42" spans="2:16" ht="13" customHeight="1" x14ac:dyDescent="0.25">
      <c r="B42" s="148" t="s">
        <v>387</v>
      </c>
      <c r="C42" s="162" t="s">
        <v>293</v>
      </c>
      <c r="D42" s="162">
        <v>0</v>
      </c>
      <c r="E42" s="162">
        <v>0</v>
      </c>
      <c r="F42" s="162">
        <v>20</v>
      </c>
      <c r="G42" s="162">
        <v>1E+30</v>
      </c>
      <c r="H42" s="162">
        <v>20</v>
      </c>
    </row>
    <row r="43" spans="2:16" ht="13" customHeight="1" x14ac:dyDescent="0.25">
      <c r="B43" s="148" t="s">
        <v>388</v>
      </c>
      <c r="C43" s="162" t="s">
        <v>140</v>
      </c>
      <c r="D43" s="162">
        <v>30</v>
      </c>
      <c r="E43" s="162">
        <v>-4.0495867793310936E-5</v>
      </c>
      <c r="F43" s="162">
        <v>30</v>
      </c>
      <c r="G43" s="162">
        <v>14.519999999999994</v>
      </c>
      <c r="H43" s="162">
        <v>7.8000000000000078</v>
      </c>
    </row>
    <row r="44" spans="2:16" ht="13" customHeight="1" x14ac:dyDescent="0.25">
      <c r="B44" s="148" t="s">
        <v>389</v>
      </c>
      <c r="C44" s="162" t="s">
        <v>142</v>
      </c>
      <c r="D44" s="162">
        <v>14.519999999999994</v>
      </c>
      <c r="E44" s="162">
        <v>0</v>
      </c>
      <c r="F44" s="162">
        <v>68</v>
      </c>
      <c r="G44" s="162">
        <v>1E+30</v>
      </c>
      <c r="H44" s="162">
        <v>53.480000000000004</v>
      </c>
    </row>
    <row r="45" spans="2:16" ht="13" customHeight="1" x14ac:dyDescent="0.25">
      <c r="B45" s="148" t="s">
        <v>390</v>
      </c>
      <c r="C45" s="162" t="s">
        <v>293</v>
      </c>
      <c r="D45" s="162">
        <v>7.7000000000000011</v>
      </c>
      <c r="E45" s="162">
        <v>0</v>
      </c>
      <c r="F45" s="162">
        <v>20</v>
      </c>
      <c r="G45" s="162">
        <v>1E+30</v>
      </c>
      <c r="H45" s="162">
        <v>12.299999999999997</v>
      </c>
    </row>
    <row r="46" spans="2:16" ht="13" customHeight="1" x14ac:dyDescent="0.25">
      <c r="B46" s="148" t="s">
        <v>391</v>
      </c>
      <c r="C46" s="162" t="s">
        <v>140</v>
      </c>
      <c r="D46" s="162">
        <v>29.999999999999996</v>
      </c>
      <c r="E46" s="162">
        <v>-3.3212329996895606E-4</v>
      </c>
      <c r="F46" s="162">
        <v>30</v>
      </c>
      <c r="G46" s="162">
        <v>15.599999999999998</v>
      </c>
      <c r="H46" s="162">
        <v>4.8000000000000087</v>
      </c>
    </row>
    <row r="47" spans="2:16" ht="13" customHeight="1" x14ac:dyDescent="0.25">
      <c r="B47" s="148" t="s">
        <v>392</v>
      </c>
      <c r="C47" s="162" t="s">
        <v>142</v>
      </c>
      <c r="D47" s="162">
        <v>15.599999999999994</v>
      </c>
      <c r="E47" s="162">
        <v>0</v>
      </c>
      <c r="F47" s="162">
        <v>68</v>
      </c>
      <c r="G47" s="162">
        <v>1E+30</v>
      </c>
      <c r="H47" s="162">
        <v>52.400000000000006</v>
      </c>
    </row>
    <row r="48" spans="2:16" ht="13" customHeight="1" x14ac:dyDescent="0.25">
      <c r="B48" s="148" t="s">
        <v>393</v>
      </c>
      <c r="C48" s="162" t="s">
        <v>293</v>
      </c>
      <c r="D48" s="162">
        <v>13.200000000000001</v>
      </c>
      <c r="E48" s="162">
        <v>0</v>
      </c>
      <c r="F48" s="162">
        <v>20</v>
      </c>
      <c r="G48" s="162">
        <v>1E+30</v>
      </c>
      <c r="H48" s="162">
        <v>6.799999999999998</v>
      </c>
    </row>
    <row r="49" spans="2:8" ht="13" customHeight="1" x14ac:dyDescent="0.25">
      <c r="B49" s="148" t="s">
        <v>394</v>
      </c>
      <c r="C49" s="162" t="s">
        <v>145</v>
      </c>
      <c r="D49" s="162">
        <v>202</v>
      </c>
      <c r="E49" s="162">
        <v>0</v>
      </c>
      <c r="F49" s="162">
        <v>220</v>
      </c>
      <c r="G49" s="162">
        <v>1E+30</v>
      </c>
      <c r="H49" s="162">
        <v>18.000000000000007</v>
      </c>
    </row>
    <row r="50" spans="2:8" ht="13" customHeight="1" x14ac:dyDescent="0.25">
      <c r="B50" s="148" t="s">
        <v>395</v>
      </c>
      <c r="C50" s="162" t="s">
        <v>147</v>
      </c>
      <c r="D50" s="162">
        <v>200</v>
      </c>
      <c r="E50" s="162">
        <v>-8.9719480515670913E-5</v>
      </c>
      <c r="F50" s="162">
        <v>200</v>
      </c>
      <c r="G50" s="162">
        <v>26</v>
      </c>
      <c r="H50" s="162">
        <v>18.000000000000007</v>
      </c>
    </row>
    <row r="51" spans="2:8" ht="13" customHeight="1" x14ac:dyDescent="0.25">
      <c r="B51" s="148" t="s">
        <v>396</v>
      </c>
      <c r="C51" s="162" t="s">
        <v>300</v>
      </c>
      <c r="D51" s="162">
        <v>0</v>
      </c>
      <c r="E51" s="162">
        <v>-3.916839714286937E-2</v>
      </c>
      <c r="F51" s="162">
        <v>0</v>
      </c>
      <c r="G51" s="162">
        <v>13</v>
      </c>
      <c r="H51" s="162">
        <v>0</v>
      </c>
    </row>
    <row r="52" spans="2:8" ht="13" customHeight="1" x14ac:dyDescent="0.25">
      <c r="B52" s="148" t="s">
        <v>397</v>
      </c>
      <c r="C52" s="162" t="s">
        <v>302</v>
      </c>
      <c r="D52" s="162">
        <v>0</v>
      </c>
      <c r="E52" s="162">
        <v>-6.3106077921969515E-3</v>
      </c>
      <c r="F52" s="162">
        <v>0</v>
      </c>
      <c r="G52" s="162">
        <v>26</v>
      </c>
      <c r="H52" s="162">
        <v>0</v>
      </c>
    </row>
    <row r="53" spans="2:8" ht="13" customHeight="1" x14ac:dyDescent="0.25">
      <c r="B53" s="148" t="s">
        <v>398</v>
      </c>
      <c r="C53" s="162" t="s">
        <v>304</v>
      </c>
      <c r="D53" s="162">
        <v>0</v>
      </c>
      <c r="E53" s="162">
        <v>0</v>
      </c>
      <c r="F53" s="162">
        <v>0</v>
      </c>
      <c r="G53" s="162">
        <v>1E+30</v>
      </c>
      <c r="H53" s="162">
        <v>0</v>
      </c>
    </row>
    <row r="54" spans="2:8" ht="13" customHeight="1" x14ac:dyDescent="0.25">
      <c r="B54" s="148" t="s">
        <v>399</v>
      </c>
      <c r="C54" s="162" t="s">
        <v>145</v>
      </c>
      <c r="D54" s="162">
        <v>185</v>
      </c>
      <c r="E54" s="162">
        <v>0</v>
      </c>
      <c r="F54" s="162">
        <v>220</v>
      </c>
      <c r="G54" s="162">
        <v>1E+30</v>
      </c>
      <c r="H54" s="162">
        <v>35.000000000000021</v>
      </c>
    </row>
    <row r="55" spans="2:8" ht="13" customHeight="1" x14ac:dyDescent="0.25">
      <c r="B55" s="148" t="s">
        <v>400</v>
      </c>
      <c r="C55" s="162" t="s">
        <v>147</v>
      </c>
      <c r="D55" s="162">
        <v>186.00000000000006</v>
      </c>
      <c r="E55" s="162">
        <v>0</v>
      </c>
      <c r="F55" s="162">
        <v>200</v>
      </c>
      <c r="G55" s="162">
        <v>1E+30</v>
      </c>
      <c r="H55" s="162">
        <v>13.999999999999956</v>
      </c>
    </row>
    <row r="56" spans="2:8" ht="13" customHeight="1" x14ac:dyDescent="0.25">
      <c r="B56" s="148" t="s">
        <v>401</v>
      </c>
      <c r="C56" s="162" t="s">
        <v>300</v>
      </c>
      <c r="D56" s="162">
        <v>70</v>
      </c>
      <c r="E56" s="162">
        <v>-3.5526070602140442E-2</v>
      </c>
      <c r="F56" s="162">
        <v>70</v>
      </c>
      <c r="G56" s="162">
        <v>10.000000000000036</v>
      </c>
      <c r="H56" s="162">
        <v>13.99999999999995</v>
      </c>
    </row>
    <row r="57" spans="2:8" ht="13" customHeight="1" x14ac:dyDescent="0.25">
      <c r="B57" s="148" t="s">
        <v>402</v>
      </c>
      <c r="C57" s="162" t="s">
        <v>302</v>
      </c>
      <c r="D57" s="162">
        <v>0</v>
      </c>
      <c r="E57" s="162">
        <v>-5.7369161747635612E-3</v>
      </c>
      <c r="F57" s="162">
        <v>0</v>
      </c>
      <c r="G57" s="162">
        <v>75</v>
      </c>
      <c r="H57" s="162">
        <v>0</v>
      </c>
    </row>
    <row r="58" spans="2:8" ht="13" customHeight="1" x14ac:dyDescent="0.25">
      <c r="B58" s="148" t="s">
        <v>403</v>
      </c>
      <c r="C58" s="162" t="s">
        <v>304</v>
      </c>
      <c r="D58" s="162">
        <v>0</v>
      </c>
      <c r="E58" s="162">
        <v>0</v>
      </c>
      <c r="F58" s="162">
        <v>0</v>
      </c>
      <c r="G58" s="162">
        <v>1E+30</v>
      </c>
      <c r="H58" s="162">
        <v>0</v>
      </c>
    </row>
    <row r="59" spans="2:8" ht="13" customHeight="1" x14ac:dyDescent="0.25">
      <c r="B59" s="148" t="s">
        <v>404</v>
      </c>
      <c r="C59" s="162" t="s">
        <v>145</v>
      </c>
      <c r="D59" s="162">
        <v>210</v>
      </c>
      <c r="E59" s="162">
        <v>0</v>
      </c>
      <c r="F59" s="162">
        <v>220</v>
      </c>
      <c r="G59" s="162">
        <v>1E+30</v>
      </c>
      <c r="H59" s="162">
        <v>10.000000000000014</v>
      </c>
    </row>
    <row r="60" spans="2:8" ht="13" customHeight="1" x14ac:dyDescent="0.25">
      <c r="B60" s="148" t="s">
        <v>405</v>
      </c>
      <c r="C60" s="162" t="s">
        <v>147</v>
      </c>
      <c r="D60" s="162">
        <v>170</v>
      </c>
      <c r="E60" s="162">
        <v>0</v>
      </c>
      <c r="F60" s="162">
        <v>200</v>
      </c>
      <c r="G60" s="162">
        <v>1E+30</v>
      </c>
      <c r="H60" s="162">
        <v>29.999999999999982</v>
      </c>
    </row>
    <row r="61" spans="2:8" ht="13" customHeight="1" x14ac:dyDescent="0.25">
      <c r="B61" s="148" t="s">
        <v>406</v>
      </c>
      <c r="C61" s="162" t="s">
        <v>300</v>
      </c>
      <c r="D61" s="162">
        <v>120</v>
      </c>
      <c r="E61" s="162">
        <v>-5.8974464316533977E-2</v>
      </c>
      <c r="F61" s="162">
        <v>120</v>
      </c>
      <c r="G61" s="162">
        <v>44.999999999999993</v>
      </c>
      <c r="H61" s="162">
        <v>14.999999999999996</v>
      </c>
    </row>
    <row r="62" spans="2:8" ht="13" customHeight="1" x14ac:dyDescent="0.25">
      <c r="B62" s="148" t="s">
        <v>407</v>
      </c>
      <c r="C62" s="162" t="s">
        <v>302</v>
      </c>
      <c r="D62" s="162">
        <v>0</v>
      </c>
      <c r="E62" s="162">
        <v>-4.7050813737330346E-2</v>
      </c>
      <c r="F62" s="162">
        <v>0</v>
      </c>
      <c r="G62" s="162">
        <v>84.999999999999986</v>
      </c>
      <c r="H62" s="162">
        <v>0</v>
      </c>
    </row>
    <row r="63" spans="2:8" ht="13" customHeight="1" thickBot="1" x14ac:dyDescent="0.3">
      <c r="B63" s="149" t="s">
        <v>408</v>
      </c>
      <c r="C63" s="163" t="s">
        <v>304</v>
      </c>
      <c r="D63" s="163">
        <v>0</v>
      </c>
      <c r="E63" s="163">
        <v>0</v>
      </c>
      <c r="F63" s="163">
        <v>0</v>
      </c>
      <c r="G63" s="163">
        <v>1E+30</v>
      </c>
      <c r="H63" s="163">
        <v>0</v>
      </c>
    </row>
    <row r="64" spans="2:8" ht="13" customHeight="1" x14ac:dyDescent="0.25"/>
    <row r="65" spans="2:14" ht="13" customHeight="1" thickBot="1" x14ac:dyDescent="0.3">
      <c r="B65" s="147" t="s">
        <v>81</v>
      </c>
    </row>
    <row r="66" spans="2:14" ht="13" customHeight="1" x14ac:dyDescent="0.25">
      <c r="B66" s="144"/>
      <c r="C66" s="144"/>
      <c r="D66" s="144" t="s">
        <v>84</v>
      </c>
      <c r="E66" s="144" t="s">
        <v>86</v>
      </c>
      <c r="F66" s="144" t="s">
        <v>88</v>
      </c>
      <c r="G66" s="144" t="s">
        <v>90</v>
      </c>
      <c r="H66" s="144" t="s">
        <v>90</v>
      </c>
    </row>
    <row r="67" spans="2:14" ht="13" customHeight="1" thickBot="1" x14ac:dyDescent="0.3">
      <c r="B67" s="145" t="s">
        <v>82</v>
      </c>
      <c r="C67" s="145" t="s">
        <v>83</v>
      </c>
      <c r="D67" s="145" t="s">
        <v>85</v>
      </c>
      <c r="E67" s="145" t="s">
        <v>87</v>
      </c>
      <c r="F67" s="145" t="s">
        <v>89</v>
      </c>
      <c r="G67" s="145" t="s">
        <v>91</v>
      </c>
      <c r="H67" s="145" t="s">
        <v>92</v>
      </c>
      <c r="K67" s="146"/>
      <c r="L67" s="146"/>
      <c r="M67" s="146"/>
      <c r="N67" s="146"/>
    </row>
    <row r="68" spans="2:14" ht="13" customHeight="1" x14ac:dyDescent="0.25">
      <c r="B68" s="148" t="s">
        <v>151</v>
      </c>
      <c r="C68" s="162" t="s">
        <v>98</v>
      </c>
      <c r="D68" s="162">
        <v>24.240000000000002</v>
      </c>
      <c r="E68" s="162">
        <v>0</v>
      </c>
      <c r="F68" s="162">
        <v>2.4034000000014544E-2</v>
      </c>
      <c r="G68" s="162">
        <v>2.4034545454655024E-3</v>
      </c>
      <c r="H68" s="162">
        <v>7.4766233763059098E-4</v>
      </c>
    </row>
    <row r="69" spans="2:14" ht="13" customHeight="1" x14ac:dyDescent="0.25">
      <c r="B69" s="148" t="s">
        <v>152</v>
      </c>
      <c r="C69" s="162" t="s">
        <v>99</v>
      </c>
      <c r="D69" s="162">
        <v>5.7600000000000007</v>
      </c>
      <c r="E69" s="162">
        <v>0</v>
      </c>
      <c r="F69" s="162">
        <v>1.5169454545457484E-2</v>
      </c>
      <c r="G69" s="162">
        <v>4.4545454528588373E-5</v>
      </c>
      <c r="H69" s="162">
        <v>2.4034545454655024E-3</v>
      </c>
    </row>
    <row r="70" spans="2:14" ht="13" customHeight="1" x14ac:dyDescent="0.25">
      <c r="B70" s="148" t="s">
        <v>154</v>
      </c>
      <c r="C70" s="162" t="s">
        <v>148</v>
      </c>
      <c r="D70" s="162">
        <v>0</v>
      </c>
      <c r="E70" s="162">
        <v>1.474283333332475E-2</v>
      </c>
      <c r="F70" s="162">
        <v>1.8109454545452763E-2</v>
      </c>
      <c r="G70" s="162">
        <v>1E+30</v>
      </c>
      <c r="H70" s="162">
        <v>1.474283333332475E-2</v>
      </c>
    </row>
    <row r="71" spans="2:14" ht="13" customHeight="1" x14ac:dyDescent="0.25">
      <c r="B71" s="148" t="s">
        <v>156</v>
      </c>
      <c r="C71" s="162" t="s">
        <v>149</v>
      </c>
      <c r="D71" s="162">
        <v>0</v>
      </c>
      <c r="E71" s="162">
        <v>0</v>
      </c>
      <c r="F71" s="162">
        <v>1.7441272727268142E-2</v>
      </c>
      <c r="G71" s="162">
        <v>5.5253484848770025E-3</v>
      </c>
      <c r="H71" s="162">
        <v>1E+30</v>
      </c>
    </row>
    <row r="72" spans="2:14" ht="13" customHeight="1" x14ac:dyDescent="0.25">
      <c r="B72" s="148" t="s">
        <v>291</v>
      </c>
      <c r="C72" s="162" t="s">
        <v>150</v>
      </c>
      <c r="D72" s="162">
        <v>0</v>
      </c>
      <c r="E72" s="162">
        <v>9.7109090908986673E-3</v>
      </c>
      <c r="F72" s="162">
        <v>2.9245818181820482E-2</v>
      </c>
      <c r="G72" s="162">
        <v>1E+30</v>
      </c>
      <c r="H72" s="162">
        <v>9.7109090908986673E-3</v>
      </c>
    </row>
    <row r="73" spans="2:14" ht="13" customHeight="1" x14ac:dyDescent="0.25">
      <c r="B73" s="148" t="s">
        <v>159</v>
      </c>
      <c r="C73" s="162" t="s">
        <v>100</v>
      </c>
      <c r="D73" s="162">
        <v>0</v>
      </c>
      <c r="E73" s="162">
        <v>9.3990909090990726E-3</v>
      </c>
      <c r="F73" s="162">
        <v>3.3477636363642205E-2</v>
      </c>
      <c r="G73" s="162">
        <v>1E+30</v>
      </c>
      <c r="H73" s="162">
        <v>9.3990909090990726E-3</v>
      </c>
    </row>
    <row r="74" spans="2:14" ht="13" customHeight="1" x14ac:dyDescent="0.25">
      <c r="B74" s="148" t="s">
        <v>161</v>
      </c>
      <c r="C74" s="162" t="s">
        <v>102</v>
      </c>
      <c r="D74" s="162">
        <v>18.239999999999998</v>
      </c>
      <c r="E74" s="162">
        <v>0</v>
      </c>
      <c r="F74" s="162">
        <v>1.5213999999986072E-2</v>
      </c>
      <c r="G74" s="162">
        <v>2.4034545454655028E-3</v>
      </c>
      <c r="H74" s="162">
        <v>4.454545452858838E-5</v>
      </c>
    </row>
    <row r="75" spans="2:14" ht="13" customHeight="1" x14ac:dyDescent="0.25">
      <c r="B75" s="148" t="s">
        <v>163</v>
      </c>
      <c r="C75" s="162" t="s">
        <v>153</v>
      </c>
      <c r="D75" s="162">
        <v>0</v>
      </c>
      <c r="E75" s="162">
        <v>2.4631924242437243E-2</v>
      </c>
      <c r="F75" s="162">
        <v>2.8043090909093848E-2</v>
      </c>
      <c r="G75" s="162">
        <v>1E+30</v>
      </c>
      <c r="H75" s="162">
        <v>2.4631924242437243E-2</v>
      </c>
    </row>
    <row r="76" spans="2:14" ht="13" customHeight="1" x14ac:dyDescent="0.25">
      <c r="B76" s="148" t="s">
        <v>165</v>
      </c>
      <c r="C76" s="162" t="s">
        <v>155</v>
      </c>
      <c r="D76" s="162">
        <v>0</v>
      </c>
      <c r="E76" s="162">
        <v>9.3990909091132523E-3</v>
      </c>
      <c r="F76" s="162">
        <v>2.6884909090910014E-2</v>
      </c>
      <c r="G76" s="162">
        <v>1E+30</v>
      </c>
      <c r="H76" s="162">
        <v>9.3990909091132523E-3</v>
      </c>
    </row>
    <row r="77" spans="2:14" ht="13" customHeight="1" x14ac:dyDescent="0.25">
      <c r="B77" s="148" t="s">
        <v>292</v>
      </c>
      <c r="C77" s="162" t="s">
        <v>157</v>
      </c>
      <c r="D77" s="162">
        <v>0</v>
      </c>
      <c r="E77" s="162">
        <v>0</v>
      </c>
      <c r="F77" s="162">
        <v>1.9579454545450403E-2</v>
      </c>
      <c r="G77" s="162">
        <v>9.710909090898669E-3</v>
      </c>
      <c r="H77" s="162">
        <v>9.5701731602938645E-3</v>
      </c>
    </row>
    <row r="78" spans="2:14" ht="13" customHeight="1" x14ac:dyDescent="0.25">
      <c r="B78" s="148" t="s">
        <v>261</v>
      </c>
      <c r="C78" s="162" t="s">
        <v>158</v>
      </c>
      <c r="D78" s="162">
        <v>0</v>
      </c>
      <c r="E78" s="162">
        <v>2.6219504132350933E-3</v>
      </c>
      <c r="F78" s="162">
        <v>2.8889454545463877E-2</v>
      </c>
      <c r="G78" s="162">
        <v>1E+30</v>
      </c>
      <c r="H78" s="162">
        <v>2.6219504132350933E-3</v>
      </c>
    </row>
    <row r="79" spans="2:14" ht="13" customHeight="1" x14ac:dyDescent="0.25">
      <c r="B79" s="148" t="s">
        <v>262</v>
      </c>
      <c r="C79" s="162" t="s">
        <v>160</v>
      </c>
      <c r="D79" s="162">
        <v>0</v>
      </c>
      <c r="E79" s="162">
        <v>1.2960545454558599E-2</v>
      </c>
      <c r="F79" s="162">
        <v>2.9557636363634288E-2</v>
      </c>
      <c r="G79" s="162">
        <v>1E+30</v>
      </c>
      <c r="H79" s="162">
        <v>1.2960545454558599E-2</v>
      </c>
    </row>
    <row r="80" spans="2:14" ht="13" customHeight="1" x14ac:dyDescent="0.25">
      <c r="B80" s="148" t="s">
        <v>264</v>
      </c>
      <c r="C80" s="162" t="s">
        <v>162</v>
      </c>
      <c r="D80" s="162">
        <v>0</v>
      </c>
      <c r="E80" s="162">
        <v>0</v>
      </c>
      <c r="F80" s="162">
        <v>3.7212727272617485E-3</v>
      </c>
      <c r="G80" s="162">
        <v>1.6083090909081544E-2</v>
      </c>
      <c r="H80" s="162">
        <v>1E+30</v>
      </c>
    </row>
    <row r="81" spans="2:8" ht="13" customHeight="1" x14ac:dyDescent="0.25">
      <c r="B81" s="148" t="s">
        <v>266</v>
      </c>
      <c r="C81" s="162" t="s">
        <v>164</v>
      </c>
      <c r="D81" s="162">
        <v>0</v>
      </c>
      <c r="E81" s="162">
        <v>6.027652892593092E-3</v>
      </c>
      <c r="F81" s="162">
        <v>2.5103090909098569E-2</v>
      </c>
      <c r="G81" s="162">
        <v>1E+30</v>
      </c>
      <c r="H81" s="162">
        <v>6.027652892593092E-3</v>
      </c>
    </row>
    <row r="82" spans="2:8" ht="13" customHeight="1" x14ac:dyDescent="0.25">
      <c r="B82" s="148" t="s">
        <v>346</v>
      </c>
      <c r="C82" s="162" t="s">
        <v>166</v>
      </c>
      <c r="D82" s="162">
        <v>0</v>
      </c>
      <c r="E82" s="162">
        <v>2.2274595041338396E-2</v>
      </c>
      <c r="F82" s="162">
        <v>4.3634000000011497E-2</v>
      </c>
      <c r="G82" s="162">
        <v>1E+30</v>
      </c>
      <c r="H82" s="162">
        <v>2.2274595041338396E-2</v>
      </c>
    </row>
    <row r="83" spans="2:8" ht="13" customHeight="1" x14ac:dyDescent="0.25">
      <c r="B83" s="148" t="s">
        <v>167</v>
      </c>
      <c r="C83" s="162" t="s">
        <v>104</v>
      </c>
      <c r="D83" s="162">
        <v>103</v>
      </c>
      <c r="E83" s="162">
        <v>0</v>
      </c>
      <c r="F83" s="162">
        <v>0</v>
      </c>
      <c r="G83" s="162">
        <v>1.5129870129868557E-2</v>
      </c>
      <c r="H83" s="162">
        <v>1E+30</v>
      </c>
    </row>
    <row r="84" spans="2:8" ht="13" customHeight="1" x14ac:dyDescent="0.25">
      <c r="B84" s="148" t="s">
        <v>168</v>
      </c>
      <c r="C84" s="162" t="s">
        <v>106</v>
      </c>
      <c r="D84" s="162">
        <v>26</v>
      </c>
      <c r="E84" s="162">
        <v>0</v>
      </c>
      <c r="F84" s="162">
        <v>3.6688311688294561E-2</v>
      </c>
      <c r="G84" s="162">
        <v>2.8421709430404007E-14</v>
      </c>
      <c r="H84" s="162">
        <v>0</v>
      </c>
    </row>
    <row r="85" spans="2:8" ht="13" customHeight="1" x14ac:dyDescent="0.25">
      <c r="B85" s="148" t="s">
        <v>169</v>
      </c>
      <c r="C85" s="162" t="s">
        <v>108</v>
      </c>
      <c r="D85" s="162">
        <v>0</v>
      </c>
      <c r="E85" s="162">
        <v>1.2597402597407381E-2</v>
      </c>
      <c r="F85" s="162">
        <v>4.7012987012990948E-2</v>
      </c>
      <c r="G85" s="162">
        <v>1E+30</v>
      </c>
      <c r="H85" s="162">
        <v>1.2597402597407381E-2</v>
      </c>
    </row>
    <row r="86" spans="2:8" ht="13" customHeight="1" x14ac:dyDescent="0.25">
      <c r="B86" s="148" t="s">
        <v>170</v>
      </c>
      <c r="C86" s="162" t="s">
        <v>110</v>
      </c>
      <c r="D86" s="162">
        <v>60</v>
      </c>
      <c r="E86" s="162">
        <v>0</v>
      </c>
      <c r="F86" s="162">
        <v>1.577922077923688E-2</v>
      </c>
      <c r="G86" s="162">
        <v>0</v>
      </c>
      <c r="H86" s="162">
        <v>1E+30</v>
      </c>
    </row>
    <row r="87" spans="2:8" ht="13" customHeight="1" x14ac:dyDescent="0.25">
      <c r="B87" s="148" t="s">
        <v>171</v>
      </c>
      <c r="C87" s="162" t="s">
        <v>112</v>
      </c>
      <c r="D87" s="162">
        <v>0</v>
      </c>
      <c r="E87" s="162">
        <v>3.0389610389605082E-2</v>
      </c>
      <c r="F87" s="162">
        <v>5.0129870129850929E-2</v>
      </c>
      <c r="G87" s="162">
        <v>1E+30</v>
      </c>
      <c r="H87" s="162">
        <v>3.0389610389605082E-2</v>
      </c>
    </row>
    <row r="88" spans="2:8" ht="13" customHeight="1" x14ac:dyDescent="0.25">
      <c r="B88" s="148" t="s">
        <v>298</v>
      </c>
      <c r="C88" s="162" t="s">
        <v>114</v>
      </c>
      <c r="D88" s="162">
        <v>13</v>
      </c>
      <c r="E88" s="162">
        <v>0</v>
      </c>
      <c r="F88" s="162">
        <v>3.8051948051943896E-2</v>
      </c>
      <c r="G88" s="162">
        <v>0</v>
      </c>
      <c r="H88" s="162">
        <v>2.8421709430404007E-14</v>
      </c>
    </row>
    <row r="89" spans="2:8" ht="13" customHeight="1" x14ac:dyDescent="0.25">
      <c r="B89" s="148" t="s">
        <v>173</v>
      </c>
      <c r="C89" s="162" t="s">
        <v>115</v>
      </c>
      <c r="D89" s="162">
        <v>0</v>
      </c>
      <c r="E89" s="162">
        <v>2.8441558441571146E-2</v>
      </c>
      <c r="F89" s="162">
        <v>2.9415584415602325E-2</v>
      </c>
      <c r="G89" s="162">
        <v>1E+30</v>
      </c>
      <c r="H89" s="162">
        <v>2.8441558441571146E-2</v>
      </c>
    </row>
    <row r="90" spans="2:8" ht="13" customHeight="1" x14ac:dyDescent="0.25">
      <c r="B90" s="148" t="s">
        <v>175</v>
      </c>
      <c r="C90" s="162" t="s">
        <v>117</v>
      </c>
      <c r="D90" s="162">
        <v>48</v>
      </c>
      <c r="E90" s="162">
        <v>0</v>
      </c>
      <c r="F90" s="162">
        <v>3.766233766232574E-2</v>
      </c>
      <c r="G90" s="162">
        <v>0</v>
      </c>
      <c r="H90" s="162">
        <v>1.1484207792352636E-3</v>
      </c>
    </row>
    <row r="91" spans="2:8" ht="13" customHeight="1" x14ac:dyDescent="0.25">
      <c r="B91" s="148" t="s">
        <v>177</v>
      </c>
      <c r="C91" s="162" t="s">
        <v>119</v>
      </c>
      <c r="D91" s="162">
        <v>50</v>
      </c>
      <c r="E91" s="162">
        <v>0</v>
      </c>
      <c r="F91" s="162">
        <v>3.5389610389614745E-2</v>
      </c>
      <c r="G91" s="162">
        <v>1.1484207792352636E-3</v>
      </c>
      <c r="H91" s="162">
        <v>1E+30</v>
      </c>
    </row>
    <row r="92" spans="2:8" ht="13" customHeight="1" x14ac:dyDescent="0.25">
      <c r="B92" s="148" t="s">
        <v>179</v>
      </c>
      <c r="C92" s="162" t="s">
        <v>121</v>
      </c>
      <c r="D92" s="162">
        <v>0</v>
      </c>
      <c r="E92" s="162">
        <v>8.051948051928548E-3</v>
      </c>
      <c r="F92" s="162">
        <v>2.4805194805196606E-2</v>
      </c>
      <c r="G92" s="162">
        <v>1E+30</v>
      </c>
      <c r="H92" s="162">
        <v>8.051948051928548E-3</v>
      </c>
    </row>
    <row r="93" spans="2:8" ht="13" customHeight="1" x14ac:dyDescent="0.25">
      <c r="B93" s="148" t="s">
        <v>181</v>
      </c>
      <c r="C93" s="162" t="s">
        <v>123</v>
      </c>
      <c r="D93" s="162">
        <v>102</v>
      </c>
      <c r="E93" s="162">
        <v>0</v>
      </c>
      <c r="F93" s="162">
        <v>2.0714285714277025E-2</v>
      </c>
      <c r="G93" s="162">
        <v>1.3432259740443415E-3</v>
      </c>
      <c r="H93" s="162">
        <v>1E+30</v>
      </c>
    </row>
    <row r="94" spans="2:8" ht="13" customHeight="1" x14ac:dyDescent="0.25">
      <c r="B94" s="148" t="s">
        <v>299</v>
      </c>
      <c r="C94" s="162" t="s">
        <v>125</v>
      </c>
      <c r="D94" s="162">
        <v>0</v>
      </c>
      <c r="E94" s="162">
        <v>0</v>
      </c>
      <c r="F94" s="162">
        <v>3.9025974025975074E-2</v>
      </c>
      <c r="G94" s="162">
        <v>1E+30</v>
      </c>
      <c r="H94" s="162">
        <v>0</v>
      </c>
    </row>
    <row r="95" spans="2:8" ht="13" customHeight="1" x14ac:dyDescent="0.25">
      <c r="B95" s="148" t="s">
        <v>184</v>
      </c>
      <c r="C95" s="162" t="s">
        <v>172</v>
      </c>
      <c r="D95" s="162">
        <v>0</v>
      </c>
      <c r="E95" s="162">
        <v>7.3376623376645966E-2</v>
      </c>
      <c r="F95" s="162">
        <v>3.6688311688322983E-2</v>
      </c>
      <c r="G95" s="162">
        <v>1E+30</v>
      </c>
      <c r="H95" s="162">
        <v>7.3376623376645966E-2</v>
      </c>
    </row>
    <row r="96" spans="2:8" ht="13" customHeight="1" x14ac:dyDescent="0.25">
      <c r="B96" s="148" t="s">
        <v>186</v>
      </c>
      <c r="C96" s="162" t="s">
        <v>174</v>
      </c>
      <c r="D96" s="162">
        <v>0</v>
      </c>
      <c r="E96" s="162">
        <v>2.8421709430404007E-14</v>
      </c>
      <c r="F96" s="162">
        <v>0</v>
      </c>
      <c r="G96" s="162">
        <v>1E+30</v>
      </c>
      <c r="H96" s="162">
        <v>2.8421709430404007E-14</v>
      </c>
    </row>
    <row r="97" spans="2:8" ht="13" customHeight="1" x14ac:dyDescent="0.25">
      <c r="B97" s="148" t="s">
        <v>188</v>
      </c>
      <c r="C97" s="162" t="s">
        <v>176</v>
      </c>
      <c r="D97" s="162">
        <v>0</v>
      </c>
      <c r="E97" s="162">
        <v>3.11688311688414E-2</v>
      </c>
      <c r="F97" s="162">
        <v>2.8896103896101977E-2</v>
      </c>
      <c r="G97" s="162">
        <v>1E+30</v>
      </c>
      <c r="H97" s="162">
        <v>3.11688311688414E-2</v>
      </c>
    </row>
    <row r="98" spans="2:8" ht="13" customHeight="1" x14ac:dyDescent="0.25">
      <c r="B98" s="148" t="s">
        <v>190</v>
      </c>
      <c r="C98" s="162" t="s">
        <v>178</v>
      </c>
      <c r="D98" s="162">
        <v>0</v>
      </c>
      <c r="E98" s="162">
        <v>4.1818181818172213E-2</v>
      </c>
      <c r="F98" s="162">
        <v>2.0909090909086103E-2</v>
      </c>
      <c r="G98" s="162">
        <v>1E+30</v>
      </c>
      <c r="H98" s="162">
        <v>4.1818181818172213E-2</v>
      </c>
    </row>
    <row r="99" spans="2:8" ht="13" customHeight="1" x14ac:dyDescent="0.25">
      <c r="B99" s="148" t="s">
        <v>192</v>
      </c>
      <c r="C99" s="162" t="s">
        <v>180</v>
      </c>
      <c r="D99" s="162">
        <v>0</v>
      </c>
      <c r="E99" s="162">
        <v>7.3246753246792196E-2</v>
      </c>
      <c r="F99" s="162">
        <v>5.6298701298715059E-2</v>
      </c>
      <c r="G99" s="162">
        <v>1E+30</v>
      </c>
      <c r="H99" s="162">
        <v>7.3246753246792196E-2</v>
      </c>
    </row>
    <row r="100" spans="2:8" ht="13" customHeight="1" x14ac:dyDescent="0.25">
      <c r="B100" s="148" t="s">
        <v>301</v>
      </c>
      <c r="C100" s="162" t="s">
        <v>182</v>
      </c>
      <c r="D100" s="162">
        <v>0</v>
      </c>
      <c r="E100" s="162">
        <v>0</v>
      </c>
      <c r="F100" s="162">
        <v>1.3636363636209126E-3</v>
      </c>
      <c r="G100" s="162">
        <v>2.8421709430404007E-14</v>
      </c>
      <c r="H100" s="162">
        <v>1E+30</v>
      </c>
    </row>
    <row r="101" spans="2:8" ht="13" customHeight="1" x14ac:dyDescent="0.25">
      <c r="B101" s="148" t="s">
        <v>195</v>
      </c>
      <c r="C101" s="162" t="s">
        <v>183</v>
      </c>
      <c r="D101" s="162">
        <v>0</v>
      </c>
      <c r="E101" s="162">
        <v>1.5129870129868557E-2</v>
      </c>
      <c r="F101" s="162">
        <v>9.610389610401171E-3</v>
      </c>
      <c r="G101" s="162">
        <v>1E+30</v>
      </c>
      <c r="H101" s="162">
        <v>1.5129870129868557E-2</v>
      </c>
    </row>
    <row r="102" spans="2:8" ht="13" customHeight="1" x14ac:dyDescent="0.25">
      <c r="B102" s="148" t="s">
        <v>197</v>
      </c>
      <c r="C102" s="162" t="s">
        <v>185</v>
      </c>
      <c r="D102" s="162">
        <v>0</v>
      </c>
      <c r="E102" s="162">
        <v>0</v>
      </c>
      <c r="F102" s="162">
        <v>3.1168831168827182E-2</v>
      </c>
      <c r="G102" s="162">
        <v>0</v>
      </c>
      <c r="H102" s="162">
        <v>1E+30</v>
      </c>
    </row>
    <row r="103" spans="2:8" ht="13" customHeight="1" x14ac:dyDescent="0.25">
      <c r="B103" s="148" t="s">
        <v>199</v>
      </c>
      <c r="C103" s="162" t="s">
        <v>187</v>
      </c>
      <c r="D103" s="162">
        <v>0</v>
      </c>
      <c r="E103" s="162">
        <v>8.5064935064593783E-3</v>
      </c>
      <c r="F103" s="162">
        <v>3.7402597402575566E-2</v>
      </c>
      <c r="G103" s="162">
        <v>1E+30</v>
      </c>
      <c r="H103" s="162">
        <v>8.5064935064593783E-3</v>
      </c>
    </row>
    <row r="104" spans="2:8" ht="13" customHeight="1" x14ac:dyDescent="0.25">
      <c r="B104" s="148" t="s">
        <v>201</v>
      </c>
      <c r="C104" s="162" t="s">
        <v>189</v>
      </c>
      <c r="D104" s="162">
        <v>0</v>
      </c>
      <c r="E104" s="162">
        <v>0</v>
      </c>
      <c r="F104" s="162">
        <v>1.025974025975529E-2</v>
      </c>
      <c r="G104" s="162">
        <v>1E+30</v>
      </c>
      <c r="H104" s="162">
        <v>0</v>
      </c>
    </row>
    <row r="105" spans="2:8" ht="13" customHeight="1" x14ac:dyDescent="0.25">
      <c r="B105" s="148" t="s">
        <v>203</v>
      </c>
      <c r="C105" s="162" t="s">
        <v>191</v>
      </c>
      <c r="D105" s="162">
        <v>0</v>
      </c>
      <c r="E105" s="162">
        <v>2.6298701298699712E-2</v>
      </c>
      <c r="F105" s="162">
        <v>4.0519480519478179E-2</v>
      </c>
      <c r="G105" s="162">
        <v>1E+30</v>
      </c>
      <c r="H105" s="162">
        <v>2.6298701298699712E-2</v>
      </c>
    </row>
    <row r="106" spans="2:8" ht="13" customHeight="1" x14ac:dyDescent="0.25">
      <c r="B106" s="148" t="s">
        <v>303</v>
      </c>
      <c r="C106" s="162" t="s">
        <v>193</v>
      </c>
      <c r="D106" s="162">
        <v>0</v>
      </c>
      <c r="E106" s="162">
        <v>0</v>
      </c>
      <c r="F106" s="162">
        <v>3.2532467532462306E-2</v>
      </c>
      <c r="G106" s="162">
        <v>1E+30</v>
      </c>
      <c r="H106" s="162">
        <v>0</v>
      </c>
    </row>
    <row r="107" spans="2:8" ht="13" customHeight="1" x14ac:dyDescent="0.25">
      <c r="B107" s="148" t="s">
        <v>268</v>
      </c>
      <c r="C107" s="162" t="s">
        <v>194</v>
      </c>
      <c r="D107" s="162">
        <v>0</v>
      </c>
      <c r="E107" s="162">
        <v>6.0434135064942322E-2</v>
      </c>
      <c r="F107" s="162">
        <v>6.0974025974033452E-2</v>
      </c>
      <c r="G107" s="162">
        <v>1E+30</v>
      </c>
      <c r="H107" s="162">
        <v>6.0434135064942322E-2</v>
      </c>
    </row>
    <row r="108" spans="2:8" ht="13" customHeight="1" x14ac:dyDescent="0.25">
      <c r="B108" s="148" t="s">
        <v>269</v>
      </c>
      <c r="C108" s="162" t="s">
        <v>196</v>
      </c>
      <c r="D108" s="162">
        <v>0</v>
      </c>
      <c r="E108" s="162">
        <v>2.09536155844222E-2</v>
      </c>
      <c r="F108" s="162">
        <v>5.8181818181807898E-2</v>
      </c>
      <c r="G108" s="162">
        <v>1E+30</v>
      </c>
      <c r="H108" s="162">
        <v>2.09536155844222E-2</v>
      </c>
    </row>
    <row r="109" spans="2:8" ht="13" customHeight="1" x14ac:dyDescent="0.25">
      <c r="B109" s="148" t="s">
        <v>270</v>
      </c>
      <c r="C109" s="162" t="s">
        <v>198</v>
      </c>
      <c r="D109" s="162">
        <v>0</v>
      </c>
      <c r="E109" s="162">
        <v>1.1484207792352636E-3</v>
      </c>
      <c r="F109" s="162">
        <v>3.610389610390996E-2</v>
      </c>
      <c r="G109" s="162">
        <v>1E+30</v>
      </c>
      <c r="H109" s="162">
        <v>1.1484207792352636E-3</v>
      </c>
    </row>
    <row r="110" spans="2:8" ht="13" customHeight="1" x14ac:dyDescent="0.25">
      <c r="B110" s="148" t="s">
        <v>271</v>
      </c>
      <c r="C110" s="162" t="s">
        <v>200</v>
      </c>
      <c r="D110" s="162">
        <v>0</v>
      </c>
      <c r="E110" s="162">
        <v>3.8031537662310481E-2</v>
      </c>
      <c r="F110" s="162">
        <v>5.4350649350638491E-2</v>
      </c>
      <c r="G110" s="162">
        <v>1E+30</v>
      </c>
      <c r="H110" s="162">
        <v>3.8031537662310481E-2</v>
      </c>
    </row>
    <row r="111" spans="2:8" ht="13" customHeight="1" x14ac:dyDescent="0.25">
      <c r="B111" s="148" t="s">
        <v>272</v>
      </c>
      <c r="C111" s="162" t="s">
        <v>202</v>
      </c>
      <c r="D111" s="162">
        <v>0</v>
      </c>
      <c r="E111" s="162">
        <v>1.3432259740443415E-3</v>
      </c>
      <c r="F111" s="162">
        <v>2.1623376623381318E-2</v>
      </c>
      <c r="G111" s="162">
        <v>1E+30</v>
      </c>
      <c r="H111" s="162">
        <v>1.3432259740443415E-3</v>
      </c>
    </row>
    <row r="112" spans="2:8" ht="13" customHeight="1" x14ac:dyDescent="0.25">
      <c r="B112" s="148" t="s">
        <v>347</v>
      </c>
      <c r="C112" s="162" t="s">
        <v>204</v>
      </c>
      <c r="D112" s="162">
        <v>0</v>
      </c>
      <c r="E112" s="162">
        <v>2.09536155844222E-2</v>
      </c>
      <c r="F112" s="162">
        <v>5.9545454545457233E-2</v>
      </c>
      <c r="G112" s="162">
        <v>1E+30</v>
      </c>
      <c r="H112" s="162">
        <v>2.09536155844222E-2</v>
      </c>
    </row>
    <row r="113" spans="2:8" ht="13" customHeight="1" x14ac:dyDescent="0.25">
      <c r="B113" s="148" t="s">
        <v>205</v>
      </c>
      <c r="C113" s="162" t="s">
        <v>98</v>
      </c>
      <c r="D113" s="162">
        <v>22.199999999999992</v>
      </c>
      <c r="E113" s="162">
        <v>0</v>
      </c>
      <c r="F113" s="162">
        <v>2.1849090909100255E-2</v>
      </c>
      <c r="G113" s="162">
        <v>2.1849586776419697E-3</v>
      </c>
      <c r="H113" s="162">
        <v>6.7969303397784808E-4</v>
      </c>
    </row>
    <row r="114" spans="2:8" ht="13" customHeight="1" x14ac:dyDescent="0.25">
      <c r="B114" s="148" t="s">
        <v>206</v>
      </c>
      <c r="C114" s="162" t="s">
        <v>99</v>
      </c>
      <c r="D114" s="162">
        <v>7.8000000000000078</v>
      </c>
      <c r="E114" s="162">
        <v>0</v>
      </c>
      <c r="F114" s="162">
        <v>1.3790413223134124E-2</v>
      </c>
      <c r="G114" s="162">
        <v>4.0495867793310936E-5</v>
      </c>
      <c r="H114" s="162">
        <v>2.1849586776419697E-3</v>
      </c>
    </row>
    <row r="115" spans="2:8" ht="13" customHeight="1" x14ac:dyDescent="0.25">
      <c r="B115" s="148" t="s">
        <v>207</v>
      </c>
      <c r="C115" s="162" t="s">
        <v>148</v>
      </c>
      <c r="D115" s="162">
        <v>0</v>
      </c>
      <c r="E115" s="162">
        <v>1.3402575757610856E-2</v>
      </c>
      <c r="F115" s="162">
        <v>1.6463140495872608E-2</v>
      </c>
      <c r="G115" s="162">
        <v>1E+30</v>
      </c>
      <c r="H115" s="162">
        <v>1.3402575757610856E-2</v>
      </c>
    </row>
    <row r="116" spans="2:8" ht="13" customHeight="1" x14ac:dyDescent="0.25">
      <c r="B116" s="148" t="s">
        <v>208</v>
      </c>
      <c r="C116" s="162" t="s">
        <v>149</v>
      </c>
      <c r="D116" s="162">
        <v>0</v>
      </c>
      <c r="E116" s="162">
        <v>0</v>
      </c>
      <c r="F116" s="162">
        <v>1.5855702479328215E-2</v>
      </c>
      <c r="G116" s="162">
        <v>5.0230440771391405E-3</v>
      </c>
      <c r="H116" s="162">
        <v>1E+30</v>
      </c>
    </row>
    <row r="117" spans="2:8" ht="13" customHeight="1" x14ac:dyDescent="0.25">
      <c r="B117" s="148" t="s">
        <v>294</v>
      </c>
      <c r="C117" s="162" t="s">
        <v>150</v>
      </c>
      <c r="D117" s="162">
        <v>0</v>
      </c>
      <c r="E117" s="162">
        <v>8.82809917358429E-3</v>
      </c>
      <c r="F117" s="162">
        <v>2.6587107438032831E-2</v>
      </c>
      <c r="G117" s="162">
        <v>1E+30</v>
      </c>
      <c r="H117" s="162">
        <v>8.82809917358429E-3</v>
      </c>
    </row>
    <row r="118" spans="2:8" ht="13" customHeight="1" x14ac:dyDescent="0.25">
      <c r="B118" s="148" t="s">
        <v>209</v>
      </c>
      <c r="C118" s="162" t="s">
        <v>100</v>
      </c>
      <c r="D118" s="162">
        <v>0</v>
      </c>
      <c r="E118" s="162">
        <v>8.5446280991163526E-3</v>
      </c>
      <c r="F118" s="162">
        <v>3.0434214876009946E-2</v>
      </c>
      <c r="G118" s="162">
        <v>1E+30</v>
      </c>
      <c r="H118" s="162">
        <v>8.5446280991163526E-3</v>
      </c>
    </row>
    <row r="119" spans="2:8" ht="13" customHeight="1" x14ac:dyDescent="0.25">
      <c r="B119" s="148" t="s">
        <v>210</v>
      </c>
      <c r="C119" s="162" t="s">
        <v>102</v>
      </c>
      <c r="D119" s="162">
        <v>14.519999999999994</v>
      </c>
      <c r="E119" s="162">
        <v>0</v>
      </c>
      <c r="F119" s="162">
        <v>1.3830909090927435E-2</v>
      </c>
      <c r="G119" s="162">
        <v>2.1849586776419697E-3</v>
      </c>
      <c r="H119" s="162">
        <v>4.0495867793310936E-5</v>
      </c>
    </row>
    <row r="120" spans="2:8" ht="13" customHeight="1" x14ac:dyDescent="0.25">
      <c r="B120" s="148" t="s">
        <v>211</v>
      </c>
      <c r="C120" s="162" t="s">
        <v>153</v>
      </c>
      <c r="D120" s="162">
        <v>0</v>
      </c>
      <c r="E120" s="162">
        <v>2.239265840219783E-2</v>
      </c>
      <c r="F120" s="162">
        <v>2.5493719008252924E-2</v>
      </c>
      <c r="G120" s="162">
        <v>1E+30</v>
      </c>
      <c r="H120" s="162">
        <v>2.239265840219783E-2</v>
      </c>
    </row>
    <row r="121" spans="2:8" ht="13" customHeight="1" x14ac:dyDescent="0.25">
      <c r="B121" s="148" t="s">
        <v>212</v>
      </c>
      <c r="C121" s="162" t="s">
        <v>155</v>
      </c>
      <c r="D121" s="162">
        <v>0</v>
      </c>
      <c r="E121" s="162">
        <v>8.5446280991589817E-3</v>
      </c>
      <c r="F121" s="162">
        <v>2.4440826446280539E-2</v>
      </c>
      <c r="G121" s="162">
        <v>1E+30</v>
      </c>
      <c r="H121" s="162">
        <v>8.5446280991589817E-3</v>
      </c>
    </row>
    <row r="122" spans="2:8" ht="13" customHeight="1" x14ac:dyDescent="0.25">
      <c r="B122" s="148" t="s">
        <v>295</v>
      </c>
      <c r="C122" s="162" t="s">
        <v>157</v>
      </c>
      <c r="D122" s="162">
        <v>0</v>
      </c>
      <c r="E122" s="162">
        <v>0</v>
      </c>
      <c r="F122" s="162">
        <v>1.779950413224185E-2</v>
      </c>
      <c r="G122" s="162">
        <v>8.8280991735842917E-3</v>
      </c>
      <c r="H122" s="162">
        <v>9.3798504525987279E-3</v>
      </c>
    </row>
    <row r="123" spans="2:8" ht="13" customHeight="1" x14ac:dyDescent="0.25">
      <c r="B123" s="148" t="s">
        <v>273</v>
      </c>
      <c r="C123" s="162" t="s">
        <v>158</v>
      </c>
      <c r="D123" s="162">
        <v>0</v>
      </c>
      <c r="E123" s="162">
        <v>2.3835912847003293E-3</v>
      </c>
      <c r="F123" s="162">
        <v>2.6263140495856874E-2</v>
      </c>
      <c r="G123" s="162">
        <v>1E+30</v>
      </c>
      <c r="H123" s="162">
        <v>2.3835912847003293E-3</v>
      </c>
    </row>
    <row r="124" spans="2:8" ht="13" customHeight="1" x14ac:dyDescent="0.25">
      <c r="B124" s="148" t="s">
        <v>274</v>
      </c>
      <c r="C124" s="162" t="s">
        <v>160</v>
      </c>
      <c r="D124" s="162">
        <v>0</v>
      </c>
      <c r="E124" s="162">
        <v>1.1782314049571356E-2</v>
      </c>
      <c r="F124" s="162">
        <v>2.6870578512401266E-2</v>
      </c>
      <c r="G124" s="162">
        <v>1E+30</v>
      </c>
      <c r="H124" s="162">
        <v>1.1782314049571356E-2</v>
      </c>
    </row>
    <row r="125" spans="2:8" ht="13" customHeight="1" x14ac:dyDescent="0.25">
      <c r="B125" s="148" t="s">
        <v>275</v>
      </c>
      <c r="C125" s="162" t="s">
        <v>162</v>
      </c>
      <c r="D125" s="162">
        <v>7.7000000000000011</v>
      </c>
      <c r="E125" s="162">
        <v>0</v>
      </c>
      <c r="F125" s="162">
        <v>3.3829752066054652E-3</v>
      </c>
      <c r="G125" s="162">
        <v>1.4620991735575475E-2</v>
      </c>
      <c r="H125" s="162">
        <v>1E+30</v>
      </c>
    </row>
    <row r="126" spans="2:8" ht="13" customHeight="1" x14ac:dyDescent="0.25">
      <c r="B126" s="148" t="s">
        <v>276</v>
      </c>
      <c r="C126" s="162" t="s">
        <v>164</v>
      </c>
      <c r="D126" s="162">
        <v>0</v>
      </c>
      <c r="E126" s="162">
        <v>5.4796844477881515E-3</v>
      </c>
      <c r="F126" s="162">
        <v>2.2820991735557072E-2</v>
      </c>
      <c r="G126" s="162">
        <v>1E+30</v>
      </c>
      <c r="H126" s="162">
        <v>5.4796844477881515E-3</v>
      </c>
    </row>
    <row r="127" spans="2:8" ht="13" customHeight="1" x14ac:dyDescent="0.25">
      <c r="B127" s="148" t="s">
        <v>348</v>
      </c>
      <c r="C127" s="162" t="s">
        <v>166</v>
      </c>
      <c r="D127" s="162">
        <v>0</v>
      </c>
      <c r="E127" s="162">
        <v>2.0249631855735004E-2</v>
      </c>
      <c r="F127" s="162">
        <v>3.9667272727271552E-2</v>
      </c>
      <c r="G127" s="162">
        <v>1E+30</v>
      </c>
      <c r="H127" s="162">
        <v>2.0249631855735004E-2</v>
      </c>
    </row>
    <row r="128" spans="2:8" ht="13" customHeight="1" x14ac:dyDescent="0.25">
      <c r="B128" s="148" t="s">
        <v>213</v>
      </c>
      <c r="C128" s="162" t="s">
        <v>104</v>
      </c>
      <c r="D128" s="162">
        <v>110</v>
      </c>
      <c r="E128" s="162">
        <v>0</v>
      </c>
      <c r="F128" s="162">
        <v>0</v>
      </c>
      <c r="G128" s="162">
        <v>1.3754427390821888E-2</v>
      </c>
      <c r="H128" s="162">
        <v>1E+30</v>
      </c>
    </row>
    <row r="129" spans="2:8" ht="13" customHeight="1" x14ac:dyDescent="0.25">
      <c r="B129" s="148" t="s">
        <v>214</v>
      </c>
      <c r="C129" s="162" t="s">
        <v>106</v>
      </c>
      <c r="D129" s="162">
        <v>0</v>
      </c>
      <c r="E129" s="162">
        <v>8.1563164077341765E-5</v>
      </c>
      <c r="F129" s="162">
        <v>3.3353010625717161E-2</v>
      </c>
      <c r="G129" s="162">
        <v>1E+30</v>
      </c>
      <c r="H129" s="162">
        <v>8.1563164077341765E-5</v>
      </c>
    </row>
    <row r="130" spans="2:8" ht="13" customHeight="1" x14ac:dyDescent="0.25">
      <c r="B130" s="148" t="s">
        <v>215</v>
      </c>
      <c r="C130" s="162" t="s">
        <v>108</v>
      </c>
      <c r="D130" s="162">
        <v>0</v>
      </c>
      <c r="E130" s="162">
        <v>1.1533747343552808E-2</v>
      </c>
      <c r="F130" s="162">
        <v>4.2739079102702249E-2</v>
      </c>
      <c r="G130" s="162">
        <v>1E+30</v>
      </c>
      <c r="H130" s="162">
        <v>1.1533747343552808E-2</v>
      </c>
    </row>
    <row r="131" spans="2:8" ht="13" customHeight="1" x14ac:dyDescent="0.25">
      <c r="B131" s="148" t="s">
        <v>216</v>
      </c>
      <c r="C131" s="162" t="s">
        <v>110</v>
      </c>
      <c r="D131" s="162">
        <v>75</v>
      </c>
      <c r="E131" s="162">
        <v>0</v>
      </c>
      <c r="F131" s="162">
        <v>1.4344746162961997E-2</v>
      </c>
      <c r="G131" s="162">
        <v>7.2383896103320952E-3</v>
      </c>
      <c r="H131" s="162">
        <v>8.156316411997433E-5</v>
      </c>
    </row>
    <row r="132" spans="2:8" ht="13" customHeight="1" x14ac:dyDescent="0.25">
      <c r="B132" s="148" t="s">
        <v>217</v>
      </c>
      <c r="C132" s="162" t="s">
        <v>112</v>
      </c>
      <c r="D132" s="162">
        <v>0</v>
      </c>
      <c r="E132" s="162">
        <v>2.7708481700120725E-2</v>
      </c>
      <c r="F132" s="162">
        <v>4.5572609208974768E-2</v>
      </c>
      <c r="G132" s="162">
        <v>1E+30</v>
      </c>
      <c r="H132" s="162">
        <v>2.7708481700120725E-2</v>
      </c>
    </row>
    <row r="133" spans="2:8" ht="13" customHeight="1" x14ac:dyDescent="0.25">
      <c r="B133" s="148" t="s">
        <v>305</v>
      </c>
      <c r="C133" s="162" t="s">
        <v>114</v>
      </c>
      <c r="D133" s="162">
        <v>0</v>
      </c>
      <c r="E133" s="162">
        <v>8.1563164077341765E-5</v>
      </c>
      <c r="F133" s="162">
        <v>3.4592680047197177E-2</v>
      </c>
      <c r="G133" s="162">
        <v>1E+30</v>
      </c>
      <c r="H133" s="162">
        <v>8.1563164077341765E-5</v>
      </c>
    </row>
    <row r="134" spans="2:8" ht="13" customHeight="1" x14ac:dyDescent="0.25">
      <c r="B134" s="148" t="s">
        <v>218</v>
      </c>
      <c r="C134" s="162" t="s">
        <v>115</v>
      </c>
      <c r="D134" s="162">
        <v>0</v>
      </c>
      <c r="E134" s="162">
        <v>2.5774399055503071E-2</v>
      </c>
      <c r="F134" s="162">
        <v>2.6741440377819004E-2</v>
      </c>
      <c r="G134" s="162">
        <v>1E+30</v>
      </c>
      <c r="H134" s="162">
        <v>2.5774399055503071E-2</v>
      </c>
    </row>
    <row r="135" spans="2:8" ht="13" customHeight="1" x14ac:dyDescent="0.25">
      <c r="B135" s="148" t="s">
        <v>219</v>
      </c>
      <c r="C135" s="162" t="s">
        <v>117</v>
      </c>
      <c r="D135" s="162">
        <v>10.000000000000041</v>
      </c>
      <c r="E135" s="162">
        <v>0</v>
      </c>
      <c r="F135" s="162">
        <v>3.4238488783955745E-2</v>
      </c>
      <c r="G135" s="162">
        <v>8.1563164077341765E-5</v>
      </c>
      <c r="H135" s="162">
        <v>1.4210854715202004E-14</v>
      </c>
    </row>
    <row r="136" spans="2:8" ht="13" customHeight="1" x14ac:dyDescent="0.25">
      <c r="B136" s="148" t="s">
        <v>220</v>
      </c>
      <c r="C136" s="162" t="s">
        <v>119</v>
      </c>
      <c r="D136" s="162">
        <v>53</v>
      </c>
      <c r="E136" s="162">
        <v>0</v>
      </c>
      <c r="F136" s="162">
        <v>3.2172373081465366E-2</v>
      </c>
      <c r="G136" s="162">
        <v>1.1255820543118471E-3</v>
      </c>
      <c r="H136" s="162">
        <v>1E+30</v>
      </c>
    </row>
    <row r="137" spans="2:8" ht="13" customHeight="1" x14ac:dyDescent="0.25">
      <c r="B137" s="148" t="s">
        <v>221</v>
      </c>
      <c r="C137" s="162" t="s">
        <v>121</v>
      </c>
      <c r="D137" s="162">
        <v>0</v>
      </c>
      <c r="E137" s="162">
        <v>7.2383896103320952E-3</v>
      </c>
      <c r="F137" s="162">
        <v>2.2550177095610024E-2</v>
      </c>
      <c r="G137" s="162">
        <v>1E+30</v>
      </c>
      <c r="H137" s="162">
        <v>7.2383896103320952E-3</v>
      </c>
    </row>
    <row r="138" spans="2:8" ht="13" customHeight="1" x14ac:dyDescent="0.25">
      <c r="B138" s="148" t="s">
        <v>222</v>
      </c>
      <c r="C138" s="162" t="s">
        <v>123</v>
      </c>
      <c r="D138" s="162">
        <v>110</v>
      </c>
      <c r="E138" s="162">
        <v>0</v>
      </c>
      <c r="F138" s="162">
        <v>1.8831168831169975E-2</v>
      </c>
      <c r="G138" s="162">
        <v>1.3026776859538865E-3</v>
      </c>
      <c r="H138" s="162">
        <v>1E+30</v>
      </c>
    </row>
    <row r="139" spans="2:8" ht="13" customHeight="1" x14ac:dyDescent="0.25">
      <c r="B139" s="148" t="s">
        <v>306</v>
      </c>
      <c r="C139" s="162" t="s">
        <v>125</v>
      </c>
      <c r="D139" s="162">
        <v>13.000000000000002</v>
      </c>
      <c r="E139" s="162">
        <v>0</v>
      </c>
      <c r="F139" s="162">
        <v>3.5478158205435761E-2</v>
      </c>
      <c r="G139" s="162">
        <v>1.4210854715202004E-14</v>
      </c>
      <c r="H139" s="162">
        <v>1E+30</v>
      </c>
    </row>
    <row r="140" spans="2:8" ht="13" customHeight="1" x14ac:dyDescent="0.25">
      <c r="B140" s="148" t="s">
        <v>223</v>
      </c>
      <c r="C140" s="162" t="s">
        <v>172</v>
      </c>
      <c r="D140" s="162">
        <v>0</v>
      </c>
      <c r="E140" s="162">
        <v>6.6624458087385402E-2</v>
      </c>
      <c r="F140" s="162">
        <v>3.3353010625745583E-2</v>
      </c>
      <c r="G140" s="162">
        <v>1E+30</v>
      </c>
      <c r="H140" s="162">
        <v>6.6624458087385402E-2</v>
      </c>
    </row>
    <row r="141" spans="2:8" ht="13" customHeight="1" x14ac:dyDescent="0.25">
      <c r="B141" s="148" t="s">
        <v>224</v>
      </c>
      <c r="C141" s="162" t="s">
        <v>174</v>
      </c>
      <c r="D141" s="162">
        <v>70</v>
      </c>
      <c r="E141" s="162">
        <v>0</v>
      </c>
      <c r="F141" s="162">
        <v>0</v>
      </c>
      <c r="G141" s="162">
        <v>1.4210854715202004E-14</v>
      </c>
      <c r="H141" s="162">
        <v>1E+30</v>
      </c>
    </row>
    <row r="142" spans="2:8" ht="13" customHeight="1" x14ac:dyDescent="0.25">
      <c r="B142" s="148" t="s">
        <v>225</v>
      </c>
      <c r="C142" s="162" t="s">
        <v>176</v>
      </c>
      <c r="D142" s="162">
        <v>0</v>
      </c>
      <c r="E142" s="162">
        <v>2.8335301062583085E-2</v>
      </c>
      <c r="F142" s="162">
        <v>2.6269185360092706E-2</v>
      </c>
      <c r="G142" s="162">
        <v>1E+30</v>
      </c>
      <c r="H142" s="162">
        <v>2.8335301062583085E-2</v>
      </c>
    </row>
    <row r="143" spans="2:8" ht="13" customHeight="1" x14ac:dyDescent="0.25">
      <c r="B143" s="148" t="s">
        <v>226</v>
      </c>
      <c r="C143" s="162" t="s">
        <v>178</v>
      </c>
      <c r="D143" s="162">
        <v>0</v>
      </c>
      <c r="E143" s="162">
        <v>3.7934965761489824E-2</v>
      </c>
      <c r="F143" s="162">
        <v>1.9008264462812008E-2</v>
      </c>
      <c r="G143" s="162">
        <v>1E+30</v>
      </c>
      <c r="H143" s="162">
        <v>3.7934965761489824E-2</v>
      </c>
    </row>
    <row r="144" spans="2:8" ht="13" customHeight="1" x14ac:dyDescent="0.25">
      <c r="B144" s="148" t="s">
        <v>227</v>
      </c>
      <c r="C144" s="162" t="s">
        <v>180</v>
      </c>
      <c r="D144" s="162">
        <v>0</v>
      </c>
      <c r="E144" s="162">
        <v>6.6587957497048933E-2</v>
      </c>
      <c r="F144" s="162">
        <v>5.1180637544263163E-2</v>
      </c>
      <c r="G144" s="162">
        <v>1E+30</v>
      </c>
      <c r="H144" s="162">
        <v>6.6587957497048933E-2</v>
      </c>
    </row>
    <row r="145" spans="2:8" ht="13" customHeight="1" x14ac:dyDescent="0.25">
      <c r="B145" s="148" t="s">
        <v>307</v>
      </c>
      <c r="C145" s="162" t="s">
        <v>182</v>
      </c>
      <c r="D145" s="162">
        <v>0</v>
      </c>
      <c r="E145" s="162">
        <v>1.4210854715202004E-14</v>
      </c>
      <c r="F145" s="162">
        <v>1.2396694214942272E-3</v>
      </c>
      <c r="G145" s="162">
        <v>1E+30</v>
      </c>
      <c r="H145" s="162">
        <v>1.4210854715202004E-14</v>
      </c>
    </row>
    <row r="146" spans="2:8" ht="13" customHeight="1" x14ac:dyDescent="0.25">
      <c r="B146" s="148" t="s">
        <v>228</v>
      </c>
      <c r="C146" s="162" t="s">
        <v>183</v>
      </c>
      <c r="D146" s="162">
        <v>0</v>
      </c>
      <c r="E146" s="162">
        <v>1.3754427390821888E-2</v>
      </c>
      <c r="F146" s="162">
        <v>8.7367178276309687E-3</v>
      </c>
      <c r="G146" s="162">
        <v>1E+30</v>
      </c>
      <c r="H146" s="162">
        <v>1.3754427390821888E-2</v>
      </c>
    </row>
    <row r="147" spans="2:8" ht="13" customHeight="1" x14ac:dyDescent="0.25">
      <c r="B147" s="148" t="s">
        <v>229</v>
      </c>
      <c r="C147" s="162" t="s">
        <v>185</v>
      </c>
      <c r="D147" s="162">
        <v>0</v>
      </c>
      <c r="E147" s="162">
        <v>8.156316411997433E-5</v>
      </c>
      <c r="F147" s="162">
        <v>2.8335301062568874E-2</v>
      </c>
      <c r="G147" s="162">
        <v>1E+30</v>
      </c>
      <c r="H147" s="162">
        <v>8.156316411997433E-5</v>
      </c>
    </row>
    <row r="148" spans="2:8" ht="13" customHeight="1" x14ac:dyDescent="0.25">
      <c r="B148" s="148" t="s">
        <v>230</v>
      </c>
      <c r="C148" s="162" t="s">
        <v>187</v>
      </c>
      <c r="D148" s="162">
        <v>0</v>
      </c>
      <c r="E148" s="162">
        <v>7.8147390791127661E-3</v>
      </c>
      <c r="F148" s="162">
        <v>3.400236127507128E-2</v>
      </c>
      <c r="G148" s="162">
        <v>1E+30</v>
      </c>
      <c r="H148" s="162">
        <v>7.8147390791127661E-3</v>
      </c>
    </row>
    <row r="149" spans="2:8" ht="13" customHeight="1" x14ac:dyDescent="0.25">
      <c r="B149" s="148" t="s">
        <v>231</v>
      </c>
      <c r="C149" s="162" t="s">
        <v>189</v>
      </c>
      <c r="D149" s="162">
        <v>0</v>
      </c>
      <c r="E149" s="162">
        <v>0</v>
      </c>
      <c r="F149" s="162">
        <v>9.3270365997710769E-3</v>
      </c>
      <c r="G149" s="162">
        <v>8.156316411997433E-5</v>
      </c>
      <c r="H149" s="162">
        <v>1E+30</v>
      </c>
    </row>
    <row r="150" spans="2:8" ht="13" customHeight="1" x14ac:dyDescent="0.25">
      <c r="B150" s="148" t="s">
        <v>232</v>
      </c>
      <c r="C150" s="162" t="s">
        <v>191</v>
      </c>
      <c r="D150" s="162">
        <v>0</v>
      </c>
      <c r="E150" s="162">
        <v>2.3989473435694894E-2</v>
      </c>
      <c r="F150" s="162">
        <v>3.683589138135801E-2</v>
      </c>
      <c r="G150" s="162">
        <v>1E+30</v>
      </c>
      <c r="H150" s="162">
        <v>2.3989473435694894E-2</v>
      </c>
    </row>
    <row r="151" spans="2:8" ht="13" customHeight="1" x14ac:dyDescent="0.25">
      <c r="B151" s="148" t="s">
        <v>308</v>
      </c>
      <c r="C151" s="162" t="s">
        <v>193</v>
      </c>
      <c r="D151" s="162">
        <v>0</v>
      </c>
      <c r="E151" s="162">
        <v>8.1563164134192123E-5</v>
      </c>
      <c r="F151" s="162">
        <v>2.9574970484063101E-2</v>
      </c>
      <c r="G151" s="162">
        <v>1E+30</v>
      </c>
      <c r="H151" s="162">
        <v>8.1563164134192123E-5</v>
      </c>
    </row>
    <row r="152" spans="2:8" ht="13" customHeight="1" x14ac:dyDescent="0.25">
      <c r="B152" s="148" t="s">
        <v>277</v>
      </c>
      <c r="C152" s="162" t="s">
        <v>194</v>
      </c>
      <c r="D152" s="162">
        <v>0</v>
      </c>
      <c r="E152" s="162">
        <v>5.4940122786299533E-2</v>
      </c>
      <c r="F152" s="162">
        <v>5.5430932703657732E-2</v>
      </c>
      <c r="G152" s="162">
        <v>1E+30</v>
      </c>
      <c r="H152" s="162">
        <v>5.4940122786299533E-2</v>
      </c>
    </row>
    <row r="153" spans="2:8" ht="13" customHeight="1" x14ac:dyDescent="0.25">
      <c r="B153" s="148" t="s">
        <v>278</v>
      </c>
      <c r="C153" s="162" t="s">
        <v>196</v>
      </c>
      <c r="D153" s="162">
        <v>0</v>
      </c>
      <c r="E153" s="162">
        <v>1.913030460447146E-2</v>
      </c>
      <c r="F153" s="162">
        <v>5.2892561983469477E-2</v>
      </c>
      <c r="G153" s="162">
        <v>1E+30</v>
      </c>
      <c r="H153" s="162">
        <v>1.913030460447146E-2</v>
      </c>
    </row>
    <row r="154" spans="2:8" ht="13" customHeight="1" x14ac:dyDescent="0.25">
      <c r="B154" s="148" t="s">
        <v>279</v>
      </c>
      <c r="C154" s="162" t="s">
        <v>198</v>
      </c>
      <c r="D154" s="162">
        <v>0</v>
      </c>
      <c r="E154" s="162">
        <v>1.1255820543118471E-3</v>
      </c>
      <c r="F154" s="162">
        <v>3.2821723730819485E-2</v>
      </c>
      <c r="G154" s="162">
        <v>1E+30</v>
      </c>
      <c r="H154" s="162">
        <v>1.1255820543118471E-3</v>
      </c>
    </row>
    <row r="155" spans="2:8" ht="13" customHeight="1" x14ac:dyDescent="0.25">
      <c r="B155" s="148" t="s">
        <v>280</v>
      </c>
      <c r="C155" s="162" t="s">
        <v>200</v>
      </c>
      <c r="D155" s="162">
        <v>0</v>
      </c>
      <c r="E155" s="162">
        <v>3.4574125147536855E-2</v>
      </c>
      <c r="F155" s="162">
        <v>4.940968122785705E-2</v>
      </c>
      <c r="G155" s="162">
        <v>1E+30</v>
      </c>
      <c r="H155" s="162">
        <v>3.4574125147536855E-2</v>
      </c>
    </row>
    <row r="156" spans="2:8" ht="13" customHeight="1" x14ac:dyDescent="0.25">
      <c r="B156" s="148" t="s">
        <v>281</v>
      </c>
      <c r="C156" s="162" t="s">
        <v>202</v>
      </c>
      <c r="D156" s="162">
        <v>0</v>
      </c>
      <c r="E156" s="162">
        <v>1.3026776859538865E-3</v>
      </c>
      <c r="F156" s="162">
        <v>1.9657615112166127E-2</v>
      </c>
      <c r="G156" s="162">
        <v>1E+30</v>
      </c>
      <c r="H156" s="162">
        <v>1.3026776859538865E-3</v>
      </c>
    </row>
    <row r="157" spans="2:8" ht="13" customHeight="1" x14ac:dyDescent="0.25">
      <c r="B157" s="148" t="s">
        <v>349</v>
      </c>
      <c r="C157" s="162" t="s">
        <v>204</v>
      </c>
      <c r="D157" s="162">
        <v>0</v>
      </c>
      <c r="E157" s="162">
        <v>1.9130304604485671E-2</v>
      </c>
      <c r="F157" s="162">
        <v>5.4132231404963704E-2</v>
      </c>
      <c r="G157" s="162">
        <v>1E+30</v>
      </c>
      <c r="H157" s="162">
        <v>1.9130304604485671E-2</v>
      </c>
    </row>
    <row r="158" spans="2:8" ht="13" customHeight="1" x14ac:dyDescent="0.25">
      <c r="B158" s="148" t="s">
        <v>233</v>
      </c>
      <c r="C158" s="162" t="s">
        <v>98</v>
      </c>
      <c r="D158" s="162">
        <v>25.199999999999989</v>
      </c>
      <c r="E158" s="162">
        <v>0</v>
      </c>
      <c r="F158" s="162">
        <v>0.17919339857563443</v>
      </c>
      <c r="G158" s="162">
        <v>1.7919746539137152E-2</v>
      </c>
      <c r="H158" s="162">
        <v>0.3920901144777531</v>
      </c>
    </row>
    <row r="159" spans="2:8" ht="13" customHeight="1" x14ac:dyDescent="0.25">
      <c r="B159" s="148" t="s">
        <v>234</v>
      </c>
      <c r="C159" s="162" t="s">
        <v>99</v>
      </c>
      <c r="D159" s="162">
        <v>4.8000000000000078</v>
      </c>
      <c r="E159" s="162">
        <v>0</v>
      </c>
      <c r="F159" s="162">
        <v>0.11310086188480284</v>
      </c>
      <c r="G159" s="162">
        <v>3.3212329996895612E-4</v>
      </c>
      <c r="H159" s="162">
        <v>1.7919746539137148E-2</v>
      </c>
    </row>
    <row r="160" spans="2:8" ht="13" customHeight="1" x14ac:dyDescent="0.25">
      <c r="B160" s="148" t="s">
        <v>235</v>
      </c>
      <c r="C160" s="162" t="s">
        <v>148</v>
      </c>
      <c r="D160" s="162">
        <v>0</v>
      </c>
      <c r="E160" s="162">
        <v>0.10992004700153242</v>
      </c>
      <c r="F160" s="162">
        <v>0.13502099968175685</v>
      </c>
      <c r="G160" s="162">
        <v>1E+30</v>
      </c>
      <c r="H160" s="162">
        <v>0.10992004700153242</v>
      </c>
    </row>
    <row r="161" spans="2:8" ht="13" customHeight="1" x14ac:dyDescent="0.25">
      <c r="B161" s="148" t="s">
        <v>236</v>
      </c>
      <c r="C161" s="162" t="s">
        <v>149</v>
      </c>
      <c r="D161" s="162">
        <v>0</v>
      </c>
      <c r="E161" s="162">
        <v>0</v>
      </c>
      <c r="F161" s="162">
        <v>0.13003915018244072</v>
      </c>
      <c r="G161" s="162">
        <v>4.1196054477606256E-2</v>
      </c>
      <c r="H161" s="162">
        <v>1E+30</v>
      </c>
    </row>
    <row r="162" spans="2:8" ht="13" customHeight="1" x14ac:dyDescent="0.25">
      <c r="B162" s="148" t="s">
        <v>296</v>
      </c>
      <c r="C162" s="162" t="s">
        <v>150</v>
      </c>
      <c r="D162" s="162">
        <v>0</v>
      </c>
      <c r="E162" s="162">
        <v>7.240287939001154E-2</v>
      </c>
      <c r="F162" s="162">
        <v>0.21805182467029738</v>
      </c>
      <c r="G162" s="162">
        <v>1E+30</v>
      </c>
      <c r="H162" s="162">
        <v>7.240287939001154E-2</v>
      </c>
    </row>
    <row r="163" spans="2:8" ht="13" customHeight="1" x14ac:dyDescent="0.25">
      <c r="B163" s="148" t="s">
        <v>237</v>
      </c>
      <c r="C163" s="162" t="s">
        <v>100</v>
      </c>
      <c r="D163" s="162">
        <v>0</v>
      </c>
      <c r="E163" s="162">
        <v>7.0078016290296724E-2</v>
      </c>
      <c r="F163" s="162">
        <v>0.24960353816589986</v>
      </c>
      <c r="G163" s="162">
        <v>1E+30</v>
      </c>
      <c r="H163" s="162">
        <v>7.0078016290296724E-2</v>
      </c>
    </row>
    <row r="164" spans="2:8" ht="13" customHeight="1" x14ac:dyDescent="0.25">
      <c r="B164" s="148" t="s">
        <v>238</v>
      </c>
      <c r="C164" s="162" t="s">
        <v>102</v>
      </c>
      <c r="D164" s="162">
        <v>15.599999999999994</v>
      </c>
      <c r="E164" s="162">
        <v>0</v>
      </c>
      <c r="F164" s="162">
        <v>0.11343298518477241</v>
      </c>
      <c r="G164" s="162">
        <v>1.7919746539137148E-2</v>
      </c>
      <c r="H164" s="162">
        <v>3.3212329996895612E-4</v>
      </c>
    </row>
    <row r="165" spans="2:8" ht="13" customHeight="1" x14ac:dyDescent="0.25">
      <c r="B165" s="148" t="s">
        <v>239</v>
      </c>
      <c r="C165" s="162" t="s">
        <v>153</v>
      </c>
      <c r="D165" s="162">
        <v>0</v>
      </c>
      <c r="E165" s="162">
        <v>0.18365141959132297</v>
      </c>
      <c r="F165" s="162">
        <v>0.20908449557151698</v>
      </c>
      <c r="G165" s="162">
        <v>1E+30</v>
      </c>
      <c r="H165" s="162">
        <v>0.18365141959132297</v>
      </c>
    </row>
    <row r="166" spans="2:8" ht="13" customHeight="1" x14ac:dyDescent="0.25">
      <c r="B166" s="148" t="s">
        <v>240</v>
      </c>
      <c r="C166" s="162" t="s">
        <v>155</v>
      </c>
      <c r="D166" s="162">
        <v>0</v>
      </c>
      <c r="E166" s="162">
        <v>7.0078016290295614E-2</v>
      </c>
      <c r="F166" s="162">
        <v>0.20044928977270615</v>
      </c>
      <c r="G166" s="162">
        <v>1E+30</v>
      </c>
      <c r="H166" s="162">
        <v>7.0078016290295614E-2</v>
      </c>
    </row>
    <row r="167" spans="2:8" ht="13" customHeight="1" x14ac:dyDescent="0.25">
      <c r="B167" s="148" t="s">
        <v>297</v>
      </c>
      <c r="C167" s="162" t="s">
        <v>157</v>
      </c>
      <c r="D167" s="162">
        <v>0</v>
      </c>
      <c r="E167" s="162">
        <v>0</v>
      </c>
      <c r="F167" s="162">
        <v>0.14598106858025517</v>
      </c>
      <c r="G167" s="162">
        <v>7.2402879390011554E-2</v>
      </c>
      <c r="H167" s="162">
        <v>7.6928019006507337E-2</v>
      </c>
    </row>
    <row r="168" spans="2:8" ht="13" customHeight="1" x14ac:dyDescent="0.25">
      <c r="B168" s="148" t="s">
        <v>282</v>
      </c>
      <c r="C168" s="162" t="s">
        <v>158</v>
      </c>
      <c r="D168" s="162">
        <v>0</v>
      </c>
      <c r="E168" s="162">
        <v>1.9548814406331425E-2</v>
      </c>
      <c r="F168" s="162">
        <v>0.21539483827062611</v>
      </c>
      <c r="G168" s="162">
        <v>1E+30</v>
      </c>
      <c r="H168" s="162">
        <v>1.9548814406331425E-2</v>
      </c>
    </row>
    <row r="169" spans="2:8" ht="13" customHeight="1" x14ac:dyDescent="0.25">
      <c r="B169" s="148" t="s">
        <v>283</v>
      </c>
      <c r="C169" s="162" t="s">
        <v>160</v>
      </c>
      <c r="D169" s="162">
        <v>0</v>
      </c>
      <c r="E169" s="162">
        <v>9.6631613022961027E-2</v>
      </c>
      <c r="F169" s="162">
        <v>0.22037668776998487</v>
      </c>
      <c r="G169" s="162">
        <v>1E+30</v>
      </c>
      <c r="H169" s="162">
        <v>9.6631613022961027E-2</v>
      </c>
    </row>
    <row r="170" spans="2:8" ht="13" customHeight="1" x14ac:dyDescent="0.25">
      <c r="B170" s="148" t="s">
        <v>284</v>
      </c>
      <c r="C170" s="162" t="s">
        <v>162</v>
      </c>
      <c r="D170" s="162">
        <v>13.200000000000001</v>
      </c>
      <c r="E170" s="162">
        <v>0</v>
      </c>
      <c r="F170" s="162">
        <v>2.7745173796574818E-2</v>
      </c>
      <c r="G170" s="162">
        <v>0.11991277854712626</v>
      </c>
      <c r="H170" s="162">
        <v>1E+30</v>
      </c>
    </row>
    <row r="171" spans="2:8" ht="13" customHeight="1" x14ac:dyDescent="0.25">
      <c r="B171" s="148" t="s">
        <v>285</v>
      </c>
      <c r="C171" s="162" t="s">
        <v>164</v>
      </c>
      <c r="D171" s="162">
        <v>0</v>
      </c>
      <c r="E171" s="162">
        <v>4.4941150339206815E-2</v>
      </c>
      <c r="F171" s="162">
        <v>0.18716435777456297</v>
      </c>
      <c r="G171" s="162">
        <v>1E+30</v>
      </c>
      <c r="H171" s="162">
        <v>4.4941150339206815E-2</v>
      </c>
    </row>
    <row r="172" spans="2:8" ht="13" customHeight="1" x14ac:dyDescent="0.25">
      <c r="B172" s="148" t="s">
        <v>350</v>
      </c>
      <c r="C172" s="162" t="s">
        <v>166</v>
      </c>
      <c r="D172" s="162">
        <v>0</v>
      </c>
      <c r="E172" s="162">
        <v>0.16607557574059917</v>
      </c>
      <c r="F172" s="162">
        <v>0.32532765055542257</v>
      </c>
      <c r="G172" s="162">
        <v>1E+30</v>
      </c>
      <c r="H172" s="162">
        <v>0.16607557574059917</v>
      </c>
    </row>
    <row r="173" spans="2:8" ht="13" customHeight="1" x14ac:dyDescent="0.25">
      <c r="B173" s="148" t="s">
        <v>241</v>
      </c>
      <c r="C173" s="162" t="s">
        <v>104</v>
      </c>
      <c r="D173" s="162">
        <v>125</v>
      </c>
      <c r="E173" s="162">
        <v>0</v>
      </c>
      <c r="F173" s="162">
        <v>0</v>
      </c>
      <c r="G173" s="162">
        <v>0.11280572724385252</v>
      </c>
      <c r="H173" s="162">
        <v>1E+30</v>
      </c>
    </row>
    <row r="174" spans="2:8" ht="13" customHeight="1" x14ac:dyDescent="0.25">
      <c r="B174" s="148" t="s">
        <v>242</v>
      </c>
      <c r="C174" s="162" t="s">
        <v>106</v>
      </c>
      <c r="D174" s="162">
        <v>0</v>
      </c>
      <c r="E174" s="162">
        <v>0.23305841413856859</v>
      </c>
      <c r="F174" s="162">
        <v>0.27354178494765335</v>
      </c>
      <c r="G174" s="162">
        <v>1E+30</v>
      </c>
      <c r="H174" s="162">
        <v>0.23305841413856859</v>
      </c>
    </row>
    <row r="175" spans="2:8" ht="13" customHeight="1" x14ac:dyDescent="0.25">
      <c r="B175" s="148" t="s">
        <v>243</v>
      </c>
      <c r="C175" s="162" t="s">
        <v>108</v>
      </c>
      <c r="D175" s="162">
        <v>0</v>
      </c>
      <c r="E175" s="162">
        <v>9.4593015032330696E-2</v>
      </c>
      <c r="F175" s="162">
        <v>0.3505208005346816</v>
      </c>
      <c r="G175" s="162">
        <v>1E+30</v>
      </c>
      <c r="H175" s="162">
        <v>9.4593015032330696E-2</v>
      </c>
    </row>
    <row r="176" spans="2:8" ht="13" customHeight="1" x14ac:dyDescent="0.25">
      <c r="B176" s="148" t="s">
        <v>244</v>
      </c>
      <c r="C176" s="162" t="s">
        <v>110</v>
      </c>
      <c r="D176" s="162">
        <v>85</v>
      </c>
      <c r="E176" s="162">
        <v>0</v>
      </c>
      <c r="F176" s="162">
        <v>0.11764717476506803</v>
      </c>
      <c r="G176" s="162">
        <v>5.9365016141768423E-2</v>
      </c>
      <c r="H176" s="162">
        <v>4.7050813737330333E-2</v>
      </c>
    </row>
    <row r="177" spans="2:8" ht="13" customHeight="1" x14ac:dyDescent="0.25">
      <c r="B177" s="148" t="s">
        <v>245</v>
      </c>
      <c r="C177" s="162" t="s">
        <v>112</v>
      </c>
      <c r="D177" s="162">
        <v>0</v>
      </c>
      <c r="E177" s="162">
        <v>0.22724867711312408</v>
      </c>
      <c r="F177" s="162">
        <v>0.37375974863641659</v>
      </c>
      <c r="G177" s="162">
        <v>1E+30</v>
      </c>
      <c r="H177" s="162">
        <v>0.22724867711312408</v>
      </c>
    </row>
    <row r="178" spans="2:8" ht="13" customHeight="1" x14ac:dyDescent="0.25">
      <c r="B178" s="148" t="s">
        <v>309</v>
      </c>
      <c r="C178" s="162" t="s">
        <v>114</v>
      </c>
      <c r="D178" s="162">
        <v>0</v>
      </c>
      <c r="E178" s="162">
        <v>0.23305841413861123</v>
      </c>
      <c r="F178" s="162">
        <v>0.28370882474217751</v>
      </c>
      <c r="G178" s="162">
        <v>1E+30</v>
      </c>
      <c r="H178" s="162">
        <v>0.23305841413861123</v>
      </c>
    </row>
    <row r="179" spans="2:8" ht="13" customHeight="1" x14ac:dyDescent="0.25">
      <c r="B179" s="148" t="s">
        <v>246</v>
      </c>
      <c r="C179" s="162" t="s">
        <v>115</v>
      </c>
      <c r="D179" s="162">
        <v>0</v>
      </c>
      <c r="E179" s="162">
        <v>0.21138646830731028</v>
      </c>
      <c r="F179" s="162">
        <v>0.21931757271021013</v>
      </c>
      <c r="G179" s="162">
        <v>1E+30</v>
      </c>
      <c r="H179" s="162">
        <v>0.21138646830731028</v>
      </c>
    </row>
    <row r="180" spans="2:8" ht="13" customHeight="1" x14ac:dyDescent="0.25">
      <c r="B180" s="148" t="s">
        <v>247</v>
      </c>
      <c r="C180" s="162" t="s">
        <v>117</v>
      </c>
      <c r="D180" s="162">
        <v>0</v>
      </c>
      <c r="E180" s="162">
        <v>0.23238948101743534</v>
      </c>
      <c r="F180" s="162">
        <v>0.28080395622941978</v>
      </c>
      <c r="G180" s="162">
        <v>1E+30</v>
      </c>
      <c r="H180" s="162">
        <v>0.23238948101743534</v>
      </c>
    </row>
    <row r="181" spans="2:8" ht="13" customHeight="1" x14ac:dyDescent="0.25">
      <c r="B181" s="148" t="s">
        <v>248</v>
      </c>
      <c r="C181" s="162" t="s">
        <v>119</v>
      </c>
      <c r="D181" s="162">
        <v>45</v>
      </c>
      <c r="E181" s="162">
        <v>0</v>
      </c>
      <c r="F181" s="162">
        <v>0.26385888990525075</v>
      </c>
      <c r="G181" s="162">
        <v>9.2313622807808794E-3</v>
      </c>
      <c r="H181" s="162">
        <v>5.8974464316533963E-2</v>
      </c>
    </row>
    <row r="182" spans="2:8" ht="13" customHeight="1" x14ac:dyDescent="0.25">
      <c r="B182" s="148" t="s">
        <v>249</v>
      </c>
      <c r="C182" s="162" t="s">
        <v>121</v>
      </c>
      <c r="D182" s="162">
        <v>0</v>
      </c>
      <c r="E182" s="162">
        <v>5.9365016141768423E-2</v>
      </c>
      <c r="F182" s="162">
        <v>0.1849432953097363</v>
      </c>
      <c r="G182" s="162">
        <v>1E+30</v>
      </c>
      <c r="H182" s="162">
        <v>5.9365016141768423E-2</v>
      </c>
    </row>
    <row r="183" spans="2:8" ht="13" customHeight="1" x14ac:dyDescent="0.25">
      <c r="B183" s="148" t="s">
        <v>250</v>
      </c>
      <c r="C183" s="162" t="s">
        <v>123</v>
      </c>
      <c r="D183" s="162">
        <v>125</v>
      </c>
      <c r="E183" s="162">
        <v>0</v>
      </c>
      <c r="F183" s="162">
        <v>0.15444217592619225</v>
      </c>
      <c r="G183" s="162">
        <v>1.0683796537145534E-2</v>
      </c>
      <c r="H183" s="162">
        <v>186968796247.65628</v>
      </c>
    </row>
    <row r="184" spans="2:8" ht="13" customHeight="1" x14ac:dyDescent="0.25">
      <c r="B184" s="148" t="s">
        <v>310</v>
      </c>
      <c r="C184" s="162" t="s">
        <v>125</v>
      </c>
      <c r="D184" s="162">
        <v>0</v>
      </c>
      <c r="E184" s="162">
        <v>0.23238948101747781</v>
      </c>
      <c r="F184" s="162">
        <v>0.29097099602394394</v>
      </c>
      <c r="G184" s="162">
        <v>1E+30</v>
      </c>
      <c r="H184" s="162">
        <v>0.23238948101747781</v>
      </c>
    </row>
    <row r="185" spans="2:8" ht="13" customHeight="1" x14ac:dyDescent="0.25">
      <c r="B185" s="148" t="s">
        <v>251</v>
      </c>
      <c r="C185" s="162" t="s">
        <v>172</v>
      </c>
      <c r="D185" s="162">
        <v>0</v>
      </c>
      <c r="E185" s="162">
        <v>0.31402515575672391</v>
      </c>
      <c r="F185" s="162">
        <v>0.27354178494763914</v>
      </c>
      <c r="G185" s="162">
        <v>1E+30</v>
      </c>
      <c r="H185" s="162">
        <v>0.31402515575672391</v>
      </c>
    </row>
    <row r="186" spans="2:8" ht="13" customHeight="1" x14ac:dyDescent="0.25">
      <c r="B186" s="148" t="s">
        <v>252</v>
      </c>
      <c r="C186" s="162" t="s">
        <v>174</v>
      </c>
      <c r="D186" s="162">
        <v>90</v>
      </c>
      <c r="E186" s="162">
        <v>0</v>
      </c>
      <c r="F186" s="162">
        <v>0</v>
      </c>
      <c r="G186" s="162">
        <v>0.23238948101743534</v>
      </c>
      <c r="H186" s="162">
        <v>1E+30</v>
      </c>
    </row>
    <row r="187" spans="2:8" ht="13" customHeight="1" x14ac:dyDescent="0.25">
      <c r="B187" s="148" t="s">
        <v>253</v>
      </c>
      <c r="C187" s="162" t="s">
        <v>176</v>
      </c>
      <c r="D187" s="162">
        <v>15</v>
      </c>
      <c r="E187" s="162">
        <v>0</v>
      </c>
      <c r="F187" s="162">
        <v>0.21544441469326614</v>
      </c>
      <c r="G187" s="162">
        <v>5.8974464316533963E-2</v>
      </c>
      <c r="H187" s="162">
        <v>0.23238948101743534</v>
      </c>
    </row>
    <row r="188" spans="2:8" ht="13" customHeight="1" x14ac:dyDescent="0.25">
      <c r="B188" s="148" t="s">
        <v>254</v>
      </c>
      <c r="C188" s="162" t="s">
        <v>178</v>
      </c>
      <c r="D188" s="162">
        <v>0</v>
      </c>
      <c r="E188" s="162">
        <v>7.8730806226587846E-2</v>
      </c>
      <c r="F188" s="162">
        <v>0.15589461018257111</v>
      </c>
      <c r="G188" s="162">
        <v>1E+30</v>
      </c>
      <c r="H188" s="162">
        <v>7.8730806226587846E-2</v>
      </c>
    </row>
    <row r="189" spans="2:8" ht="13" customHeight="1" x14ac:dyDescent="0.25">
      <c r="B189" s="148" t="s">
        <v>255</v>
      </c>
      <c r="C189" s="162" t="s">
        <v>180</v>
      </c>
      <c r="D189" s="162">
        <v>0</v>
      </c>
      <c r="E189" s="162">
        <v>0.3137257993735858</v>
      </c>
      <c r="F189" s="162">
        <v>0.41975350008779344</v>
      </c>
      <c r="G189" s="162">
        <v>1E+30</v>
      </c>
      <c r="H189" s="162">
        <v>0.3137257993735858</v>
      </c>
    </row>
    <row r="190" spans="2:8" ht="13" customHeight="1" x14ac:dyDescent="0.25">
      <c r="B190" s="148" t="s">
        <v>311</v>
      </c>
      <c r="C190" s="162" t="s">
        <v>182</v>
      </c>
      <c r="D190" s="162">
        <v>15</v>
      </c>
      <c r="E190" s="162">
        <v>0</v>
      </c>
      <c r="F190" s="162">
        <v>1.0167039794481525E-2</v>
      </c>
      <c r="G190" s="162">
        <v>0.23238948101747781</v>
      </c>
      <c r="H190" s="162">
        <v>1E+30</v>
      </c>
    </row>
    <row r="191" spans="2:8" ht="13" customHeight="1" x14ac:dyDescent="0.25">
      <c r="B191" s="148" t="s">
        <v>256</v>
      </c>
      <c r="C191" s="162" t="s">
        <v>183</v>
      </c>
      <c r="D191" s="162">
        <v>0</v>
      </c>
      <c r="E191" s="162">
        <v>0.11280572724385252</v>
      </c>
      <c r="F191" s="162">
        <v>7.1653423313705389E-2</v>
      </c>
      <c r="G191" s="162">
        <v>1E+30</v>
      </c>
      <c r="H191" s="162">
        <v>0.11280572724385252</v>
      </c>
    </row>
    <row r="192" spans="2:8" ht="13" customHeight="1" x14ac:dyDescent="0.25">
      <c r="B192" s="148" t="s">
        <v>257</v>
      </c>
      <c r="C192" s="162" t="s">
        <v>185</v>
      </c>
      <c r="D192" s="162">
        <v>0</v>
      </c>
      <c r="E192" s="162">
        <v>0.23305841413854017</v>
      </c>
      <c r="F192" s="162">
        <v>0.23238948101747781</v>
      </c>
      <c r="G192" s="162">
        <v>1E+30</v>
      </c>
      <c r="H192" s="162">
        <v>0.23305841413854017</v>
      </c>
    </row>
    <row r="193" spans="2:8" ht="13" customHeight="1" x14ac:dyDescent="0.25">
      <c r="B193" s="148" t="s">
        <v>258</v>
      </c>
      <c r="C193" s="162" t="s">
        <v>187</v>
      </c>
      <c r="D193" s="162">
        <v>0</v>
      </c>
      <c r="E193" s="162">
        <v>6.4091895648729746E-2</v>
      </c>
      <c r="F193" s="162">
        <v>0.27886737722093358</v>
      </c>
      <c r="G193" s="162">
        <v>1E+30</v>
      </c>
      <c r="H193" s="162">
        <v>6.4091895648729746E-2</v>
      </c>
    </row>
    <row r="194" spans="2:8" ht="13" customHeight="1" x14ac:dyDescent="0.25">
      <c r="B194" s="148" t="s">
        <v>259</v>
      </c>
      <c r="C194" s="162" t="s">
        <v>189</v>
      </c>
      <c r="D194" s="162">
        <v>0</v>
      </c>
      <c r="E194" s="162">
        <v>0</v>
      </c>
      <c r="F194" s="162">
        <v>7.6494870834920903E-2</v>
      </c>
      <c r="G194" s="162">
        <v>4.7050813737330346E-2</v>
      </c>
      <c r="H194" s="162">
        <v>1E+30</v>
      </c>
    </row>
    <row r="195" spans="2:8" ht="13" customHeight="1" x14ac:dyDescent="0.25">
      <c r="B195" s="148" t="s">
        <v>260</v>
      </c>
      <c r="C195" s="162" t="s">
        <v>191</v>
      </c>
      <c r="D195" s="162">
        <v>0</v>
      </c>
      <c r="E195" s="162">
        <v>0.19674755772956593</v>
      </c>
      <c r="F195" s="162">
        <v>0.3021063253227112</v>
      </c>
      <c r="G195" s="162">
        <v>1E+30</v>
      </c>
      <c r="H195" s="162">
        <v>0.19674755772956593</v>
      </c>
    </row>
    <row r="196" spans="2:8" ht="13" customHeight="1" x14ac:dyDescent="0.25">
      <c r="B196" s="148" t="s">
        <v>312</v>
      </c>
      <c r="C196" s="162" t="s">
        <v>193</v>
      </c>
      <c r="D196" s="162">
        <v>0</v>
      </c>
      <c r="E196" s="162">
        <v>0.23305841413854017</v>
      </c>
      <c r="F196" s="162">
        <v>0.24255652081195933</v>
      </c>
      <c r="G196" s="162">
        <v>1E+30</v>
      </c>
      <c r="H196" s="162">
        <v>0.23305841413854017</v>
      </c>
    </row>
    <row r="197" spans="2:8" ht="13" customHeight="1" x14ac:dyDescent="0.25">
      <c r="B197" s="148" t="s">
        <v>286</v>
      </c>
      <c r="C197" s="147" t="s">
        <v>194</v>
      </c>
      <c r="D197" s="147">
        <v>0</v>
      </c>
      <c r="E197" s="147">
        <v>0.45058658784496119</v>
      </c>
      <c r="F197" s="147">
        <v>0.45461192224040303</v>
      </c>
      <c r="G197" s="147">
        <v>1E+30</v>
      </c>
      <c r="H197" s="147">
        <v>0.45058658784496119</v>
      </c>
    </row>
    <row r="198" spans="2:8" ht="13" customHeight="1" x14ac:dyDescent="0.25">
      <c r="B198" s="148" t="s">
        <v>287</v>
      </c>
      <c r="C198" s="162" t="s">
        <v>196</v>
      </c>
      <c r="D198" s="162">
        <v>0</v>
      </c>
      <c r="E198" s="162">
        <v>0.38928499269472078</v>
      </c>
      <c r="F198" s="162">
        <v>0.43379369789924738</v>
      </c>
      <c r="G198" s="162">
        <v>1E+30</v>
      </c>
      <c r="H198" s="162">
        <v>0.38928499269472078</v>
      </c>
    </row>
    <row r="199" spans="2:8" ht="13" customHeight="1" x14ac:dyDescent="0.25">
      <c r="B199" s="148" t="s">
        <v>288</v>
      </c>
      <c r="C199" s="162" t="s">
        <v>198</v>
      </c>
      <c r="D199" s="162">
        <v>0</v>
      </c>
      <c r="E199" s="162">
        <v>9.2313622807808794E-3</v>
      </c>
      <c r="F199" s="162">
        <v>0.2691844821785736</v>
      </c>
      <c r="G199" s="162">
        <v>1E+30</v>
      </c>
      <c r="H199" s="162">
        <v>9.2313622807808794E-3</v>
      </c>
    </row>
    <row r="200" spans="2:8" ht="13" customHeight="1" x14ac:dyDescent="0.25">
      <c r="B200" s="148" t="s">
        <v>289</v>
      </c>
      <c r="C200" s="162" t="s">
        <v>200</v>
      </c>
      <c r="D200" s="162">
        <v>0</v>
      </c>
      <c r="E200" s="162">
        <v>0.28355664836365124</v>
      </c>
      <c r="F200" s="162">
        <v>0.40522915752416111</v>
      </c>
      <c r="G200" s="162">
        <v>1E+30</v>
      </c>
      <c r="H200" s="162">
        <v>0.28355664836365124</v>
      </c>
    </row>
    <row r="201" spans="2:8" ht="13" customHeight="1" x14ac:dyDescent="0.25">
      <c r="B201" s="148" t="s">
        <v>290</v>
      </c>
      <c r="C201" s="162" t="s">
        <v>202</v>
      </c>
      <c r="D201" s="162">
        <v>0</v>
      </c>
      <c r="E201" s="162">
        <v>1.0683796537145534E-2</v>
      </c>
      <c r="F201" s="162">
        <v>0.16122020245587976</v>
      </c>
      <c r="G201" s="162">
        <v>1E+30</v>
      </c>
      <c r="H201" s="162">
        <v>1.0683796537145534E-2</v>
      </c>
    </row>
    <row r="202" spans="2:8" ht="13" customHeight="1" thickBot="1" x14ac:dyDescent="0.3">
      <c r="B202" s="149" t="s">
        <v>351</v>
      </c>
      <c r="C202" s="163" t="s">
        <v>204</v>
      </c>
      <c r="D202" s="163">
        <v>0</v>
      </c>
      <c r="E202" s="163">
        <v>0.38928499269476341</v>
      </c>
      <c r="F202" s="163">
        <v>0.44396073769377153</v>
      </c>
      <c r="G202" s="163">
        <v>1E+30</v>
      </c>
      <c r="H202" s="163">
        <v>0.38928499269476341</v>
      </c>
    </row>
    <row r="203" spans="2:8" ht="13" customHeight="1" x14ac:dyDescent="0.25"/>
  </sheetData>
  <mergeCells count="4">
    <mergeCell ref="B2:H2"/>
    <mergeCell ref="O19:P20"/>
    <mergeCell ref="J8:M9"/>
    <mergeCell ref="O30:P3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Q1</vt:lpstr>
      <vt:lpstr>Q2</vt:lpstr>
      <vt:lpstr>Q3</vt:lpstr>
      <vt:lpstr>Q4</vt:lpstr>
      <vt:lpstr>Q5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Krannert Computing Center</dc:creator>
  <cp:lastModifiedBy>Jess Deng</cp:lastModifiedBy>
  <dcterms:created xsi:type="dcterms:W3CDTF">2002-07-27T00:25:33Z</dcterms:created>
  <dcterms:modified xsi:type="dcterms:W3CDTF">2020-02-27T22:45:03Z</dcterms:modified>
</cp:coreProperties>
</file>