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ibson/Development/PNA_KNDy/"/>
    </mc:Choice>
  </mc:AlternateContent>
  <xr:revisionPtr revIDLastSave="0" documentId="8_{3B79D2B6-5A07-E542-A67C-BDA203F54CA5}" xr6:coauthVersionLast="46" xr6:coauthVersionMax="46" xr10:uidLastSave="{00000000-0000-0000-0000-000000000000}"/>
  <bookViews>
    <workbookView xWindow="0" yWindow="460" windowWidth="25600" windowHeight="14600" activeTab="1" xr2:uid="{162761BB-6C4E-410D-8DFF-B880062FE7F7}"/>
  </bookViews>
  <sheets>
    <sheet name="CombinedData" sheetId="1" r:id="rId1"/>
    <sheet name="FiringData" sheetId="51" r:id="rId2"/>
    <sheet name="ForReviewOrRejected" sheetId="7" r:id="rId3"/>
    <sheet name="SelectingBurstWindow" sheetId="5" r:id="rId4"/>
    <sheet name="CopyMe" sheetId="12" r:id="rId5"/>
    <sheet name="Test20190322d" sheetId="6" r:id="rId6"/>
  </sheets>
  <definedNames>
    <definedName name="Analysis_2x2SD" localSheetId="4">CopyMe!$AJ$114</definedName>
    <definedName name="Analysis_2x2SD" localSheetId="5">Test20190322d!$AJ$114</definedName>
    <definedName name="Analysis_2x2SE" localSheetId="4">CopyMe!$AX$114</definedName>
    <definedName name="Analysis_2x2SE" localSheetId="5">Test20190322d!$AX$114</definedName>
    <definedName name="Analysis_3x3SD" localSheetId="4">CopyMe!$AQ$114</definedName>
    <definedName name="Analysis_3x3SD" localSheetId="5">Test20190322d!$AQ$114</definedName>
    <definedName name="Analysis_3x3SE" localSheetId="4">CopyMe!$BE$114</definedName>
    <definedName name="Analysis_3x3SE" localSheetId="5">Test20190322d!$BE$114</definedName>
    <definedName name="AvgBurstWindow">SelectingBurstWindow!$E$2</definedName>
    <definedName name="BinSize_sec" localSheetId="4">CopyMe!$Q$112</definedName>
    <definedName name="BinSize_sec" localSheetId="5">Test20190322d!$Q$112</definedName>
    <definedName name="BinsPerSeries" localSheetId="4">CopyMe!$T$112</definedName>
    <definedName name="BinsPerSeries" localSheetId="5">Test20190322d!$T$112</definedName>
    <definedName name="BurstFreq_senktide" localSheetId="4">CopyMe!$R$106</definedName>
    <definedName name="BurstFreq_senktide" localSheetId="5">Test20190322d!$R$106</definedName>
    <definedName name="BurstFreq_spont" localSheetId="4">CopyMe!$F$106</definedName>
    <definedName name="BurstFreq_spont" localSheetId="5">Test20190322d!$F$106</definedName>
    <definedName name="BurstFreq_spont_BW1" localSheetId="4">CopyMe!$F$107</definedName>
    <definedName name="BurstFreq_spont_BW2" localSheetId="4">CopyMe!$F$108</definedName>
    <definedName name="BurstFreq_temp2" localSheetId="4">CopyMe!$AD$106</definedName>
    <definedName name="BurstFreq_temp2" localSheetId="5">Test20190322d!$AD$106</definedName>
    <definedName name="BurstNum_senktide" localSheetId="4">CopyMe!$O$106</definedName>
    <definedName name="BurstNum_senktide" localSheetId="5">Test20190322d!$O$106</definedName>
    <definedName name="BurstNum_spont" localSheetId="4">CopyMe!$C$106</definedName>
    <definedName name="BurstNum_spont" localSheetId="5">Test20190322d!$C$106</definedName>
    <definedName name="BurstNum_spont_BW1" localSheetId="4">CopyMe!$C$107</definedName>
    <definedName name="BurstNum_spont_BW2" localSheetId="4">CopyMe!$C$108</definedName>
    <definedName name="BurstNum_temp2" localSheetId="4">CopyMe!$AA$106</definedName>
    <definedName name="BurstNum_temp2" localSheetId="5">Test20190322d!$AA$106</definedName>
    <definedName name="BurstsPerHour_senktide" localSheetId="4">CopyMe!$X$106</definedName>
    <definedName name="BurstsPerHour_senktide" localSheetId="5">Test20190322d!$X$106</definedName>
    <definedName name="BurstsPerHour_spont" localSheetId="4">CopyMe!$L$106</definedName>
    <definedName name="BurstsPerHour_spont" localSheetId="5">Test20190322d!$L$106</definedName>
    <definedName name="BurstsPerHour_spont_BW1" localSheetId="4">CopyMe!$L$107</definedName>
    <definedName name="BurstsPerHour_spont_BW2" localSheetId="4">CopyMe!$L$108</definedName>
    <definedName name="BurstsPerHour_temp2" localSheetId="4">CopyMe!$AJ$106</definedName>
    <definedName name="BurstsPerHour_temp2" localSheetId="5">Test20190322d!$AJ$106</definedName>
    <definedName name="ClusterBinSize_sec" localSheetId="4">CopyMe!$AI$112</definedName>
    <definedName name="ClusterBinSize_sec" localSheetId="5">Test20190322d!$AI$112</definedName>
    <definedName name="EndTime_spont" localSheetId="4">CopyMe!$P$116</definedName>
    <definedName name="EndTime_spont" localSheetId="5">Test20190322d!$P$116</definedName>
    <definedName name="FirstSeries" localSheetId="4">CopyMe!$N$112</definedName>
    <definedName name="FirstSeries" localSheetId="5">Test20190322d!$N$112</definedName>
    <definedName name="InterBurst_senktide" localSheetId="4">CopyMe!$V$106</definedName>
    <definedName name="InterBurst_senktide" localSheetId="5">Test20190322d!$V$106</definedName>
    <definedName name="InterBurst_spont" localSheetId="4">CopyMe!$J$106</definedName>
    <definedName name="InterBurst_spont" localSheetId="5">Test20190322d!$J$106</definedName>
    <definedName name="InterBurst_spont_BW1" localSheetId="4">CopyMe!$J$107</definedName>
    <definedName name="InterBurst_spont_BW2" localSheetId="4">CopyMe!$J$108</definedName>
    <definedName name="InterBurst_temp2" localSheetId="4">CopyMe!$AH$106</definedName>
    <definedName name="InterBurst_temp2" localSheetId="5">Test20190322d!$AH$106</definedName>
    <definedName name="IntraBurst_senktide" localSheetId="4">CopyMe!$W$106</definedName>
    <definedName name="IntraBurst_senktide" localSheetId="5">Test20190322d!$W$106</definedName>
    <definedName name="IntraBurst_spont" localSheetId="4">CopyMe!$K$106</definedName>
    <definedName name="IntraBurst_spont" localSheetId="5">Test20190322d!$K$106</definedName>
    <definedName name="IntraBurst_spont_BW1" localSheetId="4">CopyMe!$K$107</definedName>
    <definedName name="IntraBurst_spont_BW2" localSheetId="4">CopyMe!$K$108</definedName>
    <definedName name="IntraBurst_temp2" localSheetId="4">CopyMe!$AI$106</definedName>
    <definedName name="IntraBurst_temp2" localSheetId="5">Test20190322d!$AI$106</definedName>
    <definedName name="LastSeries" localSheetId="4">CopyMe!$O$112</definedName>
    <definedName name="LastSeries" localSheetId="5">Test20190322d!$O$112</definedName>
    <definedName name="MaxBurstWindow_senktide" localSheetId="4">CopyMe!$Y$106</definedName>
    <definedName name="MaxBurstWindow_senktide" localSheetId="5">Test20190322d!$Y$106</definedName>
    <definedName name="MaxBurstWindow_spont" localSheetId="4">CopyMe!$M$106</definedName>
    <definedName name="MaxBurstWindow_spont" localSheetId="5">Test20190322d!$M$106</definedName>
    <definedName name="MaxBurstWindow_spont_BW1" localSheetId="4">CopyMe!$M$107</definedName>
    <definedName name="MaxBurstWindow_spont_BW2" localSheetId="4">CopyMe!$M$108</definedName>
    <definedName name="MaxBurstWindow_temp2" localSheetId="4">CopyMe!$AK$106</definedName>
    <definedName name="MaxBurstWindow_temp2" localSheetId="5">Test20190322d!$AK$106</definedName>
    <definedName name="Mbd_senktide" localSheetId="4">CopyMe!$P$106</definedName>
    <definedName name="Mbd_senktide" localSheetId="5">Test20190322d!$P$106</definedName>
    <definedName name="Mbd_spont" localSheetId="4">CopyMe!$D$106</definedName>
    <definedName name="Mbd_spont" localSheetId="5">Test20190322d!$D$106</definedName>
    <definedName name="Mbd_spont_BW1" localSheetId="4">CopyMe!$D$107</definedName>
    <definedName name="Mbd_spont_BW2" localSheetId="4">CopyMe!$D$108</definedName>
    <definedName name="Mbd_temp2" localSheetId="4">CopyMe!$AB$106</definedName>
    <definedName name="Mbd_temp2" localSheetId="5">Test20190322d!$AB$106</definedName>
    <definedName name="meanNadirDur_2x2SD" localSheetId="4">CopyMe!$AK$117</definedName>
    <definedName name="meanNadirDur_2x2SD" localSheetId="5">Test20190322d!$AK$117</definedName>
    <definedName name="meanNadirDur_2x2SE" localSheetId="4">CopyMe!$AY$117</definedName>
    <definedName name="meanNadirDur_2x2SE" localSheetId="5">Test20190322d!$AY$117</definedName>
    <definedName name="meanNadirDur_3x3SD" localSheetId="4">CopyMe!$AR$117</definedName>
    <definedName name="meanNadirDur_3x3SD" localSheetId="5">Test20190322d!$AR$117</definedName>
    <definedName name="meanNadirDur_3x3SE" localSheetId="4">CopyMe!$BF$117</definedName>
    <definedName name="meanNadirDur_3x3SE" localSheetId="5">Test20190322d!$BF$117</definedName>
    <definedName name="meanNadirFiring_2x2SD" localSheetId="4">CopyMe!$AL$117</definedName>
    <definedName name="meanNadirFiring_2x2SD" localSheetId="5">Test20190322d!$AL$117</definedName>
    <definedName name="meanNadirFiring_2x2SE" localSheetId="4">CopyMe!$AZ$117</definedName>
    <definedName name="meanNadirFiring_2x2SE" localSheetId="5">Test20190322d!$AZ$117</definedName>
    <definedName name="meanNadirFiring_3x3SD" localSheetId="4">CopyMe!$AS$117</definedName>
    <definedName name="meanNadirFiring_3x3SD" localSheetId="5">Test20190322d!$AS$117</definedName>
    <definedName name="meanNadirFiring_3x3SE" localSheetId="4">CopyMe!$BG$117</definedName>
    <definedName name="meanNadirFiring_3x3SE" localSheetId="5">Test20190322d!$BG$117</definedName>
    <definedName name="meanPeakDur_2x2SD" localSheetId="4">CopyMe!$AK$116</definedName>
    <definedName name="meanPeakDur_2x2SD" localSheetId="5">Test20190322d!$AK$116</definedName>
    <definedName name="meanPeakDur_2x2SE" localSheetId="4">CopyMe!$AY$116</definedName>
    <definedName name="meanPeakDur_2x2SE" localSheetId="5">Test20190322d!$AY$116</definedName>
    <definedName name="meanPeakDur_3x3SD" localSheetId="4">CopyMe!$AR$116</definedName>
    <definedName name="meanPeakDur_3x3SD" localSheetId="5">Test20190322d!$AR$116</definedName>
    <definedName name="meanPeakDur_3x3SE" localSheetId="4">CopyMe!$BF$116</definedName>
    <definedName name="meanPeakDur_3x3SE" localSheetId="5">Test20190322d!$BF$116</definedName>
    <definedName name="meanPeakFiring_2x2SD" localSheetId="4">CopyMe!$AL$116</definedName>
    <definedName name="meanPeakFiring_2x2SD" localSheetId="5">Test20190322d!$AL$116</definedName>
    <definedName name="meanPeakFiring_2x2SE" localSheetId="4">CopyMe!$AZ$116</definedName>
    <definedName name="meanPeakFiring_2x2SE" localSheetId="5">Test20190322d!$AZ$116</definedName>
    <definedName name="meanPeakFiring_3x3SD" localSheetId="4">CopyMe!$AS$116</definedName>
    <definedName name="meanPeakFiring_3x3SD" localSheetId="5">Test20190322d!$AS$116</definedName>
    <definedName name="meanPeakFiring_3x3SE" localSheetId="4">CopyMe!$BG$116</definedName>
    <definedName name="meanPeakFiring_3x3SE" localSheetId="5">Test20190322d!$BG$116</definedName>
    <definedName name="minFiringRate" localSheetId="1">FiringData!#REF!</definedName>
    <definedName name="minFiringRate" localSheetId="2">ForReviewOrRejected!$K$2</definedName>
    <definedName name="minFiringRate">CombinedData!$M$2</definedName>
    <definedName name="numNadirs_2x2SD" localSheetId="4">CopyMe!$AM$117</definedName>
    <definedName name="numNadirs_2x2SD" localSheetId="5">Test20190322d!$AM$117</definedName>
    <definedName name="numNadirs_2x2SE" localSheetId="4">CopyMe!$BA$117</definedName>
    <definedName name="numNadirs_2x2SE" localSheetId="5">Test20190322d!$BA$117</definedName>
    <definedName name="numNadirs_3x3SD" localSheetId="4">CopyMe!$AT$117</definedName>
    <definedName name="numNadirs_3x3SD" localSheetId="5">Test20190322d!$AT$117</definedName>
    <definedName name="numNadirs_3x3SE" localSheetId="4">CopyMe!$BH$117</definedName>
    <definedName name="numNadirs_3x3SE" localSheetId="5">Test20190322d!$BH$117</definedName>
    <definedName name="numPeaks_2x2SD" localSheetId="4">CopyMe!$AM$116</definedName>
    <definedName name="numPeaks_2x2SD" localSheetId="5">Test20190322d!$AM$116</definedName>
    <definedName name="numPeaks_2x2SE" localSheetId="4">CopyMe!$BA$116</definedName>
    <definedName name="numPeaks_2x2SE" localSheetId="5">Test20190322d!$BA$116</definedName>
    <definedName name="numPeaks_3x3SD" localSheetId="4">CopyMe!$AT$116</definedName>
    <definedName name="numPeaks_3x3SD" localSheetId="5">Test20190322d!$AT$116</definedName>
    <definedName name="numPeaks_3x3SE" localSheetId="4">CopyMe!$BH$116</definedName>
    <definedName name="numPeaks_3x3SE" localSheetId="5">Test20190322d!$BH$116</definedName>
    <definedName name="SelectedBW_1">SelectingBurstWindow!$E$5</definedName>
    <definedName name="SelectedBW_2">SelectingBurstWindow!$E$8</definedName>
    <definedName name="Senktide_analysis" localSheetId="4">CopyMe!$T$116</definedName>
    <definedName name="Senktide_analysis" localSheetId="5">Test20190322d!$T$116</definedName>
    <definedName name="Senktide_length" localSheetId="4">CopyMe!$Q$117</definedName>
    <definedName name="Senktide_length" localSheetId="5">Test20190322d!$Q$117</definedName>
    <definedName name="SenktideFiring" localSheetId="4">CopyMe!$R$117</definedName>
    <definedName name="SenktideFiring" localSheetId="5">Test20190322d!$R$117</definedName>
    <definedName name="SeriesLength_min" localSheetId="4">CopyMe!$P$112</definedName>
    <definedName name="SeriesLength_min" localSheetId="5">Test20190322d!$P$112</definedName>
    <definedName name="SingleSpikeFreq_senktide" localSheetId="4">CopyMe!$T$106</definedName>
    <definedName name="SingleSpikeFreq_senktide" localSheetId="5">Test20190322d!$T$106</definedName>
    <definedName name="SingleSpikeFreq_spont" localSheetId="4">CopyMe!$H$106</definedName>
    <definedName name="SingleSpikeFreq_spont" localSheetId="5">Test20190322d!$H$106</definedName>
    <definedName name="SingleSpikeFreq_spont_BW1" localSheetId="4">CopyMe!$H$107</definedName>
    <definedName name="SingleSpikeFreq_spont_BW2" localSheetId="4">CopyMe!$H$108</definedName>
    <definedName name="SingleSpikeFreq_temp2" localSheetId="4">CopyMe!$AF$106</definedName>
    <definedName name="SingleSpikeFreq_temp2" localSheetId="5">Test20190322d!$AF$106</definedName>
    <definedName name="SingleSpikeNum_senktide" localSheetId="4">CopyMe!$S$106</definedName>
    <definedName name="SingleSpikeNum_senktide" localSheetId="5">Test20190322d!$S$106</definedName>
    <definedName name="SingleSpikeNum_spont" localSheetId="4">CopyMe!$G$106</definedName>
    <definedName name="SingleSpikeNum_spont" localSheetId="5">Test20190322d!$G$106</definedName>
    <definedName name="SingleSpikeNum_spont_BW1" localSheetId="4">CopyMe!$G$107</definedName>
    <definedName name="SingleSpikeNum_spont_BW2" localSheetId="4">CopyMe!$G$108</definedName>
    <definedName name="SingleSpikeNum_temp1" localSheetId="4">CopyMe!$S$106</definedName>
    <definedName name="SingleSpikeNum_temp1" localSheetId="5">Test20190322d!$S$106</definedName>
    <definedName name="SingleSpikeNum_temp2" localSheetId="4">CopyMe!$AE$106</definedName>
    <definedName name="SingleSpikeNum_temp2" localSheetId="5">Test20190322d!$AE$106</definedName>
    <definedName name="SpikesPerBurst_senktide" localSheetId="4">CopyMe!$Q$106</definedName>
    <definedName name="SpikesPerBurst_senktide" localSheetId="5">Test20190322d!$Q$106</definedName>
    <definedName name="SpikesPerBurst_spont" localSheetId="4">CopyMe!$E$106</definedName>
    <definedName name="SpikesPerBurst_spont" localSheetId="5">Test20190322d!$E$106</definedName>
    <definedName name="SpikesPerBurst_spont_BW1" localSheetId="4">CopyMe!$E$107</definedName>
    <definedName name="SpikesPerBurst_spont_BW2" localSheetId="4">CopyMe!$E$108</definedName>
    <definedName name="SpikesPerBurst_temp2" localSheetId="4">CopyMe!$AC$106</definedName>
    <definedName name="SpikesPerBurst_temp2" localSheetId="5">Test20190322d!$AC$106</definedName>
    <definedName name="SpontAvgFiring" localSheetId="4">CopyMe!$R$116</definedName>
    <definedName name="SpontAvgFiring" localSheetId="5">Test20190322d!$R$116</definedName>
    <definedName name="SpontLength_min" localSheetId="4">CopyMe!$Q$116</definedName>
    <definedName name="SpontLength_min" localSheetId="5">Test20190322d!$Q$116</definedName>
    <definedName name="StartTime_spont" localSheetId="4">CopyMe!$O$116</definedName>
    <definedName name="StartTime_spont" localSheetId="5">Test20190322d!$O$116</definedName>
    <definedName name="Temp2_length" localSheetId="4">CopyMe!$Q$118</definedName>
    <definedName name="Temp2_length" localSheetId="5">Test20190322d!$Q$118</definedName>
    <definedName name="Temp2Firing" localSheetId="4">CopyMe!$R$118</definedName>
    <definedName name="Temp2Firing" localSheetId="5">Test20190322d!$R$118</definedName>
    <definedName name="Temp3_length" localSheetId="4">CopyMe!$Q$119</definedName>
    <definedName name="Temp3_length" localSheetId="5">Test20190322d!$Q$119</definedName>
    <definedName name="Temp3Firing" localSheetId="4">CopyMe!$R$119</definedName>
    <definedName name="Temp3Firing" localSheetId="5">Test20190322d!$R$119</definedName>
    <definedName name="TotalFreq_senktide" localSheetId="4">CopyMe!$U$106</definedName>
    <definedName name="TotalFreq_senktide" localSheetId="5">Test20190322d!$U$106</definedName>
    <definedName name="TotalFreq_spont" localSheetId="4">CopyMe!$I$106</definedName>
    <definedName name="TotalFreq_spont" localSheetId="5">Test20190322d!$I$106</definedName>
    <definedName name="TotalFreq_spont_BW1">CopyMe!$I$107</definedName>
    <definedName name="TotalFreq_spont_BW2" localSheetId="4">CopyMe!$I$108</definedName>
    <definedName name="TotalFreq_temp2" localSheetId="4">CopyMe!$AG$106</definedName>
    <definedName name="TotalFreq_temp2" localSheetId="5">Test20190322d!$AG$106</definedName>
    <definedName name="TotalLength_min" localSheetId="4">CopyMe!$R$112</definedName>
    <definedName name="TotalLength_min" localSheetId="5">Test20190322d!$R$112</definedName>
    <definedName name="TotalLength_sec" localSheetId="4">CopyMe!$S$112</definedName>
    <definedName name="TotalLength_sec" localSheetId="5">Test20190322d!$S$112</definedName>
    <definedName name="totalNadirDur_2x2SD" localSheetId="4">CopyMe!$AJ$117</definedName>
    <definedName name="totalNadirDur_2x2SD" localSheetId="5">Test20190322d!$AJ$117</definedName>
    <definedName name="totalNadirDur_2x2SE" localSheetId="4">CopyMe!$AX$117</definedName>
    <definedName name="totalNadirDur_2x2SE" localSheetId="5">Test20190322d!$AX$117</definedName>
    <definedName name="totalNadirDur_3x3SD" localSheetId="4">CopyMe!$AQ$117</definedName>
    <definedName name="totalNadirDur_3x3SD" localSheetId="5">Test20190322d!$AQ$117</definedName>
    <definedName name="totalNadirDur_3x3SE" localSheetId="4">CopyMe!$BE$117</definedName>
    <definedName name="totalNadirDur_3x3SE" localSheetId="5">Test20190322d!$BE$117</definedName>
    <definedName name="totalPeakDur_2x2SD" localSheetId="4">CopyMe!$AJ$116</definedName>
    <definedName name="totalPeakDur_2x2SD" localSheetId="5">Test20190322d!$AJ$116</definedName>
    <definedName name="totalPeakDur_2x2SE" localSheetId="4">CopyMe!$AX$116</definedName>
    <definedName name="totalPeakDur_2x2SE" localSheetId="5">Test20190322d!$AX$116</definedName>
    <definedName name="totalPeakDur_3x3SD" localSheetId="4">CopyMe!$AQ$116</definedName>
    <definedName name="totalPeakDur_3x3SD" localSheetId="5">Test20190322d!$AQ$116</definedName>
    <definedName name="totalPeakDur_3x3SE" localSheetId="4">CopyMe!$BE$116</definedName>
    <definedName name="totalPeakDur_3x3SE" localSheetId="5">Test20190322d!$BE$116</definedName>
    <definedName name="TrueFalse" localSheetId="4">CopyMe!$T$118:$T$119</definedName>
    <definedName name="TrueFalse" localSheetId="1">FiringData!#REF!</definedName>
    <definedName name="TrueFalse" localSheetId="5">Test20190322d!$T$118:$T$119</definedName>
    <definedName name="TrueFalse">CombinedData!$C$1:$C$2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7" i="6" l="1"/>
  <c r="K107" i="6"/>
  <c r="J107" i="6"/>
  <c r="I107" i="6"/>
  <c r="H107" i="6"/>
  <c r="G107" i="6"/>
  <c r="F107" i="6"/>
  <c r="E107" i="6"/>
  <c r="D107" i="6"/>
  <c r="M107" i="6"/>
  <c r="M108" i="6"/>
  <c r="L108" i="6"/>
  <c r="K108" i="6"/>
  <c r="J108" i="6"/>
  <c r="I108" i="6"/>
  <c r="H108" i="6"/>
  <c r="G108" i="6"/>
  <c r="F108" i="6"/>
  <c r="E108" i="6"/>
  <c r="D108" i="6"/>
  <c r="C108" i="6"/>
  <c r="C107" i="6"/>
  <c r="B3" i="5" a="1"/>
  <c r="B3" i="5" s="1"/>
  <c r="B6" i="51"/>
  <c r="C6" i="51" a="1"/>
  <c r="C6" i="51" s="1"/>
  <c r="D6" i="51" a="1"/>
  <c r="D6" i="51" s="1"/>
  <c r="E6" i="51"/>
  <c r="F6" i="51" a="1"/>
  <c r="F6" i="51" s="1"/>
  <c r="G6" i="51" a="1"/>
  <c r="G6" i="51" s="1"/>
  <c r="H6" i="51" a="1"/>
  <c r="H6" i="51" s="1"/>
  <c r="I6" i="51" a="1"/>
  <c r="I6" i="51" s="1"/>
  <c r="J6" i="51" a="1"/>
  <c r="J6" i="51" s="1"/>
  <c r="K6" i="51" a="1"/>
  <c r="K6" i="51" s="1"/>
  <c r="L6" i="51" a="1"/>
  <c r="L6" i="51" s="1"/>
  <c r="M6" i="51" a="1"/>
  <c r="M6" i="51" s="1"/>
  <c r="N6" i="51" a="1"/>
  <c r="N6" i="51" s="1"/>
  <c r="O6" i="51" a="1"/>
  <c r="O6" i="51" s="1"/>
  <c r="P6" i="51" a="1"/>
  <c r="P6" i="51" s="1"/>
  <c r="Q6" i="51" a="1"/>
  <c r="Q6" i="51" s="1"/>
  <c r="R6" i="51" a="1"/>
  <c r="R6" i="51" s="1"/>
  <c r="S6" i="51" a="1"/>
  <c r="S6" i="51" s="1"/>
  <c r="T6" i="51" a="1"/>
  <c r="T6" i="51" s="1"/>
  <c r="U6" i="51" a="1"/>
  <c r="U6" i="51" s="1"/>
  <c r="V6" i="51" a="1"/>
  <c r="V6" i="51" s="1"/>
  <c r="W6" i="51" a="1"/>
  <c r="W6" i="51" s="1"/>
  <c r="X6" i="51" a="1"/>
  <c r="X6" i="51" s="1"/>
  <c r="Y6" i="51" a="1"/>
  <c r="Y6" i="51" s="1"/>
  <c r="Z6" i="51" a="1"/>
  <c r="Z6" i="51" s="1"/>
  <c r="AA6" i="51" a="1"/>
  <c r="AA6" i="51" s="1"/>
  <c r="AB6" i="51" a="1"/>
  <c r="AB6" i="51" s="1"/>
  <c r="AC6" i="51" a="1"/>
  <c r="AC6" i="51" s="1"/>
  <c r="AD6" i="51" a="1"/>
  <c r="AD6" i="51" s="1"/>
  <c r="AE6" i="51" a="1"/>
  <c r="AE6" i="51" s="1"/>
  <c r="AF6" i="51" a="1"/>
  <c r="AF6" i="51" s="1"/>
  <c r="AG6" i="51" a="1"/>
  <c r="AG6" i="51" s="1"/>
  <c r="AH6" i="51" a="1"/>
  <c r="AH6" i="51" s="1"/>
  <c r="AI6" i="51" a="1"/>
  <c r="AI6" i="51" s="1"/>
  <c r="AJ6" i="51" a="1"/>
  <c r="AJ6" i="51" s="1"/>
  <c r="AK6" i="51" a="1"/>
  <c r="AK6" i="51" s="1"/>
  <c r="AL6" i="51" a="1"/>
  <c r="AL6" i="51" s="1"/>
  <c r="AM6" i="51" a="1"/>
  <c r="AM6" i="51" s="1"/>
  <c r="AN6" i="51" a="1"/>
  <c r="AN6" i="51" s="1"/>
  <c r="AO6" i="51" a="1"/>
  <c r="AO6" i="51" s="1"/>
  <c r="AP6" i="51" a="1"/>
  <c r="AP6" i="51" s="1"/>
  <c r="AQ6" i="51" a="1"/>
  <c r="AQ6" i="51" s="1"/>
  <c r="AR6" i="51" a="1"/>
  <c r="AR6" i="51" s="1"/>
  <c r="AS6" i="51" a="1"/>
  <c r="AS6" i="51" s="1"/>
  <c r="AT6" i="51" a="1"/>
  <c r="AT6" i="51" s="1"/>
  <c r="AU6" i="51" a="1"/>
  <c r="AU6" i="51" s="1"/>
  <c r="AV6" i="51" a="1"/>
  <c r="AV6" i="51" s="1"/>
  <c r="AW6" i="51" a="1"/>
  <c r="AW6" i="51" s="1"/>
  <c r="AX6" i="51" a="1"/>
  <c r="AX6" i="51" s="1"/>
  <c r="AY6" i="51" a="1"/>
  <c r="AY6" i="51" s="1"/>
  <c r="AZ6" i="51" a="1"/>
  <c r="AZ6" i="51" s="1"/>
  <c r="BA6" i="51" a="1"/>
  <c r="BA6" i="51" s="1"/>
  <c r="BB6" i="51" a="1"/>
  <c r="BB6" i="51" s="1"/>
  <c r="BC6" i="51" a="1"/>
  <c r="BC6" i="51" s="1"/>
  <c r="BD6" i="51" a="1"/>
  <c r="BD6" i="51" s="1"/>
  <c r="BE6" i="51" a="1"/>
  <c r="BE6" i="51" s="1"/>
  <c r="BF6" i="51" a="1"/>
  <c r="BF6" i="51" s="1"/>
  <c r="BG6" i="51" a="1"/>
  <c r="BG6" i="51" s="1"/>
  <c r="BH6" i="51" a="1"/>
  <c r="BH6" i="51" s="1"/>
  <c r="BI6" i="51" a="1"/>
  <c r="BI6" i="51" s="1"/>
  <c r="BJ6" i="51" a="1"/>
  <c r="BJ6" i="51" s="1"/>
  <c r="BK6" i="51" a="1"/>
  <c r="BK6" i="51" s="1"/>
  <c r="BL6" i="51" a="1"/>
  <c r="BL6" i="51" s="1"/>
  <c r="BM6" i="51" a="1"/>
  <c r="BM6" i="51" s="1"/>
  <c r="BN6" i="51" a="1"/>
  <c r="BN6" i="51" s="1"/>
  <c r="BO6" i="51" a="1"/>
  <c r="BO6" i="51" s="1"/>
  <c r="BP6" i="51" a="1"/>
  <c r="BP6" i="51" s="1"/>
  <c r="BQ6" i="51" a="1"/>
  <c r="BQ6" i="51" s="1"/>
  <c r="BR6" i="51" a="1"/>
  <c r="BR6" i="51" s="1"/>
  <c r="BS6" i="51" a="1"/>
  <c r="BS6" i="51" s="1"/>
  <c r="BT6" i="51" a="1"/>
  <c r="BT6" i="51" s="1"/>
  <c r="BU6" i="51" a="1"/>
  <c r="BU6" i="51" s="1"/>
  <c r="BV6" i="51" a="1"/>
  <c r="BV6" i="51" s="1"/>
  <c r="BW6" i="51" a="1"/>
  <c r="BW6" i="51" s="1"/>
  <c r="BX6" i="51" a="1"/>
  <c r="BX6" i="51" s="1"/>
  <c r="BY6" i="51" a="1"/>
  <c r="BY6" i="51" s="1"/>
  <c r="BZ6" i="51" a="1"/>
  <c r="BZ6" i="51" s="1"/>
  <c r="CA6" i="51" a="1"/>
  <c r="CA6" i="51" s="1"/>
  <c r="CB6" i="51" a="1"/>
  <c r="CB6" i="51" s="1"/>
  <c r="CC6" i="51" a="1"/>
  <c r="CC6" i="51" s="1"/>
  <c r="CD6" i="51" a="1"/>
  <c r="CD6" i="51" s="1"/>
  <c r="CE6" i="51" a="1"/>
  <c r="CE6" i="51" s="1"/>
  <c r="CF6" i="51" a="1"/>
  <c r="CF6" i="51" s="1"/>
  <c r="CG6" i="51" a="1"/>
  <c r="CG6" i="51" s="1"/>
  <c r="CH6" i="51" a="1"/>
  <c r="CH6" i="51" s="1"/>
  <c r="CI6" i="51" a="1"/>
  <c r="CI6" i="51" s="1"/>
  <c r="CJ6" i="51" a="1"/>
  <c r="CJ6" i="51" s="1"/>
  <c r="CK6" i="51" a="1"/>
  <c r="CK6" i="51" s="1"/>
  <c r="CL6" i="51" a="1"/>
  <c r="CL6" i="51" s="1"/>
  <c r="CM6" i="51" a="1"/>
  <c r="CM6" i="51" s="1"/>
  <c r="CN6" i="51" a="1"/>
  <c r="CN6" i="51" s="1"/>
  <c r="CO6" i="51" a="1"/>
  <c r="CO6" i="51" s="1"/>
  <c r="CP6" i="51" a="1"/>
  <c r="CP6" i="51" s="1"/>
  <c r="CQ6" i="51" a="1"/>
  <c r="CQ6" i="51" s="1"/>
  <c r="CR6" i="51" a="1"/>
  <c r="CR6" i="51" s="1"/>
  <c r="CS6" i="51" a="1"/>
  <c r="CS6" i="51" s="1"/>
  <c r="CT6" i="51" a="1"/>
  <c r="CT6" i="51" s="1"/>
  <c r="CU6" i="51" a="1"/>
  <c r="CU6" i="51" s="1"/>
  <c r="CV6" i="51" a="1"/>
  <c r="CV6" i="51" s="1"/>
  <c r="CW6" i="51" a="1"/>
  <c r="CW6" i="51" s="1"/>
  <c r="CX6" i="51" a="1"/>
  <c r="CX6" i="51" s="1"/>
  <c r="CY6" i="51" a="1"/>
  <c r="CY6" i="51" s="1"/>
  <c r="CZ6" i="51" a="1"/>
  <c r="CZ6" i="51" s="1"/>
  <c r="DA6" i="51" a="1"/>
  <c r="DA6" i="51" s="1"/>
  <c r="DB6" i="51" a="1"/>
  <c r="DB6" i="51" s="1"/>
  <c r="DC6" i="51" a="1"/>
  <c r="DC6" i="51" s="1"/>
  <c r="DD6" i="51" a="1"/>
  <c r="DD6" i="51" s="1"/>
  <c r="DE6" i="51" a="1"/>
  <c r="DE6" i="51" s="1"/>
  <c r="DF6" i="51" a="1"/>
  <c r="DF6" i="51" s="1"/>
  <c r="DG6" i="51" a="1"/>
  <c r="DG6" i="51" s="1"/>
  <c r="DH6" i="51" a="1"/>
  <c r="DH6" i="51" s="1"/>
  <c r="DI6" i="51" a="1"/>
  <c r="DI6" i="51" s="1"/>
  <c r="DJ6" i="51" a="1"/>
  <c r="DJ6" i="51" s="1"/>
  <c r="DK6" i="51" a="1"/>
  <c r="DK6" i="51" s="1"/>
  <c r="DL6" i="51" a="1"/>
  <c r="DL6" i="51" s="1"/>
  <c r="DM6" i="51" a="1"/>
  <c r="DM6" i="51" s="1"/>
  <c r="DN6" i="51" a="1"/>
  <c r="DN6" i="51" s="1"/>
  <c r="DO6" i="51" a="1"/>
  <c r="DO6" i="51" s="1"/>
  <c r="DP6" i="51" a="1"/>
  <c r="DP6" i="51" s="1"/>
  <c r="DQ6" i="51" a="1"/>
  <c r="DQ6" i="51" s="1"/>
  <c r="DR6" i="51" a="1"/>
  <c r="DR6" i="51" s="1"/>
  <c r="DS6" i="51" a="1"/>
  <c r="DS6" i="51" s="1"/>
  <c r="DT6" i="51" a="1"/>
  <c r="DT6" i="51" s="1"/>
  <c r="DU6" i="51" a="1"/>
  <c r="DU6" i="51" s="1"/>
  <c r="DV6" i="51" a="1"/>
  <c r="DV6" i="51" s="1"/>
  <c r="DW6" i="51" a="1"/>
  <c r="DW6" i="51" s="1"/>
  <c r="DX6" i="51" a="1"/>
  <c r="DX6" i="51" s="1"/>
  <c r="DY6" i="51" a="1"/>
  <c r="DY6" i="51" s="1"/>
  <c r="DZ6" i="51" a="1"/>
  <c r="DZ6" i="51" s="1"/>
  <c r="EA6" i="51" a="1"/>
  <c r="EA6" i="51" s="1"/>
  <c r="EB6" i="51" a="1"/>
  <c r="EB6" i="51" s="1"/>
  <c r="EC6" i="51" a="1"/>
  <c r="EC6" i="51" s="1"/>
  <c r="ED6" i="51" a="1"/>
  <c r="ED6" i="51" s="1"/>
  <c r="EE6" i="51" a="1"/>
  <c r="EE6" i="51" s="1"/>
  <c r="EF6" i="51" a="1"/>
  <c r="EF6" i="51" s="1"/>
  <c r="EG6" i="51" a="1"/>
  <c r="EG6" i="51" s="1"/>
  <c r="EH6" i="51" a="1"/>
  <c r="EH6" i="51" s="1"/>
  <c r="EI6" i="51" a="1"/>
  <c r="EI6" i="51" s="1"/>
  <c r="EJ6" i="51" a="1"/>
  <c r="EJ6" i="51" s="1"/>
  <c r="EK6" i="51" a="1"/>
  <c r="EK6" i="51" s="1"/>
  <c r="EL6" i="51" a="1"/>
  <c r="EL6" i="51" s="1"/>
  <c r="EM6" i="51" a="1"/>
  <c r="EM6" i="51" s="1"/>
  <c r="EN6" i="51" a="1"/>
  <c r="EN6" i="51" s="1"/>
  <c r="EO6" i="51" a="1"/>
  <c r="EO6" i="51" s="1"/>
  <c r="EP6" i="51" a="1"/>
  <c r="EP6" i="51" s="1"/>
  <c r="EQ6" i="51" a="1"/>
  <c r="EQ6" i="51" s="1"/>
  <c r="ER6" i="51" a="1"/>
  <c r="ER6" i="51" s="1"/>
  <c r="ES6" i="51" a="1"/>
  <c r="ES6" i="51" s="1"/>
  <c r="ET6" i="51" a="1"/>
  <c r="ET6" i="51" s="1"/>
  <c r="EU6" i="51" a="1"/>
  <c r="EU6" i="51" s="1"/>
  <c r="EV6" i="51" a="1"/>
  <c r="EV6" i="51" s="1"/>
  <c r="EW6" i="51" a="1"/>
  <c r="EW6" i="51" s="1"/>
  <c r="EX6" i="51" a="1"/>
  <c r="EX6" i="51" s="1"/>
  <c r="EY6" i="51" a="1"/>
  <c r="EY6" i="51" s="1"/>
  <c r="EZ6" i="51" a="1"/>
  <c r="EZ6" i="51" s="1"/>
  <c r="FA6" i="51" a="1"/>
  <c r="FA6" i="51" s="1"/>
  <c r="FB6" i="51" a="1"/>
  <c r="FB6" i="51" s="1"/>
  <c r="FC6" i="51" a="1"/>
  <c r="FC6" i="51" s="1"/>
  <c r="FD6" i="51" a="1"/>
  <c r="FD6" i="51" s="1"/>
  <c r="FE6" i="51" a="1"/>
  <c r="FE6" i="51" s="1"/>
  <c r="FF6" i="51" a="1"/>
  <c r="FF6" i="51" s="1"/>
  <c r="FG6" i="51" a="1"/>
  <c r="FG6" i="51" s="1"/>
  <c r="FH6" i="51" a="1"/>
  <c r="FH6" i="51" s="1"/>
  <c r="FI6" i="51" a="1"/>
  <c r="FI6" i="51" s="1"/>
  <c r="FJ6" i="51" a="1"/>
  <c r="FJ6" i="51" s="1"/>
  <c r="FK6" i="51" a="1"/>
  <c r="FK6" i="51" s="1"/>
  <c r="FL6" i="51" a="1"/>
  <c r="FL6" i="51" s="1"/>
  <c r="FM6" i="51" a="1"/>
  <c r="FM6" i="51" s="1"/>
  <c r="FN6" i="51" a="1"/>
  <c r="FN6" i="51" s="1"/>
  <c r="FO6" i="51" a="1"/>
  <c r="FO6" i="51" s="1"/>
  <c r="FP6" i="51" a="1"/>
  <c r="FP6" i="51" s="1"/>
  <c r="FQ6" i="51" a="1"/>
  <c r="FQ6" i="51" s="1"/>
  <c r="FR6" i="51" a="1"/>
  <c r="FR6" i="51" s="1"/>
  <c r="FS6" i="51" a="1"/>
  <c r="FS6" i="51" s="1"/>
  <c r="FT6" i="51" a="1"/>
  <c r="FT6" i="51" s="1"/>
  <c r="FU6" i="51" a="1"/>
  <c r="FU6" i="51" s="1"/>
  <c r="FV6" i="51" a="1"/>
  <c r="FV6" i="51" s="1"/>
  <c r="FW6" i="51" a="1"/>
  <c r="FW6" i="51" s="1"/>
  <c r="FX6" i="51" a="1"/>
  <c r="FX6" i="51" s="1"/>
  <c r="FY6" i="51" a="1"/>
  <c r="FY6" i="51" s="1"/>
  <c r="FZ6" i="51" a="1"/>
  <c r="FZ6" i="51" s="1"/>
  <c r="GA6" i="51" a="1"/>
  <c r="GA6" i="51" s="1"/>
  <c r="GB6" i="51" a="1"/>
  <c r="GB6" i="51" s="1"/>
  <c r="GC6" i="51" a="1"/>
  <c r="GC6" i="51" s="1"/>
  <c r="GD6" i="51" a="1"/>
  <c r="GD6" i="51" s="1"/>
  <c r="A6" i="51"/>
  <c r="I6" i="1"/>
  <c r="J6" i="1"/>
  <c r="K6" i="1" a="1"/>
  <c r="K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 s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 s="1"/>
  <c r="CI6" i="1" a="1"/>
  <c r="CI6" i="1" s="1"/>
  <c r="CJ6" i="1" a="1"/>
  <c r="CJ6" i="1" s="1"/>
  <c r="CK6" i="1" a="1"/>
  <c r="CK6" i="1" s="1"/>
  <c r="CL6" i="1" a="1"/>
  <c r="CL6" i="1" s="1"/>
  <c r="CM6" i="1" a="1"/>
  <c r="CM6" i="1" s="1"/>
  <c r="CN6" i="1" a="1"/>
  <c r="CN6" i="1" s="1"/>
  <c r="CO6" i="1" a="1"/>
  <c r="CO6" i="1" s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CV6" i="1" a="1"/>
  <c r="CV6" i="1" s="1"/>
  <c r="CW6" i="1" a="1"/>
  <c r="CW6" i="1" s="1"/>
  <c r="CX6" i="1" a="1"/>
  <c r="CX6" i="1" s="1"/>
  <c r="CY6" i="1" a="1"/>
  <c r="CY6" i="1" s="1"/>
  <c r="CZ6" i="1" a="1"/>
  <c r="CZ6" i="1" s="1"/>
  <c r="DA6" i="1" a="1"/>
  <c r="DA6" i="1" s="1"/>
  <c r="DB6" i="1" a="1"/>
  <c r="DB6" i="1" s="1"/>
  <c r="DC6" i="1" a="1"/>
  <c r="DC6" i="1" s="1"/>
  <c r="DD6" i="1" a="1"/>
  <c r="DD6" i="1" s="1"/>
  <c r="DE6" i="1" a="1"/>
  <c r="DE6" i="1" s="1"/>
  <c r="DF6" i="1" a="1"/>
  <c r="DF6" i="1" s="1"/>
  <c r="DG6" i="1" a="1"/>
  <c r="DG6" i="1" s="1"/>
  <c r="DH6" i="1" a="1"/>
  <c r="DH6" i="1" s="1"/>
  <c r="DI6" i="1" a="1"/>
  <c r="DI6" i="1" s="1"/>
  <c r="DJ6" i="1" a="1"/>
  <c r="DJ6" i="1" s="1"/>
  <c r="DK6" i="1" a="1"/>
  <c r="DK6" i="1" s="1"/>
  <c r="DL6" i="1" a="1"/>
  <c r="DL6" i="1" s="1"/>
  <c r="DM6" i="1" a="1"/>
  <c r="DM6" i="1" s="1"/>
  <c r="DN6" i="1" a="1"/>
  <c r="DN6" i="1" s="1"/>
  <c r="DO6" i="1" a="1"/>
  <c r="DO6" i="1" s="1"/>
  <c r="DP6" i="1" a="1"/>
  <c r="DP6" i="1" s="1"/>
  <c r="DQ6" i="1" a="1"/>
  <c r="DQ6" i="1" s="1"/>
  <c r="DR6" i="1" a="1"/>
  <c r="DR6" i="1" s="1"/>
  <c r="DS6" i="1" a="1"/>
  <c r="DS6" i="1" s="1"/>
  <c r="DT6" i="1" a="1"/>
  <c r="DT6" i="1" s="1"/>
  <c r="DU6" i="1" a="1"/>
  <c r="DU6" i="1" s="1"/>
  <c r="DV6" i="1" a="1"/>
  <c r="DV6" i="1" s="1"/>
  <c r="DW6" i="1" a="1"/>
  <c r="DW6" i="1" s="1"/>
  <c r="DX6" i="1" a="1"/>
  <c r="DX6" i="1" s="1"/>
  <c r="DY6" i="1" a="1"/>
  <c r="DY6" i="1" s="1"/>
  <c r="DZ6" i="1" a="1"/>
  <c r="DZ6" i="1" s="1"/>
  <c r="EA6" i="1" a="1"/>
  <c r="EA6" i="1" s="1"/>
  <c r="EB6" i="1" a="1"/>
  <c r="EB6" i="1" s="1"/>
  <c r="EC6" i="1" a="1"/>
  <c r="EC6" i="1" s="1"/>
  <c r="ED6" i="1" a="1"/>
  <c r="ED6" i="1" s="1"/>
  <c r="EE6" i="1" a="1"/>
  <c r="EE6" i="1" s="1"/>
  <c r="EF6" i="1" a="1"/>
  <c r="EF6" i="1" s="1"/>
  <c r="EG6" i="1" a="1"/>
  <c r="EG6" i="1" s="1"/>
  <c r="EH6" i="1" a="1"/>
  <c r="EH6" i="1" s="1"/>
  <c r="EI6" i="1" a="1"/>
  <c r="EI6" i="1" s="1"/>
  <c r="EJ6" i="1" a="1"/>
  <c r="EJ6" i="1" s="1"/>
  <c r="EK6" i="1" a="1"/>
  <c r="EK6" i="1" s="1"/>
  <c r="EL6" i="1" a="1"/>
  <c r="EL6" i="1" s="1"/>
  <c r="EM6" i="1" a="1"/>
  <c r="EM6" i="1" s="1"/>
  <c r="EN6" i="1" a="1"/>
  <c r="EN6" i="1" s="1"/>
  <c r="EO6" i="1" a="1"/>
  <c r="EO6" i="1" s="1"/>
  <c r="EP6" i="1" a="1"/>
  <c r="EP6" i="1" s="1"/>
  <c r="EQ6" i="1" a="1"/>
  <c r="EQ6" i="1" s="1"/>
  <c r="ER6" i="1" a="1"/>
  <c r="ER6" i="1" s="1"/>
  <c r="ES6" i="1" a="1"/>
  <c r="ES6" i="1" s="1"/>
  <c r="ET6" i="1" a="1"/>
  <c r="ET6" i="1" s="1"/>
  <c r="EU6" i="1" a="1"/>
  <c r="EU6" i="1" s="1"/>
  <c r="EV6" i="1" a="1"/>
  <c r="EV6" i="1" s="1"/>
  <c r="EW6" i="1" a="1"/>
  <c r="EW6" i="1" s="1"/>
  <c r="EX6" i="1" a="1"/>
  <c r="EX6" i="1" s="1"/>
  <c r="EY6" i="1" a="1"/>
  <c r="EY6" i="1" s="1"/>
  <c r="EZ6" i="1" a="1"/>
  <c r="EZ6" i="1" s="1"/>
  <c r="FA6" i="1" a="1"/>
  <c r="FA6" i="1" s="1"/>
  <c r="FB6" i="1" a="1"/>
  <c r="FB6" i="1" s="1"/>
  <c r="FC6" i="1" a="1"/>
  <c r="FC6" i="1" s="1"/>
  <c r="FD6" i="1" a="1"/>
  <c r="FD6" i="1" s="1"/>
  <c r="FE6" i="1" a="1"/>
  <c r="FE6" i="1" s="1"/>
  <c r="FF6" i="1" a="1"/>
  <c r="FF6" i="1" s="1"/>
  <c r="FG6" i="1" a="1"/>
  <c r="FG6" i="1" s="1"/>
  <c r="FH6" i="1" a="1"/>
  <c r="FH6" i="1" s="1"/>
  <c r="FI6" i="1" a="1"/>
  <c r="FI6" i="1" s="1"/>
  <c r="FJ6" i="1" a="1"/>
  <c r="FJ6" i="1" s="1"/>
  <c r="FK6" i="1" a="1"/>
  <c r="FK6" i="1" s="1"/>
  <c r="FL6" i="1" a="1"/>
  <c r="FL6" i="1" s="1"/>
  <c r="FM6" i="1" a="1"/>
  <c r="FM6" i="1" s="1"/>
  <c r="FN6" i="1" a="1"/>
  <c r="FN6" i="1" s="1"/>
  <c r="FO6" i="1" a="1"/>
  <c r="FO6" i="1" s="1"/>
  <c r="FP6" i="1" a="1"/>
  <c r="FP6" i="1" s="1"/>
  <c r="FQ6" i="1" a="1"/>
  <c r="FQ6" i="1" s="1"/>
  <c r="FR6" i="1" a="1"/>
  <c r="FR6" i="1" s="1"/>
  <c r="FS6" i="1" a="1"/>
  <c r="FS6" i="1" s="1"/>
  <c r="FT6" i="1" a="1"/>
  <c r="FT6" i="1" s="1"/>
  <c r="FU6" i="1" a="1"/>
  <c r="FU6" i="1" s="1"/>
  <c r="FV6" i="1" a="1"/>
  <c r="FV6" i="1" s="1"/>
  <c r="FW6" i="1" a="1"/>
  <c r="FW6" i="1" s="1"/>
  <c r="FX6" i="1" a="1"/>
  <c r="FX6" i="1" s="1"/>
  <c r="FY6" i="1" a="1"/>
  <c r="FY6" i="1" s="1"/>
  <c r="FZ6" i="1" a="1"/>
  <c r="FZ6" i="1" s="1"/>
  <c r="GA6" i="1" a="1"/>
  <c r="GA6" i="1" s="1"/>
  <c r="GB6" i="1" a="1"/>
  <c r="GB6" i="1" s="1"/>
  <c r="E5" i="51"/>
  <c r="B5" i="51"/>
  <c r="A5" i="51"/>
  <c r="D5" i="51" a="1"/>
  <c r="C5" i="51" a="1"/>
  <c r="D5" i="51" l="1"/>
  <c r="C5" i="51"/>
  <c r="E8" i="5"/>
  <c r="CD5" i="51" l="1" a="1"/>
  <c r="CD5" i="51" s="1"/>
  <c r="CI5" i="51" a="1"/>
  <c r="CI5" i="51" s="1"/>
  <c r="CL5" i="51" a="1"/>
  <c r="CL5" i="51" s="1"/>
  <c r="CQ5" i="51" a="1"/>
  <c r="CQ5" i="51" s="1"/>
  <c r="CT5" i="51" a="1"/>
  <c r="CT5" i="51" s="1"/>
  <c r="CY5" i="51" a="1"/>
  <c r="CY5" i="51" s="1"/>
  <c r="DB5" i="51" a="1"/>
  <c r="DB5" i="51" s="1"/>
  <c r="DG5" i="51" a="1"/>
  <c r="DG5" i="51" s="1"/>
  <c r="DJ5" i="51" a="1"/>
  <c r="DJ5" i="51" s="1"/>
  <c r="DO5" i="51" a="1"/>
  <c r="DO5" i="51" s="1"/>
  <c r="DR5" i="51" a="1"/>
  <c r="DR5" i="51" s="1"/>
  <c r="DW5" i="51" a="1"/>
  <c r="DW5" i="51" s="1"/>
  <c r="DZ5" i="51" a="1"/>
  <c r="DZ5" i="51" s="1"/>
  <c r="EE5" i="51" a="1"/>
  <c r="EE5" i="51" s="1"/>
  <c r="EH5" i="51" a="1"/>
  <c r="EH5" i="51" s="1"/>
  <c r="EM5" i="51" a="1"/>
  <c r="EM5" i="51" s="1"/>
  <c r="EP5" i="51" a="1"/>
  <c r="EP5" i="51" s="1"/>
  <c r="EU5" i="51" a="1"/>
  <c r="EU5" i="51" s="1"/>
  <c r="EX5" i="51" a="1"/>
  <c r="EX5" i="51" s="1"/>
  <c r="FC5" i="51" a="1"/>
  <c r="FC5" i="51" s="1"/>
  <c r="FF5" i="51" a="1"/>
  <c r="FF5" i="51" s="1"/>
  <c r="FK5" i="51" a="1"/>
  <c r="FK5" i="51" s="1"/>
  <c r="FN5" i="51" a="1"/>
  <c r="FN5" i="51" s="1"/>
  <c r="FS5" i="51" a="1"/>
  <c r="FS5" i="51" s="1"/>
  <c r="CF5" i="51" a="1"/>
  <c r="CF5" i="51" s="1"/>
  <c r="CJ5" i="51" a="1"/>
  <c r="CJ5" i="51" s="1"/>
  <c r="CM5" i="51" a="1"/>
  <c r="CM5" i="51" s="1"/>
  <c r="CX5" i="51" a="1"/>
  <c r="CX5" i="51" s="1"/>
  <c r="DA5" i="51" a="1"/>
  <c r="DA5" i="51" s="1"/>
  <c r="DE5" i="51" a="1"/>
  <c r="DE5" i="51" s="1"/>
  <c r="DL5" i="51" a="1"/>
  <c r="DL5" i="51" s="1"/>
  <c r="DP5" i="51" a="1"/>
  <c r="DP5" i="51" s="1"/>
  <c r="DS5" i="51" a="1"/>
  <c r="DS5" i="51" s="1"/>
  <c r="ED5" i="51" a="1"/>
  <c r="ED5" i="51" s="1"/>
  <c r="EG5" i="51" a="1"/>
  <c r="EG5" i="51" s="1"/>
  <c r="EK5" i="51" a="1"/>
  <c r="EK5" i="51" s="1"/>
  <c r="ER5" i="51" a="1"/>
  <c r="ER5" i="51" s="1"/>
  <c r="EV5" i="51" a="1"/>
  <c r="EV5" i="51" s="1"/>
  <c r="EY5" i="51" a="1"/>
  <c r="EY5" i="51" s="1"/>
  <c r="FJ5" i="51" a="1"/>
  <c r="FJ5" i="51" s="1"/>
  <c r="FM5" i="51" a="1"/>
  <c r="FM5" i="51" s="1"/>
  <c r="FQ5" i="51" a="1"/>
  <c r="FQ5" i="51" s="1"/>
  <c r="FW5" i="51" a="1"/>
  <c r="FW5" i="51" s="1"/>
  <c r="FZ5" i="51" a="1"/>
  <c r="FZ5" i="51" s="1"/>
  <c r="CC5" i="51" a="1"/>
  <c r="CC5" i="51" s="1"/>
  <c r="CG5" i="51" a="1"/>
  <c r="CG5" i="51" s="1"/>
  <c r="CN5" i="51" a="1"/>
  <c r="CN5" i="51" s="1"/>
  <c r="CR5" i="51" a="1"/>
  <c r="CR5" i="51" s="1"/>
  <c r="CU5" i="51" a="1"/>
  <c r="CU5" i="51" s="1"/>
  <c r="DF5" i="51" a="1"/>
  <c r="DF5" i="51" s="1"/>
  <c r="DI5" i="51" a="1"/>
  <c r="DI5" i="51" s="1"/>
  <c r="DM5" i="51" a="1"/>
  <c r="DM5" i="51" s="1"/>
  <c r="DT5" i="51" a="1"/>
  <c r="DT5" i="51" s="1"/>
  <c r="DX5" i="51" a="1"/>
  <c r="DX5" i="51" s="1"/>
  <c r="EA5" i="51" a="1"/>
  <c r="EA5" i="51" s="1"/>
  <c r="EL5" i="51" a="1"/>
  <c r="EL5" i="51" s="1"/>
  <c r="EO5" i="51" a="1"/>
  <c r="EO5" i="51" s="1"/>
  <c r="ES5" i="51" a="1"/>
  <c r="ES5" i="51" s="1"/>
  <c r="EZ5" i="51" a="1"/>
  <c r="EZ5" i="51" s="1"/>
  <c r="FD5" i="51" a="1"/>
  <c r="FD5" i="51" s="1"/>
  <c r="FG5" i="51" a="1"/>
  <c r="FG5" i="51" s="1"/>
  <c r="FR5" i="51" a="1"/>
  <c r="FR5" i="51" s="1"/>
  <c r="FU5" i="51" a="1"/>
  <c r="FU5" i="51" s="1"/>
  <c r="FX5" i="51" a="1"/>
  <c r="FX5" i="51" s="1"/>
  <c r="GC5" i="51" a="1"/>
  <c r="GC5" i="51" s="1"/>
  <c r="CB5" i="51" a="1"/>
  <c r="CB5" i="51" s="1"/>
  <c r="CE5" i="51" a="1"/>
  <c r="CE5" i="51" s="1"/>
  <c r="CP5" i="51" a="1"/>
  <c r="CP5" i="51" s="1"/>
  <c r="CS5" i="51" a="1"/>
  <c r="CS5" i="51" s="1"/>
  <c r="CW5" i="51" a="1"/>
  <c r="CW5" i="51" s="1"/>
  <c r="DD5" i="51" a="1"/>
  <c r="DD5" i="51" s="1"/>
  <c r="DH5" i="51" a="1"/>
  <c r="DH5" i="51" s="1"/>
  <c r="DK5" i="51" a="1"/>
  <c r="DK5" i="51" s="1"/>
  <c r="DV5" i="51" a="1"/>
  <c r="DV5" i="51" s="1"/>
  <c r="DY5" i="51" a="1"/>
  <c r="DY5" i="51" s="1"/>
  <c r="EC5" i="51" a="1"/>
  <c r="EC5" i="51" s="1"/>
  <c r="EJ5" i="51" a="1"/>
  <c r="EJ5" i="51" s="1"/>
  <c r="EN5" i="51" a="1"/>
  <c r="EN5" i="51" s="1"/>
  <c r="EQ5" i="51" a="1"/>
  <c r="EQ5" i="51" s="1"/>
  <c r="FB5" i="51" a="1"/>
  <c r="FB5" i="51" s="1"/>
  <c r="FE5" i="51" a="1"/>
  <c r="FE5" i="51" s="1"/>
  <c r="FI5" i="51" a="1"/>
  <c r="FI5" i="51" s="1"/>
  <c r="FP5" i="51" a="1"/>
  <c r="FP5" i="51" s="1"/>
  <c r="FT5" i="51" a="1"/>
  <c r="FT5" i="51" s="1"/>
  <c r="FY5" i="51" a="1"/>
  <c r="FY5" i="51" s="1"/>
  <c r="GB5" i="51" a="1"/>
  <c r="GB5" i="51" s="1"/>
  <c r="CH5" i="51" a="1"/>
  <c r="CH5" i="51" s="1"/>
  <c r="CV5" i="51" a="1"/>
  <c r="CV5" i="51" s="1"/>
  <c r="FA5" i="51" a="1"/>
  <c r="FA5" i="51" s="1"/>
  <c r="FO5" i="51" a="1"/>
  <c r="FO5" i="51" s="1"/>
  <c r="GA5" i="51" a="1"/>
  <c r="GA5" i="51" s="1"/>
  <c r="CK5" i="51" a="1"/>
  <c r="CK5" i="51" s="1"/>
  <c r="CZ5" i="51" a="1"/>
  <c r="CZ5" i="51" s="1"/>
  <c r="DN5" i="51" a="1"/>
  <c r="DN5" i="51" s="1"/>
  <c r="EB5" i="51" a="1"/>
  <c r="EB5" i="51" s="1"/>
  <c r="GD5" i="51" a="1"/>
  <c r="GD5" i="51" s="1"/>
  <c r="CO5" i="51" a="1"/>
  <c r="CO5" i="51" s="1"/>
  <c r="DQ5" i="51" a="1"/>
  <c r="DQ5" i="51" s="1"/>
  <c r="ET5" i="51" a="1"/>
  <c r="ET5" i="51" s="1"/>
  <c r="FV5" i="51" a="1"/>
  <c r="FV5" i="51" s="1"/>
  <c r="DU5" i="51" a="1"/>
  <c r="DU5" i="51" s="1"/>
  <c r="EW5" i="51" a="1"/>
  <c r="EW5" i="51" s="1"/>
  <c r="DC5" i="51" a="1"/>
  <c r="DC5" i="51" s="1"/>
  <c r="FH5" i="51" a="1"/>
  <c r="FH5" i="51" s="1"/>
  <c r="FL5" i="51" a="1"/>
  <c r="FL5" i="51" s="1"/>
  <c r="EF5" i="51" a="1"/>
  <c r="EF5" i="51" s="1"/>
  <c r="EI5" i="51" a="1"/>
  <c r="EI5" i="51" s="1"/>
  <c r="G5" i="51" a="1"/>
  <c r="O5" i="51" a="1"/>
  <c r="W5" i="51" a="1"/>
  <c r="AE5" i="51" a="1"/>
  <c r="H5" i="51" a="1"/>
  <c r="X5" i="51" a="1"/>
  <c r="AM5" i="51" a="1"/>
  <c r="BC5" i="51" a="1"/>
  <c r="BS5" i="51" a="1"/>
  <c r="J5" i="51" a="1"/>
  <c r="BD5" i="51" a="1"/>
  <c r="BY5" i="51" a="1"/>
  <c r="AL5" i="51" a="1"/>
  <c r="BH5" i="51" a="1"/>
  <c r="AR5" i="51" a="1"/>
  <c r="BM5" i="51" a="1"/>
  <c r="AQ5" i="51" a="1"/>
  <c r="BI5" i="51" a="1"/>
  <c r="BB5" i="51" a="1"/>
  <c r="M5" i="51" a="1"/>
  <c r="T5" i="51" a="1"/>
  <c r="BN5" i="51" a="1"/>
  <c r="AZ5" i="51" a="1"/>
  <c r="BA5" i="51" a="1"/>
  <c r="AH5" i="51" a="1"/>
  <c r="I5" i="51" a="1"/>
  <c r="Q5" i="51" a="1"/>
  <c r="Y5" i="51" a="1"/>
  <c r="AG5" i="51" a="1"/>
  <c r="L5" i="51" a="1"/>
  <c r="AB5" i="51" a="1"/>
  <c r="AP5" i="51" a="1"/>
  <c r="BF5" i="51" a="1"/>
  <c r="BV5" i="51" a="1"/>
  <c r="AO5" i="51" a="1"/>
  <c r="BG5" i="51" a="1"/>
  <c r="N5" i="51" a="1"/>
  <c r="AT5" i="51" a="1"/>
  <c r="BL5" i="51" a="1"/>
  <c r="R5" i="51" a="1"/>
  <c r="AV5" i="51" a="1"/>
  <c r="BQ5" i="51" a="1"/>
  <c r="BE5" i="51" a="1"/>
  <c r="BW5" i="51" a="1"/>
  <c r="AC5" i="51" a="1"/>
  <c r="AX5" i="51" a="1"/>
  <c r="AN5" i="51" a="1"/>
  <c r="BU5" i="51" a="1"/>
  <c r="BZ5" i="51" a="1"/>
  <c r="K5" i="51" a="1"/>
  <c r="S5" i="51" a="1"/>
  <c r="AA5" i="51" a="1"/>
  <c r="AI5" i="51" a="1"/>
  <c r="P5" i="51" a="1"/>
  <c r="AF5" i="51" a="1"/>
  <c r="AU5" i="51" a="1"/>
  <c r="BK5" i="51" a="1"/>
  <c r="CA5" i="51" a="1"/>
  <c r="AS5" i="51" a="1"/>
  <c r="BR5" i="51" a="1"/>
  <c r="V5" i="51" a="1"/>
  <c r="AW5" i="51" a="1"/>
  <c r="BO5" i="51" a="1"/>
  <c r="Z5" i="51" a="1"/>
  <c r="AY5" i="51" a="1"/>
  <c r="BX5" i="51" a="1"/>
  <c r="BT5" i="51" a="1"/>
  <c r="U5" i="51" a="1"/>
  <c r="AJ5" i="51" a="1"/>
  <c r="BJ5" i="51" a="1"/>
  <c r="AK5" i="51" a="1"/>
  <c r="AD5" i="51" a="1"/>
  <c r="BP5" i="51" a="1"/>
  <c r="F5" i="51" a="1"/>
  <c r="BP5" i="51" l="1"/>
  <c r="AD5" i="51"/>
  <c r="AK5" i="51"/>
  <c r="BJ5" i="51"/>
  <c r="AJ5" i="51"/>
  <c r="U5" i="51"/>
  <c r="BT5" i="51"/>
  <c r="BX5" i="51"/>
  <c r="AY5" i="51"/>
  <c r="Z5" i="51"/>
  <c r="BO5" i="51"/>
  <c r="AW5" i="51"/>
  <c r="V5" i="51"/>
  <c r="BR5" i="51"/>
  <c r="AS5" i="51"/>
  <c r="CA5" i="51"/>
  <c r="BK5" i="51"/>
  <c r="AU5" i="51"/>
  <c r="AF5" i="51"/>
  <c r="P5" i="51"/>
  <c r="AI5" i="51"/>
  <c r="AA5" i="51"/>
  <c r="S5" i="51"/>
  <c r="K5" i="51"/>
  <c r="BZ5" i="51"/>
  <c r="BU5" i="51"/>
  <c r="AN5" i="51"/>
  <c r="AX5" i="51"/>
  <c r="AC5" i="51"/>
  <c r="BW5" i="51"/>
  <c r="BE5" i="51"/>
  <c r="BQ5" i="51"/>
  <c r="AV5" i="51"/>
  <c r="R5" i="51"/>
  <c r="BL5" i="51"/>
  <c r="AT5" i="51"/>
  <c r="N5" i="51"/>
  <c r="BG5" i="51"/>
  <c r="AO5" i="51"/>
  <c r="BV5" i="51"/>
  <c r="BF5" i="51"/>
  <c r="AP5" i="51"/>
  <c r="AB5" i="51"/>
  <c r="L5" i="51"/>
  <c r="AG5" i="51"/>
  <c r="Y5" i="51"/>
  <c r="Q5" i="51"/>
  <c r="I5" i="51"/>
  <c r="AH5" i="51"/>
  <c r="BA5" i="51"/>
  <c r="AZ5" i="51"/>
  <c r="BN5" i="51"/>
  <c r="T5" i="51"/>
  <c r="M5" i="51"/>
  <c r="BB5" i="51"/>
  <c r="BI5" i="51"/>
  <c r="AQ5" i="51"/>
  <c r="BM5" i="51"/>
  <c r="AR5" i="51"/>
  <c r="BH5" i="51"/>
  <c r="AL5" i="51"/>
  <c r="BY5" i="51"/>
  <c r="BD5" i="51"/>
  <c r="J5" i="51"/>
  <c r="BS5" i="51"/>
  <c r="BC5" i="51"/>
  <c r="AM5" i="51"/>
  <c r="X5" i="51"/>
  <c r="H5" i="51"/>
  <c r="AE5" i="51"/>
  <c r="W5" i="51"/>
  <c r="O5" i="51"/>
  <c r="G5" i="51"/>
  <c r="F5" i="51"/>
  <c r="K108" i="12"/>
  <c r="J108" i="12"/>
  <c r="I108" i="12"/>
  <c r="H108" i="12"/>
  <c r="G108" i="12"/>
  <c r="F108" i="12"/>
  <c r="E108" i="12"/>
  <c r="D108" i="12"/>
  <c r="C108" i="12"/>
  <c r="K107" i="12"/>
  <c r="J107" i="12"/>
  <c r="I107" i="12"/>
  <c r="H107" i="12"/>
  <c r="G107" i="12"/>
  <c r="F107" i="12"/>
  <c r="E107" i="12"/>
  <c r="D107" i="12"/>
  <c r="C107" i="12"/>
  <c r="AL103" i="12" l="1"/>
  <c r="AM103" i="12"/>
  <c r="AN103" i="12" a="1"/>
  <c r="AN103" i="12" s="1"/>
  <c r="AO103" i="12" a="1"/>
  <c r="AO103" i="12" s="1"/>
  <c r="P126" i="12" l="1"/>
  <c r="O126" i="12"/>
  <c r="P125" i="12"/>
  <c r="O125" i="12"/>
  <c r="P124" i="12"/>
  <c r="O124" i="12"/>
  <c r="P123" i="12"/>
  <c r="O123" i="12"/>
  <c r="AJ116" i="12" l="1"/>
  <c r="BP127" i="12" s="1"/>
  <c r="K291" i="12"/>
  <c r="J291" i="12"/>
  <c r="K290" i="12"/>
  <c r="J290" i="12"/>
  <c r="K289" i="12"/>
  <c r="J289" i="12"/>
  <c r="K288" i="12"/>
  <c r="J288" i="12"/>
  <c r="K287" i="12"/>
  <c r="J287" i="12"/>
  <c r="K286" i="12"/>
  <c r="J286" i="12"/>
  <c r="K285" i="12"/>
  <c r="J285" i="12"/>
  <c r="K284" i="12"/>
  <c r="J284" i="12"/>
  <c r="K283" i="12"/>
  <c r="J283" i="12"/>
  <c r="K282" i="12"/>
  <c r="J282" i="12"/>
  <c r="K281" i="12"/>
  <c r="J281" i="12"/>
  <c r="K280" i="12"/>
  <c r="J280" i="12"/>
  <c r="K279" i="12"/>
  <c r="J279" i="12"/>
  <c r="K278" i="12"/>
  <c r="J278" i="12"/>
  <c r="K277" i="12"/>
  <c r="J277" i="12"/>
  <c r="K276" i="12"/>
  <c r="J276" i="12"/>
  <c r="K275" i="12"/>
  <c r="J275" i="12"/>
  <c r="K274" i="12"/>
  <c r="J274" i="12"/>
  <c r="K273" i="12"/>
  <c r="J273" i="12"/>
  <c r="K272" i="12"/>
  <c r="J272" i="12"/>
  <c r="K271" i="12"/>
  <c r="J271" i="12"/>
  <c r="K270" i="12"/>
  <c r="J270" i="12"/>
  <c r="K269" i="12"/>
  <c r="J269" i="12"/>
  <c r="K268" i="12"/>
  <c r="J268" i="12"/>
  <c r="K267" i="12"/>
  <c r="J267" i="12"/>
  <c r="K266" i="12"/>
  <c r="J266" i="12"/>
  <c r="K265" i="12"/>
  <c r="J265" i="12"/>
  <c r="K264" i="12"/>
  <c r="J264" i="12"/>
  <c r="K263" i="12"/>
  <c r="J263" i="12"/>
  <c r="K262" i="12"/>
  <c r="J262" i="12"/>
  <c r="K261" i="12"/>
  <c r="J261" i="12"/>
  <c r="K260" i="12"/>
  <c r="J260" i="12"/>
  <c r="K259" i="12"/>
  <c r="J259" i="12"/>
  <c r="K258" i="12"/>
  <c r="J258" i="12"/>
  <c r="K257" i="12"/>
  <c r="J257" i="12"/>
  <c r="K256" i="12"/>
  <c r="J256" i="12"/>
  <c r="K255" i="12"/>
  <c r="J255" i="12"/>
  <c r="K254" i="12"/>
  <c r="J254" i="12"/>
  <c r="K253" i="12"/>
  <c r="J253" i="12"/>
  <c r="K252" i="12"/>
  <c r="J252" i="12"/>
  <c r="K251" i="12"/>
  <c r="J251" i="12"/>
  <c r="K250" i="12"/>
  <c r="J250" i="12"/>
  <c r="K249" i="12"/>
  <c r="J249" i="12"/>
  <c r="K248" i="12"/>
  <c r="J248" i="12"/>
  <c r="K247" i="12"/>
  <c r="J247" i="12"/>
  <c r="K246" i="12"/>
  <c r="J246" i="12"/>
  <c r="K245" i="12"/>
  <c r="J245" i="12"/>
  <c r="K244" i="12"/>
  <c r="J244" i="12"/>
  <c r="K243" i="12"/>
  <c r="J243" i="12"/>
  <c r="K242" i="12"/>
  <c r="J242" i="12"/>
  <c r="K241" i="12"/>
  <c r="J241" i="12"/>
  <c r="K240" i="12"/>
  <c r="J240" i="12"/>
  <c r="K239" i="12"/>
  <c r="J239" i="12"/>
  <c r="K238" i="12"/>
  <c r="J238" i="12"/>
  <c r="K237" i="12"/>
  <c r="J237" i="12"/>
  <c r="K236" i="12"/>
  <c r="J236" i="12"/>
  <c r="K235" i="12"/>
  <c r="J235" i="12"/>
  <c r="K234" i="12"/>
  <c r="J234" i="12"/>
  <c r="K233" i="12"/>
  <c r="J233" i="12"/>
  <c r="K232" i="12"/>
  <c r="J232" i="12"/>
  <c r="K231" i="12"/>
  <c r="J231" i="12"/>
  <c r="K230" i="12"/>
  <c r="J230" i="12"/>
  <c r="K229" i="12"/>
  <c r="J229" i="12"/>
  <c r="K228" i="12"/>
  <c r="J228" i="12"/>
  <c r="K227" i="12"/>
  <c r="J227" i="12"/>
  <c r="K226" i="12"/>
  <c r="J226" i="12"/>
  <c r="K225" i="12"/>
  <c r="J225" i="12"/>
  <c r="K224" i="12"/>
  <c r="J224" i="12"/>
  <c r="K223" i="12"/>
  <c r="J223" i="12"/>
  <c r="K222" i="12"/>
  <c r="J222" i="12"/>
  <c r="K221" i="12"/>
  <c r="J221" i="12"/>
  <c r="K220" i="12"/>
  <c r="J220" i="12"/>
  <c r="K219" i="12"/>
  <c r="J219" i="12"/>
  <c r="K218" i="12"/>
  <c r="J218" i="12"/>
  <c r="K217" i="12"/>
  <c r="J217" i="12"/>
  <c r="K216" i="12"/>
  <c r="J216" i="12"/>
  <c r="K215" i="12"/>
  <c r="J215" i="12"/>
  <c r="K214" i="12"/>
  <c r="J214" i="12"/>
  <c r="K213" i="12"/>
  <c r="J213" i="12"/>
  <c r="K212" i="12"/>
  <c r="J212" i="12"/>
  <c r="K211" i="12"/>
  <c r="J211" i="12"/>
  <c r="K210" i="12"/>
  <c r="J210" i="12"/>
  <c r="K209" i="12"/>
  <c r="J209" i="12"/>
  <c r="K208" i="12"/>
  <c r="J208" i="12"/>
  <c r="K207" i="12"/>
  <c r="J207" i="12"/>
  <c r="K206" i="12"/>
  <c r="J206" i="12"/>
  <c r="K205" i="12"/>
  <c r="J205" i="12"/>
  <c r="K204" i="12"/>
  <c r="J204" i="12"/>
  <c r="K203" i="12"/>
  <c r="J203" i="12"/>
  <c r="K202" i="12"/>
  <c r="J202" i="12"/>
  <c r="K201" i="12"/>
  <c r="J201" i="12"/>
  <c r="K200" i="12"/>
  <c r="J200" i="12"/>
  <c r="K199" i="12"/>
  <c r="J199" i="12"/>
  <c r="K198" i="12"/>
  <c r="J198" i="12"/>
  <c r="K197" i="12"/>
  <c r="J197" i="12"/>
  <c r="K196" i="12"/>
  <c r="J196" i="12"/>
  <c r="K195" i="12"/>
  <c r="J195" i="12"/>
  <c r="K194" i="12"/>
  <c r="J194" i="12"/>
  <c r="K193" i="12"/>
  <c r="J193" i="12"/>
  <c r="K192" i="12"/>
  <c r="J192" i="12"/>
  <c r="K191" i="12"/>
  <c r="J191" i="12"/>
  <c r="K190" i="12"/>
  <c r="J190" i="12"/>
  <c r="K189" i="12"/>
  <c r="J189" i="12"/>
  <c r="K188" i="12"/>
  <c r="J188" i="12"/>
  <c r="K187" i="12"/>
  <c r="J187" i="12"/>
  <c r="K186" i="12"/>
  <c r="J186" i="12"/>
  <c r="K185" i="12"/>
  <c r="J185" i="12"/>
  <c r="K184" i="12"/>
  <c r="J184" i="12"/>
  <c r="K183" i="12"/>
  <c r="J183" i="12"/>
  <c r="K182" i="12"/>
  <c r="J182" i="12"/>
  <c r="K181" i="12"/>
  <c r="J181" i="12"/>
  <c r="K180" i="12"/>
  <c r="J180" i="12"/>
  <c r="K179" i="12"/>
  <c r="J179" i="12"/>
  <c r="K178" i="12"/>
  <c r="J178" i="12"/>
  <c r="K177" i="12"/>
  <c r="J177" i="12"/>
  <c r="K176" i="12"/>
  <c r="J176" i="12"/>
  <c r="K175" i="12"/>
  <c r="J175" i="12"/>
  <c r="K174" i="12"/>
  <c r="J174" i="12"/>
  <c r="K173" i="12"/>
  <c r="J173" i="12"/>
  <c r="K172" i="12"/>
  <c r="J172" i="12"/>
  <c r="K171" i="12"/>
  <c r="J171" i="12"/>
  <c r="K170" i="12"/>
  <c r="J170" i="12"/>
  <c r="K169" i="12"/>
  <c r="J169" i="12"/>
  <c r="K168" i="12"/>
  <c r="J168" i="12"/>
  <c r="K167" i="12"/>
  <c r="J167" i="12"/>
  <c r="K166" i="12"/>
  <c r="J166" i="12"/>
  <c r="K165" i="12"/>
  <c r="J165" i="12"/>
  <c r="K164" i="12"/>
  <c r="J164" i="12"/>
  <c r="K163" i="12"/>
  <c r="J163" i="12"/>
  <c r="K162" i="12"/>
  <c r="J162" i="12"/>
  <c r="K161" i="12"/>
  <c r="J161" i="12"/>
  <c r="K160" i="12"/>
  <c r="J160" i="12"/>
  <c r="K159" i="12"/>
  <c r="J159" i="12"/>
  <c r="K158" i="12"/>
  <c r="J158" i="12"/>
  <c r="K157" i="12"/>
  <c r="J157" i="12"/>
  <c r="K156" i="12"/>
  <c r="J156" i="12"/>
  <c r="K155" i="12"/>
  <c r="J155" i="12"/>
  <c r="K154" i="12"/>
  <c r="J154" i="12"/>
  <c r="K153" i="12"/>
  <c r="J153" i="12"/>
  <c r="K152" i="12"/>
  <c r="J152" i="12"/>
  <c r="K151" i="12"/>
  <c r="J151" i="12"/>
  <c r="K150" i="12"/>
  <c r="J150" i="12"/>
  <c r="K149" i="12"/>
  <c r="J149" i="12"/>
  <c r="K148" i="12"/>
  <c r="J148" i="12"/>
  <c r="K147" i="12"/>
  <c r="J147" i="12"/>
  <c r="K146" i="12"/>
  <c r="J146" i="12"/>
  <c r="K145" i="12"/>
  <c r="J145" i="12"/>
  <c r="K144" i="12"/>
  <c r="J144" i="12"/>
  <c r="K143" i="12"/>
  <c r="J143" i="12"/>
  <c r="K142" i="12"/>
  <c r="J142" i="12"/>
  <c r="K141" i="12"/>
  <c r="J141" i="12"/>
  <c r="K140" i="12"/>
  <c r="J140" i="12"/>
  <c r="K139" i="12"/>
  <c r="J139" i="12"/>
  <c r="K138" i="12"/>
  <c r="J138" i="12"/>
  <c r="K137" i="12"/>
  <c r="J137" i="12"/>
  <c r="BI136" i="12"/>
  <c r="BH136" i="12"/>
  <c r="BF136" i="12"/>
  <c r="BB136" i="12"/>
  <c r="BA136" i="12"/>
  <c r="AY136" i="12"/>
  <c r="AU136" i="12"/>
  <c r="AT136" i="12"/>
  <c r="AR136" i="12"/>
  <c r="AN136" i="12"/>
  <c r="AM136" i="12"/>
  <c r="AK136" i="12"/>
  <c r="K136" i="12"/>
  <c r="J136" i="12"/>
  <c r="BI135" i="12"/>
  <c r="BH135" i="12"/>
  <c r="BF135" i="12"/>
  <c r="BB135" i="12"/>
  <c r="BA135" i="12"/>
  <c r="AY135" i="12"/>
  <c r="AU135" i="12"/>
  <c r="AT135" i="12"/>
  <c r="AR135" i="12"/>
  <c r="AN135" i="12"/>
  <c r="AM135" i="12"/>
  <c r="AK135" i="12"/>
  <c r="K135" i="12"/>
  <c r="J135" i="12"/>
  <c r="BI134" i="12"/>
  <c r="BH134" i="12"/>
  <c r="BF134" i="12"/>
  <c r="BB134" i="12"/>
  <c r="BA134" i="12"/>
  <c r="AY134" i="12"/>
  <c r="AU134" i="12"/>
  <c r="AT134" i="12"/>
  <c r="AR134" i="12"/>
  <c r="AN134" i="12"/>
  <c r="AM134" i="12"/>
  <c r="AK134" i="12"/>
  <c r="K134" i="12"/>
  <c r="J134" i="12"/>
  <c r="BI133" i="12"/>
  <c r="BH133" i="12"/>
  <c r="BF133" i="12"/>
  <c r="BB133" i="12"/>
  <c r="BA133" i="12"/>
  <c r="AY133" i="12"/>
  <c r="AU133" i="12"/>
  <c r="AT133" i="12"/>
  <c r="AR133" i="12"/>
  <c r="AN133" i="12"/>
  <c r="AM133" i="12"/>
  <c r="AK133" i="12"/>
  <c r="K133" i="12"/>
  <c r="J133" i="12"/>
  <c r="BI132" i="12"/>
  <c r="BH132" i="12"/>
  <c r="BF132" i="12"/>
  <c r="BB132" i="12"/>
  <c r="BA132" i="12"/>
  <c r="AY132" i="12"/>
  <c r="AU132" i="12"/>
  <c r="AT132" i="12"/>
  <c r="AR132" i="12"/>
  <c r="AN132" i="12"/>
  <c r="AM132" i="12"/>
  <c r="AK132" i="12"/>
  <c r="K132" i="12"/>
  <c r="J132" i="12"/>
  <c r="BI131" i="12"/>
  <c r="BH131" i="12"/>
  <c r="BF131" i="12"/>
  <c r="BB131" i="12"/>
  <c r="BA131" i="12"/>
  <c r="AY131" i="12"/>
  <c r="AU131" i="12"/>
  <c r="AT131" i="12"/>
  <c r="AR131" i="12"/>
  <c r="AN131" i="12"/>
  <c r="AM131" i="12"/>
  <c r="AK131" i="12"/>
  <c r="K131" i="12"/>
  <c r="J131" i="12"/>
  <c r="BI130" i="12"/>
  <c r="BH130" i="12"/>
  <c r="BF130" i="12"/>
  <c r="BB130" i="12"/>
  <c r="BA130" i="12"/>
  <c r="AY130" i="12"/>
  <c r="AU130" i="12"/>
  <c r="AT130" i="12"/>
  <c r="AR130" i="12"/>
  <c r="AN130" i="12"/>
  <c r="AM130" i="12"/>
  <c r="AK130" i="12"/>
  <c r="K130" i="12"/>
  <c r="J130" i="12"/>
  <c r="BI129" i="12"/>
  <c r="BH129" i="12"/>
  <c r="BF129" i="12"/>
  <c r="BB129" i="12"/>
  <c r="BA129" i="12"/>
  <c r="AY129" i="12"/>
  <c r="AU129" i="12"/>
  <c r="AT129" i="12"/>
  <c r="AR129" i="12"/>
  <c r="AN129" i="12"/>
  <c r="AM129" i="12"/>
  <c r="AK129" i="12"/>
  <c r="K129" i="12"/>
  <c r="J129" i="12"/>
  <c r="BI128" i="12"/>
  <c r="BH128" i="12"/>
  <c r="BF128" i="12"/>
  <c r="BB128" i="12"/>
  <c r="BA128" i="12"/>
  <c r="AY128" i="12"/>
  <c r="AU128" i="12"/>
  <c r="AT128" i="12"/>
  <c r="AR128" i="12"/>
  <c r="AN128" i="12"/>
  <c r="AM128" i="12"/>
  <c r="AK128" i="12"/>
  <c r="K128" i="12"/>
  <c r="J128" i="12"/>
  <c r="BI127" i="12"/>
  <c r="BF127" i="12"/>
  <c r="BB127" i="12"/>
  <c r="BA127" i="12"/>
  <c r="AY127" i="12"/>
  <c r="AU127" i="12"/>
  <c r="AT127" i="12"/>
  <c r="AR127" i="12"/>
  <c r="AN127" i="12"/>
  <c r="AM127" i="12"/>
  <c r="AK127" i="12"/>
  <c r="K127" i="12"/>
  <c r="J127" i="12"/>
  <c r="BI126" i="12"/>
  <c r="BF126" i="12"/>
  <c r="BB126" i="12"/>
  <c r="BA126" i="12"/>
  <c r="AY126" i="12"/>
  <c r="AU126" i="12"/>
  <c r="AT126" i="12"/>
  <c r="AR126" i="12"/>
  <c r="AN126" i="12"/>
  <c r="AM126" i="12"/>
  <c r="AK126" i="12"/>
  <c r="K126" i="12"/>
  <c r="J126" i="12"/>
  <c r="BI125" i="12"/>
  <c r="BF125" i="12"/>
  <c r="BB125" i="12"/>
  <c r="BA125" i="12"/>
  <c r="AY125" i="12"/>
  <c r="AU125" i="12"/>
  <c r="AT125" i="12"/>
  <c r="AR125" i="12"/>
  <c r="AN125" i="12"/>
  <c r="AM125" i="12"/>
  <c r="AK125" i="12"/>
  <c r="K125" i="12"/>
  <c r="J125" i="12"/>
  <c r="BI124" i="12"/>
  <c r="BF124" i="12"/>
  <c r="BB124" i="12"/>
  <c r="BA124" i="12"/>
  <c r="AY124" i="12"/>
  <c r="AU124" i="12"/>
  <c r="AT124" i="12"/>
  <c r="AR124" i="12"/>
  <c r="AN124" i="12"/>
  <c r="AM124" i="12"/>
  <c r="AK124" i="12"/>
  <c r="K124" i="12"/>
  <c r="J124" i="12"/>
  <c r="BI123" i="12"/>
  <c r="BF123" i="12"/>
  <c r="BB123" i="12"/>
  <c r="BA123" i="12"/>
  <c r="AY123" i="12"/>
  <c r="AU123" i="12"/>
  <c r="AT123" i="12"/>
  <c r="AR123" i="12"/>
  <c r="AN123" i="12"/>
  <c r="AM123" i="12"/>
  <c r="AK123" i="12"/>
  <c r="K123" i="12"/>
  <c r="J123" i="12"/>
  <c r="BI122" i="12"/>
  <c r="BF122" i="12"/>
  <c r="BB122" i="12"/>
  <c r="BA122" i="12"/>
  <c r="AY122" i="12"/>
  <c r="AU122" i="12"/>
  <c r="AT122" i="12"/>
  <c r="AR122" i="12"/>
  <c r="AN122" i="12"/>
  <c r="AM122" i="12"/>
  <c r="AK122" i="12"/>
  <c r="K122" i="12"/>
  <c r="J122" i="12"/>
  <c r="BI121" i="12"/>
  <c r="BB121" i="12"/>
  <c r="BA121" i="12"/>
  <c r="AU121" i="12"/>
  <c r="AT121" i="12"/>
  <c r="AN121" i="12"/>
  <c r="AM121" i="12"/>
  <c r="K121" i="12"/>
  <c r="J121" i="12"/>
  <c r="K120" i="12"/>
  <c r="J120" i="12"/>
  <c r="R119" i="12"/>
  <c r="Q119" i="12"/>
  <c r="K119" i="12"/>
  <c r="J119" i="12"/>
  <c r="R118" i="12"/>
  <c r="Q118" i="12"/>
  <c r="K118" i="12"/>
  <c r="J118" i="12"/>
  <c r="BH117" i="12"/>
  <c r="BN136" i="12" s="1"/>
  <c r="BG117" i="12"/>
  <c r="BT136" i="12" s="1"/>
  <c r="BF117" i="12"/>
  <c r="BQ136" i="12" s="1"/>
  <c r="BE117" i="12"/>
  <c r="BR136" i="12" s="1"/>
  <c r="BA117" i="12"/>
  <c r="BN133" i="12" s="1"/>
  <c r="AZ117" i="12"/>
  <c r="BT133" i="12" s="1"/>
  <c r="AY117" i="12"/>
  <c r="BQ133" i="12" s="1"/>
  <c r="AX117" i="12"/>
  <c r="BR133" i="12" s="1"/>
  <c r="AT117" i="12"/>
  <c r="BN130" i="12" s="1"/>
  <c r="AS117" i="12"/>
  <c r="BT130" i="12" s="1"/>
  <c r="AR117" i="12"/>
  <c r="BQ130" i="12" s="1"/>
  <c r="AQ117" i="12"/>
  <c r="BR130" i="12" s="1"/>
  <c r="AM117" i="12"/>
  <c r="BN127" i="12" s="1"/>
  <c r="AL117" i="12"/>
  <c r="BT127" i="12" s="1"/>
  <c r="AK117" i="12"/>
  <c r="BQ127" i="12" s="1"/>
  <c r="AJ117" i="12"/>
  <c r="BR127" i="12" s="1"/>
  <c r="Q117" i="12"/>
  <c r="K117" i="12"/>
  <c r="J117" i="12"/>
  <c r="BH116" i="12"/>
  <c r="BM136" i="12" s="1"/>
  <c r="BG116" i="12"/>
  <c r="BS136" i="12" s="1"/>
  <c r="BF116" i="12"/>
  <c r="BO136" i="12" s="1"/>
  <c r="BE116" i="12"/>
  <c r="BP136" i="12" s="1"/>
  <c r="BA116" i="12"/>
  <c r="BM133" i="12" s="1"/>
  <c r="AZ116" i="12"/>
  <c r="BS133" i="12" s="1"/>
  <c r="AY116" i="12"/>
  <c r="BO133" i="12" s="1"/>
  <c r="AX116" i="12"/>
  <c r="BP133" i="12" s="1"/>
  <c r="AT116" i="12"/>
  <c r="BM130" i="12" s="1"/>
  <c r="AS116" i="12"/>
  <c r="BS130" i="12" s="1"/>
  <c r="AR116" i="12"/>
  <c r="BO130" i="12" s="1"/>
  <c r="AQ116" i="12"/>
  <c r="BP130" i="12" s="1"/>
  <c r="AM116" i="12"/>
  <c r="BM127" i="12" s="1"/>
  <c r="AL116" i="12"/>
  <c r="BS127" i="12" s="1"/>
  <c r="AK116" i="12"/>
  <c r="BO127" i="12" s="1"/>
  <c r="Q116" i="12"/>
  <c r="BK136" i="12" s="1"/>
  <c r="K116" i="12"/>
  <c r="J116" i="12"/>
  <c r="K115" i="12"/>
  <c r="J115" i="12"/>
  <c r="K114" i="12"/>
  <c r="J114" i="12"/>
  <c r="K113" i="12"/>
  <c r="J113" i="12"/>
  <c r="AG112" i="12"/>
  <c r="AF112" i="12"/>
  <c r="AE112" i="12"/>
  <c r="AD112" i="12"/>
  <c r="Y112" i="12"/>
  <c r="W112" i="12" s="1"/>
  <c r="T112" i="12" a="1"/>
  <c r="T112" i="12" s="1"/>
  <c r="R112" i="12"/>
  <c r="S112" i="12" s="1"/>
  <c r="K112" i="12"/>
  <c r="J112" i="12"/>
  <c r="D112" i="12"/>
  <c r="B112" i="12"/>
  <c r="AJ105" i="12"/>
  <c r="AI105" i="12"/>
  <c r="AH105" i="12"/>
  <c r="AG105" i="12"/>
  <c r="AF105" i="12"/>
  <c r="AE105" i="12"/>
  <c r="AD105" i="12"/>
  <c r="AC105" i="12"/>
  <c r="AB105" i="12"/>
  <c r="AA105" i="12"/>
  <c r="X105" i="12"/>
  <c r="W105" i="12"/>
  <c r="V105" i="12"/>
  <c r="U105" i="12"/>
  <c r="T105" i="12"/>
  <c r="S105" i="12"/>
  <c r="R105" i="12"/>
  <c r="Q105" i="12"/>
  <c r="P105" i="12"/>
  <c r="O105" i="12"/>
  <c r="L105" i="12"/>
  <c r="K105" i="12"/>
  <c r="J105" i="12"/>
  <c r="I105" i="12"/>
  <c r="H105" i="12"/>
  <c r="G105" i="12"/>
  <c r="F105" i="12"/>
  <c r="E105" i="12"/>
  <c r="D105" i="12"/>
  <c r="C105" i="12"/>
  <c r="AO102" i="12" a="1"/>
  <c r="AO102" i="12" s="1"/>
  <c r="AN102" i="12" a="1"/>
  <c r="AN102" i="12" s="1"/>
  <c r="AM102" i="12"/>
  <c r="AL102" i="12"/>
  <c r="AO101" i="12" a="1"/>
  <c r="AO101" i="12" s="1"/>
  <c r="AN101" i="12" a="1"/>
  <c r="AN101" i="12" s="1"/>
  <c r="AM101" i="12"/>
  <c r="AL101" i="12"/>
  <c r="AO100" i="12" a="1"/>
  <c r="AO100" i="12" s="1"/>
  <c r="AN100" i="12" a="1"/>
  <c r="AN100" i="12" s="1"/>
  <c r="AM100" i="12"/>
  <c r="AL100" i="12"/>
  <c r="AO99" i="12" a="1"/>
  <c r="AO99" i="12" s="1"/>
  <c r="AN99" i="12" a="1"/>
  <c r="AN99" i="12" s="1"/>
  <c r="AM99" i="12"/>
  <c r="AL99" i="12"/>
  <c r="AO98" i="12" a="1"/>
  <c r="AO98" i="12" s="1"/>
  <c r="AN98" i="12" a="1"/>
  <c r="AN98" i="12" s="1"/>
  <c r="AM98" i="12"/>
  <c r="AL98" i="12"/>
  <c r="AO97" i="12" a="1"/>
  <c r="AO97" i="12" s="1"/>
  <c r="AN97" i="12" a="1"/>
  <c r="AN97" i="12" s="1"/>
  <c r="AM97" i="12"/>
  <c r="AL97" i="12"/>
  <c r="AO96" i="12" a="1"/>
  <c r="AO96" i="12" s="1"/>
  <c r="AN96" i="12" a="1"/>
  <c r="AN96" i="12" s="1"/>
  <c r="AM96" i="12"/>
  <c r="AL96" i="12"/>
  <c r="AO95" i="12" a="1"/>
  <c r="AO95" i="12" s="1"/>
  <c r="AN95" i="12" a="1"/>
  <c r="AN95" i="12" s="1"/>
  <c r="AM95" i="12"/>
  <c r="AL95" i="12"/>
  <c r="AO94" i="12" a="1"/>
  <c r="AO94" i="12" s="1"/>
  <c r="AN94" i="12" a="1"/>
  <c r="AN94" i="12" s="1"/>
  <c r="AM94" i="12"/>
  <c r="AL94" i="12"/>
  <c r="AO93" i="12" a="1"/>
  <c r="AO93" i="12" s="1"/>
  <c r="AN93" i="12" a="1"/>
  <c r="AN93" i="12" s="1"/>
  <c r="AM93" i="12"/>
  <c r="AL93" i="12"/>
  <c r="AO92" i="12" a="1"/>
  <c r="AO92" i="12" s="1"/>
  <c r="AN92" i="12" a="1"/>
  <c r="AN92" i="12" s="1"/>
  <c r="AM92" i="12"/>
  <c r="AL92" i="12"/>
  <c r="AO91" i="12" a="1"/>
  <c r="AO91" i="12" s="1"/>
  <c r="AN91" i="12" a="1"/>
  <c r="AN91" i="12" s="1"/>
  <c r="AM91" i="12"/>
  <c r="AL91" i="12"/>
  <c r="AO90" i="12" a="1"/>
  <c r="AO90" i="12" s="1"/>
  <c r="AN90" i="12" a="1"/>
  <c r="AN90" i="12" s="1"/>
  <c r="AM90" i="12"/>
  <c r="AL90" i="12"/>
  <c r="AO89" i="12" a="1"/>
  <c r="AO89" i="12" s="1"/>
  <c r="AN89" i="12" a="1"/>
  <c r="AN89" i="12" s="1"/>
  <c r="AM89" i="12"/>
  <c r="AL89" i="12"/>
  <c r="AO88" i="12" a="1"/>
  <c r="AO88" i="12" s="1"/>
  <c r="AN88" i="12" a="1"/>
  <c r="AN88" i="12" s="1"/>
  <c r="AM88" i="12"/>
  <c r="AL88" i="12"/>
  <c r="AO87" i="12" a="1"/>
  <c r="AO87" i="12" s="1"/>
  <c r="AN87" i="12" a="1"/>
  <c r="AN87" i="12" s="1"/>
  <c r="AM87" i="12"/>
  <c r="AL87" i="12"/>
  <c r="AO86" i="12" a="1"/>
  <c r="AO86" i="12" s="1"/>
  <c r="AN86" i="12" a="1"/>
  <c r="AN86" i="12" s="1"/>
  <c r="AM86" i="12"/>
  <c r="AL86" i="12"/>
  <c r="AO85" i="12" a="1"/>
  <c r="AO85" i="12" s="1"/>
  <c r="AN85" i="12" a="1"/>
  <c r="AN85" i="12" s="1"/>
  <c r="AM85" i="12"/>
  <c r="AL85" i="12"/>
  <c r="AO84" i="12" a="1"/>
  <c r="AO84" i="12" s="1"/>
  <c r="AN84" i="12" a="1"/>
  <c r="AN84" i="12" s="1"/>
  <c r="AM84" i="12"/>
  <c r="AL84" i="12"/>
  <c r="AO83" i="12" a="1"/>
  <c r="AO83" i="12" s="1"/>
  <c r="AN83" i="12" a="1"/>
  <c r="AN83" i="12" s="1"/>
  <c r="AM83" i="12"/>
  <c r="AL83" i="12"/>
  <c r="AO82" i="12" a="1"/>
  <c r="AO82" i="12" s="1"/>
  <c r="AN82" i="12" a="1"/>
  <c r="AN82" i="12" s="1"/>
  <c r="AM82" i="12"/>
  <c r="AL82" i="12"/>
  <c r="AO81" i="12" a="1"/>
  <c r="AO81" i="12" s="1"/>
  <c r="AN81" i="12" a="1"/>
  <c r="AN81" i="12" s="1"/>
  <c r="AM81" i="12"/>
  <c r="AL81" i="12"/>
  <c r="AO80" i="12" a="1"/>
  <c r="AO80" i="12" s="1"/>
  <c r="AN80" i="12" a="1"/>
  <c r="AN80" i="12" s="1"/>
  <c r="AM80" i="12"/>
  <c r="AL80" i="12"/>
  <c r="AO79" i="12" a="1"/>
  <c r="AO79" i="12" s="1"/>
  <c r="AN79" i="12" a="1"/>
  <c r="AN79" i="12" s="1"/>
  <c r="AM79" i="12"/>
  <c r="AL79" i="12"/>
  <c r="AO78" i="12" a="1"/>
  <c r="AO78" i="12" s="1"/>
  <c r="AN78" i="12" a="1"/>
  <c r="AN78" i="12" s="1"/>
  <c r="AM78" i="12"/>
  <c r="AL78" i="12"/>
  <c r="AO77" i="12" a="1"/>
  <c r="AO77" i="12" s="1"/>
  <c r="AN77" i="12" a="1"/>
  <c r="AN77" i="12" s="1"/>
  <c r="AM77" i="12"/>
  <c r="AL77" i="12"/>
  <c r="AO76" i="12" a="1"/>
  <c r="AO76" i="12" s="1"/>
  <c r="AN76" i="12" a="1"/>
  <c r="AN76" i="12" s="1"/>
  <c r="AM76" i="12"/>
  <c r="AL76" i="12"/>
  <c r="AO75" i="12" a="1"/>
  <c r="AO75" i="12" s="1"/>
  <c r="AN75" i="12" a="1"/>
  <c r="AN75" i="12" s="1"/>
  <c r="AM75" i="12"/>
  <c r="AL75" i="12"/>
  <c r="AO74" i="12" a="1"/>
  <c r="AO74" i="12" s="1"/>
  <c r="AN74" i="12" a="1"/>
  <c r="AN74" i="12" s="1"/>
  <c r="AM74" i="12"/>
  <c r="AL74" i="12"/>
  <c r="AO73" i="12" a="1"/>
  <c r="AO73" i="12" s="1"/>
  <c r="AN73" i="12" a="1"/>
  <c r="AN73" i="12" s="1"/>
  <c r="AM73" i="12"/>
  <c r="AL73" i="12"/>
  <c r="AO72" i="12" a="1"/>
  <c r="AO72" i="12" s="1"/>
  <c r="AN72" i="12" a="1"/>
  <c r="AN72" i="12" s="1"/>
  <c r="AM72" i="12"/>
  <c r="AL72" i="12"/>
  <c r="AO71" i="12" a="1"/>
  <c r="AO71" i="12" s="1"/>
  <c r="AN71" i="12" a="1"/>
  <c r="AN71" i="12" s="1"/>
  <c r="AM71" i="12"/>
  <c r="AL71" i="12"/>
  <c r="AO70" i="12" a="1"/>
  <c r="AO70" i="12" s="1"/>
  <c r="AN70" i="12" a="1"/>
  <c r="AN70" i="12" s="1"/>
  <c r="AM70" i="12"/>
  <c r="AL70" i="12"/>
  <c r="AO69" i="12" a="1"/>
  <c r="AO69" i="12" s="1"/>
  <c r="AN69" i="12" a="1"/>
  <c r="AN69" i="12" s="1"/>
  <c r="AM69" i="12"/>
  <c r="AL69" i="12"/>
  <c r="AO68" i="12" a="1"/>
  <c r="AO68" i="12" s="1"/>
  <c r="AN68" i="12" a="1"/>
  <c r="AN68" i="12" s="1"/>
  <c r="AM68" i="12"/>
  <c r="AL68" i="12"/>
  <c r="AO67" i="12" a="1"/>
  <c r="AO67" i="12" s="1"/>
  <c r="AN67" i="12" a="1"/>
  <c r="AN67" i="12" s="1"/>
  <c r="AM67" i="12"/>
  <c r="AL67" i="12"/>
  <c r="AO66" i="12" a="1"/>
  <c r="AO66" i="12" s="1"/>
  <c r="AN66" i="12" a="1"/>
  <c r="AN66" i="12" s="1"/>
  <c r="AM66" i="12"/>
  <c r="AL66" i="12"/>
  <c r="AO65" i="12" a="1"/>
  <c r="AO65" i="12" s="1"/>
  <c r="AN65" i="12" a="1"/>
  <c r="AN65" i="12" s="1"/>
  <c r="AM65" i="12"/>
  <c r="AL65" i="12"/>
  <c r="AO64" i="12" a="1"/>
  <c r="AO64" i="12" s="1"/>
  <c r="AN64" i="12" a="1"/>
  <c r="AN64" i="12" s="1"/>
  <c r="AM64" i="12"/>
  <c r="AL64" i="12"/>
  <c r="AO63" i="12" a="1"/>
  <c r="AO63" i="12" s="1"/>
  <c r="AN63" i="12" a="1"/>
  <c r="AN63" i="12" s="1"/>
  <c r="AM63" i="12"/>
  <c r="AL63" i="12"/>
  <c r="AO62" i="12" a="1"/>
  <c r="AO62" i="12" s="1"/>
  <c r="AN62" i="12" a="1"/>
  <c r="AN62" i="12" s="1"/>
  <c r="AM62" i="12"/>
  <c r="AL62" i="12"/>
  <c r="AO61" i="12" a="1"/>
  <c r="AO61" i="12" s="1"/>
  <c r="AN61" i="12" a="1"/>
  <c r="AN61" i="12" s="1"/>
  <c r="AM61" i="12"/>
  <c r="AL61" i="12"/>
  <c r="AO60" i="12" a="1"/>
  <c r="AO60" i="12" s="1"/>
  <c r="AN60" i="12" a="1"/>
  <c r="AN60" i="12" s="1"/>
  <c r="AM60" i="12"/>
  <c r="AL60" i="12"/>
  <c r="AO59" i="12" a="1"/>
  <c r="AO59" i="12" s="1"/>
  <c r="AN59" i="12" a="1"/>
  <c r="AN59" i="12" s="1"/>
  <c r="AM59" i="12"/>
  <c r="AL59" i="12"/>
  <c r="AO58" i="12" a="1"/>
  <c r="AO58" i="12" s="1"/>
  <c r="AN58" i="12" a="1"/>
  <c r="AN58" i="12" s="1"/>
  <c r="AM58" i="12"/>
  <c r="AL58" i="12"/>
  <c r="AO57" i="12" a="1"/>
  <c r="AO57" i="12" s="1"/>
  <c r="AN57" i="12" a="1"/>
  <c r="AN57" i="12" s="1"/>
  <c r="AM57" i="12"/>
  <c r="AL57" i="12"/>
  <c r="AO56" i="12" a="1"/>
  <c r="AO56" i="12" s="1"/>
  <c r="AN56" i="12" a="1"/>
  <c r="AN56" i="12" s="1"/>
  <c r="AM56" i="12"/>
  <c r="AL56" i="12"/>
  <c r="AO55" i="12" a="1"/>
  <c r="AO55" i="12" s="1"/>
  <c r="AN55" i="12" a="1"/>
  <c r="AN55" i="12" s="1"/>
  <c r="AM55" i="12"/>
  <c r="AL55" i="12"/>
  <c r="AO54" i="12" a="1"/>
  <c r="AO54" i="12" s="1"/>
  <c r="AN54" i="12" a="1"/>
  <c r="AN54" i="12" s="1"/>
  <c r="AM54" i="12"/>
  <c r="AL54" i="12"/>
  <c r="AO53" i="12" a="1"/>
  <c r="AO53" i="12" s="1"/>
  <c r="AN53" i="12" a="1"/>
  <c r="AN53" i="12" s="1"/>
  <c r="AM53" i="12"/>
  <c r="AL53" i="12"/>
  <c r="AO52" i="12" a="1"/>
  <c r="AO52" i="12" s="1"/>
  <c r="AN52" i="12" a="1"/>
  <c r="AN52" i="12" s="1"/>
  <c r="AM52" i="12"/>
  <c r="AL52" i="12"/>
  <c r="AO51" i="12" a="1"/>
  <c r="AO51" i="12" s="1"/>
  <c r="AN51" i="12" a="1"/>
  <c r="AN51" i="12" s="1"/>
  <c r="AM51" i="12"/>
  <c r="AL51" i="12"/>
  <c r="AO50" i="12" a="1"/>
  <c r="AO50" i="12" s="1"/>
  <c r="AN50" i="12" a="1"/>
  <c r="AN50" i="12" s="1"/>
  <c r="AM50" i="12"/>
  <c r="AL50" i="12"/>
  <c r="AO49" i="12" a="1"/>
  <c r="AO49" i="12" s="1"/>
  <c r="AN49" i="12" a="1"/>
  <c r="AN49" i="12" s="1"/>
  <c r="AM49" i="12"/>
  <c r="AL49" i="12"/>
  <c r="AO48" i="12" a="1"/>
  <c r="AO48" i="12" s="1"/>
  <c r="AN48" i="12" a="1"/>
  <c r="AN48" i="12" s="1"/>
  <c r="AM48" i="12"/>
  <c r="AL48" i="12"/>
  <c r="AO47" i="12" a="1"/>
  <c r="AO47" i="12" s="1"/>
  <c r="AN47" i="12" a="1"/>
  <c r="AN47" i="12" s="1"/>
  <c r="AM47" i="12"/>
  <c r="AL47" i="12"/>
  <c r="AO46" i="12" a="1"/>
  <c r="AO46" i="12" s="1"/>
  <c r="AN46" i="12" a="1"/>
  <c r="AN46" i="12" s="1"/>
  <c r="AM46" i="12"/>
  <c r="AL46" i="12"/>
  <c r="AO45" i="12" a="1"/>
  <c r="AO45" i="12" s="1"/>
  <c r="AN45" i="12" a="1"/>
  <c r="AN45" i="12" s="1"/>
  <c r="AM45" i="12"/>
  <c r="AL45" i="12"/>
  <c r="AO44" i="12" a="1"/>
  <c r="AO44" i="12" s="1"/>
  <c r="AN44" i="12" a="1"/>
  <c r="AN44" i="12" s="1"/>
  <c r="AM44" i="12"/>
  <c r="AL44" i="12"/>
  <c r="AO43" i="12" a="1"/>
  <c r="AO43" i="12" s="1"/>
  <c r="AN43" i="12" a="1"/>
  <c r="AN43" i="12" s="1"/>
  <c r="AM43" i="12"/>
  <c r="AL43" i="12"/>
  <c r="AO42" i="12" a="1"/>
  <c r="AO42" i="12" s="1"/>
  <c r="AN42" i="12" a="1"/>
  <c r="AN42" i="12" s="1"/>
  <c r="AM42" i="12"/>
  <c r="AL42" i="12"/>
  <c r="AO41" i="12" a="1"/>
  <c r="AO41" i="12" s="1"/>
  <c r="AN41" i="12" a="1"/>
  <c r="AN41" i="12" s="1"/>
  <c r="AM41" i="12"/>
  <c r="AL41" i="12"/>
  <c r="AO40" i="12" a="1"/>
  <c r="AO40" i="12" s="1"/>
  <c r="AN40" i="12" a="1"/>
  <c r="AN40" i="12" s="1"/>
  <c r="AM40" i="12"/>
  <c r="AL40" i="12"/>
  <c r="AO39" i="12" a="1"/>
  <c r="AO39" i="12" s="1"/>
  <c r="AN39" i="12" a="1"/>
  <c r="AN39" i="12" s="1"/>
  <c r="AM39" i="12"/>
  <c r="AL39" i="12"/>
  <c r="AO38" i="12" a="1"/>
  <c r="AO38" i="12" s="1"/>
  <c r="AN38" i="12" a="1"/>
  <c r="AN38" i="12" s="1"/>
  <c r="AM38" i="12"/>
  <c r="AL38" i="12"/>
  <c r="AO37" i="12" a="1"/>
  <c r="AO37" i="12" s="1"/>
  <c r="AN37" i="12" a="1"/>
  <c r="AN37" i="12" s="1"/>
  <c r="AM37" i="12"/>
  <c r="AL37" i="12"/>
  <c r="AO36" i="12" a="1"/>
  <c r="AO36" i="12" s="1"/>
  <c r="AN36" i="12" a="1"/>
  <c r="AN36" i="12" s="1"/>
  <c r="AM36" i="12"/>
  <c r="AL36" i="12"/>
  <c r="AO35" i="12" a="1"/>
  <c r="AO35" i="12" s="1"/>
  <c r="AN35" i="12" a="1"/>
  <c r="AN35" i="12" s="1"/>
  <c r="AM35" i="12"/>
  <c r="AL35" i="12"/>
  <c r="AO34" i="12" a="1"/>
  <c r="AO34" i="12" s="1"/>
  <c r="AN34" i="12" a="1"/>
  <c r="AN34" i="12" s="1"/>
  <c r="AM34" i="12"/>
  <c r="AL34" i="12"/>
  <c r="AO33" i="12" a="1"/>
  <c r="AO33" i="12" s="1"/>
  <c r="AN33" i="12" a="1"/>
  <c r="AN33" i="12" s="1"/>
  <c r="AM33" i="12"/>
  <c r="AL33" i="12"/>
  <c r="L108" i="12" s="1"/>
  <c r="AO32" i="12" a="1"/>
  <c r="AO32" i="12" s="1"/>
  <c r="AN32" i="12" a="1"/>
  <c r="AN32" i="12" s="1"/>
  <c r="AM32" i="12"/>
  <c r="AL32" i="12"/>
  <c r="AO31" i="12" a="1"/>
  <c r="AO31" i="12" s="1"/>
  <c r="AN31" i="12" a="1"/>
  <c r="AN31" i="12" s="1"/>
  <c r="AM31" i="12"/>
  <c r="AL31" i="12"/>
  <c r="AO30" i="12" a="1"/>
  <c r="AO30" i="12" s="1"/>
  <c r="AN30" i="12" a="1"/>
  <c r="AN30" i="12" s="1"/>
  <c r="AM30" i="12"/>
  <c r="AL30" i="12"/>
  <c r="AO29" i="12" a="1"/>
  <c r="AO29" i="12" s="1"/>
  <c r="AN29" i="12" a="1"/>
  <c r="AN29" i="12" s="1"/>
  <c r="AM29" i="12"/>
  <c r="AL29" i="12"/>
  <c r="AO28" i="12" a="1"/>
  <c r="AO28" i="12" s="1"/>
  <c r="AN28" i="12" a="1"/>
  <c r="AN28" i="12" s="1"/>
  <c r="AM28" i="12"/>
  <c r="AL28" i="12"/>
  <c r="AO27" i="12" a="1"/>
  <c r="AO27" i="12" s="1"/>
  <c r="AN27" i="12" a="1"/>
  <c r="AN27" i="12" s="1"/>
  <c r="AM27" i="12"/>
  <c r="AL27" i="12"/>
  <c r="AO26" i="12" a="1"/>
  <c r="AO26" i="12" s="1"/>
  <c r="AN26" i="12" a="1"/>
  <c r="AN26" i="12" s="1"/>
  <c r="AM26" i="12"/>
  <c r="AL26" i="12"/>
  <c r="AO25" i="12" a="1"/>
  <c r="AO25" i="12" s="1"/>
  <c r="AN25" i="12" a="1"/>
  <c r="AN25" i="12" s="1"/>
  <c r="AM25" i="12"/>
  <c r="AL25" i="12"/>
  <c r="L107" i="12" s="1"/>
  <c r="AO24" i="12" a="1"/>
  <c r="AO24" i="12" s="1"/>
  <c r="AN24" i="12" a="1"/>
  <c r="AN24" i="12" s="1"/>
  <c r="AM24" i="12"/>
  <c r="AL24" i="12"/>
  <c r="AO23" i="12" a="1"/>
  <c r="AO23" i="12" s="1"/>
  <c r="AN23" i="12" a="1"/>
  <c r="AN23" i="12" s="1"/>
  <c r="AM23" i="12"/>
  <c r="AL23" i="12"/>
  <c r="AO22" i="12" a="1"/>
  <c r="AO22" i="12" s="1"/>
  <c r="AN22" i="12" a="1"/>
  <c r="AN22" i="12" s="1"/>
  <c r="AM22" i="12"/>
  <c r="AL22" i="12"/>
  <c r="AO21" i="12" a="1"/>
  <c r="AO21" i="12" s="1"/>
  <c r="AN21" i="12" a="1"/>
  <c r="AN21" i="12" s="1"/>
  <c r="AM21" i="12"/>
  <c r="AL21" i="12"/>
  <c r="AO20" i="12" a="1"/>
  <c r="AO20" i="12" s="1"/>
  <c r="AN20" i="12" a="1"/>
  <c r="AN20" i="12" s="1"/>
  <c r="AM20" i="12"/>
  <c r="AL20" i="12"/>
  <c r="AO19" i="12" a="1"/>
  <c r="AO19" i="12" s="1"/>
  <c r="AN19" i="12" a="1"/>
  <c r="AN19" i="12" s="1"/>
  <c r="AM19" i="12"/>
  <c r="AL19" i="12"/>
  <c r="AO18" i="12" a="1"/>
  <c r="AO18" i="12" s="1"/>
  <c r="AN18" i="12" a="1"/>
  <c r="AN18" i="12" s="1"/>
  <c r="AM18" i="12"/>
  <c r="AL18" i="12"/>
  <c r="AO17" i="12" a="1"/>
  <c r="AO17" i="12" s="1"/>
  <c r="AN17" i="12" a="1"/>
  <c r="AN17" i="12" s="1"/>
  <c r="AM17" i="12"/>
  <c r="AL17" i="12"/>
  <c r="AO16" i="12" a="1"/>
  <c r="AO16" i="12" s="1"/>
  <c r="AN16" i="12" a="1"/>
  <c r="AN16" i="12" s="1"/>
  <c r="AM16" i="12"/>
  <c r="AL16" i="12"/>
  <c r="AO15" i="12" a="1"/>
  <c r="AO15" i="12" s="1"/>
  <c r="AN15" i="12" a="1"/>
  <c r="AN15" i="12" s="1"/>
  <c r="AM15" i="12"/>
  <c r="AL15" i="12"/>
  <c r="AO14" i="12" a="1"/>
  <c r="AO14" i="12" s="1"/>
  <c r="AN14" i="12" a="1"/>
  <c r="AN14" i="12" s="1"/>
  <c r="AM14" i="12"/>
  <c r="AL14" i="12"/>
  <c r="AO13" i="12" a="1"/>
  <c r="AO13" i="12" s="1"/>
  <c r="AN13" i="12" a="1"/>
  <c r="AN13" i="12" s="1"/>
  <c r="AM13" i="12"/>
  <c r="AL13" i="12"/>
  <c r="AO12" i="12" a="1"/>
  <c r="AO12" i="12" s="1"/>
  <c r="AN12" i="12" a="1"/>
  <c r="AN12" i="12" s="1"/>
  <c r="AM12" i="12"/>
  <c r="AL12" i="12"/>
  <c r="AO11" i="12" a="1"/>
  <c r="AO11" i="12" s="1"/>
  <c r="AN11" i="12" a="1"/>
  <c r="AN11" i="12" s="1"/>
  <c r="AM11" i="12"/>
  <c r="AL11" i="12"/>
  <c r="AO10" i="12" a="1"/>
  <c r="AO10" i="12" s="1"/>
  <c r="AN10" i="12" a="1"/>
  <c r="AN10" i="12" s="1"/>
  <c r="AM10" i="12"/>
  <c r="AL10" i="12"/>
  <c r="AO9" i="12" a="1"/>
  <c r="AO9" i="12" s="1"/>
  <c r="AN9" i="12" a="1"/>
  <c r="AN9" i="12" s="1"/>
  <c r="AM9" i="12"/>
  <c r="AL9" i="12"/>
  <c r="AO8" i="12" a="1"/>
  <c r="AO8" i="12" s="1"/>
  <c r="AN8" i="12" a="1"/>
  <c r="AN8" i="12" s="1"/>
  <c r="AM8" i="12"/>
  <c r="AL8" i="12"/>
  <c r="AO7" i="12" a="1"/>
  <c r="AO7" i="12" s="1"/>
  <c r="AN7" i="12" a="1"/>
  <c r="AN7" i="12" s="1"/>
  <c r="AM7" i="12"/>
  <c r="AL7" i="12"/>
  <c r="AO6" i="12" a="1"/>
  <c r="AO6" i="12" s="1"/>
  <c r="AN6" i="12" a="1"/>
  <c r="AN6" i="12" s="1"/>
  <c r="AM6" i="12"/>
  <c r="AL6" i="12"/>
  <c r="AO5" i="12" a="1"/>
  <c r="AO5" i="12" s="1"/>
  <c r="AN5" i="12" a="1"/>
  <c r="AN5" i="12" s="1"/>
  <c r="AM5" i="12"/>
  <c r="AL5" i="12"/>
  <c r="AO4" i="12" a="1"/>
  <c r="AO4" i="12" s="1"/>
  <c r="AN4" i="12" a="1"/>
  <c r="AN4" i="12" s="1"/>
  <c r="AM4" i="12"/>
  <c r="AL4" i="12"/>
  <c r="BY3" i="12" a="1"/>
  <c r="BY3" i="12" s="1"/>
  <c r="BY104" i="12" s="1"/>
  <c r="BX3" i="12" a="1"/>
  <c r="BX3" i="12" s="1"/>
  <c r="BW3" i="12" a="1"/>
  <c r="BW3" i="12" s="1"/>
  <c r="BV3" i="12" a="1"/>
  <c r="BV3" i="12" s="1"/>
  <c r="BU3" i="12" a="1"/>
  <c r="BU3" i="12" s="1"/>
  <c r="BT3" i="12" a="1"/>
  <c r="BT3" i="12" s="1"/>
  <c r="BS3" i="12" a="1"/>
  <c r="BS3" i="12" s="1"/>
  <c r="BR3" i="12" a="1"/>
  <c r="BR3" i="12" s="1"/>
  <c r="BQ3" i="12" a="1"/>
  <c r="BQ3" i="12" s="1"/>
  <c r="BP3" i="12" a="1"/>
  <c r="BP3" i="12" s="1"/>
  <c r="BM3" i="12" a="1"/>
  <c r="BM3" i="12" s="1"/>
  <c r="BM104" i="12" s="1"/>
  <c r="BL3" i="12" a="1"/>
  <c r="BL3" i="12" s="1"/>
  <c r="BK3" i="12" a="1"/>
  <c r="BK3" i="12" s="1"/>
  <c r="BJ3" i="12" a="1"/>
  <c r="BJ3" i="12" s="1"/>
  <c r="BI3" i="12" a="1"/>
  <c r="BI3" i="12" s="1"/>
  <c r="BH3" i="12" a="1"/>
  <c r="BH3" i="12" s="1"/>
  <c r="BG3" i="12" a="1"/>
  <c r="BG3" i="12" s="1"/>
  <c r="BF3" i="12" a="1"/>
  <c r="BF3" i="12" s="1"/>
  <c r="BE3" i="12" a="1"/>
  <c r="BE3" i="12" s="1"/>
  <c r="BD3" i="12" a="1"/>
  <c r="BD3" i="12" s="1"/>
  <c r="AZ3" i="12" a="1"/>
  <c r="AZ3" i="12" s="1"/>
  <c r="AY3" i="12" a="1"/>
  <c r="AY3" i="12" s="1"/>
  <c r="AX3" i="12" a="1"/>
  <c r="AX3" i="12" s="1"/>
  <c r="AW3" i="12" a="1"/>
  <c r="AW3" i="12" s="1"/>
  <c r="AV3" i="12" a="1"/>
  <c r="AV3" i="12" s="1"/>
  <c r="AU3" i="12" a="1"/>
  <c r="AU3" i="12" s="1"/>
  <c r="AT3" i="12" a="1"/>
  <c r="AT3" i="12" s="1"/>
  <c r="AS3" i="12" a="1"/>
  <c r="AS3" i="12" s="1"/>
  <c r="AR3" i="12" a="1"/>
  <c r="AR3" i="12" s="1"/>
  <c r="AO3" i="12" a="1"/>
  <c r="AO3" i="12" s="1"/>
  <c r="AN3" i="12" a="1"/>
  <c r="AN3" i="12" s="1"/>
  <c r="AM3" i="12"/>
  <c r="AL3" i="12"/>
  <c r="BY2" i="12"/>
  <c r="BX2" i="12"/>
  <c r="BW2" i="12"/>
  <c r="BV2" i="12"/>
  <c r="BU2" i="12"/>
  <c r="BT2" i="12"/>
  <c r="BS2" i="12"/>
  <c r="BR2" i="12"/>
  <c r="BQ2" i="12"/>
  <c r="BP2" i="12"/>
  <c r="BM2" i="12"/>
  <c r="BL2" i="12"/>
  <c r="BK2" i="12"/>
  <c r="BJ2" i="12"/>
  <c r="BI2" i="12"/>
  <c r="BH2" i="12"/>
  <c r="BG2" i="12"/>
  <c r="BF2" i="12"/>
  <c r="BE2" i="12"/>
  <c r="BD2" i="12"/>
  <c r="BA2" i="12"/>
  <c r="AZ2" i="12"/>
  <c r="AY2" i="12"/>
  <c r="AX2" i="12"/>
  <c r="AW2" i="12"/>
  <c r="AV2" i="12"/>
  <c r="AU2" i="12"/>
  <c r="AT2" i="12"/>
  <c r="AS2" i="12"/>
  <c r="AR2" i="12"/>
  <c r="BA3" i="12" l="1" a="1"/>
  <c r="BA3" i="12" s="1"/>
  <c r="BA104" i="12" s="1"/>
  <c r="M107" i="12"/>
  <c r="M108" i="12"/>
  <c r="Y106" i="12"/>
  <c r="M106" i="12"/>
  <c r="Z112" i="12"/>
  <c r="Z113" i="12" s="1"/>
  <c r="Z114" i="12" s="1"/>
  <c r="Z115" i="12" s="1"/>
  <c r="Z116" i="12" s="1"/>
  <c r="Z117" i="12" s="1"/>
  <c r="Z118" i="12" s="1"/>
  <c r="Z119" i="12" s="1"/>
  <c r="Z120" i="12" s="1"/>
  <c r="Z121" i="12" s="1"/>
  <c r="Z122" i="12" s="1"/>
  <c r="Z123" i="12" s="1"/>
  <c r="Z124" i="12" s="1"/>
  <c r="Z125" i="12" s="1"/>
  <c r="Z126" i="12" s="1"/>
  <c r="Z127" i="12" s="1"/>
  <c r="Z128" i="12" s="1"/>
  <c r="Z129" i="12" s="1"/>
  <c r="Z130" i="12" s="1"/>
  <c r="Z131" i="12" s="1"/>
  <c r="Z132" i="12" s="1"/>
  <c r="Z133" i="12" s="1"/>
  <c r="Z134" i="12" s="1"/>
  <c r="Z135" i="12" s="1"/>
  <c r="Z136" i="12" s="1"/>
  <c r="Z137" i="12" s="1"/>
  <c r="Z138" i="12" s="1"/>
  <c r="Z139" i="12" s="1"/>
  <c r="Z140" i="12" s="1"/>
  <c r="Z141" i="12" s="1"/>
  <c r="Z142" i="12" s="1"/>
  <c r="Z143" i="12" s="1"/>
  <c r="Z144" i="12" s="1"/>
  <c r="Z145" i="12" s="1"/>
  <c r="Z146" i="12" s="1"/>
  <c r="Z147" i="12" s="1"/>
  <c r="Z148" i="12" s="1"/>
  <c r="Z149" i="12" s="1"/>
  <c r="Z150" i="12" s="1"/>
  <c r="Z151" i="12" s="1"/>
  <c r="Z152" i="12" s="1"/>
  <c r="Z153" i="12" s="1"/>
  <c r="Z154" i="12" s="1"/>
  <c r="Z155" i="12" s="1"/>
  <c r="Z156" i="12" s="1"/>
  <c r="Z157" i="12" s="1"/>
  <c r="Z158" i="12" s="1"/>
  <c r="Z159" i="12" s="1"/>
  <c r="Z160" i="12" s="1"/>
  <c r="Z161" i="12" s="1"/>
  <c r="Z162" i="12" s="1"/>
  <c r="Z163" i="12" s="1"/>
  <c r="Z164" i="12" s="1"/>
  <c r="Z165" i="12" s="1"/>
  <c r="Z166" i="12" s="1"/>
  <c r="Z167" i="12" s="1"/>
  <c r="Z168" i="12" s="1"/>
  <c r="Z169" i="12" s="1"/>
  <c r="Z170" i="12" s="1"/>
  <c r="Z171" i="12" s="1"/>
  <c r="Z172" i="12" s="1"/>
  <c r="Z173" i="12" s="1"/>
  <c r="Z174" i="12" s="1"/>
  <c r="Z175" i="12" s="1"/>
  <c r="Z176" i="12" s="1"/>
  <c r="Z177" i="12" s="1"/>
  <c r="Z178" i="12" s="1"/>
  <c r="Z179" i="12" s="1"/>
  <c r="Z180" i="12" s="1"/>
  <c r="Z181" i="12" s="1"/>
  <c r="Z182" i="12" s="1"/>
  <c r="Z183" i="12" s="1"/>
  <c r="Z184" i="12" s="1"/>
  <c r="Z185" i="12" s="1"/>
  <c r="Z186" i="12" s="1"/>
  <c r="Z187" i="12" s="1"/>
  <c r="Z188" i="12" s="1"/>
  <c r="Z189" i="12" s="1"/>
  <c r="Z190" i="12" s="1"/>
  <c r="Z191" i="12" s="1"/>
  <c r="Z192" i="12" s="1"/>
  <c r="Z193" i="12" s="1"/>
  <c r="Z194" i="12" s="1"/>
  <c r="Z195" i="12" s="1"/>
  <c r="Z196" i="12" s="1"/>
  <c r="Z197" i="12" s="1"/>
  <c r="Z198" i="12" s="1"/>
  <c r="Z199" i="12" s="1"/>
  <c r="Z200" i="12" s="1"/>
  <c r="Z201" i="12" s="1"/>
  <c r="AK106" i="12"/>
  <c r="F113" i="12"/>
  <c r="D113" i="12" s="1"/>
  <c r="G112" i="12"/>
  <c r="E112" i="12" s="1"/>
  <c r="X112" i="12"/>
  <c r="X113" i="12" s="1"/>
  <c r="BK127" i="12"/>
  <c r="BK130" i="12"/>
  <c r="BK133" i="12"/>
  <c r="Y113" i="12" l="1"/>
  <c r="Y114" i="12" s="1"/>
  <c r="Y115" i="12" s="1"/>
  <c r="Y116" i="12" s="1"/>
  <c r="Y117" i="12" s="1"/>
  <c r="Y118" i="12" s="1"/>
  <c r="Y119" i="12" s="1"/>
  <c r="Y120" i="12" s="1"/>
  <c r="Y121" i="12" s="1"/>
  <c r="Y122" i="12" s="1"/>
  <c r="Y123" i="12" s="1"/>
  <c r="Y124" i="12" s="1"/>
  <c r="Y125" i="12" s="1"/>
  <c r="Y126" i="12" s="1"/>
  <c r="Y127" i="12" s="1"/>
  <c r="Y128" i="12" s="1"/>
  <c r="Y129" i="12" s="1"/>
  <c r="Y130" i="12" s="1"/>
  <c r="Y131" i="12" s="1"/>
  <c r="Y132" i="12" s="1"/>
  <c r="Y133" i="12" s="1"/>
  <c r="Y134" i="12" s="1"/>
  <c r="Y135" i="12" s="1"/>
  <c r="Y136" i="12" s="1"/>
  <c r="Y137" i="12" s="1"/>
  <c r="Y138" i="12" s="1"/>
  <c r="Y139" i="12" s="1"/>
  <c r="Y140" i="12" s="1"/>
  <c r="Y141" i="12" s="1"/>
  <c r="Y142" i="12" s="1"/>
  <c r="Y143" i="12" s="1"/>
  <c r="Y144" i="12" s="1"/>
  <c r="Y145" i="12" s="1"/>
  <c r="Y146" i="12" s="1"/>
  <c r="Y147" i="12" s="1"/>
  <c r="Y148" i="12" s="1"/>
  <c r="Y149" i="12" s="1"/>
  <c r="Y150" i="12" s="1"/>
  <c r="Y151" i="12" s="1"/>
  <c r="Y152" i="12" s="1"/>
  <c r="Y153" i="12" s="1"/>
  <c r="Y154" i="12" s="1"/>
  <c r="Y155" i="12" s="1"/>
  <c r="Y156" i="12" s="1"/>
  <c r="Y157" i="12" s="1"/>
  <c r="Y158" i="12" s="1"/>
  <c r="Y159" i="12" s="1"/>
  <c r="Y160" i="12" s="1"/>
  <c r="Y161" i="12" s="1"/>
  <c r="Y162" i="12" s="1"/>
  <c r="Y163" i="12" s="1"/>
  <c r="Y164" i="12" s="1"/>
  <c r="Y165" i="12" s="1"/>
  <c r="Y166" i="12" s="1"/>
  <c r="Y167" i="12" s="1"/>
  <c r="Y168" i="12" s="1"/>
  <c r="Y169" i="12" s="1"/>
  <c r="Y170" i="12" s="1"/>
  <c r="Y171" i="12" s="1"/>
  <c r="Y172" i="12" s="1"/>
  <c r="Y173" i="12" s="1"/>
  <c r="Y174" i="12" s="1"/>
  <c r="Y175" i="12" s="1"/>
  <c r="Y176" i="12" s="1"/>
  <c r="Y177" i="12" s="1"/>
  <c r="Y178" i="12" s="1"/>
  <c r="Y179" i="12" s="1"/>
  <c r="Y180" i="12" s="1"/>
  <c r="Y181" i="12" s="1"/>
  <c r="Y182" i="12" s="1"/>
  <c r="Y183" i="12" s="1"/>
  <c r="Y184" i="12" s="1"/>
  <c r="Y185" i="12" s="1"/>
  <c r="Y186" i="12" s="1"/>
  <c r="Y187" i="12" s="1"/>
  <c r="Y188" i="12" s="1"/>
  <c r="Y189" i="12" s="1"/>
  <c r="Y190" i="12" s="1"/>
  <c r="Y191" i="12" s="1"/>
  <c r="Y192" i="12" s="1"/>
  <c r="Y193" i="12" s="1"/>
  <c r="Y194" i="12" s="1"/>
  <c r="Y195" i="12" s="1"/>
  <c r="Y196" i="12" s="1"/>
  <c r="Y197" i="12" s="1"/>
  <c r="Y198" i="12" s="1"/>
  <c r="Y199" i="12" s="1"/>
  <c r="Y200" i="12" s="1"/>
  <c r="Y201" i="12" s="1"/>
  <c r="F114" i="12"/>
  <c r="D114" i="12" s="1"/>
  <c r="X114" i="12"/>
  <c r="AC113" i="12"/>
  <c r="C113" i="12"/>
  <c r="B113" i="12" s="1"/>
  <c r="G113" i="12"/>
  <c r="W113" i="12"/>
  <c r="R119" i="6"/>
  <c r="R118" i="6"/>
  <c r="R117" i="6"/>
  <c r="AE113" i="12" l="1"/>
  <c r="AD113" i="12"/>
  <c r="AF113" i="12"/>
  <c r="AG113" i="12"/>
  <c r="AC114" i="12"/>
  <c r="X115" i="12"/>
  <c r="G114" i="12"/>
  <c r="E113" i="12"/>
  <c r="W114" i="12"/>
  <c r="AB113" i="12"/>
  <c r="F115" i="12"/>
  <c r="D115" i="12" s="1"/>
  <c r="FR5" i="1" a="1"/>
  <c r="FT5" i="1" a="1"/>
  <c r="FP5" i="1" a="1"/>
  <c r="FX5" i="1" a="1"/>
  <c r="FZ5" i="1" a="1"/>
  <c r="FN5" i="1" a="1"/>
  <c r="FU5" i="1" a="1"/>
  <c r="FO5" i="1" a="1"/>
  <c r="FM5" i="1" a="1"/>
  <c r="FW5" i="1" a="1"/>
  <c r="FY5" i="1" a="1"/>
  <c r="FL5" i="1" a="1"/>
  <c r="GA5" i="1" a="1"/>
  <c r="FV5" i="1" a="1"/>
  <c r="FK5" i="1" a="1"/>
  <c r="FQ5" i="1" a="1"/>
  <c r="FQ5" i="1" l="1"/>
  <c r="FK5" i="1"/>
  <c r="FV5" i="1"/>
  <c r="GA5" i="1"/>
  <c r="FL5" i="1"/>
  <c r="FY5" i="1"/>
  <c r="FW5" i="1"/>
  <c r="FM5" i="1"/>
  <c r="FO5" i="1"/>
  <c r="FU5" i="1"/>
  <c r="FN5" i="1"/>
  <c r="FZ5" i="1"/>
  <c r="FX5" i="1"/>
  <c r="FP5" i="1"/>
  <c r="FT5" i="1"/>
  <c r="FR5" i="1"/>
  <c r="G115" i="12"/>
  <c r="E115" i="12" s="1"/>
  <c r="E114" i="12"/>
  <c r="AB114" i="12"/>
  <c r="W115" i="12"/>
  <c r="AC115" i="12"/>
  <c r="X116" i="12"/>
  <c r="F116" i="12"/>
  <c r="C114" i="12"/>
  <c r="B114" i="12" s="1"/>
  <c r="AG114" i="12"/>
  <c r="AF114" i="12"/>
  <c r="AD114" i="12"/>
  <c r="AE114" i="12"/>
  <c r="F117" i="12" l="1"/>
  <c r="D117" i="12" s="1"/>
  <c r="AC116" i="12"/>
  <c r="X117" i="12"/>
  <c r="AE115" i="12"/>
  <c r="AD115" i="12"/>
  <c r="AF115" i="12"/>
  <c r="AG115" i="12"/>
  <c r="G116" i="12"/>
  <c r="E116" i="12" s="1"/>
  <c r="C115" i="12"/>
  <c r="B115" i="12" s="1"/>
  <c r="D116" i="12"/>
  <c r="W116" i="12"/>
  <c r="AB115" i="12"/>
  <c r="AE116" i="12" l="1"/>
  <c r="AD116" i="12"/>
  <c r="AF116" i="12"/>
  <c r="AG116" i="12"/>
  <c r="C116" i="12"/>
  <c r="B116" i="12" s="1"/>
  <c r="X118" i="12"/>
  <c r="AC117" i="12"/>
  <c r="W117" i="12"/>
  <c r="AB116" i="12"/>
  <c r="G117" i="12"/>
  <c r="E117" i="12" s="1"/>
  <c r="F118" i="12"/>
  <c r="D118" i="12" s="1"/>
  <c r="AE117" i="12" l="1"/>
  <c r="AD117" i="12"/>
  <c r="AF117" i="12"/>
  <c r="AG117" i="12"/>
  <c r="F119" i="12"/>
  <c r="D119" i="12" s="1"/>
  <c r="C117" i="12"/>
  <c r="B117" i="12" s="1"/>
  <c r="X119" i="12"/>
  <c r="AC118" i="12"/>
  <c r="G118" i="12"/>
  <c r="E118" i="12" s="1"/>
  <c r="W118" i="12"/>
  <c r="AB117" i="12"/>
  <c r="W119" i="12" l="1"/>
  <c r="AB118" i="12"/>
  <c r="C118" i="12"/>
  <c r="B118" i="12" s="1"/>
  <c r="AE118" i="12"/>
  <c r="AD118" i="12"/>
  <c r="AG118" i="12"/>
  <c r="AF118" i="12"/>
  <c r="F120" i="12"/>
  <c r="D120" i="12" s="1"/>
  <c r="G119" i="12"/>
  <c r="E119" i="12" s="1"/>
  <c r="X120" i="12"/>
  <c r="AC119" i="12"/>
  <c r="AC120" i="12" l="1"/>
  <c r="X121" i="12"/>
  <c r="F121" i="12"/>
  <c r="D121" i="12" s="1"/>
  <c r="AE119" i="12"/>
  <c r="AD119" i="12"/>
  <c r="AG119" i="12"/>
  <c r="AF119" i="12"/>
  <c r="W120" i="12"/>
  <c r="AB119" i="12"/>
  <c r="G120" i="12"/>
  <c r="E120" i="12" s="1"/>
  <c r="C119" i="12"/>
  <c r="B119" i="12" s="1"/>
  <c r="X122" i="12" l="1"/>
  <c r="AC121" i="12"/>
  <c r="G121" i="12"/>
  <c r="E121" i="12" s="1"/>
  <c r="C120" i="12"/>
  <c r="B120" i="12" s="1"/>
  <c r="AG120" i="12"/>
  <c r="AF120" i="12"/>
  <c r="AE120" i="12"/>
  <c r="AD120" i="12"/>
  <c r="AB120" i="12"/>
  <c r="W121" i="12"/>
  <c r="F122" i="12"/>
  <c r="D122" i="12" s="1"/>
  <c r="F123" i="12" l="1"/>
  <c r="D123" i="12"/>
  <c r="W122" i="12"/>
  <c r="AB121" i="12"/>
  <c r="AE121" i="12"/>
  <c r="AD121" i="12"/>
  <c r="AG121" i="12"/>
  <c r="AF121" i="12"/>
  <c r="X123" i="12"/>
  <c r="AC122" i="12"/>
  <c r="C121" i="12"/>
  <c r="B121" i="12" s="1"/>
  <c r="G122" i="12"/>
  <c r="E122" i="12" s="1"/>
  <c r="C122" i="12" l="1"/>
  <c r="B122" i="12" s="1"/>
  <c r="AC123" i="12"/>
  <c r="X124" i="12"/>
  <c r="F124" i="12"/>
  <c r="D124" i="12" s="1"/>
  <c r="G123" i="12"/>
  <c r="E123" i="12" s="1"/>
  <c r="W123" i="12"/>
  <c r="AB122" i="12"/>
  <c r="AD122" i="12"/>
  <c r="AG122" i="12"/>
  <c r="AF122" i="12"/>
  <c r="AE122" i="12"/>
  <c r="C123" i="12" l="1"/>
  <c r="B123" i="12" s="1"/>
  <c r="F125" i="12"/>
  <c r="D125" i="12" s="1"/>
  <c r="C124" i="12"/>
  <c r="X125" i="12"/>
  <c r="AC124" i="12"/>
  <c r="G124" i="12"/>
  <c r="E124" i="12" s="1"/>
  <c r="AG123" i="12"/>
  <c r="AF123" i="12"/>
  <c r="AE123" i="12"/>
  <c r="AD123" i="12"/>
  <c r="W124" i="12"/>
  <c r="AB123" i="12"/>
  <c r="B124" i="12" l="1"/>
  <c r="G125" i="12"/>
  <c r="E125" i="12" s="1"/>
  <c r="C125" i="12"/>
  <c r="B125" i="12" s="1"/>
  <c r="F126" i="12"/>
  <c r="D126" i="12" s="1"/>
  <c r="AF124" i="12"/>
  <c r="AE124" i="12"/>
  <c r="AD124" i="12"/>
  <c r="AG124" i="12"/>
  <c r="AB124" i="12"/>
  <c r="W125" i="12"/>
  <c r="X126" i="12"/>
  <c r="AC125" i="12"/>
  <c r="AE125" i="12" l="1"/>
  <c r="AD125" i="12"/>
  <c r="AG125" i="12"/>
  <c r="AF125" i="12"/>
  <c r="W126" i="12"/>
  <c r="AB125" i="12"/>
  <c r="F127" i="12"/>
  <c r="D127" i="12" s="1"/>
  <c r="G126" i="12"/>
  <c r="E126" i="12" s="1"/>
  <c r="X127" i="12"/>
  <c r="AC126" i="12"/>
  <c r="C126" i="12"/>
  <c r="B126" i="12" s="1"/>
  <c r="AC127" i="12" l="1"/>
  <c r="X128" i="12"/>
  <c r="F128" i="12"/>
  <c r="D128" i="12" s="1"/>
  <c r="AD126" i="12"/>
  <c r="AG126" i="12"/>
  <c r="AF126" i="12"/>
  <c r="AE126" i="12"/>
  <c r="C127" i="12"/>
  <c r="B127" i="12" s="1"/>
  <c r="G127" i="12"/>
  <c r="E127" i="12" s="1"/>
  <c r="W127" i="12"/>
  <c r="AB126" i="12"/>
  <c r="C128" i="12" l="1"/>
  <c r="B128" i="12" s="1"/>
  <c r="G128" i="12"/>
  <c r="E128" i="12" s="1"/>
  <c r="AC128" i="12"/>
  <c r="X129" i="12"/>
  <c r="F129" i="12"/>
  <c r="D129" i="12" s="1"/>
  <c r="AB127" i="12"/>
  <c r="W128" i="12"/>
  <c r="AG127" i="12"/>
  <c r="AF127" i="12"/>
  <c r="AE127" i="12"/>
  <c r="AD127" i="12"/>
  <c r="C129" i="12" l="1"/>
  <c r="B129" i="12" s="1"/>
  <c r="F130" i="12"/>
  <c r="D130" i="12" s="1"/>
  <c r="G129" i="12"/>
  <c r="E129" i="12" s="1"/>
  <c r="W129" i="12"/>
  <c r="AB128" i="12"/>
  <c r="X130" i="12"/>
  <c r="AC129" i="12"/>
  <c r="AD128" i="12"/>
  <c r="AG128" i="12"/>
  <c r="AF128" i="12"/>
  <c r="AE128" i="12"/>
  <c r="X131" i="12" l="1"/>
  <c r="AC130" i="12"/>
  <c r="F131" i="12"/>
  <c r="D131" i="12" s="1"/>
  <c r="AB129" i="12"/>
  <c r="W130" i="12"/>
  <c r="AF129" i="12"/>
  <c r="AE129" i="12"/>
  <c r="AD129" i="12"/>
  <c r="AG129" i="12"/>
  <c r="G130" i="12"/>
  <c r="E130" i="12" s="1"/>
  <c r="C130" i="12"/>
  <c r="B130" i="12" s="1"/>
  <c r="G131" i="12" l="1"/>
  <c r="E131" i="12" s="1"/>
  <c r="C131" i="12"/>
  <c r="B131" i="12" s="1"/>
  <c r="AD130" i="12"/>
  <c r="AG130" i="12"/>
  <c r="AF130" i="12"/>
  <c r="AE130" i="12"/>
  <c r="F132" i="12"/>
  <c r="D132" i="12" s="1"/>
  <c r="W131" i="12"/>
  <c r="AB130" i="12"/>
  <c r="AC131" i="12"/>
  <c r="X132" i="12"/>
  <c r="X133" i="12" l="1"/>
  <c r="AC132" i="12"/>
  <c r="AD131" i="12"/>
  <c r="AG131" i="12"/>
  <c r="AF131" i="12"/>
  <c r="AE131" i="12"/>
  <c r="W132" i="12"/>
  <c r="AB131" i="12"/>
  <c r="C132" i="12"/>
  <c r="B132" i="12" s="1"/>
  <c r="F133" i="12"/>
  <c r="D133" i="12" s="1"/>
  <c r="G132" i="12"/>
  <c r="E132" i="12" s="1"/>
  <c r="G133" i="12" l="1"/>
  <c r="E133" i="12" s="1"/>
  <c r="C133" i="12"/>
  <c r="B133" i="12" s="1"/>
  <c r="F134" i="12"/>
  <c r="D134" i="12" s="1"/>
  <c r="AB132" i="12"/>
  <c r="W133" i="12"/>
  <c r="AF132" i="12"/>
  <c r="AE132" i="12"/>
  <c r="AD132" i="12"/>
  <c r="AG132" i="12"/>
  <c r="X134" i="12"/>
  <c r="AC133" i="12"/>
  <c r="W134" i="12" l="1"/>
  <c r="AB133" i="12"/>
  <c r="AD133" i="12"/>
  <c r="AG133" i="12"/>
  <c r="AF133" i="12"/>
  <c r="AE133" i="12"/>
  <c r="F135" i="12"/>
  <c r="D135" i="12"/>
  <c r="C134" i="12"/>
  <c r="B134" i="12" s="1"/>
  <c r="AC134" i="12"/>
  <c r="X135" i="12"/>
  <c r="G134" i="12"/>
  <c r="E134" i="12" s="1"/>
  <c r="C135" i="12" l="1"/>
  <c r="B135" i="12" s="1"/>
  <c r="G135" i="12"/>
  <c r="E135" i="12" s="1"/>
  <c r="X136" i="12"/>
  <c r="AC135" i="12"/>
  <c r="AD134" i="12"/>
  <c r="AE134" i="12"/>
  <c r="AG134" i="12"/>
  <c r="AF134" i="12"/>
  <c r="F136" i="12"/>
  <c r="D136" i="12" s="1"/>
  <c r="W135" i="12"/>
  <c r="AB134" i="12"/>
  <c r="F137" i="12" l="1"/>
  <c r="D137" i="12" s="1"/>
  <c r="G136" i="12"/>
  <c r="E136" i="12"/>
  <c r="C136" i="12"/>
  <c r="B136" i="12" s="1"/>
  <c r="AF135" i="12"/>
  <c r="AG135" i="12"/>
  <c r="AE135" i="12"/>
  <c r="AD135" i="12"/>
  <c r="AB135" i="12"/>
  <c r="W136" i="12"/>
  <c r="AC136" i="12"/>
  <c r="X137" i="12"/>
  <c r="AB136" i="12" l="1"/>
  <c r="W137" i="12"/>
  <c r="C137" i="12"/>
  <c r="B137" i="12"/>
  <c r="G137" i="12"/>
  <c r="E137" i="12" s="1"/>
  <c r="X138" i="12"/>
  <c r="AC137" i="12"/>
  <c r="F138" i="12"/>
  <c r="D138" i="12" s="1"/>
  <c r="AD136" i="12"/>
  <c r="AE136" i="12"/>
  <c r="AG136" i="12"/>
  <c r="AF136" i="12"/>
  <c r="AD137" i="12" l="1"/>
  <c r="AG137" i="12"/>
  <c r="AF137" i="12"/>
  <c r="AE137" i="12"/>
  <c r="X139" i="12"/>
  <c r="AC138" i="12"/>
  <c r="W138" i="12"/>
  <c r="AB137" i="12"/>
  <c r="G138" i="12"/>
  <c r="E138" i="12" s="1"/>
  <c r="F139" i="12"/>
  <c r="D139" i="12" s="1"/>
  <c r="C138" i="12"/>
  <c r="B138" i="12" s="1"/>
  <c r="F140" i="12" l="1"/>
  <c r="D140" i="12" s="1"/>
  <c r="AB138" i="12"/>
  <c r="W139" i="12"/>
  <c r="C139" i="12"/>
  <c r="B139" i="12" s="1"/>
  <c r="AF138" i="12"/>
  <c r="AE138" i="12"/>
  <c r="AG138" i="12"/>
  <c r="AD138" i="12"/>
  <c r="G139" i="12"/>
  <c r="E139" i="12" s="1"/>
  <c r="AC139" i="12"/>
  <c r="X140" i="12"/>
  <c r="W140" i="12" l="1"/>
  <c r="AB139" i="12"/>
  <c r="G140" i="12"/>
  <c r="E140" i="12" s="1"/>
  <c r="C140" i="12"/>
  <c r="B140" i="12" s="1"/>
  <c r="X141" i="12"/>
  <c r="AC140" i="12"/>
  <c r="AD139" i="12"/>
  <c r="AG139" i="12"/>
  <c r="AE139" i="12"/>
  <c r="AF139" i="12"/>
  <c r="F141" i="12"/>
  <c r="D141" i="12" s="1"/>
  <c r="AF140" i="12" l="1"/>
  <c r="AE140" i="12"/>
  <c r="AG140" i="12"/>
  <c r="AD140" i="12"/>
  <c r="G141" i="12"/>
  <c r="E141" i="12" s="1"/>
  <c r="AC141" i="12"/>
  <c r="X142" i="12"/>
  <c r="C141" i="12"/>
  <c r="B141" i="12" s="1"/>
  <c r="F142" i="12"/>
  <c r="D142" i="12" s="1"/>
  <c r="AB140" i="12"/>
  <c r="W141" i="12"/>
  <c r="X143" i="12" l="1"/>
  <c r="AC142" i="12"/>
  <c r="F143" i="12"/>
  <c r="D143" i="12" s="1"/>
  <c r="AD141" i="12"/>
  <c r="AG141" i="12"/>
  <c r="AE141" i="12"/>
  <c r="AF141" i="12"/>
  <c r="W142" i="12"/>
  <c r="AB141" i="12"/>
  <c r="C142" i="12"/>
  <c r="B142" i="12" s="1"/>
  <c r="G142" i="12"/>
  <c r="E142" i="12" s="1"/>
  <c r="C143" i="12" l="1"/>
  <c r="B143" i="12" s="1"/>
  <c r="AB142" i="12"/>
  <c r="W143" i="12"/>
  <c r="F144" i="12"/>
  <c r="D144" i="12" s="1"/>
  <c r="AF142" i="12"/>
  <c r="AE142" i="12"/>
  <c r="AG142" i="12"/>
  <c r="AD142" i="12"/>
  <c r="G143" i="12"/>
  <c r="E143" i="12" s="1"/>
  <c r="AC143" i="12"/>
  <c r="X144" i="12"/>
  <c r="X145" i="12" l="1"/>
  <c r="AC144" i="12"/>
  <c r="AD143" i="12"/>
  <c r="AG143" i="12"/>
  <c r="AE143" i="12"/>
  <c r="AF143" i="12"/>
  <c r="C144" i="12"/>
  <c r="B144" i="12" s="1"/>
  <c r="W144" i="12"/>
  <c r="AB143" i="12"/>
  <c r="G144" i="12"/>
  <c r="E144" i="12" s="1"/>
  <c r="F145" i="12"/>
  <c r="D145" i="12" s="1"/>
  <c r="G145" i="12" l="1"/>
  <c r="E145" i="12" s="1"/>
  <c r="C145" i="12"/>
  <c r="B145" i="12" s="1"/>
  <c r="F146" i="12"/>
  <c r="D146" i="12" s="1"/>
  <c r="AF144" i="12"/>
  <c r="AE144" i="12"/>
  <c r="AG144" i="12"/>
  <c r="AD144" i="12"/>
  <c r="AB144" i="12"/>
  <c r="W145" i="12"/>
  <c r="AC145" i="12"/>
  <c r="X146" i="12"/>
  <c r="X147" i="12" l="1"/>
  <c r="AC146" i="12"/>
  <c r="W146" i="12"/>
  <c r="AB145" i="12"/>
  <c r="C146" i="12"/>
  <c r="B146" i="12" s="1"/>
  <c r="AD145" i="12"/>
  <c r="AG145" i="12"/>
  <c r="AE145" i="12"/>
  <c r="AF145" i="12"/>
  <c r="F147" i="12"/>
  <c r="D147" i="12" s="1"/>
  <c r="G146" i="12"/>
  <c r="E146" i="12" s="1"/>
  <c r="F148" i="12" l="1"/>
  <c r="D148" i="12" s="1"/>
  <c r="AB146" i="12"/>
  <c r="W147" i="12"/>
  <c r="G147" i="12"/>
  <c r="E147" i="12" s="1"/>
  <c r="AF146" i="12"/>
  <c r="AE146" i="12"/>
  <c r="AG146" i="12"/>
  <c r="AD146" i="12"/>
  <c r="C147" i="12"/>
  <c r="B147" i="12" s="1"/>
  <c r="AC147" i="12"/>
  <c r="X148" i="12"/>
  <c r="W148" i="12" l="1"/>
  <c r="AB147" i="12"/>
  <c r="X149" i="12"/>
  <c r="AC148" i="12"/>
  <c r="C148" i="12"/>
  <c r="B148" i="12" s="1"/>
  <c r="AD147" i="12"/>
  <c r="AG147" i="12"/>
  <c r="AE147" i="12"/>
  <c r="AF147" i="12"/>
  <c r="G148" i="12"/>
  <c r="E148" i="12" s="1"/>
  <c r="F149" i="12"/>
  <c r="D149" i="12" s="1"/>
  <c r="AF148" i="12" l="1"/>
  <c r="AE148" i="12"/>
  <c r="AG148" i="12"/>
  <c r="AD148" i="12"/>
  <c r="C149" i="12"/>
  <c r="B149" i="12" s="1"/>
  <c r="AC149" i="12"/>
  <c r="X150" i="12"/>
  <c r="G149" i="12"/>
  <c r="E149" i="12" s="1"/>
  <c r="F150" i="12"/>
  <c r="D150" i="12"/>
  <c r="AB148" i="12"/>
  <c r="W149" i="12"/>
  <c r="W150" i="12" l="1"/>
  <c r="AB149" i="12"/>
  <c r="G150" i="12"/>
  <c r="E150" i="12" s="1"/>
  <c r="X151" i="12"/>
  <c r="AC150" i="12"/>
  <c r="F151" i="12"/>
  <c r="D151" i="12" s="1"/>
  <c r="AD149" i="12"/>
  <c r="AG149" i="12"/>
  <c r="AE149" i="12"/>
  <c r="AF149" i="12"/>
  <c r="C150" i="12"/>
  <c r="B150" i="12" s="1"/>
  <c r="F152" i="12" l="1"/>
  <c r="D152" i="12" s="1"/>
  <c r="G151" i="12"/>
  <c r="E151" i="12" s="1"/>
  <c r="C151" i="12"/>
  <c r="B151" i="12" s="1"/>
  <c r="AF150" i="12"/>
  <c r="AE150" i="12"/>
  <c r="AG150" i="12"/>
  <c r="AD150" i="12"/>
  <c r="AC151" i="12"/>
  <c r="X152" i="12"/>
  <c r="AB150" i="12"/>
  <c r="W151" i="12"/>
  <c r="X153" i="12" l="1"/>
  <c r="AC152" i="12"/>
  <c r="C152" i="12"/>
  <c r="B152" i="12" s="1"/>
  <c r="AD151" i="12"/>
  <c r="AG151" i="12"/>
  <c r="AE151" i="12"/>
  <c r="AF151" i="12"/>
  <c r="G152" i="12"/>
  <c r="E152" i="12" s="1"/>
  <c r="W152" i="12"/>
  <c r="AB151" i="12"/>
  <c r="F153" i="12"/>
  <c r="D153" i="12" s="1"/>
  <c r="F154" i="12" l="1"/>
  <c r="D154" i="12" s="1"/>
  <c r="C153" i="12"/>
  <c r="B153" i="12" s="1"/>
  <c r="AB152" i="12"/>
  <c r="W153" i="12"/>
  <c r="G153" i="12"/>
  <c r="E153" i="12" s="1"/>
  <c r="AF152" i="12"/>
  <c r="AE152" i="12"/>
  <c r="AG152" i="12"/>
  <c r="AD152" i="12"/>
  <c r="X154" i="12"/>
  <c r="AC153" i="12"/>
  <c r="G154" i="12" l="1"/>
  <c r="E154" i="12"/>
  <c r="C154" i="12"/>
  <c r="B154" i="12" s="1"/>
  <c r="AD153" i="12"/>
  <c r="AG153" i="12"/>
  <c r="AF153" i="12"/>
  <c r="AE153" i="12"/>
  <c r="W154" i="12"/>
  <c r="AB153" i="12"/>
  <c r="X155" i="12"/>
  <c r="AC154" i="12"/>
  <c r="F155" i="12"/>
  <c r="D155" i="12" s="1"/>
  <c r="F156" i="12" l="1"/>
  <c r="D156" i="12" s="1"/>
  <c r="AB154" i="12"/>
  <c r="W155" i="12"/>
  <c r="AF154" i="12"/>
  <c r="AE154" i="12"/>
  <c r="AD154" i="12"/>
  <c r="AG154" i="12"/>
  <c r="X156" i="12"/>
  <c r="AC155" i="12"/>
  <c r="C155" i="12"/>
  <c r="B155" i="12" s="1"/>
  <c r="G155" i="12"/>
  <c r="E155" i="12" s="1"/>
  <c r="W156" i="12" l="1"/>
  <c r="AB155" i="12"/>
  <c r="AD155" i="12"/>
  <c r="AG155" i="12"/>
  <c r="AF155" i="12"/>
  <c r="AE155" i="12"/>
  <c r="G156" i="12"/>
  <c r="E156" i="12" s="1"/>
  <c r="C156" i="12"/>
  <c r="B156" i="12" s="1"/>
  <c r="X157" i="12"/>
  <c r="AC156" i="12"/>
  <c r="F157" i="12"/>
  <c r="D157" i="12" s="1"/>
  <c r="AF156" i="12" l="1"/>
  <c r="AE156" i="12"/>
  <c r="AD156" i="12"/>
  <c r="AG156" i="12"/>
  <c r="C157" i="12"/>
  <c r="B157" i="12" s="1"/>
  <c r="X158" i="12"/>
  <c r="AC157" i="12"/>
  <c r="G157" i="12"/>
  <c r="E157" i="12" s="1"/>
  <c r="F158" i="12"/>
  <c r="D158" i="12" s="1"/>
  <c r="AB156" i="12"/>
  <c r="W157" i="12"/>
  <c r="W158" i="12" l="1"/>
  <c r="AB157" i="12"/>
  <c r="AD157" i="12"/>
  <c r="AG157" i="12"/>
  <c r="AF157" i="12"/>
  <c r="AE157" i="12"/>
  <c r="F159" i="12"/>
  <c r="D159" i="12" s="1"/>
  <c r="X159" i="12"/>
  <c r="AC158" i="12"/>
  <c r="G158" i="12"/>
  <c r="E158" i="12"/>
  <c r="C158" i="12"/>
  <c r="B158" i="12" s="1"/>
  <c r="C159" i="12" l="1"/>
  <c r="B159" i="12" s="1"/>
  <c r="F160" i="12"/>
  <c r="D160" i="12" s="1"/>
  <c r="G159" i="12"/>
  <c r="E159" i="12" s="1"/>
  <c r="AF158" i="12"/>
  <c r="AE158" i="12"/>
  <c r="AD158" i="12"/>
  <c r="AG158" i="12"/>
  <c r="X160" i="12"/>
  <c r="AC159" i="12"/>
  <c r="AB158" i="12"/>
  <c r="W159" i="12"/>
  <c r="AD159" i="12" l="1"/>
  <c r="AG159" i="12"/>
  <c r="AF159" i="12"/>
  <c r="AE159" i="12"/>
  <c r="X161" i="12"/>
  <c r="AC160" i="12"/>
  <c r="F161" i="12"/>
  <c r="D161" i="12" s="1"/>
  <c r="W160" i="12"/>
  <c r="AB159" i="12"/>
  <c r="G160" i="12"/>
  <c r="E160" i="12"/>
  <c r="C160" i="12"/>
  <c r="B160" i="12" s="1"/>
  <c r="G161" i="12" l="1"/>
  <c r="E161" i="12" s="1"/>
  <c r="F162" i="12"/>
  <c r="D162" i="12"/>
  <c r="AF160" i="12"/>
  <c r="AE160" i="12"/>
  <c r="AD160" i="12"/>
  <c r="AG160" i="12"/>
  <c r="C161" i="12"/>
  <c r="B161" i="12" s="1"/>
  <c r="AB160" i="12"/>
  <c r="W161" i="12"/>
  <c r="X162" i="12"/>
  <c r="AC161" i="12"/>
  <c r="W162" i="12" l="1"/>
  <c r="AB161" i="12"/>
  <c r="F163" i="12"/>
  <c r="D163" i="12" s="1"/>
  <c r="AD161" i="12"/>
  <c r="AG161" i="12"/>
  <c r="AF161" i="12"/>
  <c r="AE161" i="12"/>
  <c r="G162" i="12"/>
  <c r="E162" i="12" s="1"/>
  <c r="X163" i="12"/>
  <c r="AC162" i="12"/>
  <c r="C162" i="12"/>
  <c r="B162" i="12" s="1"/>
  <c r="AF162" i="12" l="1"/>
  <c r="AE162" i="12"/>
  <c r="AD162" i="12"/>
  <c r="AG162" i="12"/>
  <c r="F164" i="12"/>
  <c r="D164" i="12" s="1"/>
  <c r="X164" i="12"/>
  <c r="AC163" i="12"/>
  <c r="C163" i="12"/>
  <c r="B163" i="12" s="1"/>
  <c r="G163" i="12"/>
  <c r="E163" i="12" s="1"/>
  <c r="AB162" i="12"/>
  <c r="W163" i="12"/>
  <c r="G164" i="12" l="1"/>
  <c r="E164" i="12"/>
  <c r="AD163" i="12"/>
  <c r="AG163" i="12"/>
  <c r="AF163" i="12"/>
  <c r="AE163" i="12"/>
  <c r="C164" i="12"/>
  <c r="B164" i="12" s="1"/>
  <c r="X165" i="12"/>
  <c r="AC164" i="12"/>
  <c r="W164" i="12"/>
  <c r="AB163" i="12"/>
  <c r="F165" i="12"/>
  <c r="D165" i="12" s="1"/>
  <c r="AB164" i="12" l="1"/>
  <c r="W165" i="12"/>
  <c r="AF164" i="12"/>
  <c r="AE164" i="12"/>
  <c r="AD164" i="12"/>
  <c r="AG164" i="12"/>
  <c r="C165" i="12"/>
  <c r="B165" i="12"/>
  <c r="F166" i="12"/>
  <c r="D166" i="12" s="1"/>
  <c r="X166" i="12"/>
  <c r="AC165" i="12"/>
  <c r="G165" i="12"/>
  <c r="E165" i="12" s="1"/>
  <c r="X167" i="12" l="1"/>
  <c r="AC166" i="12"/>
  <c r="G166" i="12"/>
  <c r="E166" i="12"/>
  <c r="W166" i="12"/>
  <c r="AB165" i="12"/>
  <c r="AD165" i="12"/>
  <c r="AG165" i="12"/>
  <c r="AF165" i="12"/>
  <c r="AE165" i="12"/>
  <c r="C166" i="12"/>
  <c r="B166" i="12" s="1"/>
  <c r="F167" i="12"/>
  <c r="D167" i="12" s="1"/>
  <c r="C167" i="12" l="1"/>
  <c r="B167" i="12" s="1"/>
  <c r="G167" i="12"/>
  <c r="E167" i="12" s="1"/>
  <c r="F168" i="12"/>
  <c r="D168" i="12" s="1"/>
  <c r="AF166" i="12"/>
  <c r="AE166" i="12"/>
  <c r="AD166" i="12"/>
  <c r="AG166" i="12"/>
  <c r="AB166" i="12"/>
  <c r="W167" i="12"/>
  <c r="X168" i="12"/>
  <c r="AC167" i="12"/>
  <c r="G168" i="12" l="1"/>
  <c r="E168" i="12" s="1"/>
  <c r="C168" i="12"/>
  <c r="B168" i="12" s="1"/>
  <c r="W168" i="12"/>
  <c r="AB167" i="12"/>
  <c r="AD167" i="12"/>
  <c r="AG167" i="12"/>
  <c r="AF167" i="12"/>
  <c r="AE167" i="12"/>
  <c r="AC168" i="12"/>
  <c r="X169" i="12"/>
  <c r="F169" i="12"/>
  <c r="D169" i="12" s="1"/>
  <c r="X170" i="12" l="1"/>
  <c r="AC169" i="12"/>
  <c r="AG168" i="12"/>
  <c r="AF168" i="12"/>
  <c r="AE168" i="12"/>
  <c r="AD168" i="12"/>
  <c r="F170" i="12"/>
  <c r="D170" i="12"/>
  <c r="C169" i="12"/>
  <c r="B169" i="12" s="1"/>
  <c r="AB168" i="12"/>
  <c r="W169" i="12"/>
  <c r="G169" i="12"/>
  <c r="E169" i="12" s="1"/>
  <c r="C170" i="12" l="1"/>
  <c r="B170" i="12" s="1"/>
  <c r="W170" i="12"/>
  <c r="AB169" i="12"/>
  <c r="F171" i="12"/>
  <c r="D171" i="12" s="1"/>
  <c r="G170" i="12"/>
  <c r="E170" i="12" s="1"/>
  <c r="AE169" i="12"/>
  <c r="AD169" i="12"/>
  <c r="AG169" i="12"/>
  <c r="AF169" i="12"/>
  <c r="AC170" i="12"/>
  <c r="X171" i="12"/>
  <c r="X172" i="12" l="1"/>
  <c r="AC171" i="12"/>
  <c r="AG170" i="12"/>
  <c r="AF170" i="12"/>
  <c r="AE170" i="12"/>
  <c r="AD170" i="12"/>
  <c r="C171" i="12"/>
  <c r="B171" i="12" s="1"/>
  <c r="G171" i="12"/>
  <c r="E171" i="12" s="1"/>
  <c r="AB170" i="12"/>
  <c r="W171" i="12"/>
  <c r="F172" i="12"/>
  <c r="D172" i="12" s="1"/>
  <c r="G172" i="12" l="1"/>
  <c r="E172" i="12" s="1"/>
  <c r="AE171" i="12"/>
  <c r="AD171" i="12"/>
  <c r="AG171" i="12"/>
  <c r="AF171" i="12"/>
  <c r="W172" i="12"/>
  <c r="AB171" i="12"/>
  <c r="F173" i="12"/>
  <c r="D173" i="12" s="1"/>
  <c r="C172" i="12"/>
  <c r="B172" i="12" s="1"/>
  <c r="AC172" i="12"/>
  <c r="X173" i="12"/>
  <c r="AB172" i="12" l="1"/>
  <c r="W173" i="12"/>
  <c r="X174" i="12"/>
  <c r="AC173" i="12"/>
  <c r="F174" i="12"/>
  <c r="D174" i="12" s="1"/>
  <c r="C173" i="12"/>
  <c r="B173" i="12" s="1"/>
  <c r="AG172" i="12"/>
  <c r="AF172" i="12"/>
  <c r="AE172" i="12"/>
  <c r="AD172" i="12"/>
  <c r="G173" i="12"/>
  <c r="E173" i="12" s="1"/>
  <c r="AE173" i="12" l="1"/>
  <c r="AD173" i="12"/>
  <c r="AG173" i="12"/>
  <c r="AF173" i="12"/>
  <c r="AC174" i="12"/>
  <c r="X175" i="12"/>
  <c r="G174" i="12"/>
  <c r="E174" i="12"/>
  <c r="W174" i="12"/>
  <c r="AB173" i="12"/>
  <c r="C174" i="12"/>
  <c r="B174" i="12" s="1"/>
  <c r="F175" i="12"/>
  <c r="D175" i="12" s="1"/>
  <c r="G175" i="12" l="1"/>
  <c r="E175" i="12" s="1"/>
  <c r="C175" i="12"/>
  <c r="B175" i="12" s="1"/>
  <c r="F176" i="12"/>
  <c r="D176" i="12" s="1"/>
  <c r="X176" i="12"/>
  <c r="AC175" i="12"/>
  <c r="AB174" i="12"/>
  <c r="W175" i="12"/>
  <c r="AG174" i="12"/>
  <c r="AF174" i="12"/>
  <c r="AE174" i="12"/>
  <c r="AD174" i="12"/>
  <c r="AE175" i="12" l="1"/>
  <c r="AD175" i="12"/>
  <c r="AG175" i="12"/>
  <c r="AF175" i="12"/>
  <c r="AC176" i="12"/>
  <c r="X177" i="12"/>
  <c r="W176" i="12"/>
  <c r="AB175" i="12"/>
  <c r="G176" i="12"/>
  <c r="E176" i="12" s="1"/>
  <c r="F177" i="12"/>
  <c r="D177" i="12" s="1"/>
  <c r="C176" i="12"/>
  <c r="B176" i="12" s="1"/>
  <c r="G177" i="12" l="1"/>
  <c r="E177" i="12" s="1"/>
  <c r="F178" i="12"/>
  <c r="D178" i="12" s="1"/>
  <c r="AB176" i="12"/>
  <c r="W177" i="12"/>
  <c r="C177" i="12"/>
  <c r="B177" i="12" s="1"/>
  <c r="X178" i="12"/>
  <c r="AC177" i="12"/>
  <c r="AG176" i="12"/>
  <c r="AF176" i="12"/>
  <c r="AE176" i="12"/>
  <c r="AD176" i="12"/>
  <c r="F179" i="12" l="1"/>
  <c r="D179" i="12" s="1"/>
  <c r="G178" i="12"/>
  <c r="E178" i="12" s="1"/>
  <c r="AE177" i="12"/>
  <c r="AD177" i="12"/>
  <c r="AG177" i="12"/>
  <c r="AF177" i="12"/>
  <c r="W178" i="12"/>
  <c r="AB177" i="12"/>
  <c r="AC178" i="12"/>
  <c r="X179" i="12"/>
  <c r="C178" i="12"/>
  <c r="B178" i="12" s="1"/>
  <c r="X180" i="12" l="1"/>
  <c r="AC179" i="12"/>
  <c r="AG178" i="12"/>
  <c r="AF178" i="12"/>
  <c r="AE178" i="12"/>
  <c r="AD178" i="12"/>
  <c r="G179" i="12"/>
  <c r="E179" i="12" s="1"/>
  <c r="C179" i="12"/>
  <c r="B179" i="12" s="1"/>
  <c r="F180" i="12"/>
  <c r="D180" i="12" s="1"/>
  <c r="AB178" i="12"/>
  <c r="W179" i="12"/>
  <c r="G180" i="12" l="1"/>
  <c r="E180" i="12" s="1"/>
  <c r="F181" i="12"/>
  <c r="D181" i="12" s="1"/>
  <c r="C180" i="12"/>
  <c r="B180" i="12" s="1"/>
  <c r="W180" i="12"/>
  <c r="AB179" i="12"/>
  <c r="AE179" i="12"/>
  <c r="AD179" i="12"/>
  <c r="AG179" i="12"/>
  <c r="AF179" i="12"/>
  <c r="AC180" i="12"/>
  <c r="X181" i="12"/>
  <c r="X182" i="12" l="1"/>
  <c r="AC181" i="12"/>
  <c r="F182" i="12"/>
  <c r="D182" i="12" s="1"/>
  <c r="AB180" i="12"/>
  <c r="W181" i="12"/>
  <c r="C181" i="12"/>
  <c r="B181" i="12" s="1"/>
  <c r="AG180" i="12"/>
  <c r="AF180" i="12"/>
  <c r="AE180" i="12"/>
  <c r="AD180" i="12"/>
  <c r="G181" i="12"/>
  <c r="E181" i="12" s="1"/>
  <c r="F183" i="12" l="1"/>
  <c r="D183" i="12" s="1"/>
  <c r="G182" i="12"/>
  <c r="E182" i="12" s="1"/>
  <c r="W182" i="12"/>
  <c r="AB181" i="12"/>
  <c r="AE181" i="12"/>
  <c r="AD181" i="12"/>
  <c r="AG181" i="12"/>
  <c r="AF181" i="12"/>
  <c r="C182" i="12"/>
  <c r="B182" i="12" s="1"/>
  <c r="X183" i="12"/>
  <c r="AC182" i="12"/>
  <c r="G183" i="12" l="1"/>
  <c r="E183" i="12" s="1"/>
  <c r="C183" i="12"/>
  <c r="B183" i="12" s="1"/>
  <c r="F184" i="12"/>
  <c r="D184" i="12" s="1"/>
  <c r="AF182" i="12"/>
  <c r="AG182" i="12"/>
  <c r="AE182" i="12"/>
  <c r="AD182" i="12"/>
  <c r="AC183" i="12"/>
  <c r="X184" i="12"/>
  <c r="W183" i="12"/>
  <c r="AB182" i="12"/>
  <c r="AD183" i="12" l="1"/>
  <c r="AE183" i="12"/>
  <c r="AG183" i="12"/>
  <c r="AF183" i="12"/>
  <c r="C184" i="12"/>
  <c r="B184" i="12" s="1"/>
  <c r="X185" i="12"/>
  <c r="AC184" i="12"/>
  <c r="W184" i="12"/>
  <c r="AB183" i="12"/>
  <c r="F185" i="12"/>
  <c r="D185" i="12" s="1"/>
  <c r="G184" i="12"/>
  <c r="E184" i="12"/>
  <c r="C185" i="12" l="1"/>
  <c r="B185" i="12" s="1"/>
  <c r="G185" i="12"/>
  <c r="E185" i="12" s="1"/>
  <c r="AB184" i="12"/>
  <c r="W185" i="12"/>
  <c r="F186" i="12"/>
  <c r="D186" i="12" s="1"/>
  <c r="AF184" i="12"/>
  <c r="AG184" i="12"/>
  <c r="AE184" i="12"/>
  <c r="AD184" i="12"/>
  <c r="AC185" i="12"/>
  <c r="X186" i="12"/>
  <c r="AD185" i="12" l="1"/>
  <c r="AE185" i="12"/>
  <c r="AG185" i="12"/>
  <c r="AF185" i="12"/>
  <c r="C186" i="12"/>
  <c r="B186" i="12" s="1"/>
  <c r="F187" i="12"/>
  <c r="D187" i="12" s="1"/>
  <c r="G186" i="12"/>
  <c r="E186" i="12"/>
  <c r="X187" i="12"/>
  <c r="AC186" i="12"/>
  <c r="W186" i="12"/>
  <c r="AB185" i="12"/>
  <c r="AF186" i="12" l="1"/>
  <c r="AG186" i="12"/>
  <c r="AE186" i="12"/>
  <c r="AD186" i="12"/>
  <c r="AC187" i="12"/>
  <c r="X188" i="12"/>
  <c r="F188" i="12"/>
  <c r="D188" i="12" s="1"/>
  <c r="C187" i="12"/>
  <c r="B187" i="12" s="1"/>
  <c r="AB186" i="12"/>
  <c r="W187" i="12"/>
  <c r="G187" i="12"/>
  <c r="E187" i="12" s="1"/>
  <c r="C188" i="12" l="1"/>
  <c r="B188" i="12" s="1"/>
  <c r="G188" i="12"/>
  <c r="E188" i="12"/>
  <c r="W188" i="12"/>
  <c r="AB187" i="12"/>
  <c r="F189" i="12"/>
  <c r="D189" i="12" s="1"/>
  <c r="X189" i="12"/>
  <c r="AC188" i="12"/>
  <c r="AD187" i="12"/>
  <c r="AE187" i="12"/>
  <c r="AG187" i="12"/>
  <c r="AF187" i="12"/>
  <c r="C189" i="12" l="1"/>
  <c r="B189" i="12" s="1"/>
  <c r="G189" i="12"/>
  <c r="E189" i="12"/>
  <c r="AF188" i="12"/>
  <c r="AG188" i="12"/>
  <c r="AE188" i="12"/>
  <c r="AD188" i="12"/>
  <c r="F190" i="12"/>
  <c r="D190" i="12" s="1"/>
  <c r="AC189" i="12"/>
  <c r="X190" i="12"/>
  <c r="AB188" i="12"/>
  <c r="W189" i="12"/>
  <c r="W190" i="12" l="1"/>
  <c r="AB189" i="12"/>
  <c r="F191" i="12"/>
  <c r="D191" i="12" s="1"/>
  <c r="AC190" i="12"/>
  <c r="X191" i="12"/>
  <c r="C190" i="12"/>
  <c r="B190" i="12" s="1"/>
  <c r="AD189" i="12"/>
  <c r="AE189" i="12"/>
  <c r="AG189" i="12"/>
  <c r="AF189" i="12"/>
  <c r="G190" i="12"/>
  <c r="E190" i="12"/>
  <c r="F192" i="12" l="1"/>
  <c r="D192" i="12"/>
  <c r="C191" i="12"/>
  <c r="B191" i="12" s="1"/>
  <c r="X192" i="12"/>
  <c r="AC191" i="12"/>
  <c r="G191" i="12"/>
  <c r="E191" i="12" s="1"/>
  <c r="AF190" i="12"/>
  <c r="AG190" i="12"/>
  <c r="AE190" i="12"/>
  <c r="AD190" i="12"/>
  <c r="AB190" i="12"/>
  <c r="W191" i="12"/>
  <c r="G192" i="12" l="1"/>
  <c r="E192" i="12" s="1"/>
  <c r="C192" i="12"/>
  <c r="B192" i="12" s="1"/>
  <c r="W192" i="12"/>
  <c r="AB191" i="12"/>
  <c r="AE191" i="12"/>
  <c r="AD191" i="12"/>
  <c r="AG191" i="12"/>
  <c r="AF191" i="12"/>
  <c r="AC192" i="12"/>
  <c r="X193" i="12"/>
  <c r="F193" i="12"/>
  <c r="D193" i="12" s="1"/>
  <c r="X194" i="12" l="1"/>
  <c r="AC193" i="12"/>
  <c r="AG192" i="12"/>
  <c r="AF192" i="12"/>
  <c r="AE192" i="12"/>
  <c r="AD192" i="12"/>
  <c r="F194" i="12"/>
  <c r="D194" i="12" s="1"/>
  <c r="C193" i="12"/>
  <c r="B193" i="12" s="1"/>
  <c r="AB192" i="12"/>
  <c r="W193" i="12"/>
  <c r="G193" i="12"/>
  <c r="E193" i="12" s="1"/>
  <c r="F195" i="12" l="1"/>
  <c r="D195" i="12" s="1"/>
  <c r="G194" i="12"/>
  <c r="E194" i="12"/>
  <c r="AF193" i="12"/>
  <c r="AE193" i="12"/>
  <c r="AD193" i="12"/>
  <c r="AG193" i="12"/>
  <c r="W194" i="12"/>
  <c r="AB193" i="12"/>
  <c r="C194" i="12"/>
  <c r="B194" i="12" s="1"/>
  <c r="AC194" i="12"/>
  <c r="X195" i="12"/>
  <c r="C195" i="12" l="1"/>
  <c r="B195" i="12" s="1"/>
  <c r="G195" i="12"/>
  <c r="E195" i="12" s="1"/>
  <c r="X196" i="12"/>
  <c r="AC195" i="12"/>
  <c r="AD194" i="12"/>
  <c r="AG194" i="12"/>
  <c r="AF194" i="12"/>
  <c r="AE194" i="12"/>
  <c r="W195" i="12"/>
  <c r="AB194" i="12"/>
  <c r="F196" i="12"/>
  <c r="D196" i="12" s="1"/>
  <c r="G196" i="12" l="1"/>
  <c r="E196" i="12"/>
  <c r="AB195" i="12"/>
  <c r="W196" i="12"/>
  <c r="C196" i="12"/>
  <c r="B196" i="12" s="1"/>
  <c r="F197" i="12"/>
  <c r="D197" i="12" s="1"/>
  <c r="AF195" i="12"/>
  <c r="AE195" i="12"/>
  <c r="AD195" i="12"/>
  <c r="AG195" i="12"/>
  <c r="AC196" i="12"/>
  <c r="X197" i="12"/>
  <c r="F198" i="12" l="1"/>
  <c r="D198" i="12" s="1"/>
  <c r="W197" i="12"/>
  <c r="AB196" i="12"/>
  <c r="C197" i="12"/>
  <c r="B197" i="12" s="1"/>
  <c r="X198" i="12"/>
  <c r="AC197" i="12"/>
  <c r="AD196" i="12"/>
  <c r="AG196" i="12"/>
  <c r="AF196" i="12"/>
  <c r="AE196" i="12"/>
  <c r="G197" i="12"/>
  <c r="E197" i="12" s="1"/>
  <c r="AF197" i="12" l="1"/>
  <c r="AE197" i="12"/>
  <c r="AD197" i="12"/>
  <c r="AG197" i="12"/>
  <c r="AC198" i="12"/>
  <c r="X199" i="12"/>
  <c r="AB197" i="12"/>
  <c r="W198" i="12"/>
  <c r="G198" i="12"/>
  <c r="E198" i="12" s="1"/>
  <c r="F199" i="12"/>
  <c r="D199" i="12"/>
  <c r="C198" i="12"/>
  <c r="B198" i="12" s="1"/>
  <c r="C199" i="12" l="1"/>
  <c r="B199" i="12" s="1"/>
  <c r="G199" i="12"/>
  <c r="E199" i="12" s="1"/>
  <c r="W199" i="12"/>
  <c r="AB198" i="12"/>
  <c r="F200" i="12"/>
  <c r="D200" i="12" s="1"/>
  <c r="X200" i="12"/>
  <c r="AC199" i="12"/>
  <c r="AD198" i="12"/>
  <c r="AG198" i="12"/>
  <c r="AF198" i="12"/>
  <c r="AE198" i="12"/>
  <c r="F201" i="12" l="1"/>
  <c r="D201" i="12"/>
  <c r="C200" i="12"/>
  <c r="B200" i="12" s="1"/>
  <c r="G200" i="12"/>
  <c r="E200" i="12"/>
  <c r="AF199" i="12"/>
  <c r="AE199" i="12"/>
  <c r="AD199" i="12"/>
  <c r="AG199" i="12"/>
  <c r="AC200" i="12"/>
  <c r="X201" i="12"/>
  <c r="AC201" i="12" s="1"/>
  <c r="AB199" i="12"/>
  <c r="W200" i="12"/>
  <c r="AF201" i="12" l="1"/>
  <c r="AE201" i="12"/>
  <c r="AD201" i="12"/>
  <c r="AG201" i="12"/>
  <c r="AD200" i="12"/>
  <c r="AG200" i="12"/>
  <c r="AF200" i="12"/>
  <c r="AE200" i="12"/>
  <c r="W201" i="12"/>
  <c r="AB201" i="12" s="1"/>
  <c r="AB200" i="12"/>
  <c r="C201" i="12"/>
  <c r="B201" i="12" s="1"/>
  <c r="G201" i="12"/>
  <c r="E201" i="12" s="1"/>
  <c r="F202" i="12"/>
  <c r="D202" i="12" s="1"/>
  <c r="C202" i="12" l="1"/>
  <c r="B202" i="12" s="1"/>
  <c r="F203" i="12"/>
  <c r="D203" i="12" s="1"/>
  <c r="G202" i="12"/>
  <c r="E202" i="12"/>
  <c r="C203" i="12" l="1"/>
  <c r="B203" i="12" s="1"/>
  <c r="F204" i="12"/>
  <c r="D204" i="12" s="1"/>
  <c r="G203" i="12"/>
  <c r="E203" i="12" s="1"/>
  <c r="C204" i="12" l="1"/>
  <c r="B204" i="12" s="1"/>
  <c r="G204" i="12"/>
  <c r="E204" i="12"/>
  <c r="F205" i="12"/>
  <c r="D205" i="12" s="1"/>
  <c r="F206" i="12" l="1"/>
  <c r="D206" i="12" s="1"/>
  <c r="C205" i="12"/>
  <c r="B205" i="12" s="1"/>
  <c r="G205" i="12"/>
  <c r="E205" i="12" s="1"/>
  <c r="C206" i="12" l="1"/>
  <c r="B206" i="12" s="1"/>
  <c r="D207" i="12"/>
  <c r="F207" i="12"/>
  <c r="G206" i="12"/>
  <c r="E206" i="12" s="1"/>
  <c r="G207" i="12" l="1"/>
  <c r="E207" i="12" s="1"/>
  <c r="C207" i="12"/>
  <c r="B207" i="12" s="1"/>
  <c r="F208" i="12"/>
  <c r="D208" i="12" s="1"/>
  <c r="F209" i="12" l="1"/>
  <c r="D209" i="12" s="1"/>
  <c r="G208" i="12"/>
  <c r="E208" i="12" s="1"/>
  <c r="C208" i="12"/>
  <c r="B208" i="12" s="1"/>
  <c r="F210" i="12" l="1"/>
  <c r="D210" i="12" s="1"/>
  <c r="C209" i="12"/>
  <c r="B209" i="12" s="1"/>
  <c r="G209" i="12"/>
  <c r="E209" i="12"/>
  <c r="C210" i="12" l="1"/>
  <c r="B210" i="12"/>
  <c r="F211" i="12"/>
  <c r="D211" i="12" s="1"/>
  <c r="G210" i="12"/>
  <c r="E210" i="12" s="1"/>
  <c r="E211" i="12" l="1"/>
  <c r="G211" i="12"/>
  <c r="C211" i="12"/>
  <c r="B211" i="12"/>
  <c r="D212" i="12"/>
  <c r="F212" i="12"/>
  <c r="D213" i="12" l="1"/>
  <c r="F213" i="12"/>
  <c r="G212" i="12"/>
  <c r="E212" i="12" s="1"/>
  <c r="B212" i="12"/>
  <c r="C212" i="12"/>
  <c r="D214" i="12" l="1"/>
  <c r="F214" i="12"/>
  <c r="C213" i="12"/>
  <c r="B213" i="12"/>
  <c r="G213" i="12"/>
  <c r="E213" i="12" s="1"/>
  <c r="C214" i="12" l="1"/>
  <c r="B214" i="12" s="1"/>
  <c r="D215" i="12"/>
  <c r="F215" i="12"/>
  <c r="G214" i="12"/>
  <c r="E214" i="12" s="1"/>
  <c r="F216" i="12" l="1"/>
  <c r="D216" i="12" s="1"/>
  <c r="G215" i="12"/>
  <c r="E215" i="12" s="1"/>
  <c r="C215" i="12"/>
  <c r="B215" i="12"/>
  <c r="G216" i="12" l="1"/>
  <c r="E216" i="12" s="1"/>
  <c r="C216" i="12"/>
  <c r="B216" i="12" s="1"/>
  <c r="F217" i="12"/>
  <c r="D217" i="12" s="1"/>
  <c r="F218" i="12" l="1"/>
  <c r="D218" i="12" s="1"/>
  <c r="C217" i="12"/>
  <c r="B217" i="12" s="1"/>
  <c r="G217" i="12"/>
  <c r="E217" i="12"/>
  <c r="C218" i="12" l="1"/>
  <c r="B218" i="12" s="1"/>
  <c r="G218" i="12"/>
  <c r="E218" i="12" s="1"/>
  <c r="F219" i="12"/>
  <c r="D219" i="12" s="1"/>
  <c r="G219" i="12" l="1"/>
  <c r="E219" i="12" s="1"/>
  <c r="C219" i="12"/>
  <c r="B219" i="12" s="1"/>
  <c r="F220" i="12"/>
  <c r="D220" i="12" s="1"/>
  <c r="F221" i="12" l="1"/>
  <c r="D221" i="12" s="1"/>
  <c r="G220" i="12"/>
  <c r="E220" i="12"/>
  <c r="C220" i="12"/>
  <c r="B220" i="12" s="1"/>
  <c r="C221" i="12" l="1"/>
  <c r="B221" i="12"/>
  <c r="G221" i="12"/>
  <c r="E221" i="12"/>
  <c r="F222" i="12"/>
  <c r="D222" i="12" s="1"/>
  <c r="C222" i="12" l="1"/>
  <c r="B222" i="12" s="1"/>
  <c r="G222" i="12"/>
  <c r="E222" i="12" s="1"/>
  <c r="F223" i="12"/>
  <c r="D223" i="12" s="1"/>
  <c r="C223" i="12" l="1"/>
  <c r="B223" i="12"/>
  <c r="G223" i="12"/>
  <c r="E223" i="12"/>
  <c r="F224" i="12"/>
  <c r="D224" i="12" s="1"/>
  <c r="C224" i="12" l="1"/>
  <c r="B224" i="12" s="1"/>
  <c r="G224" i="12"/>
  <c r="E224" i="12" s="1"/>
  <c r="F225" i="12"/>
  <c r="D225" i="12" s="1"/>
  <c r="C225" i="12" l="1"/>
  <c r="B225" i="12"/>
  <c r="G225" i="12"/>
  <c r="E225" i="12"/>
  <c r="F226" i="12"/>
  <c r="D226" i="12" s="1"/>
  <c r="C226" i="12" l="1"/>
  <c r="B226" i="12" s="1"/>
  <c r="G226" i="12"/>
  <c r="E226" i="12" s="1"/>
  <c r="F227" i="12"/>
  <c r="D227" i="12" s="1"/>
  <c r="F228" i="12" l="1"/>
  <c r="D228" i="12" s="1"/>
  <c r="C227" i="12"/>
  <c r="B227" i="12" s="1"/>
  <c r="G227" i="12"/>
  <c r="E227" i="12" s="1"/>
  <c r="C228" i="12" l="1"/>
  <c r="B228" i="12"/>
  <c r="G228" i="12"/>
  <c r="E228" i="12"/>
  <c r="F229" i="12"/>
  <c r="D229" i="12" s="1"/>
  <c r="F230" i="12" l="1"/>
  <c r="D230" i="12" s="1"/>
  <c r="C229" i="12"/>
  <c r="B229" i="12"/>
  <c r="G229" i="12"/>
  <c r="E229" i="12" s="1"/>
  <c r="C230" i="12" l="1"/>
  <c r="B230" i="12"/>
  <c r="F231" i="12"/>
  <c r="D231" i="12" s="1"/>
  <c r="G230" i="12"/>
  <c r="E230" i="12"/>
  <c r="C231" i="12" l="1"/>
  <c r="B231" i="12"/>
  <c r="G231" i="12"/>
  <c r="E231" i="12"/>
  <c r="D232" i="12"/>
  <c r="F232" i="12"/>
  <c r="D233" i="12" l="1"/>
  <c r="F233" i="12"/>
  <c r="C232" i="12"/>
  <c r="B232" i="12"/>
  <c r="G232" i="12"/>
  <c r="E232" i="12"/>
  <c r="G233" i="12" l="1"/>
  <c r="E233" i="12"/>
  <c r="C233" i="12"/>
  <c r="B233" i="12"/>
  <c r="D234" i="12"/>
  <c r="F234" i="12"/>
  <c r="D235" i="12" l="1"/>
  <c r="F235" i="12"/>
  <c r="C234" i="12"/>
  <c r="B234" i="12"/>
  <c r="G234" i="12"/>
  <c r="E234" i="12"/>
  <c r="G235" i="12" l="1"/>
  <c r="E235" i="12"/>
  <c r="C235" i="12"/>
  <c r="B235" i="12"/>
  <c r="D236" i="12"/>
  <c r="F236" i="12"/>
  <c r="D237" i="12" l="1"/>
  <c r="F237" i="12"/>
  <c r="C236" i="12"/>
  <c r="B236" i="12"/>
  <c r="G236" i="12"/>
  <c r="E236" i="12"/>
  <c r="C237" i="12" l="1"/>
  <c r="B237" i="12"/>
  <c r="G237" i="12"/>
  <c r="E237" i="12"/>
  <c r="D238" i="12"/>
  <c r="F238" i="12"/>
  <c r="C238" i="12" l="1"/>
  <c r="B238" i="12"/>
  <c r="G238" i="12"/>
  <c r="E238" i="12"/>
  <c r="D239" i="12"/>
  <c r="F239" i="12"/>
  <c r="C239" i="12" l="1"/>
  <c r="B239" i="12"/>
  <c r="G239" i="12"/>
  <c r="E239" i="12"/>
  <c r="D240" i="12"/>
  <c r="F240" i="12"/>
  <c r="D241" i="12" l="1"/>
  <c r="F241" i="12"/>
  <c r="C240" i="12"/>
  <c r="B240" i="12"/>
  <c r="G240" i="12"/>
  <c r="E240" i="12"/>
  <c r="G241" i="12" l="1"/>
  <c r="E241" i="12"/>
  <c r="C241" i="12"/>
  <c r="B241" i="12"/>
  <c r="D242" i="12"/>
  <c r="F242" i="12"/>
  <c r="D243" i="12" l="1"/>
  <c r="F243" i="12"/>
  <c r="C242" i="12"/>
  <c r="B242" i="12"/>
  <c r="G242" i="12"/>
  <c r="E242" i="12"/>
  <c r="C243" i="12" l="1"/>
  <c r="B243" i="12"/>
  <c r="G243" i="12"/>
  <c r="E243" i="12"/>
  <c r="D244" i="12"/>
  <c r="F244" i="12"/>
  <c r="D245" i="12" l="1"/>
  <c r="F245" i="12"/>
  <c r="C244" i="12"/>
  <c r="B244" i="12"/>
  <c r="G244" i="12"/>
  <c r="E244" i="12"/>
  <c r="G245" i="12" l="1"/>
  <c r="E245" i="12"/>
  <c r="C245" i="12"/>
  <c r="B245" i="12"/>
  <c r="D246" i="12"/>
  <c r="F246" i="12"/>
  <c r="D247" i="12" l="1"/>
  <c r="F247" i="12"/>
  <c r="C246" i="12"/>
  <c r="B246" i="12"/>
  <c r="G246" i="12"/>
  <c r="E246" i="12"/>
  <c r="C247" i="12" l="1"/>
  <c r="B247" i="12"/>
  <c r="D248" i="12"/>
  <c r="F248" i="12"/>
  <c r="G247" i="12"/>
  <c r="E247" i="12"/>
  <c r="G248" i="12" l="1"/>
  <c r="E248" i="12"/>
  <c r="D249" i="12"/>
  <c r="F249" i="12"/>
  <c r="C248" i="12"/>
  <c r="B248" i="12"/>
  <c r="F250" i="12" l="1"/>
  <c r="D250" i="12"/>
  <c r="C249" i="12"/>
  <c r="B249" i="12"/>
  <c r="G249" i="12"/>
  <c r="E249" i="12"/>
  <c r="C250" i="12" l="1"/>
  <c r="B250" i="12"/>
  <c r="G250" i="12"/>
  <c r="E250" i="12"/>
  <c r="D251" i="12"/>
  <c r="F251" i="12"/>
  <c r="G251" i="12" l="1"/>
  <c r="E251" i="12"/>
  <c r="C251" i="12"/>
  <c r="B251" i="12"/>
  <c r="F252" i="12"/>
  <c r="D252" i="12"/>
  <c r="C252" i="12" l="1"/>
  <c r="B252" i="12"/>
  <c r="D253" i="12"/>
  <c r="F253" i="12"/>
  <c r="G252" i="12"/>
  <c r="E252" i="12"/>
  <c r="F254" i="12" l="1"/>
  <c r="D254" i="12"/>
  <c r="C253" i="12"/>
  <c r="B253" i="12"/>
  <c r="G253" i="12"/>
  <c r="E253" i="12"/>
  <c r="C254" i="12" l="1"/>
  <c r="B254" i="12"/>
  <c r="G254" i="12"/>
  <c r="E254" i="12"/>
  <c r="D255" i="12"/>
  <c r="F255" i="12"/>
  <c r="G255" i="12" l="1"/>
  <c r="E255" i="12"/>
  <c r="F256" i="12"/>
  <c r="D256" i="12"/>
  <c r="C255" i="12"/>
  <c r="B255" i="12"/>
  <c r="D257" i="12" l="1"/>
  <c r="F257" i="12"/>
  <c r="C256" i="12"/>
  <c r="B256" i="12"/>
  <c r="G256" i="12"/>
  <c r="E256" i="12"/>
  <c r="C257" i="12" l="1"/>
  <c r="B257" i="12"/>
  <c r="G257" i="12"/>
  <c r="E257" i="12"/>
  <c r="F258" i="12"/>
  <c r="D258" i="12"/>
  <c r="C258" i="12" l="1"/>
  <c r="B258" i="12"/>
  <c r="G258" i="12"/>
  <c r="E258" i="12"/>
  <c r="D259" i="12"/>
  <c r="F259" i="12"/>
  <c r="G259" i="12" l="1"/>
  <c r="E259" i="12"/>
  <c r="C259" i="12"/>
  <c r="B259" i="12"/>
  <c r="F260" i="12"/>
  <c r="D260" i="12"/>
  <c r="C260" i="12" l="1"/>
  <c r="B260" i="12"/>
  <c r="D261" i="12"/>
  <c r="F261" i="12"/>
  <c r="G260" i="12"/>
  <c r="E260" i="12"/>
  <c r="F262" i="12" l="1"/>
  <c r="D262" i="12"/>
  <c r="C261" i="12"/>
  <c r="B261" i="12"/>
  <c r="G261" i="12"/>
  <c r="E261" i="12"/>
  <c r="G262" i="12" l="1"/>
  <c r="E262" i="12"/>
  <c r="C262" i="12"/>
  <c r="B262" i="12"/>
  <c r="D263" i="12"/>
  <c r="F263" i="12"/>
  <c r="F264" i="12" l="1"/>
  <c r="D264" i="12"/>
  <c r="C263" i="12"/>
  <c r="B263" i="12"/>
  <c r="G263" i="12"/>
  <c r="E263" i="12"/>
  <c r="C264" i="12" l="1"/>
  <c r="B264" i="12"/>
  <c r="G264" i="12"/>
  <c r="E264" i="12"/>
  <c r="D265" i="12"/>
  <c r="F265" i="12"/>
  <c r="C265" i="12" l="1"/>
  <c r="B265" i="12"/>
  <c r="G265" i="12"/>
  <c r="E265" i="12"/>
  <c r="F266" i="12"/>
  <c r="D266" i="12"/>
  <c r="D267" i="12" l="1"/>
  <c r="F267" i="12"/>
  <c r="C266" i="12"/>
  <c r="B266" i="12"/>
  <c r="G266" i="12"/>
  <c r="E266" i="12"/>
  <c r="C267" i="12" l="1"/>
  <c r="B267" i="12"/>
  <c r="G267" i="12"/>
  <c r="E267" i="12"/>
  <c r="F268" i="12"/>
  <c r="D268" i="12"/>
  <c r="C268" i="12" l="1"/>
  <c r="B268" i="12"/>
  <c r="G268" i="12"/>
  <c r="E268" i="12"/>
  <c r="D269" i="12"/>
  <c r="F269" i="12"/>
  <c r="F270" i="12" l="1"/>
  <c r="D270" i="12"/>
  <c r="C269" i="12"/>
  <c r="B269" i="12"/>
  <c r="G269" i="12"/>
  <c r="E269" i="12"/>
  <c r="C270" i="12" l="1"/>
  <c r="B270" i="12"/>
  <c r="G270" i="12"/>
  <c r="E270" i="12"/>
  <c r="D271" i="12"/>
  <c r="F271" i="12"/>
  <c r="C271" i="12" l="1"/>
  <c r="B271" i="12"/>
  <c r="G271" i="12"/>
  <c r="E271" i="12"/>
  <c r="F272" i="12"/>
  <c r="D272" i="12"/>
  <c r="D273" i="12" l="1"/>
  <c r="F273" i="12"/>
  <c r="C272" i="12"/>
  <c r="B272" i="12"/>
  <c r="G272" i="12"/>
  <c r="E272" i="12"/>
  <c r="C273" i="12" l="1"/>
  <c r="B273" i="12"/>
  <c r="G273" i="12"/>
  <c r="E273" i="12"/>
  <c r="F274" i="12"/>
  <c r="D274" i="12"/>
  <c r="C274" i="12" l="1"/>
  <c r="B274" i="12"/>
  <c r="G274" i="12"/>
  <c r="E274" i="12"/>
  <c r="D275" i="12"/>
  <c r="F275" i="12"/>
  <c r="F276" i="12" l="1"/>
  <c r="D276" i="12"/>
  <c r="C275" i="12"/>
  <c r="B275" i="12"/>
  <c r="G275" i="12"/>
  <c r="E275" i="12"/>
  <c r="G276" i="12" l="1"/>
  <c r="E276" i="12"/>
  <c r="C276" i="12"/>
  <c r="B276" i="12"/>
  <c r="D277" i="12"/>
  <c r="F277" i="12"/>
  <c r="F278" i="12" l="1"/>
  <c r="D278" i="12"/>
  <c r="C277" i="12"/>
  <c r="B277" i="12"/>
  <c r="G277" i="12"/>
  <c r="E277" i="12"/>
  <c r="C278" i="12" l="1"/>
  <c r="B278" i="12"/>
  <c r="G278" i="12"/>
  <c r="E278" i="12"/>
  <c r="D279" i="12"/>
  <c r="F279" i="12"/>
  <c r="D280" i="12" l="1"/>
  <c r="F280" i="12"/>
  <c r="C279" i="12"/>
  <c r="B279" i="12"/>
  <c r="G279" i="12"/>
  <c r="E279" i="12"/>
  <c r="C280" i="12" l="1"/>
  <c r="B280" i="12"/>
  <c r="E280" i="12"/>
  <c r="G280" i="12"/>
  <c r="D281" i="12"/>
  <c r="F281" i="12"/>
  <c r="E281" i="12" l="1"/>
  <c r="G281" i="12"/>
  <c r="C281" i="12"/>
  <c r="B281" i="12"/>
  <c r="D282" i="12"/>
  <c r="F282" i="12"/>
  <c r="D283" i="12" l="1"/>
  <c r="F283" i="12"/>
  <c r="E282" i="12"/>
  <c r="G282" i="12"/>
  <c r="C282" i="12"/>
  <c r="B282" i="12"/>
  <c r="E283" i="12" l="1"/>
  <c r="G283" i="12"/>
  <c r="C283" i="12"/>
  <c r="B283" i="12"/>
  <c r="D284" i="12"/>
  <c r="F284" i="12"/>
  <c r="D285" i="12" l="1"/>
  <c r="F285" i="12"/>
  <c r="E284" i="12"/>
  <c r="G284" i="12"/>
  <c r="C284" i="12"/>
  <c r="B284" i="12"/>
  <c r="E285" i="12" l="1"/>
  <c r="G285" i="12"/>
  <c r="C285" i="12"/>
  <c r="B285" i="12"/>
  <c r="D286" i="12"/>
  <c r="F286" i="12"/>
  <c r="E286" i="12" l="1"/>
  <c r="G286" i="12"/>
  <c r="D287" i="12"/>
  <c r="F287" i="12"/>
  <c r="C286" i="12"/>
  <c r="B286" i="12"/>
  <c r="D288" i="12" l="1"/>
  <c r="F288" i="12"/>
  <c r="E287" i="12"/>
  <c r="G287" i="12"/>
  <c r="C287" i="12"/>
  <c r="B287" i="12"/>
  <c r="D289" i="12" l="1"/>
  <c r="F289" i="12"/>
  <c r="E288" i="12"/>
  <c r="G288" i="12"/>
  <c r="C288" i="12"/>
  <c r="B288" i="12"/>
  <c r="D290" i="12" l="1"/>
  <c r="F290" i="12"/>
  <c r="E289" i="12"/>
  <c r="G289" i="12"/>
  <c r="C289" i="12"/>
  <c r="B289" i="12"/>
  <c r="D291" i="12" l="1"/>
  <c r="F291" i="12"/>
  <c r="E290" i="12"/>
  <c r="G290" i="12"/>
  <c r="C290" i="12"/>
  <c r="B290" i="12"/>
  <c r="R117" i="12" l="1"/>
  <c r="C291" i="12"/>
  <c r="B291" i="12"/>
  <c r="E291" i="12"/>
  <c r="R116" i="12" s="1"/>
  <c r="G291" i="12"/>
  <c r="BL136" i="12" l="1"/>
  <c r="BL133" i="12"/>
  <c r="BL127" i="12"/>
  <c r="BL130" i="12"/>
  <c r="K112" i="6" l="1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AM116" i="6" l="1"/>
  <c r="AT116" i="6"/>
  <c r="BA116" i="6"/>
  <c r="BH116" i="6"/>
  <c r="AM117" i="6"/>
  <c r="AT117" i="6"/>
  <c r="BA117" i="6"/>
  <c r="BH117" i="6"/>
  <c r="I5" i="7" l="1"/>
  <c r="H5" i="7"/>
  <c r="BI136" i="6"/>
  <c r="BH136" i="6"/>
  <c r="BF136" i="6"/>
  <c r="BB136" i="6"/>
  <c r="BA136" i="6"/>
  <c r="AY136" i="6"/>
  <c r="AU136" i="6"/>
  <c r="AT136" i="6"/>
  <c r="AR136" i="6"/>
  <c r="AN136" i="6"/>
  <c r="AM136" i="6"/>
  <c r="AK136" i="6"/>
  <c r="BI135" i="6"/>
  <c r="BH135" i="6"/>
  <c r="BF135" i="6"/>
  <c r="BB135" i="6"/>
  <c r="BA135" i="6"/>
  <c r="AY135" i="6"/>
  <c r="AU135" i="6"/>
  <c r="AT135" i="6"/>
  <c r="AR135" i="6"/>
  <c r="AN135" i="6"/>
  <c r="AM135" i="6"/>
  <c r="AK135" i="6"/>
  <c r="BI134" i="6"/>
  <c r="BH134" i="6"/>
  <c r="BF134" i="6"/>
  <c r="BB134" i="6"/>
  <c r="BA134" i="6"/>
  <c r="AY134" i="6"/>
  <c r="AU134" i="6"/>
  <c r="AT134" i="6"/>
  <c r="AR134" i="6"/>
  <c r="AN134" i="6"/>
  <c r="AM134" i="6"/>
  <c r="AK134" i="6"/>
  <c r="BI133" i="6"/>
  <c r="BH133" i="6"/>
  <c r="BF133" i="6"/>
  <c r="AY133" i="6"/>
  <c r="AU133" i="6"/>
  <c r="AT133" i="6"/>
  <c r="AR133" i="6"/>
  <c r="AM133" i="6"/>
  <c r="AK133" i="6"/>
  <c r="BI132" i="6"/>
  <c r="BH132" i="6"/>
  <c r="BF132" i="6"/>
  <c r="BA132" i="6"/>
  <c r="AY132" i="6"/>
  <c r="AU132" i="6"/>
  <c r="AT132" i="6"/>
  <c r="AR132" i="6"/>
  <c r="AM132" i="6"/>
  <c r="AK132" i="6"/>
  <c r="BI131" i="6"/>
  <c r="BH131" i="6"/>
  <c r="BF131" i="6"/>
  <c r="BA131" i="6"/>
  <c r="AY131" i="6"/>
  <c r="AU131" i="6"/>
  <c r="AT131" i="6"/>
  <c r="AR131" i="6"/>
  <c r="AM131" i="6"/>
  <c r="AK131" i="6"/>
  <c r="BM130" i="6"/>
  <c r="BI130" i="6"/>
  <c r="BH130" i="6"/>
  <c r="BF130" i="6"/>
  <c r="BA130" i="6"/>
  <c r="AY130" i="6"/>
  <c r="AU130" i="6"/>
  <c r="AT130" i="6"/>
  <c r="AR130" i="6"/>
  <c r="AM130" i="6"/>
  <c r="AK130" i="6"/>
  <c r="BI129" i="6"/>
  <c r="BH129" i="6"/>
  <c r="BF129" i="6"/>
  <c r="BA129" i="6"/>
  <c r="AY129" i="6"/>
  <c r="AU129" i="6"/>
  <c r="AT129" i="6"/>
  <c r="AR129" i="6"/>
  <c r="AM129" i="6"/>
  <c r="AK129" i="6"/>
  <c r="BI128" i="6"/>
  <c r="BH128" i="6"/>
  <c r="BF128" i="6"/>
  <c r="BA128" i="6"/>
  <c r="AY128" i="6"/>
  <c r="AU128" i="6"/>
  <c r="AT128" i="6"/>
  <c r="AR128" i="6"/>
  <c r="AM128" i="6"/>
  <c r="AK128" i="6"/>
  <c r="BN127" i="6"/>
  <c r="BH127" i="6"/>
  <c r="BF127" i="6"/>
  <c r="BA127" i="6"/>
  <c r="AY127" i="6"/>
  <c r="AU127" i="6"/>
  <c r="AT127" i="6"/>
  <c r="AR127" i="6"/>
  <c r="AM127" i="6"/>
  <c r="AK127" i="6"/>
  <c r="BF126" i="6"/>
  <c r="BH126" i="6" s="1"/>
  <c r="BA126" i="6"/>
  <c r="AY126" i="6"/>
  <c r="AT126" i="6"/>
  <c r="AR126" i="6"/>
  <c r="AM126" i="6"/>
  <c r="AK126" i="6"/>
  <c r="BH125" i="6"/>
  <c r="BF125" i="6"/>
  <c r="BA125" i="6"/>
  <c r="AY125" i="6"/>
  <c r="AR125" i="6"/>
  <c r="AT125" i="6" s="1"/>
  <c r="AM125" i="6"/>
  <c r="AK125" i="6"/>
  <c r="BF124" i="6"/>
  <c r="BH124" i="6" s="1"/>
  <c r="BA124" i="6"/>
  <c r="AY124" i="6"/>
  <c r="AT124" i="6"/>
  <c r="AR124" i="6"/>
  <c r="AM124" i="6"/>
  <c r="AK124" i="6"/>
  <c r="BH123" i="6"/>
  <c r="BF123" i="6"/>
  <c r="BA123" i="6"/>
  <c r="AY123" i="6"/>
  <c r="AR123" i="6"/>
  <c r="AT123" i="6" s="1"/>
  <c r="AM123" i="6"/>
  <c r="AK123" i="6"/>
  <c r="BF122" i="6"/>
  <c r="BH122" i="6" s="1"/>
  <c r="BA122" i="6"/>
  <c r="AY122" i="6"/>
  <c r="AT122" i="6"/>
  <c r="AR122" i="6"/>
  <c r="AM122" i="6"/>
  <c r="AK122" i="6"/>
  <c r="BH121" i="6"/>
  <c r="BA121" i="6"/>
  <c r="AT121" i="6"/>
  <c r="AM121" i="6"/>
  <c r="Q119" i="6"/>
  <c r="Q118" i="6"/>
  <c r="BN136" i="6"/>
  <c r="BN133" i="6"/>
  <c r="BN130" i="6"/>
  <c r="Q117" i="6"/>
  <c r="BM136" i="6"/>
  <c r="BM133" i="6"/>
  <c r="BM127" i="6"/>
  <c r="Q116" i="6"/>
  <c r="AG112" i="6"/>
  <c r="AF112" i="6"/>
  <c r="AE112" i="6"/>
  <c r="AD112" i="6"/>
  <c r="Y112" i="6"/>
  <c r="W112" i="6" s="1"/>
  <c r="T112" i="6" a="1"/>
  <c r="T112" i="6" s="1"/>
  <c r="S112" i="6"/>
  <c r="F113" i="6" s="1"/>
  <c r="R112" i="6"/>
  <c r="G112" i="6"/>
  <c r="D112" i="6"/>
  <c r="B112" i="6"/>
  <c r="Y106" i="6"/>
  <c r="X106" i="6" a="1"/>
  <c r="X106" i="6" s="1"/>
  <c r="W106" i="6" a="1"/>
  <c r="W106" i="6" s="1"/>
  <c r="V106" i="6" a="1"/>
  <c r="V106" i="6" s="1"/>
  <c r="U106" i="6" a="1"/>
  <c r="U106" i="6" s="1"/>
  <c r="T106" i="6" a="1"/>
  <c r="T106" i="6" s="1"/>
  <c r="S106" i="6" a="1"/>
  <c r="S106" i="6" s="1"/>
  <c r="R106" i="6" a="1"/>
  <c r="R106" i="6" s="1"/>
  <c r="Q106" i="6" a="1"/>
  <c r="Q106" i="6" s="1"/>
  <c r="P106" i="6" a="1"/>
  <c r="P106" i="6" s="1"/>
  <c r="O106" i="6" a="1"/>
  <c r="O106" i="6" s="1"/>
  <c r="AJ105" i="6"/>
  <c r="AI105" i="6"/>
  <c r="AH105" i="6"/>
  <c r="AG105" i="6"/>
  <c r="AF105" i="6"/>
  <c r="AE105" i="6"/>
  <c r="AD105" i="6"/>
  <c r="AC105" i="6"/>
  <c r="AB105" i="6"/>
  <c r="AA105" i="6"/>
  <c r="X105" i="6"/>
  <c r="W105" i="6"/>
  <c r="V105" i="6"/>
  <c r="U105" i="6"/>
  <c r="T105" i="6"/>
  <c r="S105" i="6"/>
  <c r="R105" i="6"/>
  <c r="Q105" i="6"/>
  <c r="P105" i="6"/>
  <c r="O105" i="6"/>
  <c r="L105" i="6"/>
  <c r="K105" i="6"/>
  <c r="J105" i="6"/>
  <c r="I105" i="6"/>
  <c r="H105" i="6"/>
  <c r="G105" i="6"/>
  <c r="F105" i="6"/>
  <c r="E105" i="6"/>
  <c r="D105" i="6"/>
  <c r="C105" i="6"/>
  <c r="AO102" i="6" a="1"/>
  <c r="AO102" i="6" s="1"/>
  <c r="AN102" i="6" a="1"/>
  <c r="AN102" i="6" s="1"/>
  <c r="AM102" i="6"/>
  <c r="AL102" i="6"/>
  <c r="AO101" i="6" a="1"/>
  <c r="AO101" i="6" s="1"/>
  <c r="AN101" i="6" a="1"/>
  <c r="AN101" i="6" s="1"/>
  <c r="AM101" i="6"/>
  <c r="AL101" i="6"/>
  <c r="AO100" i="6" a="1"/>
  <c r="AO100" i="6" s="1"/>
  <c r="AN100" i="6" a="1"/>
  <c r="AN100" i="6" s="1"/>
  <c r="AM100" i="6"/>
  <c r="AL100" i="6"/>
  <c r="AO99" i="6" a="1"/>
  <c r="AO99" i="6" s="1"/>
  <c r="AN99" i="6" a="1"/>
  <c r="AN99" i="6" s="1"/>
  <c r="AM99" i="6"/>
  <c r="AL99" i="6"/>
  <c r="AO98" i="6" a="1"/>
  <c r="AO98" i="6" s="1"/>
  <c r="AN98" i="6" a="1"/>
  <c r="AN98" i="6" s="1"/>
  <c r="AM98" i="6"/>
  <c r="AL98" i="6"/>
  <c r="AO97" i="6" a="1"/>
  <c r="AO97" i="6" s="1"/>
  <c r="AN97" i="6" a="1"/>
  <c r="AN97" i="6" s="1"/>
  <c r="AM97" i="6"/>
  <c r="AL97" i="6"/>
  <c r="AO96" i="6" a="1"/>
  <c r="AO96" i="6" s="1"/>
  <c r="AN96" i="6" a="1"/>
  <c r="AN96" i="6" s="1"/>
  <c r="AM96" i="6"/>
  <c r="AL96" i="6"/>
  <c r="AO95" i="6" a="1"/>
  <c r="AO95" i="6" s="1"/>
  <c r="AN95" i="6" a="1"/>
  <c r="AN95" i="6" s="1"/>
  <c r="AM95" i="6"/>
  <c r="AL95" i="6"/>
  <c r="AO94" i="6" a="1"/>
  <c r="AO94" i="6" s="1"/>
  <c r="AN94" i="6" a="1"/>
  <c r="AN94" i="6" s="1"/>
  <c r="AM94" i="6"/>
  <c r="AL94" i="6"/>
  <c r="AO93" i="6" a="1"/>
  <c r="AO93" i="6" s="1"/>
  <c r="AN93" i="6" a="1"/>
  <c r="AN93" i="6" s="1"/>
  <c r="AM93" i="6"/>
  <c r="AL93" i="6"/>
  <c r="AO92" i="6" a="1"/>
  <c r="AO92" i="6" s="1"/>
  <c r="AN92" i="6" a="1"/>
  <c r="AN92" i="6" s="1"/>
  <c r="AM92" i="6"/>
  <c r="AL92" i="6"/>
  <c r="AO91" i="6" a="1"/>
  <c r="AO91" i="6" s="1"/>
  <c r="AN91" i="6" a="1"/>
  <c r="AN91" i="6" s="1"/>
  <c r="AM91" i="6"/>
  <c r="AL91" i="6"/>
  <c r="AO90" i="6" a="1"/>
  <c r="AO90" i="6" s="1"/>
  <c r="AN90" i="6" a="1"/>
  <c r="AN90" i="6" s="1"/>
  <c r="AM90" i="6"/>
  <c r="AL90" i="6"/>
  <c r="AO89" i="6" a="1"/>
  <c r="AO89" i="6" s="1"/>
  <c r="AN89" i="6" a="1"/>
  <c r="AN89" i="6" s="1"/>
  <c r="AM89" i="6"/>
  <c r="AL89" i="6"/>
  <c r="AO88" i="6" a="1"/>
  <c r="AO88" i="6" s="1"/>
  <c r="AN88" i="6" a="1"/>
  <c r="AN88" i="6" s="1"/>
  <c r="AM88" i="6"/>
  <c r="AL88" i="6"/>
  <c r="AO87" i="6" a="1"/>
  <c r="AO87" i="6" s="1"/>
  <c r="AN87" i="6" a="1"/>
  <c r="AN87" i="6" s="1"/>
  <c r="AM87" i="6"/>
  <c r="AL87" i="6"/>
  <c r="AO86" i="6" a="1"/>
  <c r="AO86" i="6" s="1"/>
  <c r="AN86" i="6" a="1"/>
  <c r="AN86" i="6" s="1"/>
  <c r="AM86" i="6"/>
  <c r="AL86" i="6"/>
  <c r="AO85" i="6" a="1"/>
  <c r="AO85" i="6" s="1"/>
  <c r="AN85" i="6" a="1"/>
  <c r="AN85" i="6" s="1"/>
  <c r="AM85" i="6"/>
  <c r="AL85" i="6"/>
  <c r="AO84" i="6" a="1"/>
  <c r="AO84" i="6" s="1"/>
  <c r="AN84" i="6" a="1"/>
  <c r="AN84" i="6" s="1"/>
  <c r="AM84" i="6"/>
  <c r="AL84" i="6"/>
  <c r="AO83" i="6" a="1"/>
  <c r="AO83" i="6" s="1"/>
  <c r="AN83" i="6" a="1"/>
  <c r="AN83" i="6" s="1"/>
  <c r="AM83" i="6"/>
  <c r="AL83" i="6"/>
  <c r="AO82" i="6" a="1"/>
  <c r="AO82" i="6" s="1"/>
  <c r="AN82" i="6" a="1"/>
  <c r="AN82" i="6" s="1"/>
  <c r="AM82" i="6"/>
  <c r="AL82" i="6"/>
  <c r="AO81" i="6" a="1"/>
  <c r="AO81" i="6" s="1"/>
  <c r="AN81" i="6" a="1"/>
  <c r="AN81" i="6" s="1"/>
  <c r="AM81" i="6"/>
  <c r="AL81" i="6"/>
  <c r="AO80" i="6" a="1"/>
  <c r="AO80" i="6" s="1"/>
  <c r="AN80" i="6" a="1"/>
  <c r="AN80" i="6" s="1"/>
  <c r="AM80" i="6"/>
  <c r="AL80" i="6"/>
  <c r="AO79" i="6" a="1"/>
  <c r="AO79" i="6" s="1"/>
  <c r="AN79" i="6" a="1"/>
  <c r="AN79" i="6" s="1"/>
  <c r="AM79" i="6"/>
  <c r="AL79" i="6"/>
  <c r="AO78" i="6" a="1"/>
  <c r="AO78" i="6" s="1"/>
  <c r="AN78" i="6" a="1"/>
  <c r="AN78" i="6" s="1"/>
  <c r="AM78" i="6"/>
  <c r="AL78" i="6"/>
  <c r="AO77" i="6" a="1"/>
  <c r="AO77" i="6" s="1"/>
  <c r="AN77" i="6" a="1"/>
  <c r="AN77" i="6" s="1"/>
  <c r="AM77" i="6"/>
  <c r="AL77" i="6"/>
  <c r="AO76" i="6" a="1"/>
  <c r="AO76" i="6" s="1"/>
  <c r="AN76" i="6" a="1"/>
  <c r="AN76" i="6" s="1"/>
  <c r="AM76" i="6"/>
  <c r="AL76" i="6"/>
  <c r="AO75" i="6" a="1"/>
  <c r="AO75" i="6" s="1"/>
  <c r="AN75" i="6" a="1"/>
  <c r="AN75" i="6" s="1"/>
  <c r="AM75" i="6"/>
  <c r="AL75" i="6"/>
  <c r="AO74" i="6" a="1"/>
  <c r="AO74" i="6" s="1"/>
  <c r="AN74" i="6" a="1"/>
  <c r="AN74" i="6" s="1"/>
  <c r="AM74" i="6"/>
  <c r="AL74" i="6"/>
  <c r="AO73" i="6" a="1"/>
  <c r="AO73" i="6" s="1"/>
  <c r="AN73" i="6" a="1"/>
  <c r="AN73" i="6" s="1"/>
  <c r="AM73" i="6"/>
  <c r="AL73" i="6"/>
  <c r="AO72" i="6" a="1"/>
  <c r="AO72" i="6" s="1"/>
  <c r="AN72" i="6" a="1"/>
  <c r="AN72" i="6" s="1"/>
  <c r="AM72" i="6"/>
  <c r="AL72" i="6"/>
  <c r="AO71" i="6" a="1"/>
  <c r="AO71" i="6" s="1"/>
  <c r="AN71" i="6" a="1"/>
  <c r="AN71" i="6" s="1"/>
  <c r="AM71" i="6"/>
  <c r="AL71" i="6"/>
  <c r="AO70" i="6" a="1"/>
  <c r="AO70" i="6" s="1"/>
  <c r="AN70" i="6" a="1"/>
  <c r="AN70" i="6" s="1"/>
  <c r="AM70" i="6"/>
  <c r="AL70" i="6"/>
  <c r="AO69" i="6" a="1"/>
  <c r="AO69" i="6" s="1"/>
  <c r="AN69" i="6" a="1"/>
  <c r="AN69" i="6" s="1"/>
  <c r="AM69" i="6"/>
  <c r="AL69" i="6"/>
  <c r="AO68" i="6" a="1"/>
  <c r="AO68" i="6" s="1"/>
  <c r="AN68" i="6" a="1"/>
  <c r="AN68" i="6" s="1"/>
  <c r="AM68" i="6"/>
  <c r="AL68" i="6"/>
  <c r="AO67" i="6" a="1"/>
  <c r="AO67" i="6" s="1"/>
  <c r="AN67" i="6" a="1"/>
  <c r="AN67" i="6" s="1"/>
  <c r="AM67" i="6"/>
  <c r="AL67" i="6"/>
  <c r="AO66" i="6" a="1"/>
  <c r="AO66" i="6" s="1"/>
  <c r="AN66" i="6" a="1"/>
  <c r="AN66" i="6" s="1"/>
  <c r="AM66" i="6"/>
  <c r="AL66" i="6"/>
  <c r="AO65" i="6" a="1"/>
  <c r="AO65" i="6" s="1"/>
  <c r="AN65" i="6" a="1"/>
  <c r="AN65" i="6" s="1"/>
  <c r="AM65" i="6"/>
  <c r="AL65" i="6"/>
  <c r="AO64" i="6" a="1"/>
  <c r="AO64" i="6" s="1"/>
  <c r="AN64" i="6" a="1"/>
  <c r="AN64" i="6" s="1"/>
  <c r="AM64" i="6"/>
  <c r="AL64" i="6"/>
  <c r="AO63" i="6" a="1"/>
  <c r="AO63" i="6" s="1"/>
  <c r="AN63" i="6" a="1"/>
  <c r="AN63" i="6" s="1"/>
  <c r="AM63" i="6"/>
  <c r="AL63" i="6"/>
  <c r="AO62" i="6" a="1"/>
  <c r="AO62" i="6" s="1"/>
  <c r="AN62" i="6" a="1"/>
  <c r="AN62" i="6" s="1"/>
  <c r="AM62" i="6"/>
  <c r="AL62" i="6"/>
  <c r="AO61" i="6" a="1"/>
  <c r="AO61" i="6" s="1"/>
  <c r="AN61" i="6" a="1"/>
  <c r="AN61" i="6" s="1"/>
  <c r="AM61" i="6"/>
  <c r="AL61" i="6"/>
  <c r="AO60" i="6" a="1"/>
  <c r="AO60" i="6" s="1"/>
  <c r="AN60" i="6" a="1"/>
  <c r="AN60" i="6" s="1"/>
  <c r="AM60" i="6"/>
  <c r="AL60" i="6"/>
  <c r="AO59" i="6" a="1"/>
  <c r="AO59" i="6" s="1"/>
  <c r="AN59" i="6" a="1"/>
  <c r="AN59" i="6" s="1"/>
  <c r="AM59" i="6"/>
  <c r="AL59" i="6"/>
  <c r="AO58" i="6" a="1"/>
  <c r="AO58" i="6" s="1"/>
  <c r="AN58" i="6" a="1"/>
  <c r="AN58" i="6" s="1"/>
  <c r="AM58" i="6"/>
  <c r="AL58" i="6"/>
  <c r="AO57" i="6" a="1"/>
  <c r="AO57" i="6" s="1"/>
  <c r="AN57" i="6" a="1"/>
  <c r="AN57" i="6" s="1"/>
  <c r="AM57" i="6"/>
  <c r="AL57" i="6"/>
  <c r="AO56" i="6" a="1"/>
  <c r="AO56" i="6" s="1"/>
  <c r="AN56" i="6" a="1"/>
  <c r="AN56" i="6" s="1"/>
  <c r="AM56" i="6"/>
  <c r="AL56" i="6"/>
  <c r="AO55" i="6" a="1"/>
  <c r="AO55" i="6" s="1"/>
  <c r="AN55" i="6" a="1"/>
  <c r="AN55" i="6" s="1"/>
  <c r="AM55" i="6"/>
  <c r="AL55" i="6"/>
  <c r="AO54" i="6" a="1"/>
  <c r="AO54" i="6" s="1"/>
  <c r="AN54" i="6" a="1"/>
  <c r="AN54" i="6" s="1"/>
  <c r="AM54" i="6"/>
  <c r="AL54" i="6"/>
  <c r="AO53" i="6" a="1"/>
  <c r="AO53" i="6" s="1"/>
  <c r="AN53" i="6" a="1"/>
  <c r="AN53" i="6" s="1"/>
  <c r="AM53" i="6"/>
  <c r="AL53" i="6"/>
  <c r="AO52" i="6" a="1"/>
  <c r="AO52" i="6" s="1"/>
  <c r="AN52" i="6" a="1"/>
  <c r="AN52" i="6" s="1"/>
  <c r="AM52" i="6"/>
  <c r="AL52" i="6"/>
  <c r="AO51" i="6" a="1"/>
  <c r="AO51" i="6" s="1"/>
  <c r="AN51" i="6" a="1"/>
  <c r="AN51" i="6" s="1"/>
  <c r="AM51" i="6"/>
  <c r="AL51" i="6"/>
  <c r="AO50" i="6" a="1"/>
  <c r="AO50" i="6" s="1"/>
  <c r="AN50" i="6" a="1"/>
  <c r="AN50" i="6" s="1"/>
  <c r="AM50" i="6"/>
  <c r="AL50" i="6"/>
  <c r="AO49" i="6" a="1"/>
  <c r="AO49" i="6" s="1"/>
  <c r="AN49" i="6" a="1"/>
  <c r="AN49" i="6" s="1"/>
  <c r="AM49" i="6"/>
  <c r="AL49" i="6"/>
  <c r="AO48" i="6" a="1"/>
  <c r="AO48" i="6" s="1"/>
  <c r="AN48" i="6" a="1"/>
  <c r="AN48" i="6" s="1"/>
  <c r="AM48" i="6"/>
  <c r="AL48" i="6"/>
  <c r="AO47" i="6" a="1"/>
  <c r="AO47" i="6" s="1"/>
  <c r="AN47" i="6" a="1"/>
  <c r="AN47" i="6" s="1"/>
  <c r="AM47" i="6"/>
  <c r="AL47" i="6"/>
  <c r="AO46" i="6" a="1"/>
  <c r="AO46" i="6" s="1"/>
  <c r="AN46" i="6" a="1"/>
  <c r="AN46" i="6" s="1"/>
  <c r="AM46" i="6"/>
  <c r="AL46" i="6"/>
  <c r="AO45" i="6" a="1"/>
  <c r="AO45" i="6" s="1"/>
  <c r="AN45" i="6" a="1"/>
  <c r="AN45" i="6" s="1"/>
  <c r="AM45" i="6"/>
  <c r="AL45" i="6"/>
  <c r="AO44" i="6" a="1"/>
  <c r="AO44" i="6" s="1"/>
  <c r="AN44" i="6" a="1"/>
  <c r="AN44" i="6" s="1"/>
  <c r="AM44" i="6"/>
  <c r="AL44" i="6"/>
  <c r="AO43" i="6" a="1"/>
  <c r="AO43" i="6" s="1"/>
  <c r="AN43" i="6" a="1"/>
  <c r="AN43" i="6" s="1"/>
  <c r="AM43" i="6"/>
  <c r="AL43" i="6"/>
  <c r="AO42" i="6" a="1"/>
  <c r="AO42" i="6" s="1"/>
  <c r="AN42" i="6" a="1"/>
  <c r="AN42" i="6" s="1"/>
  <c r="AM42" i="6"/>
  <c r="AL42" i="6"/>
  <c r="AO41" i="6" a="1"/>
  <c r="AO41" i="6" s="1"/>
  <c r="AN41" i="6" a="1"/>
  <c r="AN41" i="6" s="1"/>
  <c r="AM41" i="6"/>
  <c r="AL41" i="6"/>
  <c r="AO40" i="6" a="1"/>
  <c r="AO40" i="6" s="1"/>
  <c r="AN40" i="6" a="1"/>
  <c r="AN40" i="6" s="1"/>
  <c r="AM40" i="6"/>
  <c r="AL40" i="6"/>
  <c r="AO39" i="6" a="1"/>
  <c r="AO39" i="6" s="1"/>
  <c r="AN39" i="6" a="1"/>
  <c r="AN39" i="6" s="1"/>
  <c r="AM39" i="6"/>
  <c r="AL39" i="6"/>
  <c r="AO38" i="6" a="1"/>
  <c r="AO38" i="6" s="1"/>
  <c r="AN38" i="6" a="1"/>
  <c r="AN38" i="6" s="1"/>
  <c r="AM38" i="6"/>
  <c r="AL38" i="6"/>
  <c r="AO37" i="6" a="1"/>
  <c r="AO37" i="6" s="1"/>
  <c r="AN37" i="6" a="1"/>
  <c r="AN37" i="6" s="1"/>
  <c r="AM37" i="6"/>
  <c r="AL37" i="6"/>
  <c r="AO36" i="6" a="1"/>
  <c r="AO36" i="6" s="1"/>
  <c r="AN36" i="6" a="1"/>
  <c r="AN36" i="6" s="1"/>
  <c r="AM36" i="6"/>
  <c r="AL36" i="6"/>
  <c r="AO35" i="6" a="1"/>
  <c r="AO35" i="6" s="1"/>
  <c r="AN35" i="6" a="1"/>
  <c r="AN35" i="6" s="1"/>
  <c r="AM35" i="6"/>
  <c r="AL35" i="6"/>
  <c r="AO34" i="6" a="1"/>
  <c r="AO34" i="6" s="1"/>
  <c r="AN34" i="6" a="1"/>
  <c r="AN34" i="6" s="1"/>
  <c r="AM34" i="6"/>
  <c r="AL34" i="6"/>
  <c r="AO33" i="6" a="1"/>
  <c r="AO33" i="6" s="1"/>
  <c r="AN33" i="6" a="1"/>
  <c r="AN33" i="6" s="1"/>
  <c r="AM33" i="6"/>
  <c r="AL33" i="6"/>
  <c r="AO32" i="6" a="1"/>
  <c r="AO32" i="6" s="1"/>
  <c r="AN32" i="6" a="1"/>
  <c r="AN32" i="6" s="1"/>
  <c r="AM32" i="6"/>
  <c r="AL32" i="6"/>
  <c r="AO31" i="6" a="1"/>
  <c r="AO31" i="6" s="1"/>
  <c r="AN31" i="6" a="1"/>
  <c r="AN31" i="6" s="1"/>
  <c r="AM31" i="6"/>
  <c r="AL31" i="6"/>
  <c r="AO30" i="6" a="1"/>
  <c r="AO30" i="6" s="1"/>
  <c r="AN30" i="6" a="1"/>
  <c r="AN30" i="6" s="1"/>
  <c r="AM30" i="6"/>
  <c r="AL30" i="6"/>
  <c r="AO29" i="6" a="1"/>
  <c r="AO29" i="6" s="1"/>
  <c r="AN29" i="6" a="1"/>
  <c r="AN29" i="6" s="1"/>
  <c r="AM29" i="6"/>
  <c r="AL29" i="6"/>
  <c r="AO28" i="6" a="1"/>
  <c r="AO28" i="6" s="1"/>
  <c r="AN28" i="6" a="1"/>
  <c r="AN28" i="6" s="1"/>
  <c r="AM28" i="6"/>
  <c r="AL28" i="6"/>
  <c r="AO27" i="6" a="1"/>
  <c r="AO27" i="6" s="1"/>
  <c r="AN27" i="6" a="1"/>
  <c r="AN27" i="6" s="1"/>
  <c r="AM27" i="6"/>
  <c r="AL27" i="6"/>
  <c r="AO26" i="6" a="1"/>
  <c r="AO26" i="6" s="1"/>
  <c r="AN26" i="6" a="1"/>
  <c r="AN26" i="6" s="1"/>
  <c r="AM26" i="6"/>
  <c r="AL26" i="6"/>
  <c r="AO25" i="6" a="1"/>
  <c r="AO25" i="6" s="1"/>
  <c r="AN25" i="6" a="1"/>
  <c r="AN25" i="6" s="1"/>
  <c r="AM25" i="6"/>
  <c r="AL25" i="6"/>
  <c r="AO24" i="6" a="1"/>
  <c r="AO24" i="6" s="1"/>
  <c r="AN24" i="6" a="1"/>
  <c r="AN24" i="6" s="1"/>
  <c r="AM24" i="6"/>
  <c r="AL24" i="6"/>
  <c r="AO23" i="6" a="1"/>
  <c r="AO23" i="6" s="1"/>
  <c r="AN23" i="6" a="1"/>
  <c r="AN23" i="6" s="1"/>
  <c r="AM23" i="6"/>
  <c r="AL23" i="6"/>
  <c r="AO22" i="6" a="1"/>
  <c r="AO22" i="6" s="1"/>
  <c r="AN22" i="6" a="1"/>
  <c r="AN22" i="6" s="1"/>
  <c r="AM22" i="6"/>
  <c r="AL22" i="6"/>
  <c r="AO21" i="6" a="1"/>
  <c r="AO21" i="6" s="1"/>
  <c r="AN21" i="6" a="1"/>
  <c r="AN21" i="6" s="1"/>
  <c r="AM21" i="6"/>
  <c r="AL21" i="6"/>
  <c r="AO20" i="6" a="1"/>
  <c r="AO20" i="6" s="1"/>
  <c r="AN20" i="6" a="1"/>
  <c r="AN20" i="6" s="1"/>
  <c r="AM20" i="6"/>
  <c r="AL20" i="6"/>
  <c r="AO19" i="6" a="1"/>
  <c r="AO19" i="6" s="1"/>
  <c r="AN19" i="6" a="1"/>
  <c r="AN19" i="6" s="1"/>
  <c r="AM19" i="6"/>
  <c r="AL19" i="6"/>
  <c r="AO18" i="6" a="1"/>
  <c r="AO18" i="6" s="1"/>
  <c r="AN18" i="6" a="1"/>
  <c r="AN18" i="6" s="1"/>
  <c r="AM18" i="6"/>
  <c r="AL18" i="6"/>
  <c r="AO17" i="6" a="1"/>
  <c r="AO17" i="6" s="1"/>
  <c r="AN17" i="6" a="1"/>
  <c r="AN17" i="6" s="1"/>
  <c r="AM17" i="6"/>
  <c r="AL17" i="6"/>
  <c r="AO16" i="6" a="1"/>
  <c r="AO16" i="6" s="1"/>
  <c r="AN16" i="6" a="1"/>
  <c r="AN16" i="6" s="1"/>
  <c r="AM16" i="6"/>
  <c r="AL16" i="6"/>
  <c r="AO15" i="6" a="1"/>
  <c r="AO15" i="6" s="1"/>
  <c r="AN15" i="6" a="1"/>
  <c r="AN15" i="6" s="1"/>
  <c r="AM15" i="6"/>
  <c r="AL15" i="6"/>
  <c r="AO14" i="6" a="1"/>
  <c r="AO14" i="6" s="1"/>
  <c r="AN14" i="6" a="1"/>
  <c r="AN14" i="6" s="1"/>
  <c r="AM14" i="6"/>
  <c r="AL14" i="6"/>
  <c r="AO13" i="6" a="1"/>
  <c r="AO13" i="6" s="1"/>
  <c r="AN13" i="6" a="1"/>
  <c r="AN13" i="6" s="1"/>
  <c r="AM13" i="6"/>
  <c r="AL13" i="6"/>
  <c r="AO12" i="6" a="1"/>
  <c r="AO12" i="6" s="1"/>
  <c r="AN12" i="6" a="1"/>
  <c r="AN12" i="6" s="1"/>
  <c r="AM12" i="6"/>
  <c r="AL12" i="6"/>
  <c r="AO11" i="6" a="1"/>
  <c r="AO11" i="6" s="1"/>
  <c r="AN11" i="6" a="1"/>
  <c r="AN11" i="6" s="1"/>
  <c r="AM11" i="6"/>
  <c r="AL11" i="6"/>
  <c r="AO10" i="6" a="1"/>
  <c r="AO10" i="6" s="1"/>
  <c r="AN10" i="6" a="1"/>
  <c r="AN10" i="6" s="1"/>
  <c r="AM10" i="6"/>
  <c r="AL10" i="6"/>
  <c r="AO9" i="6" a="1"/>
  <c r="AO9" i="6" s="1"/>
  <c r="AN9" i="6" a="1"/>
  <c r="AN9" i="6" s="1"/>
  <c r="AM9" i="6"/>
  <c r="AL9" i="6"/>
  <c r="AO8" i="6" a="1"/>
  <c r="AO8" i="6" s="1"/>
  <c r="AN8" i="6" a="1"/>
  <c r="AN8" i="6" s="1"/>
  <c r="AM8" i="6"/>
  <c r="AL8" i="6"/>
  <c r="AO7" i="6" a="1"/>
  <c r="AO7" i="6" s="1"/>
  <c r="AN7" i="6" a="1"/>
  <c r="AN7" i="6" s="1"/>
  <c r="AM7" i="6"/>
  <c r="AL7" i="6"/>
  <c r="AO6" i="6" a="1"/>
  <c r="AO6" i="6" s="1"/>
  <c r="AN6" i="6" a="1"/>
  <c r="AN6" i="6" s="1"/>
  <c r="AM6" i="6"/>
  <c r="AL6" i="6"/>
  <c r="AO5" i="6" a="1"/>
  <c r="AO5" i="6" s="1"/>
  <c r="AN5" i="6" a="1"/>
  <c r="AN5" i="6" s="1"/>
  <c r="AM5" i="6"/>
  <c r="AL5" i="6"/>
  <c r="AO4" i="6" a="1"/>
  <c r="AO4" i="6" s="1"/>
  <c r="AN4" i="6" a="1"/>
  <c r="AN4" i="6" s="1"/>
  <c r="AM4" i="6"/>
  <c r="AL4" i="6"/>
  <c r="BX3" i="6" a="1"/>
  <c r="BX3" i="6" s="1"/>
  <c r="BW3" i="6" a="1"/>
  <c r="BW3" i="6" s="1"/>
  <c r="BV3" i="6" a="1"/>
  <c r="BV3" i="6" s="1"/>
  <c r="BU3" i="6" a="1"/>
  <c r="BU3" i="6" s="1"/>
  <c r="BT3" i="6" a="1"/>
  <c r="BT3" i="6" s="1"/>
  <c r="BS3" i="6" a="1"/>
  <c r="BS3" i="6" s="1"/>
  <c r="BR3" i="6" a="1"/>
  <c r="BR3" i="6" s="1"/>
  <c r="BQ3" i="6" a="1"/>
  <c r="BQ3" i="6" s="1"/>
  <c r="BP3" i="6" a="1"/>
  <c r="BP3" i="6" s="1"/>
  <c r="BL3" i="6" a="1"/>
  <c r="BL3" i="6" s="1"/>
  <c r="BK3" i="6" a="1"/>
  <c r="BK3" i="6" s="1"/>
  <c r="BJ3" i="6" a="1"/>
  <c r="BJ3" i="6" s="1"/>
  <c r="BI3" i="6" a="1"/>
  <c r="BI3" i="6" s="1"/>
  <c r="BH3" i="6" a="1"/>
  <c r="BH3" i="6" s="1"/>
  <c r="BG3" i="6" a="1"/>
  <c r="BG3" i="6" s="1"/>
  <c r="BF3" i="6" a="1"/>
  <c r="BF3" i="6" s="1"/>
  <c r="BE3" i="6" a="1"/>
  <c r="BE3" i="6" s="1"/>
  <c r="BD3" i="6" a="1"/>
  <c r="BD3" i="6" s="1"/>
  <c r="AZ3" i="6" a="1"/>
  <c r="AZ3" i="6" s="1"/>
  <c r="AY3" i="6" a="1"/>
  <c r="AY3" i="6" s="1"/>
  <c r="AX3" i="6" a="1"/>
  <c r="AX3" i="6" s="1"/>
  <c r="AW3" i="6" a="1"/>
  <c r="AW3" i="6" s="1"/>
  <c r="AV3" i="6" a="1"/>
  <c r="AV3" i="6" s="1"/>
  <c r="AU3" i="6" a="1"/>
  <c r="AU3" i="6" s="1"/>
  <c r="AT3" i="6" a="1"/>
  <c r="AT3" i="6" s="1"/>
  <c r="AS3" i="6" a="1"/>
  <c r="AS3" i="6" s="1"/>
  <c r="AR3" i="6" a="1"/>
  <c r="AR3" i="6" s="1"/>
  <c r="AO3" i="6" a="1"/>
  <c r="AO3" i="6" s="1"/>
  <c r="AN3" i="6" a="1"/>
  <c r="AN3" i="6" s="1"/>
  <c r="AM3" i="6"/>
  <c r="AL3" i="6"/>
  <c r="BY2" i="6"/>
  <c r="BX2" i="6"/>
  <c r="BW2" i="6"/>
  <c r="BV2" i="6"/>
  <c r="BU2" i="6"/>
  <c r="BT2" i="6"/>
  <c r="BS2" i="6"/>
  <c r="BR2" i="6"/>
  <c r="BQ2" i="6"/>
  <c r="BP2" i="6"/>
  <c r="BM2" i="6"/>
  <c r="BL2" i="6"/>
  <c r="BK2" i="6"/>
  <c r="BJ2" i="6"/>
  <c r="BI2" i="6"/>
  <c r="BH2" i="6"/>
  <c r="BG2" i="6"/>
  <c r="BF2" i="6"/>
  <c r="BE2" i="6"/>
  <c r="BD2" i="6"/>
  <c r="BA2" i="6"/>
  <c r="AZ2" i="6"/>
  <c r="AY2" i="6"/>
  <c r="AX2" i="6"/>
  <c r="AW2" i="6"/>
  <c r="AV2" i="6"/>
  <c r="AU2" i="6"/>
  <c r="AT2" i="6"/>
  <c r="AS2" i="6"/>
  <c r="AR2" i="6"/>
  <c r="AJ117" i="6" l="1"/>
  <c r="BR127" i="6" s="1"/>
  <c r="AK117" i="6"/>
  <c r="BQ127" i="6" s="1"/>
  <c r="AQ117" i="6"/>
  <c r="BR130" i="6" s="1"/>
  <c r="AR117" i="6"/>
  <c r="BQ130" i="6" s="1"/>
  <c r="AK116" i="6"/>
  <c r="BO127" i="6" s="1"/>
  <c r="AJ116" i="6"/>
  <c r="BP127" i="6" s="1"/>
  <c r="AX116" i="6"/>
  <c r="BP133" i="6" s="1"/>
  <c r="AY116" i="6"/>
  <c r="BO133" i="6" s="1"/>
  <c r="BF116" i="6"/>
  <c r="BO136" i="6" s="1"/>
  <c r="BE116" i="6"/>
  <c r="BP136" i="6" s="1"/>
  <c r="BF117" i="6"/>
  <c r="BQ136" i="6" s="1"/>
  <c r="BE117" i="6"/>
  <c r="BR136" i="6" s="1"/>
  <c r="AQ116" i="6"/>
  <c r="BP130" i="6" s="1"/>
  <c r="AR116" i="6"/>
  <c r="BO130" i="6" s="1"/>
  <c r="BA3" i="6" a="1"/>
  <c r="BM3" i="6" a="1"/>
  <c r="BM3" i="6" s="1"/>
  <c r="BM104" i="6" s="1"/>
  <c r="AK106" i="6"/>
  <c r="BY3" i="6" a="1"/>
  <c r="BY3" i="6" s="1"/>
  <c r="BY104" i="6" s="1"/>
  <c r="X112" i="6"/>
  <c r="X113" i="6" s="1"/>
  <c r="F114" i="6"/>
  <c r="M106" i="6"/>
  <c r="G113" i="6"/>
  <c r="D113" i="6"/>
  <c r="BA133" i="6"/>
  <c r="AX117" i="6" s="1"/>
  <c r="Z112" i="6"/>
  <c r="Z113" i="6" s="1"/>
  <c r="Z114" i="6" s="1"/>
  <c r="Z115" i="6" s="1"/>
  <c r="Z116" i="6" s="1"/>
  <c r="Z117" i="6" s="1"/>
  <c r="Z118" i="6" s="1"/>
  <c r="Z119" i="6" s="1"/>
  <c r="Z120" i="6" s="1"/>
  <c r="Z121" i="6" s="1"/>
  <c r="Z122" i="6" s="1"/>
  <c r="Z123" i="6" s="1"/>
  <c r="Z124" i="6" s="1"/>
  <c r="Z125" i="6" s="1"/>
  <c r="Z126" i="6" s="1"/>
  <c r="Z127" i="6" s="1"/>
  <c r="Z128" i="6" s="1"/>
  <c r="Z129" i="6" s="1"/>
  <c r="Z130" i="6" s="1"/>
  <c r="Z131" i="6" s="1"/>
  <c r="Z132" i="6" s="1"/>
  <c r="Z133" i="6" s="1"/>
  <c r="Z134" i="6" s="1"/>
  <c r="Z135" i="6" s="1"/>
  <c r="Z136" i="6" s="1"/>
  <c r="Z137" i="6" s="1"/>
  <c r="Z138" i="6" s="1"/>
  <c r="Z139" i="6" s="1"/>
  <c r="Z140" i="6" s="1"/>
  <c r="Z141" i="6" s="1"/>
  <c r="Z142" i="6" s="1"/>
  <c r="Z143" i="6" s="1"/>
  <c r="Z144" i="6" s="1"/>
  <c r="Z145" i="6" s="1"/>
  <c r="Z146" i="6" s="1"/>
  <c r="Z147" i="6" s="1"/>
  <c r="Z148" i="6" s="1"/>
  <c r="Z149" i="6" s="1"/>
  <c r="Z150" i="6" s="1"/>
  <c r="Z151" i="6" s="1"/>
  <c r="Z152" i="6" s="1"/>
  <c r="Z153" i="6" s="1"/>
  <c r="Z154" i="6" s="1"/>
  <c r="Z155" i="6" s="1"/>
  <c r="Z156" i="6" s="1"/>
  <c r="Z157" i="6" s="1"/>
  <c r="Z158" i="6" s="1"/>
  <c r="Z159" i="6" s="1"/>
  <c r="Z160" i="6" s="1"/>
  <c r="Z161" i="6" s="1"/>
  <c r="Z162" i="6" s="1"/>
  <c r="Z163" i="6" s="1"/>
  <c r="Z164" i="6" s="1"/>
  <c r="Z165" i="6" s="1"/>
  <c r="Z166" i="6" s="1"/>
  <c r="Z167" i="6" s="1"/>
  <c r="Z168" i="6" s="1"/>
  <c r="Z169" i="6" s="1"/>
  <c r="Z170" i="6" s="1"/>
  <c r="Z171" i="6" s="1"/>
  <c r="Z172" i="6" s="1"/>
  <c r="Z173" i="6" s="1"/>
  <c r="Z174" i="6" s="1"/>
  <c r="Z175" i="6" s="1"/>
  <c r="Z176" i="6" s="1"/>
  <c r="Z177" i="6" s="1"/>
  <c r="Z178" i="6" s="1"/>
  <c r="Z179" i="6" s="1"/>
  <c r="Z180" i="6" s="1"/>
  <c r="Z181" i="6" s="1"/>
  <c r="Z182" i="6" s="1"/>
  <c r="Z183" i="6" s="1"/>
  <c r="Z184" i="6" s="1"/>
  <c r="Z185" i="6" s="1"/>
  <c r="Z186" i="6" s="1"/>
  <c r="Z187" i="6" s="1"/>
  <c r="Z188" i="6" s="1"/>
  <c r="Z189" i="6" s="1"/>
  <c r="Z190" i="6" s="1"/>
  <c r="Z191" i="6" s="1"/>
  <c r="Z192" i="6" s="1"/>
  <c r="Z193" i="6" s="1"/>
  <c r="Z194" i="6" s="1"/>
  <c r="Z195" i="6" s="1"/>
  <c r="Z196" i="6" s="1"/>
  <c r="Z197" i="6" s="1"/>
  <c r="Z198" i="6" s="1"/>
  <c r="Z199" i="6" s="1"/>
  <c r="Z200" i="6" s="1"/>
  <c r="Z201" i="6" s="1"/>
  <c r="BK136" i="6"/>
  <c r="BK133" i="6"/>
  <c r="BK130" i="6"/>
  <c r="BK127" i="6"/>
  <c r="E112" i="6"/>
  <c r="BA3" i="6" l="1"/>
  <c r="BA104" i="6" s="1"/>
  <c r="AY117" i="6"/>
  <c r="BQ133" i="6" s="1"/>
  <c r="W113" i="6"/>
  <c r="W114" i="6" s="1"/>
  <c r="Y113" i="6"/>
  <c r="Y114" i="6" s="1"/>
  <c r="Y115" i="6" s="1"/>
  <c r="Y116" i="6" s="1"/>
  <c r="Y117" i="6" s="1"/>
  <c r="Y118" i="6" s="1"/>
  <c r="Y119" i="6" s="1"/>
  <c r="Y120" i="6" s="1"/>
  <c r="Y121" i="6" s="1"/>
  <c r="Y122" i="6" s="1"/>
  <c r="Y123" i="6" s="1"/>
  <c r="Y124" i="6" s="1"/>
  <c r="Y125" i="6" s="1"/>
  <c r="Y126" i="6" s="1"/>
  <c r="Y127" i="6" s="1"/>
  <c r="Y128" i="6" s="1"/>
  <c r="Y129" i="6" s="1"/>
  <c r="Y130" i="6" s="1"/>
  <c r="Y131" i="6" s="1"/>
  <c r="Y132" i="6" s="1"/>
  <c r="Y133" i="6" s="1"/>
  <c r="Y134" i="6" s="1"/>
  <c r="Y135" i="6" s="1"/>
  <c r="Y136" i="6" s="1"/>
  <c r="Y137" i="6" s="1"/>
  <c r="Y138" i="6" s="1"/>
  <c r="Y139" i="6" s="1"/>
  <c r="Y140" i="6" s="1"/>
  <c r="Y141" i="6" s="1"/>
  <c r="Y142" i="6" s="1"/>
  <c r="Y143" i="6" s="1"/>
  <c r="Y144" i="6" s="1"/>
  <c r="Y145" i="6" s="1"/>
  <c r="Y146" i="6" s="1"/>
  <c r="Y147" i="6" s="1"/>
  <c r="Y148" i="6" s="1"/>
  <c r="Y149" i="6" s="1"/>
  <c r="Y150" i="6" s="1"/>
  <c r="Y151" i="6" s="1"/>
  <c r="Y152" i="6" s="1"/>
  <c r="Y153" i="6" s="1"/>
  <c r="Y154" i="6" s="1"/>
  <c r="Y155" i="6" s="1"/>
  <c r="Y156" i="6" s="1"/>
  <c r="Y157" i="6" s="1"/>
  <c r="Y158" i="6" s="1"/>
  <c r="Y159" i="6" s="1"/>
  <c r="Y160" i="6" s="1"/>
  <c r="Y161" i="6" s="1"/>
  <c r="Y162" i="6" s="1"/>
  <c r="Y163" i="6" s="1"/>
  <c r="Y164" i="6" s="1"/>
  <c r="Y165" i="6" s="1"/>
  <c r="Y166" i="6" s="1"/>
  <c r="Y167" i="6" s="1"/>
  <c r="Y168" i="6" s="1"/>
  <c r="Y169" i="6" s="1"/>
  <c r="Y170" i="6" s="1"/>
  <c r="Y171" i="6" s="1"/>
  <c r="Y172" i="6" s="1"/>
  <c r="Y173" i="6" s="1"/>
  <c r="Y174" i="6" s="1"/>
  <c r="Y175" i="6" s="1"/>
  <c r="Y176" i="6" s="1"/>
  <c r="Y177" i="6" s="1"/>
  <c r="Y178" i="6" s="1"/>
  <c r="Y179" i="6" s="1"/>
  <c r="Y180" i="6" s="1"/>
  <c r="Y181" i="6" s="1"/>
  <c r="Y182" i="6" s="1"/>
  <c r="Y183" i="6" s="1"/>
  <c r="Y184" i="6" s="1"/>
  <c r="Y185" i="6" s="1"/>
  <c r="Y186" i="6" s="1"/>
  <c r="Y187" i="6" s="1"/>
  <c r="Y188" i="6" s="1"/>
  <c r="Y189" i="6" s="1"/>
  <c r="Y190" i="6" s="1"/>
  <c r="Y191" i="6" s="1"/>
  <c r="Y192" i="6" s="1"/>
  <c r="Y193" i="6" s="1"/>
  <c r="Y194" i="6" s="1"/>
  <c r="Y195" i="6" s="1"/>
  <c r="Y196" i="6" s="1"/>
  <c r="Y197" i="6" s="1"/>
  <c r="Y198" i="6" s="1"/>
  <c r="Y199" i="6" s="1"/>
  <c r="Y200" i="6" s="1"/>
  <c r="Y201" i="6" s="1"/>
  <c r="C113" i="6"/>
  <c r="B113" i="6" s="1"/>
  <c r="BR133" i="6"/>
  <c r="F115" i="6"/>
  <c r="D115" i="6" s="1"/>
  <c r="G114" i="6"/>
  <c r="E114" i="6" s="1"/>
  <c r="D114" i="6"/>
  <c r="AB113" i="6"/>
  <c r="X114" i="6"/>
  <c r="AC113" i="6"/>
  <c r="E113" i="6"/>
  <c r="AC114" i="6" l="1"/>
  <c r="BI121" i="6" s="1"/>
  <c r="X115" i="6"/>
  <c r="W115" i="6"/>
  <c r="AB114" i="6"/>
  <c r="G115" i="6"/>
  <c r="C114" i="6"/>
  <c r="B114" i="6" s="1"/>
  <c r="BB121" i="6"/>
  <c r="AN121" i="6"/>
  <c r="AF113" i="6"/>
  <c r="AE113" i="6"/>
  <c r="AD113" i="6"/>
  <c r="AG113" i="6"/>
  <c r="F116" i="6"/>
  <c r="BI5" i="1" a="1"/>
  <c r="BF5" i="1" a="1"/>
  <c r="BN5" i="1" a="1"/>
  <c r="BM5" i="1" a="1"/>
  <c r="N5" i="1" a="1"/>
  <c r="BH5" i="1" a="1"/>
  <c r="BL5" i="1" a="1"/>
  <c r="BJ5" i="1" a="1"/>
  <c r="BG5" i="1" a="1"/>
  <c r="BE5" i="1" a="1"/>
  <c r="BK5" i="1" a="1"/>
  <c r="J5" i="7" a="1"/>
  <c r="BJ5" i="7" a="1"/>
  <c r="BD5" i="7" a="1"/>
  <c r="BI5" i="7" a="1"/>
  <c r="BM5" i="7" a="1"/>
  <c r="BE5" i="7" a="1"/>
  <c r="BH5" i="7" a="1"/>
  <c r="BL5" i="7" a="1"/>
  <c r="M5" i="7" a="1"/>
  <c r="BG5" i="7" a="1"/>
  <c r="BF5" i="7" a="1"/>
  <c r="BK5" i="7" a="1"/>
  <c r="BG5" i="1" l="1"/>
  <c r="BK5" i="7"/>
  <c r="BK5" i="1"/>
  <c r="BN5" i="1"/>
  <c r="N5" i="1"/>
  <c r="BM5" i="7"/>
  <c r="BG5" i="7"/>
  <c r="M5" i="7"/>
  <c r="BI5" i="1"/>
  <c r="BH5" i="7"/>
  <c r="BH5" i="1"/>
  <c r="BF5" i="1"/>
  <c r="BM5" i="1"/>
  <c r="BE5" i="7"/>
  <c r="BJ5" i="1"/>
  <c r="BD5" i="7"/>
  <c r="BL5" i="7"/>
  <c r="BL5" i="1"/>
  <c r="BJ5" i="7"/>
  <c r="BI5" i="7"/>
  <c r="J5" i="7"/>
  <c r="BE5" i="1"/>
  <c r="BF5" i="7"/>
  <c r="AU121" i="6"/>
  <c r="C115" i="6"/>
  <c r="B115" i="6" s="1"/>
  <c r="X116" i="6"/>
  <c r="AC115" i="6"/>
  <c r="F117" i="6"/>
  <c r="D116" i="6"/>
  <c r="W116" i="6"/>
  <c r="AB115" i="6"/>
  <c r="G116" i="6"/>
  <c r="E115" i="6"/>
  <c r="AD114" i="6"/>
  <c r="AG114" i="6"/>
  <c r="AF114" i="6"/>
  <c r="AE114" i="6"/>
  <c r="G117" i="6" l="1"/>
  <c r="F118" i="6"/>
  <c r="D118" i="6" s="1"/>
  <c r="E116" i="6"/>
  <c r="D117" i="6"/>
  <c r="C116" i="6"/>
  <c r="B116" i="6" s="1"/>
  <c r="AG115" i="6"/>
  <c r="AF115" i="6"/>
  <c r="AE115" i="6"/>
  <c r="AD115" i="6"/>
  <c r="W117" i="6"/>
  <c r="AB116" i="6"/>
  <c r="X117" i="6"/>
  <c r="AC116" i="6"/>
  <c r="AG116" i="6" l="1"/>
  <c r="AF116" i="6"/>
  <c r="AE116" i="6"/>
  <c r="AD116" i="6"/>
  <c r="AN122" i="6"/>
  <c r="X118" i="6"/>
  <c r="AC117" i="6"/>
  <c r="BB122" i="6"/>
  <c r="F119" i="6"/>
  <c r="D119" i="6" s="1"/>
  <c r="G118" i="6"/>
  <c r="E118" i="6" s="1"/>
  <c r="W118" i="6"/>
  <c r="AB117" i="6"/>
  <c r="C117" i="6"/>
  <c r="B117" i="6" s="1"/>
  <c r="E117" i="6"/>
  <c r="AG117" i="6" l="1"/>
  <c r="AF117" i="6"/>
  <c r="AE117" i="6"/>
  <c r="AD117" i="6"/>
  <c r="C118" i="6"/>
  <c r="B118" i="6" s="1"/>
  <c r="G119" i="6"/>
  <c r="E119" i="6" s="1"/>
  <c r="W119" i="6"/>
  <c r="AB118" i="6"/>
  <c r="X119" i="6"/>
  <c r="AC118" i="6"/>
  <c r="F120" i="6"/>
  <c r="D120" i="6" s="1"/>
  <c r="F121" i="6" l="1"/>
  <c r="C119" i="6"/>
  <c r="C120" i="6" s="1"/>
  <c r="AD118" i="6"/>
  <c r="AE118" i="6"/>
  <c r="AG118" i="6"/>
  <c r="AF118" i="6"/>
  <c r="AN123" i="6"/>
  <c r="G120" i="6"/>
  <c r="E120" i="6" s="1"/>
  <c r="AC119" i="6"/>
  <c r="X120" i="6"/>
  <c r="W120" i="6"/>
  <c r="AB119" i="6"/>
  <c r="AB120" i="6" l="1"/>
  <c r="W121" i="6"/>
  <c r="AD119" i="6"/>
  <c r="AE119" i="6"/>
  <c r="AG119" i="6"/>
  <c r="AF119" i="6"/>
  <c r="C121" i="6"/>
  <c r="G121" i="6"/>
  <c r="E121" i="6" s="1"/>
  <c r="AU122" i="6"/>
  <c r="B119" i="6"/>
  <c r="B120" i="6" s="1"/>
  <c r="X121" i="6"/>
  <c r="AC120" i="6"/>
  <c r="F122" i="6"/>
  <c r="D122" i="6" s="1"/>
  <c r="D121" i="6"/>
  <c r="B121" i="6" l="1"/>
  <c r="F123" i="6"/>
  <c r="AF120" i="6"/>
  <c r="AG120" i="6"/>
  <c r="AE120" i="6"/>
  <c r="AD120" i="6"/>
  <c r="C122" i="6"/>
  <c r="B122" i="6" s="1"/>
  <c r="AC121" i="6"/>
  <c r="X122" i="6"/>
  <c r="G122" i="6"/>
  <c r="E122" i="6" s="1"/>
  <c r="W122" i="6"/>
  <c r="AB121" i="6"/>
  <c r="G123" i="6" l="1"/>
  <c r="C123" i="6"/>
  <c r="B123" i="6" s="1"/>
  <c r="AC122" i="6"/>
  <c r="X123" i="6"/>
  <c r="AB122" i="6"/>
  <c r="W123" i="6"/>
  <c r="AD121" i="6"/>
  <c r="AE121" i="6"/>
  <c r="AG121" i="6"/>
  <c r="AF121" i="6"/>
  <c r="F124" i="6"/>
  <c r="D124" i="6" s="1"/>
  <c r="D123" i="6"/>
  <c r="W124" i="6" l="1"/>
  <c r="AB123" i="6"/>
  <c r="X124" i="6"/>
  <c r="AC123" i="6"/>
  <c r="G124" i="6"/>
  <c r="E124" i="6" s="1"/>
  <c r="F125" i="6"/>
  <c r="AF122" i="6"/>
  <c r="AG122" i="6"/>
  <c r="AE122" i="6"/>
  <c r="AD122" i="6"/>
  <c r="E123" i="6"/>
  <c r="C124" i="6" l="1"/>
  <c r="B124" i="6" s="1"/>
  <c r="AB124" i="6"/>
  <c r="W125" i="6"/>
  <c r="F126" i="6"/>
  <c r="D126" i="6" s="1"/>
  <c r="AD123" i="6"/>
  <c r="AG123" i="6"/>
  <c r="AF123" i="6"/>
  <c r="AE123" i="6"/>
  <c r="G125" i="6"/>
  <c r="E125" i="6" s="1"/>
  <c r="D125" i="6"/>
  <c r="AC124" i="6"/>
  <c r="X125" i="6"/>
  <c r="C125" i="6" l="1"/>
  <c r="B125" i="6" s="1"/>
  <c r="X126" i="6"/>
  <c r="AC125" i="6"/>
  <c r="AF124" i="6"/>
  <c r="AG124" i="6"/>
  <c r="AE124" i="6"/>
  <c r="AD124" i="6"/>
  <c r="G126" i="6"/>
  <c r="E126" i="6" s="1"/>
  <c r="W126" i="6"/>
  <c r="AB125" i="6"/>
  <c r="F127" i="6"/>
  <c r="D127" i="6" s="1"/>
  <c r="C126" i="6" l="1"/>
  <c r="B126" i="6" s="1"/>
  <c r="AD125" i="6"/>
  <c r="AG125" i="6"/>
  <c r="AF125" i="6"/>
  <c r="AE125" i="6"/>
  <c r="F128" i="6"/>
  <c r="AB126" i="6"/>
  <c r="W127" i="6"/>
  <c r="AC126" i="6"/>
  <c r="X127" i="6"/>
  <c r="G127" i="6"/>
  <c r="C127" i="6" l="1"/>
  <c r="B127" i="6" s="1"/>
  <c r="G128" i="6"/>
  <c r="X128" i="6"/>
  <c r="AC127" i="6"/>
  <c r="F129" i="6"/>
  <c r="D129" i="6" s="1"/>
  <c r="AB127" i="6"/>
  <c r="W128" i="6"/>
  <c r="E127" i="6"/>
  <c r="AF126" i="6"/>
  <c r="AG126" i="6"/>
  <c r="AE126" i="6"/>
  <c r="AD126" i="6"/>
  <c r="D128" i="6"/>
  <c r="G129" i="6" l="1"/>
  <c r="E129" i="6" s="1"/>
  <c r="C128" i="6"/>
  <c r="B128" i="6" s="1"/>
  <c r="F130" i="6"/>
  <c r="W129" i="6"/>
  <c r="AB128" i="6"/>
  <c r="AD127" i="6"/>
  <c r="AG127" i="6"/>
  <c r="AF127" i="6"/>
  <c r="AE127" i="6"/>
  <c r="E128" i="6"/>
  <c r="X129" i="6"/>
  <c r="AC128" i="6"/>
  <c r="AC129" i="6" l="1"/>
  <c r="X130" i="6"/>
  <c r="C129" i="6"/>
  <c r="C130" i="6" s="1"/>
  <c r="AE128" i="6"/>
  <c r="AD128" i="6"/>
  <c r="AG128" i="6"/>
  <c r="AF128" i="6"/>
  <c r="AB129" i="6"/>
  <c r="W130" i="6"/>
  <c r="F131" i="6"/>
  <c r="D130" i="6"/>
  <c r="G130" i="6"/>
  <c r="E130" i="6" s="1"/>
  <c r="C131" i="6" l="1"/>
  <c r="W131" i="6"/>
  <c r="AB130" i="6"/>
  <c r="X131" i="6"/>
  <c r="AC130" i="6"/>
  <c r="AG129" i="6"/>
  <c r="AF129" i="6"/>
  <c r="AE129" i="6"/>
  <c r="AD129" i="6"/>
  <c r="F132" i="6"/>
  <c r="D132" i="6" s="1"/>
  <c r="B129" i="6"/>
  <c r="B130" i="6" s="1"/>
  <c r="B131" i="6" s="1"/>
  <c r="G131" i="6"/>
  <c r="D131" i="6"/>
  <c r="G132" i="6" l="1"/>
  <c r="E132" i="6" s="1"/>
  <c r="F133" i="6"/>
  <c r="W132" i="6"/>
  <c r="AB131" i="6"/>
  <c r="E131" i="6"/>
  <c r="AE130" i="6"/>
  <c r="AD130" i="6"/>
  <c r="AF130" i="6"/>
  <c r="AG130" i="6"/>
  <c r="X132" i="6"/>
  <c r="AC131" i="6"/>
  <c r="AC132" i="6" l="1"/>
  <c r="X133" i="6"/>
  <c r="F134" i="6"/>
  <c r="C132" i="6"/>
  <c r="B132" i="6" s="1"/>
  <c r="D133" i="6"/>
  <c r="AE131" i="6"/>
  <c r="AD131" i="6"/>
  <c r="AG131" i="6"/>
  <c r="AF131" i="6"/>
  <c r="AB132" i="6"/>
  <c r="W133" i="6"/>
  <c r="G133" i="6"/>
  <c r="G134" i="6" l="1"/>
  <c r="E133" i="6"/>
  <c r="C133" i="6"/>
  <c r="B133" i="6" s="1"/>
  <c r="F135" i="6"/>
  <c r="D135" i="6" s="1"/>
  <c r="W134" i="6"/>
  <c r="AB133" i="6"/>
  <c r="D134" i="6"/>
  <c r="AC133" i="6"/>
  <c r="X134" i="6"/>
  <c r="AG132" i="6"/>
  <c r="AF132" i="6"/>
  <c r="AE132" i="6"/>
  <c r="AD132" i="6"/>
  <c r="X135" i="6" l="1"/>
  <c r="AC134" i="6"/>
  <c r="W135" i="6"/>
  <c r="AB134" i="6"/>
  <c r="C134" i="6"/>
  <c r="B134" i="6" s="1"/>
  <c r="AE133" i="6"/>
  <c r="AD133" i="6"/>
  <c r="AG133" i="6"/>
  <c r="AF133" i="6"/>
  <c r="G135" i="6"/>
  <c r="E135" i="6" s="1"/>
  <c r="F136" i="6"/>
  <c r="E134" i="6"/>
  <c r="C135" i="6" l="1"/>
  <c r="C136" i="6" s="1"/>
  <c r="G136" i="6"/>
  <c r="AB135" i="6"/>
  <c r="W136" i="6"/>
  <c r="F137" i="6"/>
  <c r="AE134" i="6"/>
  <c r="AD134" i="6"/>
  <c r="AF134" i="6"/>
  <c r="AG134" i="6"/>
  <c r="D136" i="6"/>
  <c r="AC135" i="6"/>
  <c r="X136" i="6"/>
  <c r="B135" i="6" l="1"/>
  <c r="B136" i="6" s="1"/>
  <c r="W137" i="6"/>
  <c r="AB136" i="6"/>
  <c r="AG135" i="6"/>
  <c r="AF135" i="6"/>
  <c r="AD135" i="6"/>
  <c r="AE135" i="6"/>
  <c r="F138" i="6"/>
  <c r="D138" i="6" s="1"/>
  <c r="G137" i="6"/>
  <c r="AC136" i="6"/>
  <c r="X137" i="6"/>
  <c r="D137" i="6"/>
  <c r="E136" i="6"/>
  <c r="X138" i="6" l="1"/>
  <c r="AC137" i="6"/>
  <c r="AE136" i="6"/>
  <c r="AD136" i="6"/>
  <c r="AF136" i="6"/>
  <c r="AG136" i="6"/>
  <c r="F139" i="6"/>
  <c r="G138" i="6"/>
  <c r="E138" i="6" s="1"/>
  <c r="C137" i="6"/>
  <c r="B137" i="6" s="1"/>
  <c r="E137" i="6"/>
  <c r="W138" i="6"/>
  <c r="AB137" i="6"/>
  <c r="F140" i="6" l="1"/>
  <c r="D140" i="6" s="1"/>
  <c r="D139" i="6"/>
  <c r="AB138" i="6"/>
  <c r="W139" i="6"/>
  <c r="AE137" i="6"/>
  <c r="AD137" i="6"/>
  <c r="AF137" i="6"/>
  <c r="AG137" i="6"/>
  <c r="C138" i="6"/>
  <c r="C139" i="6" s="1"/>
  <c r="G139" i="6"/>
  <c r="E139" i="6" s="1"/>
  <c r="AC138" i="6"/>
  <c r="X139" i="6"/>
  <c r="AG138" i="6" l="1"/>
  <c r="AF138" i="6"/>
  <c r="AD138" i="6"/>
  <c r="AE138" i="6"/>
  <c r="G140" i="6"/>
  <c r="E140" i="6" s="1"/>
  <c r="W140" i="6"/>
  <c r="AB139" i="6"/>
  <c r="F141" i="6"/>
  <c r="C140" i="6"/>
  <c r="X140" i="6"/>
  <c r="AC139" i="6"/>
  <c r="B138" i="6"/>
  <c r="B139" i="6" s="1"/>
  <c r="B140" i="6" l="1"/>
  <c r="AB140" i="6"/>
  <c r="W141" i="6"/>
  <c r="AE139" i="6"/>
  <c r="AD139" i="6"/>
  <c r="AF139" i="6"/>
  <c r="AG139" i="6"/>
  <c r="F142" i="6"/>
  <c r="D142" i="6" s="1"/>
  <c r="C141" i="6"/>
  <c r="AC140" i="6"/>
  <c r="X141" i="6"/>
  <c r="D141" i="6"/>
  <c r="G141" i="6"/>
  <c r="E141" i="6" s="1"/>
  <c r="B141" i="6" l="1"/>
  <c r="X142" i="6"/>
  <c r="AC141" i="6"/>
  <c r="G142" i="6"/>
  <c r="E142" i="6" s="1"/>
  <c r="AG140" i="6"/>
  <c r="AF140" i="6"/>
  <c r="AD140" i="6"/>
  <c r="AE140" i="6"/>
  <c r="F143" i="6"/>
  <c r="W142" i="6"/>
  <c r="AB141" i="6"/>
  <c r="C142" i="6"/>
  <c r="B142" i="6" s="1"/>
  <c r="C143" i="6" l="1"/>
  <c r="B143" i="6" s="1"/>
  <c r="AB142" i="6"/>
  <c r="W143" i="6"/>
  <c r="G143" i="6"/>
  <c r="F144" i="6"/>
  <c r="D144" i="6" s="1"/>
  <c r="AE141" i="6"/>
  <c r="AD141" i="6"/>
  <c r="AF141" i="6"/>
  <c r="AG141" i="6"/>
  <c r="D143" i="6"/>
  <c r="AC142" i="6"/>
  <c r="X143" i="6"/>
  <c r="W144" i="6" l="1"/>
  <c r="AB143" i="6"/>
  <c r="X144" i="6"/>
  <c r="AC143" i="6"/>
  <c r="F145" i="6"/>
  <c r="AG142" i="6"/>
  <c r="AF142" i="6"/>
  <c r="AD142" i="6"/>
  <c r="AE142" i="6"/>
  <c r="G144" i="6"/>
  <c r="E144" i="6" s="1"/>
  <c r="E143" i="6"/>
  <c r="AB144" i="6" l="1"/>
  <c r="W145" i="6"/>
  <c r="AE143" i="6"/>
  <c r="AD143" i="6"/>
  <c r="AF143" i="6"/>
  <c r="AG143" i="6"/>
  <c r="F146" i="6"/>
  <c r="D146" i="6" s="1"/>
  <c r="C144" i="6"/>
  <c r="C145" i="6" s="1"/>
  <c r="D145" i="6"/>
  <c r="G145" i="6"/>
  <c r="AC144" i="6"/>
  <c r="X145" i="6"/>
  <c r="G146" i="6" l="1"/>
  <c r="E146" i="6" s="1"/>
  <c r="AG144" i="6"/>
  <c r="AF144" i="6"/>
  <c r="AD144" i="6"/>
  <c r="AE144" i="6"/>
  <c r="B144" i="6"/>
  <c r="B145" i="6" s="1"/>
  <c r="W146" i="6"/>
  <c r="AB145" i="6"/>
  <c r="E145" i="6"/>
  <c r="X146" i="6"/>
  <c r="AC145" i="6"/>
  <c r="F147" i="6"/>
  <c r="AE145" i="6" l="1"/>
  <c r="AD145" i="6"/>
  <c r="AF145" i="6"/>
  <c r="AG145" i="6"/>
  <c r="AB146" i="6"/>
  <c r="W147" i="6"/>
  <c r="AC146" i="6"/>
  <c r="X147" i="6"/>
  <c r="F148" i="6"/>
  <c r="D148" i="6" s="1"/>
  <c r="C146" i="6"/>
  <c r="C147" i="6" s="1"/>
  <c r="D147" i="6"/>
  <c r="G147" i="6"/>
  <c r="E147" i="6" s="1"/>
  <c r="B146" i="6" l="1"/>
  <c r="B147" i="6" s="1"/>
  <c r="C148" i="6"/>
  <c r="X148" i="6"/>
  <c r="AC147" i="6"/>
  <c r="AG146" i="6"/>
  <c r="AF146" i="6"/>
  <c r="AD146" i="6"/>
  <c r="AE146" i="6"/>
  <c r="W148" i="6"/>
  <c r="AB147" i="6"/>
  <c r="G148" i="6"/>
  <c r="E148" i="6" s="1"/>
  <c r="F149" i="6"/>
  <c r="B148" i="6" l="1"/>
  <c r="C149" i="6"/>
  <c r="AE147" i="6"/>
  <c r="AD147" i="6"/>
  <c r="AF147" i="6"/>
  <c r="AG147" i="6"/>
  <c r="G149" i="6"/>
  <c r="AC148" i="6"/>
  <c r="X149" i="6"/>
  <c r="F150" i="6"/>
  <c r="D150" i="6" s="1"/>
  <c r="D149" i="6"/>
  <c r="AB148" i="6"/>
  <c r="W149" i="6"/>
  <c r="B149" i="6" l="1"/>
  <c r="G150" i="6"/>
  <c r="E150" i="6" s="1"/>
  <c r="W150" i="6"/>
  <c r="AB149" i="6"/>
  <c r="F151" i="6"/>
  <c r="E149" i="6"/>
  <c r="X150" i="6"/>
  <c r="AC149" i="6"/>
  <c r="AG148" i="6"/>
  <c r="AF148" i="6"/>
  <c r="AD148" i="6"/>
  <c r="AE148" i="6"/>
  <c r="AC150" i="6" l="1"/>
  <c r="X151" i="6"/>
  <c r="C150" i="6"/>
  <c r="C151" i="6" s="1"/>
  <c r="AB150" i="6"/>
  <c r="W151" i="6"/>
  <c r="F152" i="6"/>
  <c r="D152" i="6" s="1"/>
  <c r="AE149" i="6"/>
  <c r="AD149" i="6"/>
  <c r="AF149" i="6"/>
  <c r="AG149" i="6"/>
  <c r="D151" i="6"/>
  <c r="G151" i="6"/>
  <c r="E151" i="6" s="1"/>
  <c r="B150" i="6" l="1"/>
  <c r="B151" i="6" s="1"/>
  <c r="F153" i="6"/>
  <c r="C152" i="6"/>
  <c r="W152" i="6"/>
  <c r="AB151" i="6"/>
  <c r="X152" i="6"/>
  <c r="AC151" i="6"/>
  <c r="G152" i="6"/>
  <c r="E152" i="6" s="1"/>
  <c r="AG150" i="6"/>
  <c r="AF150" i="6"/>
  <c r="AD150" i="6"/>
  <c r="AE150" i="6"/>
  <c r="B152" i="6" l="1"/>
  <c r="AC152" i="6"/>
  <c r="X153" i="6"/>
  <c r="F154" i="6"/>
  <c r="D154" i="6" s="1"/>
  <c r="C153" i="6"/>
  <c r="B153" i="6" s="1"/>
  <c r="G153" i="6"/>
  <c r="AB152" i="6"/>
  <c r="W153" i="6"/>
  <c r="D153" i="6"/>
  <c r="AE151" i="6"/>
  <c r="AD151" i="6"/>
  <c r="AF151" i="6"/>
  <c r="AG151" i="6"/>
  <c r="G154" i="6" l="1"/>
  <c r="E154" i="6" s="1"/>
  <c r="E153" i="6"/>
  <c r="F155" i="6"/>
  <c r="D155" i="6" s="1"/>
  <c r="W154" i="6"/>
  <c r="AB153" i="6"/>
  <c r="X154" i="6"/>
  <c r="AC153" i="6"/>
  <c r="AG152" i="6"/>
  <c r="AF152" i="6"/>
  <c r="AD152" i="6"/>
  <c r="AE152" i="6"/>
  <c r="AC154" i="6" l="1"/>
  <c r="X155" i="6"/>
  <c r="C154" i="6"/>
  <c r="C155" i="6" s="1"/>
  <c r="AB154" i="6"/>
  <c r="W155" i="6"/>
  <c r="AE153" i="6"/>
  <c r="AD153" i="6"/>
  <c r="AF153" i="6"/>
  <c r="AG153" i="6"/>
  <c r="F156" i="6"/>
  <c r="D156" i="6" s="1"/>
  <c r="G155" i="6"/>
  <c r="E155" i="6" s="1"/>
  <c r="B154" i="6" l="1"/>
  <c r="B155" i="6" s="1"/>
  <c r="C156" i="6"/>
  <c r="W156" i="6"/>
  <c r="AB155" i="6"/>
  <c r="X156" i="6"/>
  <c r="AC155" i="6"/>
  <c r="G156" i="6"/>
  <c r="E156" i="6" s="1"/>
  <c r="F157" i="6"/>
  <c r="AG154" i="6"/>
  <c r="AF154" i="6"/>
  <c r="AD154" i="6"/>
  <c r="AE154" i="6"/>
  <c r="B156" i="6" l="1"/>
  <c r="C157" i="6"/>
  <c r="G157" i="6"/>
  <c r="AB156" i="6"/>
  <c r="W157" i="6"/>
  <c r="F158" i="6"/>
  <c r="D158" i="6" s="1"/>
  <c r="AE155" i="6"/>
  <c r="AD155" i="6"/>
  <c r="AF155" i="6"/>
  <c r="AG155" i="6"/>
  <c r="D157" i="6"/>
  <c r="AC156" i="6"/>
  <c r="X157" i="6"/>
  <c r="B157" i="6" l="1"/>
  <c r="G158" i="6"/>
  <c r="E158" i="6" s="1"/>
  <c r="X158" i="6"/>
  <c r="AC157" i="6"/>
  <c r="F159" i="6"/>
  <c r="D159" i="6" s="1"/>
  <c r="E157" i="6"/>
  <c r="AG156" i="6"/>
  <c r="AF156" i="6"/>
  <c r="AD156" i="6"/>
  <c r="AE156" i="6"/>
  <c r="W158" i="6"/>
  <c r="AB157" i="6"/>
  <c r="AB158" i="6" l="1"/>
  <c r="W159" i="6"/>
  <c r="AE157" i="6"/>
  <c r="AD157" i="6"/>
  <c r="AF157" i="6"/>
  <c r="AG157" i="6"/>
  <c r="C158" i="6"/>
  <c r="C159" i="6" s="1"/>
  <c r="AC158" i="6"/>
  <c r="X159" i="6"/>
  <c r="F160" i="6"/>
  <c r="D160" i="6" s="1"/>
  <c r="G159" i="6"/>
  <c r="G160" i="6" l="1"/>
  <c r="E160" i="6" s="1"/>
  <c r="X160" i="6"/>
  <c r="AC159" i="6"/>
  <c r="W160" i="6"/>
  <c r="AB159" i="6"/>
  <c r="E159" i="6"/>
  <c r="AG158" i="6"/>
  <c r="AF158" i="6"/>
  <c r="AD158" i="6"/>
  <c r="AE158" i="6"/>
  <c r="F161" i="6"/>
  <c r="B158" i="6"/>
  <c r="B159" i="6" s="1"/>
  <c r="F162" i="6" l="1"/>
  <c r="AE159" i="6"/>
  <c r="AF159" i="6"/>
  <c r="AD159" i="6"/>
  <c r="AG159" i="6"/>
  <c r="C160" i="6"/>
  <c r="C161" i="6" s="1"/>
  <c r="AC160" i="6"/>
  <c r="X161" i="6"/>
  <c r="D161" i="6"/>
  <c r="AB160" i="6"/>
  <c r="W161" i="6"/>
  <c r="G161" i="6"/>
  <c r="E161" i="6" s="1"/>
  <c r="C162" i="6" l="1"/>
  <c r="X162" i="6"/>
  <c r="AC161" i="6"/>
  <c r="F163" i="6"/>
  <c r="D163" i="6" s="1"/>
  <c r="W162" i="6"/>
  <c r="AB161" i="6"/>
  <c r="AG160" i="6"/>
  <c r="AD160" i="6"/>
  <c r="AF160" i="6"/>
  <c r="AE160" i="6"/>
  <c r="D162" i="6"/>
  <c r="B160" i="6"/>
  <c r="B161" i="6" s="1"/>
  <c r="G162" i="6"/>
  <c r="E162" i="6" s="1"/>
  <c r="B162" i="6" l="1"/>
  <c r="C163" i="6"/>
  <c r="AE161" i="6"/>
  <c r="AF161" i="6"/>
  <c r="AD161" i="6"/>
  <c r="AG161" i="6"/>
  <c r="G163" i="6"/>
  <c r="E163" i="6" s="1"/>
  <c r="AB162" i="6"/>
  <c r="W163" i="6"/>
  <c r="AC162" i="6"/>
  <c r="X163" i="6"/>
  <c r="F164" i="6"/>
  <c r="D164" i="6" s="1"/>
  <c r="B163" i="6" l="1"/>
  <c r="C164" i="6"/>
  <c r="B164" i="6" s="1"/>
  <c r="X164" i="6"/>
  <c r="AC163" i="6"/>
  <c r="AG162" i="6"/>
  <c r="AD162" i="6"/>
  <c r="AF162" i="6"/>
  <c r="AE162" i="6"/>
  <c r="G164" i="6"/>
  <c r="E164" i="6" s="1"/>
  <c r="F165" i="6"/>
  <c r="D165" i="6" s="1"/>
  <c r="W164" i="6"/>
  <c r="AB163" i="6"/>
  <c r="C165" i="6" l="1"/>
  <c r="B165" i="6" s="1"/>
  <c r="AE163" i="6"/>
  <c r="AF163" i="6"/>
  <c r="AD163" i="6"/>
  <c r="AG163" i="6"/>
  <c r="F166" i="6"/>
  <c r="D166" i="6" s="1"/>
  <c r="AC164" i="6"/>
  <c r="X165" i="6"/>
  <c r="AB164" i="6"/>
  <c r="W165" i="6"/>
  <c r="G165" i="6"/>
  <c r="E165" i="6" s="1"/>
  <c r="W166" i="6" l="1"/>
  <c r="AB165" i="6"/>
  <c r="F167" i="6"/>
  <c r="D167" i="6" s="1"/>
  <c r="G166" i="6"/>
  <c r="E166" i="6" s="1"/>
  <c r="X166" i="6"/>
  <c r="AC165" i="6"/>
  <c r="C166" i="6"/>
  <c r="B166" i="6" s="1"/>
  <c r="AG164" i="6"/>
  <c r="AD164" i="6"/>
  <c r="AF164" i="6"/>
  <c r="AE164" i="6"/>
  <c r="C167" i="6" l="1"/>
  <c r="B167" i="6" s="1"/>
  <c r="AE165" i="6"/>
  <c r="AF165" i="6"/>
  <c r="AD165" i="6"/>
  <c r="AG165" i="6"/>
  <c r="AC166" i="6"/>
  <c r="X167" i="6"/>
  <c r="F168" i="6"/>
  <c r="D168" i="6" s="1"/>
  <c r="G167" i="6"/>
  <c r="AB166" i="6"/>
  <c r="W167" i="6"/>
  <c r="G168" i="6" l="1"/>
  <c r="E168" i="6" s="1"/>
  <c r="X168" i="6"/>
  <c r="AC167" i="6"/>
  <c r="E167" i="6"/>
  <c r="AG166" i="6"/>
  <c r="AD166" i="6"/>
  <c r="AF166" i="6"/>
  <c r="AE166" i="6"/>
  <c r="AB167" i="6"/>
  <c r="W168" i="6"/>
  <c r="F169" i="6"/>
  <c r="F170" i="6" l="1"/>
  <c r="AF167" i="6"/>
  <c r="AE167" i="6"/>
  <c r="AG167" i="6"/>
  <c r="AD167" i="6"/>
  <c r="W169" i="6"/>
  <c r="AB168" i="6"/>
  <c r="AC168" i="6"/>
  <c r="X169" i="6"/>
  <c r="D169" i="6"/>
  <c r="C168" i="6"/>
  <c r="C169" i="6" s="1"/>
  <c r="G169" i="6"/>
  <c r="E169" i="6" s="1"/>
  <c r="X170" i="6" l="1"/>
  <c r="AC169" i="6"/>
  <c r="F171" i="6"/>
  <c r="D171" i="6" s="1"/>
  <c r="B168" i="6"/>
  <c r="B169" i="6" s="1"/>
  <c r="AD168" i="6"/>
  <c r="AG168" i="6"/>
  <c r="AE168" i="6"/>
  <c r="AF168" i="6"/>
  <c r="D170" i="6"/>
  <c r="C170" i="6"/>
  <c r="G170" i="6"/>
  <c r="E170" i="6" s="1"/>
  <c r="AB169" i="6"/>
  <c r="W170" i="6"/>
  <c r="B170" i="6" l="1"/>
  <c r="C171" i="6"/>
  <c r="W171" i="6"/>
  <c r="AB170" i="6"/>
  <c r="F172" i="6"/>
  <c r="D172" i="6" s="1"/>
  <c r="AF169" i="6"/>
  <c r="AE169" i="6"/>
  <c r="AG169" i="6"/>
  <c r="AD169" i="6"/>
  <c r="G171" i="6"/>
  <c r="AC170" i="6"/>
  <c r="X171" i="6"/>
  <c r="B171" i="6" l="1"/>
  <c r="G172" i="6"/>
  <c r="E172" i="6" s="1"/>
  <c r="E171" i="6"/>
  <c r="W172" i="6"/>
  <c r="AB171" i="6"/>
  <c r="AC171" i="6"/>
  <c r="X172" i="6"/>
  <c r="AD170" i="6"/>
  <c r="AG170" i="6"/>
  <c r="AE170" i="6"/>
  <c r="AF170" i="6"/>
  <c r="F173" i="6"/>
  <c r="D173" i="6" s="1"/>
  <c r="AB172" i="6" l="1"/>
  <c r="W173" i="6"/>
  <c r="AC172" i="6"/>
  <c r="X173" i="6"/>
  <c r="C172" i="6"/>
  <c r="C173" i="6" s="1"/>
  <c r="AD171" i="6"/>
  <c r="AG171" i="6"/>
  <c r="AF171" i="6"/>
  <c r="AE171" i="6"/>
  <c r="F174" i="6"/>
  <c r="D174" i="6" s="1"/>
  <c r="G173" i="6"/>
  <c r="W174" i="6" l="1"/>
  <c r="AB173" i="6"/>
  <c r="G174" i="6"/>
  <c r="E174" i="6" s="1"/>
  <c r="B172" i="6"/>
  <c r="B173" i="6" s="1"/>
  <c r="E173" i="6"/>
  <c r="AC173" i="6"/>
  <c r="X174" i="6"/>
  <c r="F175" i="6"/>
  <c r="AF172" i="6"/>
  <c r="AG172" i="6"/>
  <c r="AE172" i="6"/>
  <c r="AD172" i="6"/>
  <c r="AC174" i="6" l="1"/>
  <c r="X175" i="6"/>
  <c r="AD173" i="6"/>
  <c r="AG173" i="6"/>
  <c r="AF173" i="6"/>
  <c r="AE173" i="6"/>
  <c r="G175" i="6"/>
  <c r="E175" i="6" s="1"/>
  <c r="F176" i="6"/>
  <c r="D176" i="6" s="1"/>
  <c r="C174" i="6"/>
  <c r="C175" i="6" s="1"/>
  <c r="D175" i="6"/>
  <c r="AB174" i="6"/>
  <c r="W175" i="6"/>
  <c r="C176" i="6" l="1"/>
  <c r="G176" i="6"/>
  <c r="E176" i="6" s="1"/>
  <c r="B174" i="6"/>
  <c r="B175" i="6" s="1"/>
  <c r="F177" i="6"/>
  <c r="AC175" i="6"/>
  <c r="X176" i="6"/>
  <c r="W176" i="6"/>
  <c r="AB175" i="6"/>
  <c r="AF174" i="6"/>
  <c r="AG174" i="6"/>
  <c r="AE174" i="6"/>
  <c r="AD174" i="6"/>
  <c r="B176" i="6" l="1"/>
  <c r="C177" i="6"/>
  <c r="B177" i="6" s="1"/>
  <c r="AD175" i="6"/>
  <c r="AG175" i="6"/>
  <c r="AF175" i="6"/>
  <c r="AE175" i="6"/>
  <c r="F178" i="6"/>
  <c r="D178" i="6" s="1"/>
  <c r="G177" i="6"/>
  <c r="AB176" i="6"/>
  <c r="W177" i="6"/>
  <c r="D177" i="6"/>
  <c r="AC176" i="6"/>
  <c r="X177" i="6"/>
  <c r="W178" i="6" l="1"/>
  <c r="AB177" i="6"/>
  <c r="AF176" i="6"/>
  <c r="AG176" i="6"/>
  <c r="AE176" i="6"/>
  <c r="AD176" i="6"/>
  <c r="AC177" i="6"/>
  <c r="X178" i="6"/>
  <c r="F179" i="6"/>
  <c r="D179" i="6" s="1"/>
  <c r="G178" i="6"/>
  <c r="E178" i="6" s="1"/>
  <c r="E177" i="6"/>
  <c r="AC178" i="6" l="1"/>
  <c r="X179" i="6"/>
  <c r="C178" i="6"/>
  <c r="C179" i="6" s="1"/>
  <c r="G179" i="6"/>
  <c r="E179" i="6" s="1"/>
  <c r="AD177" i="6"/>
  <c r="AG177" i="6"/>
  <c r="AF177" i="6"/>
  <c r="AE177" i="6"/>
  <c r="F180" i="6"/>
  <c r="D180" i="6" s="1"/>
  <c r="AB178" i="6"/>
  <c r="W179" i="6"/>
  <c r="W180" i="6" l="1"/>
  <c r="AB179" i="6"/>
  <c r="G180" i="6"/>
  <c r="E180" i="6" s="1"/>
  <c r="AC179" i="6"/>
  <c r="X180" i="6"/>
  <c r="C180" i="6"/>
  <c r="AF178" i="6"/>
  <c r="AG178" i="6"/>
  <c r="AE178" i="6"/>
  <c r="AD178" i="6"/>
  <c r="F181" i="6"/>
  <c r="B178" i="6"/>
  <c r="B179" i="6" s="1"/>
  <c r="B180" i="6" l="1"/>
  <c r="C181" i="6"/>
  <c r="G181" i="6"/>
  <c r="F182" i="6"/>
  <c r="D182" i="6" s="1"/>
  <c r="AC180" i="6"/>
  <c r="X181" i="6"/>
  <c r="D181" i="6"/>
  <c r="AD179" i="6"/>
  <c r="AG179" i="6"/>
  <c r="AF179" i="6"/>
  <c r="AE179" i="6"/>
  <c r="AB180" i="6"/>
  <c r="W181" i="6"/>
  <c r="B181" i="6" l="1"/>
  <c r="AC181" i="6"/>
  <c r="X182" i="6"/>
  <c r="G182" i="6"/>
  <c r="E182" i="6" s="1"/>
  <c r="W182" i="6"/>
  <c r="AB181" i="6"/>
  <c r="AF180" i="6"/>
  <c r="AG180" i="6"/>
  <c r="AE180" i="6"/>
  <c r="AD180" i="6"/>
  <c r="E181" i="6"/>
  <c r="F183" i="6"/>
  <c r="D183" i="6" s="1"/>
  <c r="C182" i="6" l="1"/>
  <c r="C183" i="6" s="1"/>
  <c r="G183" i="6"/>
  <c r="AC182" i="6"/>
  <c r="X183" i="6"/>
  <c r="F184" i="6"/>
  <c r="D184" i="6" s="1"/>
  <c r="AB182" i="6"/>
  <c r="W183" i="6"/>
  <c r="AD181" i="6"/>
  <c r="AG181" i="6"/>
  <c r="AF181" i="6"/>
  <c r="AE181" i="6"/>
  <c r="W184" i="6" l="1"/>
  <c r="AB183" i="6"/>
  <c r="AC183" i="6"/>
  <c r="X184" i="6"/>
  <c r="AF182" i="6"/>
  <c r="AG182" i="6"/>
  <c r="AE182" i="6"/>
  <c r="AD182" i="6"/>
  <c r="B182" i="6"/>
  <c r="B183" i="6" s="1"/>
  <c r="G184" i="6"/>
  <c r="E184" i="6" s="1"/>
  <c r="F185" i="6"/>
  <c r="D185" i="6" s="1"/>
  <c r="E183" i="6"/>
  <c r="AC184" i="6" l="1"/>
  <c r="X185" i="6"/>
  <c r="AD183" i="6"/>
  <c r="AG183" i="6"/>
  <c r="AF183" i="6"/>
  <c r="AE183" i="6"/>
  <c r="C184" i="6"/>
  <c r="C185" i="6" s="1"/>
  <c r="G185" i="6"/>
  <c r="F186" i="6"/>
  <c r="D186" i="6" s="1"/>
  <c r="AB184" i="6"/>
  <c r="W185" i="6"/>
  <c r="G186" i="6" l="1"/>
  <c r="E186" i="6" s="1"/>
  <c r="AC185" i="6"/>
  <c r="X186" i="6"/>
  <c r="E185" i="6"/>
  <c r="AF184" i="6"/>
  <c r="AG184" i="6"/>
  <c r="AE184" i="6"/>
  <c r="AD184" i="6"/>
  <c r="W186" i="6"/>
  <c r="AB185" i="6"/>
  <c r="F187" i="6"/>
  <c r="D187" i="6" s="1"/>
  <c r="B184" i="6"/>
  <c r="B185" i="6" s="1"/>
  <c r="AC186" i="6" l="1"/>
  <c r="X187" i="6"/>
  <c r="AD185" i="6"/>
  <c r="AG185" i="6"/>
  <c r="AF185" i="6"/>
  <c r="AE185" i="6"/>
  <c r="AB186" i="6"/>
  <c r="W187" i="6"/>
  <c r="F188" i="6"/>
  <c r="D188" i="6" s="1"/>
  <c r="C186" i="6"/>
  <c r="C187" i="6" s="1"/>
  <c r="G187" i="6"/>
  <c r="B186" i="6" l="1"/>
  <c r="B187" i="6" s="1"/>
  <c r="AF186" i="6"/>
  <c r="AG186" i="6"/>
  <c r="AE186" i="6"/>
  <c r="AD186" i="6"/>
  <c r="G188" i="6"/>
  <c r="E188" i="6" s="1"/>
  <c r="W188" i="6"/>
  <c r="AB187" i="6"/>
  <c r="AC187" i="6"/>
  <c r="X188" i="6"/>
  <c r="E187" i="6"/>
  <c r="F189" i="6"/>
  <c r="C188" i="6" l="1"/>
  <c r="B188" i="6" s="1"/>
  <c r="AB188" i="6"/>
  <c r="W189" i="6"/>
  <c r="AC188" i="6"/>
  <c r="X189" i="6"/>
  <c r="F190" i="6"/>
  <c r="D190" i="6" s="1"/>
  <c r="AD187" i="6"/>
  <c r="AG187" i="6"/>
  <c r="AF187" i="6"/>
  <c r="AE187" i="6"/>
  <c r="G189" i="6"/>
  <c r="D189" i="6"/>
  <c r="C189" i="6" l="1"/>
  <c r="B189" i="6" s="1"/>
  <c r="G190" i="6"/>
  <c r="E190" i="6" s="1"/>
  <c r="W190" i="6"/>
  <c r="AB189" i="6"/>
  <c r="E189" i="6"/>
  <c r="AC189" i="6"/>
  <c r="X190" i="6"/>
  <c r="F191" i="6"/>
  <c r="D191" i="6" s="1"/>
  <c r="AF188" i="6"/>
  <c r="AG188" i="6"/>
  <c r="AE188" i="6"/>
  <c r="AD188" i="6"/>
  <c r="AC190" i="6" l="1"/>
  <c r="X191" i="6"/>
  <c r="AB190" i="6"/>
  <c r="W191" i="6"/>
  <c r="AD189" i="6"/>
  <c r="AG189" i="6"/>
  <c r="AF189" i="6"/>
  <c r="AE189" i="6"/>
  <c r="F192" i="6"/>
  <c r="D192" i="6"/>
  <c r="C190" i="6"/>
  <c r="C191" i="6" s="1"/>
  <c r="G191" i="6"/>
  <c r="G192" i="6" l="1"/>
  <c r="E192" i="6"/>
  <c r="W192" i="6"/>
  <c r="AB191" i="6"/>
  <c r="E191" i="6"/>
  <c r="D193" i="6"/>
  <c r="F193" i="6"/>
  <c r="AC191" i="6"/>
  <c r="X192" i="6"/>
  <c r="B190" i="6"/>
  <c r="B191" i="6" s="1"/>
  <c r="AF190" i="6"/>
  <c r="AG190" i="6"/>
  <c r="AE190" i="6"/>
  <c r="AD190" i="6"/>
  <c r="AD191" i="6" l="1"/>
  <c r="AG191" i="6"/>
  <c r="AF191" i="6"/>
  <c r="AE191" i="6"/>
  <c r="F194" i="6"/>
  <c r="D194" i="6"/>
  <c r="AB192" i="6"/>
  <c r="W193" i="6"/>
  <c r="C193" i="6"/>
  <c r="B193" i="6"/>
  <c r="AC192" i="6"/>
  <c r="X193" i="6"/>
  <c r="B192" i="6"/>
  <c r="C192" i="6"/>
  <c r="E193" i="6"/>
  <c r="G193" i="6"/>
  <c r="G194" i="6" l="1"/>
  <c r="E194" i="6"/>
  <c r="AC193" i="6"/>
  <c r="X194" i="6"/>
  <c r="W194" i="6"/>
  <c r="AB193" i="6"/>
  <c r="B194" i="6"/>
  <c r="C194" i="6"/>
  <c r="AF192" i="6"/>
  <c r="AG192" i="6"/>
  <c r="AE192" i="6"/>
  <c r="AD192" i="6"/>
  <c r="D195" i="6"/>
  <c r="F195" i="6"/>
  <c r="AC194" i="6" l="1"/>
  <c r="X195" i="6"/>
  <c r="AD193" i="6"/>
  <c r="AG193" i="6"/>
  <c r="AF193" i="6"/>
  <c r="AE193" i="6"/>
  <c r="C195" i="6"/>
  <c r="B195" i="6"/>
  <c r="F196" i="6"/>
  <c r="D196" i="6"/>
  <c r="AB194" i="6"/>
  <c r="W195" i="6"/>
  <c r="E195" i="6"/>
  <c r="G195" i="6"/>
  <c r="B196" i="6" l="1"/>
  <c r="C196" i="6"/>
  <c r="W196" i="6"/>
  <c r="AB195" i="6"/>
  <c r="G196" i="6"/>
  <c r="E196" i="6"/>
  <c r="AC195" i="6"/>
  <c r="X196" i="6"/>
  <c r="D197" i="6"/>
  <c r="F197" i="6"/>
  <c r="AF194" i="6"/>
  <c r="AG194" i="6"/>
  <c r="AE194" i="6"/>
  <c r="AD194" i="6"/>
  <c r="AC196" i="6" l="1"/>
  <c r="X197" i="6"/>
  <c r="AD195" i="6"/>
  <c r="AG195" i="6"/>
  <c r="AF195" i="6"/>
  <c r="AE195" i="6"/>
  <c r="AB196" i="6"/>
  <c r="W197" i="6"/>
  <c r="F198" i="6"/>
  <c r="D198" i="6"/>
  <c r="C197" i="6"/>
  <c r="B197" i="6"/>
  <c r="E197" i="6"/>
  <c r="G197" i="6"/>
  <c r="W198" i="6" l="1"/>
  <c r="AB197" i="6"/>
  <c r="G198" i="6"/>
  <c r="E198" i="6"/>
  <c r="AC197" i="6"/>
  <c r="X198" i="6"/>
  <c r="B198" i="6"/>
  <c r="C198" i="6"/>
  <c r="D199" i="6"/>
  <c r="F199" i="6"/>
  <c r="AF196" i="6"/>
  <c r="AG196" i="6"/>
  <c r="AE196" i="6"/>
  <c r="AD196" i="6"/>
  <c r="C199" i="6" l="1"/>
  <c r="B199" i="6"/>
  <c r="E199" i="6"/>
  <c r="G199" i="6"/>
  <c r="F200" i="6"/>
  <c r="D200" i="6"/>
  <c r="AC198" i="6"/>
  <c r="X199" i="6"/>
  <c r="AD197" i="6"/>
  <c r="AG197" i="6"/>
  <c r="AF197" i="6"/>
  <c r="AE197" i="6"/>
  <c r="AB198" i="6"/>
  <c r="W199" i="6"/>
  <c r="W200" i="6" l="1"/>
  <c r="AB199" i="6"/>
  <c r="D201" i="6"/>
  <c r="F201" i="6"/>
  <c r="AC199" i="6"/>
  <c r="X200" i="6"/>
  <c r="G200" i="6"/>
  <c r="E200" i="6"/>
  <c r="AF198" i="6"/>
  <c r="AG198" i="6"/>
  <c r="AE198" i="6"/>
  <c r="AD198" i="6"/>
  <c r="B200" i="6"/>
  <c r="C200" i="6"/>
  <c r="C201" i="6" l="1"/>
  <c r="B201" i="6"/>
  <c r="F202" i="6"/>
  <c r="D202" i="6"/>
  <c r="E201" i="6"/>
  <c r="G201" i="6"/>
  <c r="AC200" i="6"/>
  <c r="X201" i="6"/>
  <c r="AC201" i="6" s="1"/>
  <c r="AD199" i="6"/>
  <c r="AG199" i="6"/>
  <c r="AF199" i="6"/>
  <c r="AE199" i="6"/>
  <c r="AB200" i="6"/>
  <c r="W201" i="6"/>
  <c r="AB201" i="6" s="1"/>
  <c r="AD201" i="6" l="1"/>
  <c r="AG201" i="6"/>
  <c r="AF201" i="6"/>
  <c r="AE201" i="6"/>
  <c r="BB123" i="6"/>
  <c r="BI122" i="6"/>
  <c r="BB124" i="6"/>
  <c r="AF200" i="6"/>
  <c r="AG200" i="6"/>
  <c r="AE200" i="6"/>
  <c r="AD200" i="6"/>
  <c r="F203" i="6"/>
  <c r="D203" i="6"/>
  <c r="BB128" i="6"/>
  <c r="AN129" i="6"/>
  <c r="AN132" i="6"/>
  <c r="BI125" i="6"/>
  <c r="BI123" i="6"/>
  <c r="AN126" i="6"/>
  <c r="BB125" i="6"/>
  <c r="BB127" i="6"/>
  <c r="BB131" i="6"/>
  <c r="AN124" i="6"/>
  <c r="BB130" i="6"/>
  <c r="BB133" i="6"/>
  <c r="BI124" i="6"/>
  <c r="AU123" i="6"/>
  <c r="AN133" i="6"/>
  <c r="AU124" i="6"/>
  <c r="AU125" i="6"/>
  <c r="AN130" i="6"/>
  <c r="AN127" i="6"/>
  <c r="BB132" i="6"/>
  <c r="BI126" i="6"/>
  <c r="BB126" i="6"/>
  <c r="AN128" i="6"/>
  <c r="AN131" i="6"/>
  <c r="BB129" i="6"/>
  <c r="AU126" i="6"/>
  <c r="BI127" i="6"/>
  <c r="AN125" i="6"/>
  <c r="G202" i="6"/>
  <c r="E202" i="6"/>
  <c r="B202" i="6"/>
  <c r="C202" i="6"/>
  <c r="BG117" i="6" l="1"/>
  <c r="BT136" i="6" s="1"/>
  <c r="AL117" i="6"/>
  <c r="BT127" i="6" s="1"/>
  <c r="BG116" i="6"/>
  <c r="BS136" i="6" s="1"/>
  <c r="AS116" i="6"/>
  <c r="BS130" i="6" s="1"/>
  <c r="AZ117" i="6"/>
  <c r="BT133" i="6" s="1"/>
  <c r="AS117" i="6"/>
  <c r="BT130" i="6" s="1"/>
  <c r="AL116" i="6"/>
  <c r="BS127" i="6" s="1"/>
  <c r="AZ116" i="6"/>
  <c r="BS133" i="6" s="1"/>
  <c r="F204" i="6"/>
  <c r="D204" i="6"/>
  <c r="B203" i="6"/>
  <c r="C203" i="6"/>
  <c r="E203" i="6"/>
  <c r="G203" i="6"/>
  <c r="G204" i="6" l="1"/>
  <c r="E204" i="6"/>
  <c r="B204" i="6"/>
  <c r="C204" i="6"/>
  <c r="F205" i="6"/>
  <c r="D205" i="6"/>
  <c r="B205" i="6" l="1"/>
  <c r="C205" i="6"/>
  <c r="F206" i="6"/>
  <c r="D206" i="6"/>
  <c r="E205" i="6"/>
  <c r="G205" i="6"/>
  <c r="F207" i="6" l="1"/>
  <c r="D207" i="6"/>
  <c r="G206" i="6"/>
  <c r="E206" i="6"/>
  <c r="B206" i="6"/>
  <c r="C206" i="6"/>
  <c r="B207" i="6" l="1"/>
  <c r="C207" i="6"/>
  <c r="E207" i="6"/>
  <c r="G207" i="6"/>
  <c r="D208" i="6"/>
  <c r="F208" i="6"/>
  <c r="E208" i="6" l="1"/>
  <c r="G208" i="6"/>
  <c r="C208" i="6"/>
  <c r="B208" i="6"/>
  <c r="F209" i="6"/>
  <c r="D209" i="6"/>
  <c r="E209" i="6" l="1"/>
  <c r="G209" i="6"/>
  <c r="D210" i="6"/>
  <c r="F210" i="6"/>
  <c r="B209" i="6"/>
  <c r="C209" i="6"/>
  <c r="D211" i="6" l="1"/>
  <c r="F211" i="6"/>
  <c r="E210" i="6"/>
  <c r="G210" i="6"/>
  <c r="C210" i="6"/>
  <c r="B210" i="6"/>
  <c r="E211" i="6" l="1"/>
  <c r="G211" i="6"/>
  <c r="C211" i="6"/>
  <c r="B211" i="6"/>
  <c r="F212" i="6"/>
  <c r="D212" i="6"/>
  <c r="E212" i="6" l="1"/>
  <c r="G212" i="6"/>
  <c r="D213" i="6"/>
  <c r="F213" i="6"/>
  <c r="C212" i="6"/>
  <c r="B212" i="6"/>
  <c r="F214" i="6" l="1"/>
  <c r="D214" i="6"/>
  <c r="E213" i="6"/>
  <c r="G213" i="6"/>
  <c r="B213" i="6"/>
  <c r="C213" i="6"/>
  <c r="E214" i="6" l="1"/>
  <c r="G214" i="6"/>
  <c r="C214" i="6"/>
  <c r="B214" i="6"/>
  <c r="D215" i="6"/>
  <c r="F215" i="6"/>
  <c r="F216" i="6" l="1"/>
  <c r="D216" i="6"/>
  <c r="E215" i="6"/>
  <c r="G215" i="6"/>
  <c r="B215" i="6"/>
  <c r="C215" i="6"/>
  <c r="E216" i="6" l="1"/>
  <c r="G216" i="6"/>
  <c r="C216" i="6"/>
  <c r="B216" i="6"/>
  <c r="D217" i="6"/>
  <c r="F217" i="6"/>
  <c r="D218" i="6" l="1"/>
  <c r="F218" i="6"/>
  <c r="E217" i="6"/>
  <c r="G217" i="6"/>
  <c r="B217" i="6"/>
  <c r="C217" i="6"/>
  <c r="E218" i="6" l="1"/>
  <c r="G218" i="6"/>
  <c r="B218" i="6"/>
  <c r="C218" i="6"/>
  <c r="D219" i="6"/>
  <c r="F219" i="6"/>
  <c r="D220" i="6" l="1"/>
  <c r="F220" i="6"/>
  <c r="E219" i="6"/>
  <c r="G219" i="6"/>
  <c r="B219" i="6"/>
  <c r="C219" i="6"/>
  <c r="D221" i="6" l="1"/>
  <c r="F221" i="6"/>
  <c r="E220" i="6"/>
  <c r="G220" i="6"/>
  <c r="C220" i="6"/>
  <c r="B220" i="6"/>
  <c r="D222" i="6" l="1"/>
  <c r="F222" i="6"/>
  <c r="E221" i="6"/>
  <c r="G221" i="6"/>
  <c r="B221" i="6"/>
  <c r="C221" i="6"/>
  <c r="D223" i="6" l="1"/>
  <c r="F223" i="6"/>
  <c r="E222" i="6"/>
  <c r="G222" i="6"/>
  <c r="C222" i="6"/>
  <c r="B222" i="6"/>
  <c r="D224" i="6" l="1"/>
  <c r="F224" i="6"/>
  <c r="E223" i="6"/>
  <c r="G223" i="6"/>
  <c r="B223" i="6"/>
  <c r="C223" i="6"/>
  <c r="E224" i="6" l="1"/>
  <c r="G224" i="6"/>
  <c r="D225" i="6"/>
  <c r="F225" i="6"/>
  <c r="C224" i="6"/>
  <c r="B224" i="6"/>
  <c r="E225" i="6" l="1"/>
  <c r="G225" i="6"/>
  <c r="B225" i="6"/>
  <c r="C225" i="6"/>
  <c r="D226" i="6"/>
  <c r="F226" i="6"/>
  <c r="D227" i="6" l="1"/>
  <c r="F227" i="6"/>
  <c r="E226" i="6"/>
  <c r="G226" i="6"/>
  <c r="C226" i="6"/>
  <c r="B226" i="6"/>
  <c r="E227" i="6" l="1"/>
  <c r="G227" i="6"/>
  <c r="B227" i="6"/>
  <c r="C227" i="6"/>
  <c r="D228" i="6"/>
  <c r="F228" i="6"/>
  <c r="D229" i="6" l="1"/>
  <c r="F229" i="6"/>
  <c r="E228" i="6"/>
  <c r="G228" i="6"/>
  <c r="C228" i="6"/>
  <c r="B228" i="6"/>
  <c r="E229" i="6" l="1"/>
  <c r="G229" i="6"/>
  <c r="B229" i="6"/>
  <c r="C229" i="6"/>
  <c r="D230" i="6"/>
  <c r="F230" i="6"/>
  <c r="E230" i="6" l="1"/>
  <c r="G230" i="6"/>
  <c r="D231" i="6"/>
  <c r="F231" i="6"/>
  <c r="C230" i="6"/>
  <c r="B230" i="6"/>
  <c r="D232" i="6" l="1"/>
  <c r="F232" i="6"/>
  <c r="E231" i="6"/>
  <c r="G231" i="6"/>
  <c r="B231" i="6"/>
  <c r="C231" i="6"/>
  <c r="E232" i="6" l="1"/>
  <c r="G232" i="6"/>
  <c r="C232" i="6"/>
  <c r="B232" i="6"/>
  <c r="D233" i="6"/>
  <c r="F233" i="6"/>
  <c r="D234" i="6" l="1"/>
  <c r="F234" i="6"/>
  <c r="E233" i="6"/>
  <c r="G233" i="6"/>
  <c r="B233" i="6"/>
  <c r="C233" i="6"/>
  <c r="B234" i="6" l="1"/>
  <c r="C234" i="6"/>
  <c r="E234" i="6"/>
  <c r="G234" i="6"/>
  <c r="D235" i="6"/>
  <c r="F235" i="6"/>
  <c r="B235" i="6" l="1"/>
  <c r="C235" i="6"/>
  <c r="E235" i="6"/>
  <c r="G235" i="6"/>
  <c r="D236" i="6"/>
  <c r="F236" i="6"/>
  <c r="C236" i="6" l="1"/>
  <c r="B236" i="6"/>
  <c r="D237" i="6"/>
  <c r="F237" i="6"/>
  <c r="E236" i="6"/>
  <c r="G236" i="6"/>
  <c r="D238" i="6" l="1"/>
  <c r="F238" i="6"/>
  <c r="E237" i="6"/>
  <c r="G237" i="6"/>
  <c r="B237" i="6"/>
  <c r="C237" i="6"/>
  <c r="E238" i="6" l="1"/>
  <c r="G238" i="6"/>
  <c r="C238" i="6"/>
  <c r="B238" i="6"/>
  <c r="D239" i="6"/>
  <c r="F239" i="6"/>
  <c r="D240" i="6" l="1"/>
  <c r="F240" i="6"/>
  <c r="E239" i="6"/>
  <c r="G239" i="6"/>
  <c r="B239" i="6"/>
  <c r="C239" i="6"/>
  <c r="E240" i="6" l="1"/>
  <c r="G240" i="6"/>
  <c r="C240" i="6"/>
  <c r="B240" i="6"/>
  <c r="D241" i="6"/>
  <c r="F241" i="6"/>
  <c r="D242" i="6" l="1"/>
  <c r="F242" i="6"/>
  <c r="E241" i="6"/>
  <c r="G241" i="6"/>
  <c r="B241" i="6"/>
  <c r="C241" i="6"/>
  <c r="C242" i="6" l="1"/>
  <c r="B242" i="6"/>
  <c r="D243" i="6"/>
  <c r="F243" i="6"/>
  <c r="E242" i="6"/>
  <c r="G242" i="6"/>
  <c r="E243" i="6" l="1"/>
  <c r="G243" i="6"/>
  <c r="D244" i="6"/>
  <c r="F244" i="6"/>
  <c r="B243" i="6"/>
  <c r="C243" i="6"/>
  <c r="D245" i="6" l="1"/>
  <c r="F245" i="6"/>
  <c r="E244" i="6"/>
  <c r="G244" i="6"/>
  <c r="C244" i="6"/>
  <c r="B244" i="6"/>
  <c r="E245" i="6" l="1"/>
  <c r="G245" i="6"/>
  <c r="B245" i="6"/>
  <c r="C245" i="6"/>
  <c r="D246" i="6"/>
  <c r="F246" i="6"/>
  <c r="D247" i="6" l="1"/>
  <c r="F247" i="6"/>
  <c r="E246" i="6"/>
  <c r="G246" i="6"/>
  <c r="C246" i="6"/>
  <c r="B246" i="6"/>
  <c r="E247" i="6" l="1"/>
  <c r="G247" i="6"/>
  <c r="B247" i="6"/>
  <c r="C247" i="6"/>
  <c r="D248" i="6"/>
  <c r="F248" i="6"/>
  <c r="E248" i="6" l="1"/>
  <c r="G248" i="6"/>
  <c r="D249" i="6"/>
  <c r="F249" i="6"/>
  <c r="C248" i="6"/>
  <c r="B248" i="6"/>
  <c r="E249" i="6" l="1"/>
  <c r="G249" i="6"/>
  <c r="B249" i="6"/>
  <c r="C249" i="6"/>
  <c r="D250" i="6"/>
  <c r="F250" i="6"/>
  <c r="E250" i="6" l="1"/>
  <c r="G250" i="6"/>
  <c r="D251" i="6"/>
  <c r="F251" i="6"/>
  <c r="B250" i="6"/>
  <c r="C250" i="6"/>
  <c r="D252" i="6" l="1"/>
  <c r="F252" i="6"/>
  <c r="E251" i="6"/>
  <c r="G251" i="6"/>
  <c r="B251" i="6"/>
  <c r="C251" i="6"/>
  <c r="E252" i="6" l="1"/>
  <c r="G252" i="6"/>
  <c r="C252" i="6"/>
  <c r="B252" i="6"/>
  <c r="D253" i="6"/>
  <c r="F253" i="6"/>
  <c r="D254" i="6" l="1"/>
  <c r="F254" i="6"/>
  <c r="E253" i="6"/>
  <c r="G253" i="6"/>
  <c r="B253" i="6"/>
  <c r="C253" i="6"/>
  <c r="E254" i="6" l="1"/>
  <c r="G254" i="6"/>
  <c r="C254" i="6"/>
  <c r="B254" i="6"/>
  <c r="D255" i="6"/>
  <c r="F255" i="6"/>
  <c r="D256" i="6" l="1"/>
  <c r="F256" i="6"/>
  <c r="E255" i="6"/>
  <c r="G255" i="6"/>
  <c r="B255" i="6"/>
  <c r="C255" i="6"/>
  <c r="C256" i="6" l="1"/>
  <c r="B256" i="6"/>
  <c r="D257" i="6"/>
  <c r="F257" i="6"/>
  <c r="E256" i="6"/>
  <c r="G256" i="6"/>
  <c r="D258" i="6" l="1"/>
  <c r="F258" i="6"/>
  <c r="E257" i="6"/>
  <c r="G257" i="6"/>
  <c r="B257" i="6"/>
  <c r="C257" i="6"/>
  <c r="C258" i="6" l="1"/>
  <c r="B258" i="6"/>
  <c r="D259" i="6"/>
  <c r="F259" i="6"/>
  <c r="E258" i="6"/>
  <c r="G258" i="6"/>
  <c r="D260" i="6" l="1"/>
  <c r="F260" i="6"/>
  <c r="E259" i="6"/>
  <c r="G259" i="6"/>
  <c r="B259" i="6"/>
  <c r="C259" i="6"/>
  <c r="C260" i="6" l="1"/>
  <c r="B260" i="6"/>
  <c r="D261" i="6"/>
  <c r="F261" i="6"/>
  <c r="E260" i="6"/>
  <c r="G260" i="6"/>
  <c r="D262" i="6" l="1"/>
  <c r="F262" i="6"/>
  <c r="E261" i="6"/>
  <c r="G261" i="6"/>
  <c r="B261" i="6"/>
  <c r="C261" i="6"/>
  <c r="E262" i="6" l="1"/>
  <c r="G262" i="6"/>
  <c r="D263" i="6"/>
  <c r="F263" i="6"/>
  <c r="C262" i="6"/>
  <c r="B262" i="6"/>
  <c r="D264" i="6" l="1"/>
  <c r="F264" i="6"/>
  <c r="E263" i="6"/>
  <c r="G263" i="6"/>
  <c r="B263" i="6"/>
  <c r="C263" i="6"/>
  <c r="E264" i="6" l="1"/>
  <c r="G264" i="6"/>
  <c r="C264" i="6"/>
  <c r="B264" i="6"/>
  <c r="D265" i="6"/>
  <c r="F265" i="6"/>
  <c r="D266" i="6" l="1"/>
  <c r="F266" i="6"/>
  <c r="E265" i="6"/>
  <c r="G265" i="6"/>
  <c r="B265" i="6"/>
  <c r="C265" i="6"/>
  <c r="C266" i="6" l="1"/>
  <c r="B266" i="6"/>
  <c r="E266" i="6"/>
  <c r="G266" i="6"/>
  <c r="D267" i="6"/>
  <c r="F267" i="6"/>
  <c r="E267" i="6" l="1"/>
  <c r="G267" i="6"/>
  <c r="B267" i="6"/>
  <c r="C267" i="6"/>
  <c r="D268" i="6"/>
  <c r="F268" i="6"/>
  <c r="D269" i="6" l="1"/>
  <c r="F269" i="6"/>
  <c r="E268" i="6"/>
  <c r="G268" i="6"/>
  <c r="C268" i="6"/>
  <c r="B268" i="6"/>
  <c r="B269" i="6" l="1"/>
  <c r="C269" i="6"/>
  <c r="D270" i="6"/>
  <c r="F270" i="6"/>
  <c r="E269" i="6"/>
  <c r="G269" i="6"/>
  <c r="D271" i="6" l="1"/>
  <c r="F271" i="6"/>
  <c r="E270" i="6"/>
  <c r="G270" i="6"/>
  <c r="C270" i="6"/>
  <c r="B270" i="6"/>
  <c r="E271" i="6" l="1"/>
  <c r="G271" i="6"/>
  <c r="B271" i="6"/>
  <c r="C271" i="6"/>
  <c r="D272" i="6"/>
  <c r="F272" i="6"/>
  <c r="E272" i="6" l="1"/>
  <c r="G272" i="6"/>
  <c r="D273" i="6"/>
  <c r="F273" i="6"/>
  <c r="C272" i="6"/>
  <c r="B272" i="6"/>
  <c r="D274" i="6" l="1"/>
  <c r="F274" i="6"/>
  <c r="E273" i="6"/>
  <c r="G273" i="6"/>
  <c r="B273" i="6"/>
  <c r="C273" i="6"/>
  <c r="E274" i="6" l="1"/>
  <c r="G274" i="6"/>
  <c r="C274" i="6"/>
  <c r="B274" i="6"/>
  <c r="D275" i="6"/>
  <c r="F275" i="6"/>
  <c r="D276" i="6" l="1"/>
  <c r="F276" i="6"/>
  <c r="E275" i="6"/>
  <c r="G275" i="6"/>
  <c r="B275" i="6"/>
  <c r="C275" i="6"/>
  <c r="E276" i="6" l="1"/>
  <c r="G276" i="6"/>
  <c r="C276" i="6"/>
  <c r="B276" i="6"/>
  <c r="D277" i="6"/>
  <c r="F277" i="6"/>
  <c r="D278" i="6" l="1"/>
  <c r="F278" i="6"/>
  <c r="E277" i="6"/>
  <c r="G277" i="6"/>
  <c r="B277" i="6"/>
  <c r="C277" i="6"/>
  <c r="D279" i="6" l="1"/>
  <c r="F279" i="6"/>
  <c r="E278" i="6"/>
  <c r="G278" i="6"/>
  <c r="C278" i="6"/>
  <c r="B278" i="6"/>
  <c r="E279" i="6" l="1"/>
  <c r="G279" i="6"/>
  <c r="B279" i="6"/>
  <c r="C279" i="6"/>
  <c r="D280" i="6"/>
  <c r="F280" i="6"/>
  <c r="E280" i="6" l="1"/>
  <c r="G280" i="6"/>
  <c r="D281" i="6"/>
  <c r="F281" i="6"/>
  <c r="C280" i="6"/>
  <c r="B280" i="6"/>
  <c r="D282" i="6" l="1"/>
  <c r="F282" i="6"/>
  <c r="E281" i="6"/>
  <c r="G281" i="6"/>
  <c r="B281" i="6"/>
  <c r="C281" i="6"/>
  <c r="E282" i="6" l="1"/>
  <c r="G282" i="6"/>
  <c r="C282" i="6"/>
  <c r="B282" i="6"/>
  <c r="D283" i="6"/>
  <c r="F283" i="6"/>
  <c r="E283" i="6" l="1"/>
  <c r="G283" i="6"/>
  <c r="D284" i="6"/>
  <c r="F284" i="6"/>
  <c r="B283" i="6"/>
  <c r="C283" i="6"/>
  <c r="D285" i="6" l="1"/>
  <c r="F285" i="6"/>
  <c r="E284" i="6"/>
  <c r="G284" i="6"/>
  <c r="C284" i="6"/>
  <c r="B284" i="6"/>
  <c r="E285" i="6" l="1"/>
  <c r="G285" i="6"/>
  <c r="B285" i="6"/>
  <c r="C285" i="6"/>
  <c r="D286" i="6"/>
  <c r="F286" i="6"/>
  <c r="D287" i="6" l="1"/>
  <c r="F287" i="6"/>
  <c r="E286" i="6"/>
  <c r="G286" i="6"/>
  <c r="C286" i="6"/>
  <c r="B286" i="6"/>
  <c r="E287" i="6" l="1"/>
  <c r="G287" i="6"/>
  <c r="B287" i="6"/>
  <c r="C287" i="6"/>
  <c r="D288" i="6"/>
  <c r="F288" i="6"/>
  <c r="D289" i="6" l="1"/>
  <c r="F289" i="6"/>
  <c r="E288" i="6"/>
  <c r="G288" i="6"/>
  <c r="C288" i="6"/>
  <c r="B288" i="6"/>
  <c r="E289" i="6" l="1"/>
  <c r="G289" i="6"/>
  <c r="B289" i="6"/>
  <c r="C289" i="6"/>
  <c r="D290" i="6"/>
  <c r="F290" i="6"/>
  <c r="M5" i="1" a="1"/>
  <c r="M5" i="1" l="1"/>
  <c r="D291" i="6"/>
  <c r="F291" i="6"/>
  <c r="E290" i="6"/>
  <c r="G290" i="6"/>
  <c r="C290" i="6"/>
  <c r="B290" i="6"/>
  <c r="BP5" i="1" a="1"/>
  <c r="GB5" i="1" a="1"/>
  <c r="BO5" i="1" a="1"/>
  <c r="BQ5" i="1" a="1"/>
  <c r="FS5" i="1" a="1"/>
  <c r="GB5" i="1" l="1"/>
  <c r="FS5" i="1"/>
  <c r="BQ5" i="1"/>
  <c r="BO5" i="1"/>
  <c r="BP5" i="1"/>
  <c r="E291" i="6"/>
  <c r="R116" i="6" s="1"/>
  <c r="G291" i="6"/>
  <c r="B291" i="6"/>
  <c r="C291" i="6"/>
  <c r="DL5" i="1" a="1"/>
  <c r="EG5" i="1" a="1"/>
  <c r="CH5" i="1" a="1"/>
  <c r="DY5" i="1" a="1"/>
  <c r="DE5" i="1" a="1"/>
  <c r="CF5" i="1" a="1"/>
  <c r="CX5" i="1" a="1"/>
  <c r="DD5" i="1" a="1"/>
  <c r="EV5" i="1" a="1"/>
  <c r="EC5" i="1" a="1"/>
  <c r="FD5" i="1" a="1"/>
  <c r="FF5" i="1" a="1"/>
  <c r="CU5" i="1" a="1"/>
  <c r="CT5" i="1" a="1"/>
  <c r="CW5" i="1" a="1"/>
  <c r="CZ5" i="1" a="1"/>
  <c r="FG5" i="1" a="1"/>
  <c r="EB5" i="1" a="1"/>
  <c r="FE5" i="1" a="1"/>
  <c r="EZ5" i="1" a="1"/>
  <c r="BU5" i="1" a="1"/>
  <c r="EF5" i="1" a="1"/>
  <c r="CE5" i="1" a="1"/>
  <c r="DT5" i="1" a="1"/>
  <c r="DP5" i="1" a="1"/>
  <c r="CD5" i="1" a="1"/>
  <c r="DW5" i="1" a="1"/>
  <c r="CQ5" i="1" a="1"/>
  <c r="DC5" i="1" a="1"/>
  <c r="EO5" i="1" a="1"/>
  <c r="FI5" i="1" a="1"/>
  <c r="EL5" i="1" a="1"/>
  <c r="CS5" i="1" a="1"/>
  <c r="BV5" i="1" a="1"/>
  <c r="BX5" i="1" a="1"/>
  <c r="DJ5" i="1" a="1"/>
  <c r="CA5" i="1" a="1"/>
  <c r="FH5" i="1" a="1"/>
  <c r="CV5" i="1" a="1"/>
  <c r="ER5" i="1" a="1"/>
  <c r="DS5" i="1" a="1"/>
  <c r="CR5" i="1" a="1"/>
  <c r="CO5" i="1" a="1"/>
  <c r="BY5" i="1" a="1"/>
  <c r="DA5" i="1" a="1"/>
  <c r="DF5" i="1" a="1"/>
  <c r="DZ5" i="1" a="1"/>
  <c r="EM5" i="1" a="1"/>
  <c r="DX5" i="1" a="1"/>
  <c r="DH5" i="1" a="1"/>
  <c r="DV5" i="1" a="1"/>
  <c r="DK5" i="1" a="1"/>
  <c r="CN5" i="1" a="1"/>
  <c r="DI5" i="1" a="1"/>
  <c r="EU5" i="1" a="1"/>
  <c r="CK5" i="1" a="1"/>
  <c r="EE5" i="1" a="1"/>
  <c r="FB5" i="1" a="1"/>
  <c r="CI5" i="1" a="1"/>
  <c r="EI5" i="1" a="1"/>
  <c r="FA5" i="1" a="1"/>
  <c r="EJ5" i="1" a="1"/>
  <c r="EQ5" i="1" a="1"/>
  <c r="BT5" i="1" a="1"/>
  <c r="BS5" i="1" a="1"/>
  <c r="EN5" i="1" a="1"/>
  <c r="CY5" i="1" a="1"/>
  <c r="BW5" i="1" a="1"/>
  <c r="CP5" i="1" a="1"/>
  <c r="EY5" i="1" a="1"/>
  <c r="BR5" i="1" a="1"/>
  <c r="EH5" i="1" a="1"/>
  <c r="EP5" i="1" a="1"/>
  <c r="DU5" i="1" a="1"/>
  <c r="EW5" i="1" a="1"/>
  <c r="DB5" i="1" a="1"/>
  <c r="EA5" i="1" a="1"/>
  <c r="CJ5" i="1" a="1"/>
  <c r="CL5" i="1" a="1"/>
  <c r="BZ5" i="1" a="1"/>
  <c r="FJ5" i="1" a="1"/>
  <c r="CG5" i="1" a="1"/>
  <c r="DG5" i="1" a="1"/>
  <c r="DR5" i="1" a="1"/>
  <c r="DQ5" i="1" a="1"/>
  <c r="DO5" i="1" a="1"/>
  <c r="CM5" i="1" a="1"/>
  <c r="FC5" i="1" a="1"/>
  <c r="ES5" i="1" a="1"/>
  <c r="EX5" i="1" a="1"/>
  <c r="EK5" i="1" a="1"/>
  <c r="DN5" i="1" a="1"/>
  <c r="ET5" i="1" a="1"/>
  <c r="CB5" i="1" a="1"/>
  <c r="CC5" i="1" a="1"/>
  <c r="DM5" i="1" a="1"/>
  <c r="ED5" i="1" a="1"/>
  <c r="L5" i="7" a="1"/>
  <c r="FI5" i="1" l="1"/>
  <c r="FJ5" i="1"/>
  <c r="FH5" i="1"/>
  <c r="FD5" i="1"/>
  <c r="FG5" i="1"/>
  <c r="FB5" i="1"/>
  <c r="FE5" i="1"/>
  <c r="EW5" i="1"/>
  <c r="EZ5" i="1"/>
  <c r="FA5" i="1"/>
  <c r="EV5" i="1"/>
  <c r="EY5" i="1"/>
  <c r="FC5" i="1"/>
  <c r="FF5" i="1"/>
  <c r="EX5" i="1"/>
  <c r="EM5" i="1"/>
  <c r="EP5" i="1"/>
  <c r="ES5" i="1"/>
  <c r="DS5" i="1"/>
  <c r="DK5" i="1"/>
  <c r="DC5" i="1"/>
  <c r="CU5" i="1"/>
  <c r="CM5" i="1"/>
  <c r="CE5" i="1"/>
  <c r="BW5" i="1"/>
  <c r="EJ5" i="1"/>
  <c r="EB5" i="1"/>
  <c r="DT5" i="1"/>
  <c r="DL5" i="1"/>
  <c r="DD5" i="1"/>
  <c r="CV5" i="1"/>
  <c r="CN5" i="1"/>
  <c r="CF5" i="1"/>
  <c r="BX5" i="1"/>
  <c r="EE5" i="1"/>
  <c r="EK5" i="1"/>
  <c r="EO5" i="1"/>
  <c r="DQ5" i="1"/>
  <c r="DI5" i="1"/>
  <c r="DA5" i="1"/>
  <c r="CS5" i="1"/>
  <c r="CK5" i="1"/>
  <c r="CC5" i="1"/>
  <c r="BU5" i="1"/>
  <c r="EH5" i="1"/>
  <c r="DZ5" i="1"/>
  <c r="DR5" i="1"/>
  <c r="DJ5" i="1"/>
  <c r="DB5" i="1"/>
  <c r="CT5" i="1"/>
  <c r="CL5" i="1"/>
  <c r="CD5" i="1"/>
  <c r="BV5" i="1"/>
  <c r="EG5" i="1"/>
  <c r="ER5" i="1"/>
  <c r="EU5" i="1"/>
  <c r="DW5" i="1"/>
  <c r="EC5" i="1"/>
  <c r="EI5" i="1"/>
  <c r="DO5" i="1"/>
  <c r="DG5" i="1"/>
  <c r="CY5" i="1"/>
  <c r="CQ5" i="1"/>
  <c r="CI5" i="1"/>
  <c r="CA5" i="1"/>
  <c r="BS5" i="1"/>
  <c r="EF5" i="1"/>
  <c r="DX5" i="1"/>
  <c r="DP5" i="1"/>
  <c r="DH5" i="1"/>
  <c r="CZ5" i="1"/>
  <c r="CR5" i="1"/>
  <c r="CJ5" i="1"/>
  <c r="CB5" i="1"/>
  <c r="BT5" i="1"/>
  <c r="DY5" i="1"/>
  <c r="EN5" i="1"/>
  <c r="EQ5" i="1"/>
  <c r="ET5" i="1"/>
  <c r="DU5" i="1"/>
  <c r="EA5" i="1"/>
  <c r="DM5" i="1"/>
  <c r="DE5" i="1"/>
  <c r="CW5" i="1"/>
  <c r="CO5" i="1"/>
  <c r="CG5" i="1"/>
  <c r="BY5" i="1"/>
  <c r="EL5" i="1"/>
  <c r="ED5" i="1"/>
  <c r="DV5" i="1"/>
  <c r="DN5" i="1"/>
  <c r="DF5" i="1"/>
  <c r="CX5" i="1"/>
  <c r="CP5" i="1"/>
  <c r="CH5" i="1"/>
  <c r="BZ5" i="1"/>
  <c r="BR5" i="1"/>
  <c r="L5" i="7"/>
  <c r="BL127" i="6"/>
  <c r="BL130" i="6"/>
  <c r="BL136" i="6"/>
  <c r="BL133" i="6"/>
  <c r="AZ5" i="7" a="1"/>
  <c r="AY5" i="7" a="1"/>
  <c r="BB5" i="7" a="1"/>
  <c r="AQ5" i="7" a="1"/>
  <c r="AL5" i="7" a="1"/>
  <c r="AX5" i="7" a="1"/>
  <c r="W5" i="7" a="1"/>
  <c r="AP5" i="7" a="1"/>
  <c r="AE5" i="7" a="1"/>
  <c r="AA5" i="7" a="1"/>
  <c r="AH5" i="7" a="1"/>
  <c r="AB5" i="7" a="1"/>
  <c r="BA5" i="7" a="1"/>
  <c r="AN5" i="7" a="1"/>
  <c r="Z5" i="7" a="1"/>
  <c r="W5" i="7" l="1"/>
  <c r="AX5" i="7"/>
  <c r="AZ5" i="7"/>
  <c r="AY5" i="7"/>
  <c r="AB5" i="7"/>
  <c r="AA5" i="7"/>
  <c r="AN5" i="7"/>
  <c r="AL5" i="7"/>
  <c r="BA5" i="7"/>
  <c r="Z5" i="7"/>
  <c r="AE5" i="7"/>
  <c r="AH5" i="7"/>
  <c r="BB5" i="7"/>
  <c r="AP5" i="7"/>
  <c r="AQ5" i="7"/>
  <c r="CI5" i="7" a="1"/>
  <c r="CO5" i="7" a="1"/>
  <c r="AJ5" i="7" a="1"/>
  <c r="CF5" i="7" a="1"/>
  <c r="BQ5" i="7" a="1"/>
  <c r="DY5" i="7" a="1"/>
  <c r="DF5" i="7" a="1"/>
  <c r="EE5" i="7" a="1"/>
  <c r="DK5" i="7" a="1"/>
  <c r="B2" i="5" a="1"/>
  <c r="EH5" i="7" a="1"/>
  <c r="DS5" i="7" a="1"/>
  <c r="CE5" i="7" a="1"/>
  <c r="CG5" i="7" a="1"/>
  <c r="EQ5" i="7" a="1"/>
  <c r="CP5" i="7" a="1"/>
  <c r="EN5" i="7" a="1"/>
  <c r="AI5" i="7" a="1"/>
  <c r="X5" i="7" a="1"/>
  <c r="CW5" i="7" a="1"/>
  <c r="BU5" i="7" a="1"/>
  <c r="DD5" i="7" a="1"/>
  <c r="AV5" i="7" a="1"/>
  <c r="AM5" i="7" a="1"/>
  <c r="EM5" i="7" a="1"/>
  <c r="EC5" i="7" a="1"/>
  <c r="EF5" i="7" a="1"/>
  <c r="DB5" i="7" a="1"/>
  <c r="AC5" i="7" a="1"/>
  <c r="EV5" i="7" a="1"/>
  <c r="CN5" i="7" a="1"/>
  <c r="EO5" i="7" a="1"/>
  <c r="CX5" i="7" a="1"/>
  <c r="EX5" i="7" a="1"/>
  <c r="AR5" i="7" a="1"/>
  <c r="BC5" i="7" a="1"/>
  <c r="AF5" i="7" a="1"/>
  <c r="AK5" i="7" a="1"/>
  <c r="CL5" i="7" a="1"/>
  <c r="EU5" i="7" a="1"/>
  <c r="DE5" i="7" a="1"/>
  <c r="FC5" i="7" a="1"/>
  <c r="ET5" i="7" a="1"/>
  <c r="FF5" i="7" a="1"/>
  <c r="Y5" i="7" a="1"/>
  <c r="BR5" i="7" a="1"/>
  <c r="DL5" i="7" a="1"/>
  <c r="DU5" i="7" a="1"/>
  <c r="BV5" i="7" a="1"/>
  <c r="DV5" i="7" a="1"/>
  <c r="ED5" i="7" a="1"/>
  <c r="ER5" i="7" a="1"/>
  <c r="AG5" i="7" a="1"/>
  <c r="CC5" i="7" a="1"/>
  <c r="CZ5" i="7" a="1"/>
  <c r="AS5" i="7" a="1"/>
  <c r="DW5" i="7" a="1"/>
  <c r="AD5" i="7" a="1"/>
  <c r="FD5" i="7" a="1"/>
  <c r="FE5" i="7" a="1"/>
  <c r="CV5" i="7" a="1"/>
  <c r="CK5" i="7" a="1"/>
  <c r="CS5" i="7" a="1"/>
  <c r="FH5" i="7" a="1"/>
  <c r="BP5" i="7" a="1"/>
  <c r="FA5" i="7" a="1"/>
  <c r="BW5" i="7" a="1"/>
  <c r="DX5" i="7" a="1"/>
  <c r="EG5" i="7" a="1"/>
  <c r="EL5" i="7" a="1"/>
  <c r="CR5" i="7" a="1"/>
  <c r="EB5" i="7" a="1"/>
  <c r="FI5" i="7" a="1"/>
  <c r="DZ5" i="7" a="1"/>
  <c r="BT5" i="7" a="1"/>
  <c r="DJ5" i="7" a="1"/>
  <c r="CJ5" i="7" a="1"/>
  <c r="DG5" i="7" a="1"/>
  <c r="AO5" i="7" a="1"/>
  <c r="CA5" i="7" a="1"/>
  <c r="EI5" i="7" a="1"/>
  <c r="BN5" i="7" a="1"/>
  <c r="CU5" i="7" a="1"/>
  <c r="FG5" i="7" a="1"/>
  <c r="AW5" i="7" a="1"/>
  <c r="DM5" i="7" a="1"/>
  <c r="EZ5" i="7" a="1"/>
  <c r="DO5" i="7" a="1"/>
  <c r="CB5" i="7" a="1"/>
  <c r="CM5" i="7" a="1"/>
  <c r="FB5" i="7" a="1"/>
  <c r="ES5" i="7" a="1"/>
  <c r="DH5" i="7" a="1"/>
  <c r="EP5" i="7" a="1"/>
  <c r="CD5" i="7" a="1"/>
  <c r="DT5" i="7" a="1"/>
  <c r="CQ5" i="7" a="1"/>
  <c r="CT5" i="7" a="1"/>
  <c r="EJ5" i="7" a="1"/>
  <c r="EK5" i="7" a="1"/>
  <c r="BZ5" i="7" a="1"/>
  <c r="EW5" i="7" a="1"/>
  <c r="CY5" i="7" a="1"/>
  <c r="DR5" i="7" a="1"/>
  <c r="EA5" i="7" a="1"/>
  <c r="BO5" i="7" a="1"/>
  <c r="EY5" i="7" a="1"/>
  <c r="CH5" i="7" a="1"/>
  <c r="BX5" i="7" a="1"/>
  <c r="AT5" i="7" a="1"/>
  <c r="DA5" i="7" a="1"/>
  <c r="DC5" i="7" a="1"/>
  <c r="DP5" i="7" a="1"/>
  <c r="DN5" i="7" a="1"/>
  <c r="AU5" i="7" a="1"/>
  <c r="BY5" i="7" a="1"/>
  <c r="BS5" i="7" a="1"/>
  <c r="DI5" i="7" a="1"/>
  <c r="DQ5" i="7" a="1"/>
  <c r="AO5" i="7" l="1"/>
  <c r="AI5" i="7"/>
  <c r="AS5" i="7"/>
  <c r="BC5" i="7"/>
  <c r="AT5" i="7"/>
  <c r="AC5" i="7"/>
  <c r="AD5" i="7"/>
  <c r="AK5" i="7"/>
  <c r="AG5" i="7"/>
  <c r="AR5" i="7"/>
  <c r="X5" i="7"/>
  <c r="AW5" i="7"/>
  <c r="AU5" i="7"/>
  <c r="AM5" i="7"/>
  <c r="AJ5" i="7"/>
  <c r="Y5" i="7"/>
  <c r="AF5" i="7"/>
  <c r="AV5" i="7"/>
  <c r="BR5" i="7"/>
  <c r="CB5" i="7"/>
  <c r="CD5" i="7"/>
  <c r="CF5" i="7"/>
  <c r="EF5" i="7"/>
  <c r="EV5" i="7"/>
  <c r="BW5" i="7"/>
  <c r="CU5" i="7"/>
  <c r="DK5" i="7"/>
  <c r="EA5" i="7"/>
  <c r="EQ5" i="7"/>
  <c r="FG5" i="7"/>
  <c r="ED5" i="7"/>
  <c r="BZ5" i="7"/>
  <c r="CJ5" i="7"/>
  <c r="CL5" i="7"/>
  <c r="DT5" i="7"/>
  <c r="EJ5" i="7"/>
  <c r="BQ5" i="7"/>
  <c r="CG5" i="7"/>
  <c r="CW5" i="7"/>
  <c r="DU5" i="7"/>
  <c r="EK5" i="7"/>
  <c r="FA5" i="7"/>
  <c r="EX5" i="7"/>
  <c r="CH5" i="7"/>
  <c r="DN5" i="7"/>
  <c r="CR5" i="7"/>
  <c r="BN5" i="7"/>
  <c r="CT5" i="7"/>
  <c r="BP5" i="7"/>
  <c r="CV5" i="7"/>
  <c r="DX5" i="7"/>
  <c r="EN5" i="7"/>
  <c r="FD5" i="7"/>
  <c r="BS5" i="7"/>
  <c r="CA5" i="7"/>
  <c r="CI5" i="7"/>
  <c r="CQ5" i="7"/>
  <c r="CY5" i="7"/>
  <c r="DG5" i="7"/>
  <c r="DO5" i="7"/>
  <c r="DW5" i="7"/>
  <c r="EE5" i="7"/>
  <c r="EM5" i="7"/>
  <c r="EU5" i="7"/>
  <c r="FC5" i="7"/>
  <c r="DV5" i="7"/>
  <c r="EL5" i="7"/>
  <c r="FB5" i="7"/>
  <c r="CX5" i="7"/>
  <c r="DH5" i="7"/>
  <c r="DJ5" i="7"/>
  <c r="DL5" i="7"/>
  <c r="BO5" i="7"/>
  <c r="CE5" i="7"/>
  <c r="CM5" i="7"/>
  <c r="DC5" i="7"/>
  <c r="DS5" i="7"/>
  <c r="EI5" i="7"/>
  <c r="EY5" i="7"/>
  <c r="ET5" i="7"/>
  <c r="DF5" i="7"/>
  <c r="DP5" i="7"/>
  <c r="DR5" i="7"/>
  <c r="CN5" i="7"/>
  <c r="EZ5" i="7"/>
  <c r="BY5" i="7"/>
  <c r="CO5" i="7"/>
  <c r="DE5" i="7"/>
  <c r="DM5" i="7"/>
  <c r="EC5" i="7"/>
  <c r="ES5" i="7"/>
  <c r="FI5" i="7"/>
  <c r="EH5" i="7"/>
  <c r="CP5" i="7"/>
  <c r="BT5" i="7"/>
  <c r="CZ5" i="7"/>
  <c r="BV5" i="7"/>
  <c r="DB5" i="7"/>
  <c r="BX5" i="7"/>
  <c r="DD5" i="7"/>
  <c r="EB5" i="7"/>
  <c r="ER5" i="7"/>
  <c r="FH5" i="7"/>
  <c r="BU5" i="7"/>
  <c r="CC5" i="7"/>
  <c r="CK5" i="7"/>
  <c r="CS5" i="7"/>
  <c r="DA5" i="7"/>
  <c r="DI5" i="7"/>
  <c r="DQ5" i="7"/>
  <c r="DY5" i="7"/>
  <c r="EG5" i="7"/>
  <c r="EO5" i="7"/>
  <c r="EW5" i="7"/>
  <c r="FE5" i="7"/>
  <c r="DZ5" i="7"/>
  <c r="EP5" i="7"/>
  <c r="FF5" i="7"/>
  <c r="B2" i="5"/>
  <c r="E2" i="5" s="1"/>
  <c r="W106" i="12" l="1" a="1"/>
  <c r="W106" i="12" s="1"/>
  <c r="V106" i="12" a="1"/>
  <c r="V106" i="12" s="1"/>
  <c r="P106" i="12" a="1"/>
  <c r="P106" i="12" s="1"/>
  <c r="U106" i="12" a="1"/>
  <c r="U106" i="12" s="1"/>
  <c r="O106" i="12" a="1"/>
  <c r="O106" i="12" s="1"/>
  <c r="T106" i="12" a="1"/>
  <c r="T106" i="12" s="1"/>
  <c r="Q106" i="12" a="1"/>
  <c r="Q106" i="12" s="1"/>
  <c r="S106" i="12" a="1"/>
  <c r="S106" i="12" s="1"/>
  <c r="X106" i="12" a="1"/>
  <c r="X106" i="12" s="1"/>
  <c r="R106" i="12" a="1"/>
  <c r="R106" i="12" s="1"/>
  <c r="I5" i="1"/>
  <c r="J5" i="1"/>
  <c r="K5" i="1" a="1"/>
  <c r="K5" i="1" l="1"/>
  <c r="AJ106" i="6" l="1"/>
  <c r="AF106" i="6"/>
  <c r="AB106" i="6"/>
  <c r="L106" i="6"/>
  <c r="H106" i="6"/>
  <c r="D106" i="6"/>
  <c r="AI106" i="6"/>
  <c r="AE106" i="6"/>
  <c r="AA106" i="6"/>
  <c r="K106" i="6"/>
  <c r="G106" i="6"/>
  <c r="C106" i="6"/>
  <c r="AH106" i="6"/>
  <c r="AD106" i="6"/>
  <c r="J106" i="6"/>
  <c r="F106" i="6"/>
  <c r="AG106" i="6"/>
  <c r="AC106" i="6"/>
  <c r="I106" i="6"/>
  <c r="E106" i="6"/>
  <c r="C104" i="6"/>
  <c r="O5" i="1" a="1"/>
  <c r="R5" i="1" a="1"/>
  <c r="P5" i="1" a="1"/>
  <c r="S5" i="1" a="1"/>
  <c r="Q5" i="1" a="1"/>
  <c r="V5" i="1" a="1"/>
  <c r="U5" i="1" a="1"/>
  <c r="W5" i="1" a="1"/>
  <c r="T5" i="1" a="1"/>
  <c r="R5" i="7" a="1"/>
  <c r="V5" i="7" a="1"/>
  <c r="O5" i="7" a="1"/>
  <c r="S5" i="7" a="1"/>
  <c r="U5" i="7" a="1"/>
  <c r="Q5" i="7" a="1"/>
  <c r="T5" i="7" a="1"/>
  <c r="P5" i="7" a="1"/>
  <c r="N5" i="7" a="1"/>
  <c r="W5" i="1" l="1"/>
  <c r="O5" i="7"/>
  <c r="Q5" i="7"/>
  <c r="R5" i="7"/>
  <c r="P5" i="7"/>
  <c r="S5" i="7"/>
  <c r="T5" i="7"/>
  <c r="V5" i="7"/>
  <c r="U5" i="7"/>
  <c r="N5" i="7"/>
  <c r="P5" i="1"/>
  <c r="Q5" i="1"/>
  <c r="R5" i="1"/>
  <c r="S5" i="1"/>
  <c r="T5" i="1"/>
  <c r="U5" i="1"/>
  <c r="V5" i="1"/>
  <c r="O5" i="1"/>
  <c r="AQ5" i="1" a="1"/>
  <c r="AK5" i="1" a="1"/>
  <c r="AD5" i="1" a="1"/>
  <c r="AN5" i="1" a="1"/>
  <c r="AF5" i="1" a="1"/>
  <c r="AM5" i="1" a="1"/>
  <c r="AX5" i="1" a="1"/>
  <c r="AS5" i="1" a="1"/>
  <c r="BD5" i="1" a="1"/>
  <c r="AV5" i="1" a="1"/>
  <c r="AL5" i="1" a="1"/>
  <c r="BB5" i="1" a="1"/>
  <c r="AT5" i="1" a="1"/>
  <c r="AR5" i="1" a="1"/>
  <c r="AO5" i="1" a="1"/>
  <c r="BC5" i="1" a="1"/>
  <c r="BA5" i="1" a="1"/>
  <c r="AA5" i="1" a="1"/>
  <c r="AY5" i="1" a="1"/>
  <c r="AE5" i="1" a="1"/>
  <c r="AZ5" i="1" a="1"/>
  <c r="AH5" i="1" a="1"/>
  <c r="Z5" i="1" a="1"/>
  <c r="AJ5" i="1" a="1"/>
  <c r="AP5" i="1" a="1"/>
  <c r="AG5" i="1" a="1"/>
  <c r="X5" i="1" a="1"/>
  <c r="AI5" i="1" a="1"/>
  <c r="Y5" i="1" a="1"/>
  <c r="AW5" i="1" a="1"/>
  <c r="AU5" i="1" a="1"/>
  <c r="AB5" i="1" a="1"/>
  <c r="AC5" i="1" a="1"/>
  <c r="AY5" i="1" l="1"/>
  <c r="AI5" i="1"/>
  <c r="AT5" i="1"/>
  <c r="AW5" i="1"/>
  <c r="AO5" i="1"/>
  <c r="AG5" i="1"/>
  <c r="Y5" i="1"/>
  <c r="AZ5" i="1"/>
  <c r="AR5" i="1"/>
  <c r="AJ5" i="1"/>
  <c r="AB5" i="1"/>
  <c r="AQ5" i="1"/>
  <c r="AA5" i="1"/>
  <c r="BB5" i="1"/>
  <c r="AL5" i="1"/>
  <c r="AD5" i="1"/>
  <c r="BC5" i="1"/>
  <c r="AU5" i="1"/>
  <c r="AM5" i="1"/>
  <c r="AE5" i="1"/>
  <c r="AX5" i="1"/>
  <c r="AP5" i="1"/>
  <c r="AH5" i="1"/>
  <c r="Z5" i="1"/>
  <c r="BA5" i="1"/>
  <c r="AS5" i="1"/>
  <c r="AK5" i="1"/>
  <c r="AC5" i="1"/>
  <c r="BD5" i="1"/>
  <c r="AV5" i="1"/>
  <c r="AN5" i="1"/>
  <c r="AF5" i="1"/>
  <c r="X5" i="1"/>
  <c r="AJ106" i="12" l="1" a="1"/>
  <c r="AJ106" i="12" s="1"/>
  <c r="AH106" i="12" a="1"/>
  <c r="AH106" i="12" s="1"/>
  <c r="AF106" i="12" a="1"/>
  <c r="AF106" i="12" s="1"/>
  <c r="AD106" i="12" a="1"/>
  <c r="AD106" i="12" s="1"/>
  <c r="AB106" i="12" a="1"/>
  <c r="AB106" i="12" s="1"/>
  <c r="K106" i="12" a="1"/>
  <c r="K106" i="12" s="1"/>
  <c r="I106" i="12" a="1"/>
  <c r="I106" i="12" s="1"/>
  <c r="G106" i="12" a="1"/>
  <c r="G106" i="12" s="1"/>
  <c r="E106" i="12" a="1"/>
  <c r="E106" i="12" s="1"/>
  <c r="C106" i="12" a="1"/>
  <c r="C106" i="12" s="1"/>
  <c r="AG106" i="12" a="1"/>
  <c r="AG106" i="12" s="1"/>
  <c r="AC106" i="12" a="1"/>
  <c r="AC106" i="12" s="1"/>
  <c r="L106" i="12" a="1"/>
  <c r="L106" i="12" s="1"/>
  <c r="H106" i="12" a="1"/>
  <c r="H106" i="12" s="1"/>
  <c r="D106" i="12" a="1"/>
  <c r="D106" i="12" s="1"/>
  <c r="AI106" i="12" a="1"/>
  <c r="AI106" i="12" s="1"/>
  <c r="AE106" i="12" a="1"/>
  <c r="AE106" i="12" s="1"/>
  <c r="J106" i="12" a="1"/>
  <c r="J106" i="12" s="1"/>
  <c r="F106" i="12" a="1"/>
  <c r="F106" i="12" s="1"/>
  <c r="C104" i="12" a="1"/>
  <c r="C104" i="12" s="1"/>
  <c r="AA106" i="12" a="1"/>
  <c r="AA106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Amanda Gibson</author>
  </authors>
  <commentList>
    <comment ref="FT4" authorId="0" shapeId="0" xr:uid="{030D941A-56CC-47D5-98C5-3CCA5E9A8D47}">
      <text>
        <r>
          <rPr>
            <b/>
            <sz val="9"/>
            <color indexed="81"/>
            <rFont val="Tahoma"/>
            <family val="2"/>
          </rPr>
          <t>Amanda Gibson:</t>
        </r>
        <r>
          <rPr>
            <sz val="9"/>
            <color indexed="81"/>
            <rFont val="Tahoma"/>
            <family val="2"/>
          </rPr>
          <t xml:space="preserve">
=IF(ISBLANK($A5), "Enter Sheet Name", #if sheet name is blank, write "enter sheet name"
IF(0 &lt; XLOOKUP(SelectedBW_2, INDIRECT($A5 &amp; "!A3:A102"), INDIRECT($A5 &amp; "!" &amp; $N$3 &amp; "3:" &amp; $N$3 &amp; "102")), #If bursts per hour is greater than 0....
XLOOKUP(SelectedBW_2, INDIRECT($A5 &amp; "!A3:A102"), INDIRECT($A5 &amp; "!" &amp; F$3 &amp; "3:" &amp; F$3 &amp; "102")), #enter the Mbd for the cell
"NA")) #If bursts is 0 or otherwise N/A, enter "NA"</t>
        </r>
      </text>
    </comment>
    <comment ref="GB4" authorId="0" shapeId="0" xr:uid="{602A3A7B-6F3F-4584-AE19-3498C931A3EB}">
      <text>
        <r>
          <rPr>
            <b/>
            <sz val="9"/>
            <color indexed="81"/>
            <rFont val="Tahoma"/>
            <family val="2"/>
          </rPr>
          <t>Amanda Gibson:</t>
        </r>
        <r>
          <rPr>
            <sz val="9"/>
            <color indexed="81"/>
            <rFont val="Tahoma"/>
            <family val="2"/>
          </rPr>
          <t xml:space="preserve">
=IF(ISBLANK($A5), "Enter Sheet", #if the sheet name is blank, write "enter sheet"
IF(ISNUMBER($D5), #If there is an average firing rate for the cell
IF(ISNUMBER(XLOOKUP(SelectedBW_2, INDIRECT($A5 &amp; "!A3:A102"), INDIRECT($A5 &amp; "!" &amp; $N$3 &amp; "3:" &amp; $N$3 &amp; "102"))), #if the bursts per hour is a number
#calculated by looking up the selected burst window, and then finding the value in that row in column BA on the cell sheet
XLOOKUP(SelectedBW_2, INDIRECT($A5 &amp; "!A3:A102"), INDIRECT($A5 &amp; "!" &amp; $N$3 &amp; "3:" &amp; $N$3 &amp; "102")), #If true, enter the bursts per hour
IF($C5, 0, "NA")), #if bursts per hour is not a number, if "allowBurstsPerHour0" is true, enter 0, otherwise enter NA
"Enter Cell Values")) #if firing rate is not a 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<sst xmlns="http://schemas.openxmlformats.org/spreadsheetml/2006/main" count="1274" uniqueCount="557">
  <si>
    <t>Burst Number</t>
  </si>
  <si>
    <t>Mean Burst Duration</t>
  </si>
  <si>
    <t>Spikes per Burst</t>
  </si>
  <si>
    <t>Burst Frequency</t>
  </si>
  <si>
    <t>Single Spike Number</t>
  </si>
  <si>
    <t>Single Spike Frequency</t>
  </si>
  <si>
    <t>Total Frequency</t>
  </si>
  <si>
    <t>Interburst Interval</t>
  </si>
  <si>
    <t>Intraburst Interval</t>
  </si>
  <si>
    <t>BurstsPerMin</t>
  </si>
  <si>
    <t>Spontaneous</t>
  </si>
  <si>
    <t>BurstWindow</t>
  </si>
  <si>
    <t>BurstNum_temp2</t>
  </si>
  <si>
    <t>BurstNum_temp3</t>
  </si>
  <si>
    <t>Mbd_temp2</t>
  </si>
  <si>
    <t>Mbd_temp4</t>
  </si>
  <si>
    <t>SpikesPerBurst_temp2</t>
  </si>
  <si>
    <t>SpikesPerBurst_temp3</t>
  </si>
  <si>
    <t>BurstFreq_temp2</t>
  </si>
  <si>
    <t>BurstFreq_temp3</t>
  </si>
  <si>
    <t>SingleSpikeNum_temp2</t>
  </si>
  <si>
    <t>SpingleSpikeNum_temp3</t>
  </si>
  <si>
    <t>SingleSpikeFreq_temp2</t>
  </si>
  <si>
    <t>SingleSpikeFreq_temp3</t>
  </si>
  <si>
    <t>TotalFreq_temp2</t>
  </si>
  <si>
    <t>TotalFreq_temp3</t>
  </si>
  <si>
    <t>InterBurst_temp2</t>
  </si>
  <si>
    <t>InterBurst_temp3</t>
  </si>
  <si>
    <t>IntraBurst_temp2</t>
  </si>
  <si>
    <t>IntraBurst_temp3</t>
  </si>
  <si>
    <t>BurstsPerHour_temp2</t>
  </si>
  <si>
    <t>BurstsPerHour_temp3</t>
  </si>
  <si>
    <t>Burst Window</t>
  </si>
  <si>
    <t>Selected burst window</t>
  </si>
  <si>
    <t>Max Burst Num</t>
  </si>
  <si>
    <t>MaxBurstWindow_temp2</t>
  </si>
  <si>
    <t>Values at selected burst window</t>
  </si>
  <si>
    <t>Firing Rate</t>
  </si>
  <si>
    <t>Cluster Analysis</t>
  </si>
  <si>
    <t>From Manual Cluster Analysis (Imported Wave)</t>
  </si>
  <si>
    <t>Series</t>
  </si>
  <si>
    <t>Point</t>
  </si>
  <si>
    <t>Bin Start (min)</t>
  </si>
  <si>
    <t>Bin End (min)</t>
  </si>
  <si>
    <t>Bin Start (sec)</t>
  </si>
  <si>
    <t>Bin End (sec)</t>
  </si>
  <si>
    <t>Event/bin</t>
  </si>
  <si>
    <t>Conc events/bin</t>
  </si>
  <si>
    <t>Freq (in Hz)</t>
  </si>
  <si>
    <t>Freq conc (in Hz)</t>
  </si>
  <si>
    <t>Treatment Notes</t>
  </si>
  <si>
    <t>First series</t>
  </si>
  <si>
    <t>Last series</t>
  </si>
  <si>
    <t>Length of series (min)</t>
  </si>
  <si>
    <t>Bin Size (seconds)</t>
  </si>
  <si>
    <t>Total (min)</t>
  </si>
  <si>
    <t>Total (sec)</t>
  </si>
  <si>
    <t>Bins Per Series</t>
  </si>
  <si>
    <t>Bin_start</t>
  </si>
  <si>
    <t>Bin_end</t>
  </si>
  <si>
    <t>2x2 - Global SD</t>
  </si>
  <si>
    <t>3x3 - Global SD</t>
  </si>
  <si>
    <t>2x2 - Global SE</t>
  </si>
  <si>
    <t>3x3 - Global SE</t>
  </si>
  <si>
    <t>Cluster Bin Size (sec)</t>
  </si>
  <si>
    <t>2x2SD_dur</t>
  </si>
  <si>
    <t>2x2SD_freq</t>
  </si>
  <si>
    <t>2x2SD_#peaks</t>
  </si>
  <si>
    <t>2x2SD_#nadirs</t>
  </si>
  <si>
    <t>2x2SD_meanPeakDur</t>
  </si>
  <si>
    <t>2x2SD_totalPeakDur</t>
  </si>
  <si>
    <t>2x2SD_meanNadirDur</t>
  </si>
  <si>
    <t>2x2SD_totalNadirDur</t>
  </si>
  <si>
    <t>2x2SD_meanPeakAmp</t>
  </si>
  <si>
    <t>2x2SD_meanNadirAmp</t>
  </si>
  <si>
    <t xml:space="preserve">Starting Time (min) </t>
  </si>
  <si>
    <t>Ending Time (min) - Enter in 2-min interval for spont</t>
  </si>
  <si>
    <t>Length of Period (in min)</t>
  </si>
  <si>
    <t>AverageFiring</t>
  </si>
  <si>
    <t>Epoch</t>
  </si>
  <si>
    <t>Peak or Nadir</t>
  </si>
  <si>
    <t>Duration (min)</t>
  </si>
  <si>
    <t>Mean Firing (Hz)</t>
  </si>
  <si>
    <t>Total Duration</t>
  </si>
  <si>
    <t>Average Duration</t>
  </si>
  <si>
    <t>Average Firing Rate</t>
  </si>
  <si>
    <t>Count of Peak or Nadir</t>
  </si>
  <si>
    <t>Epoch 1</t>
  </si>
  <si>
    <t>Peak</t>
  </si>
  <si>
    <t>3x3SD_dur</t>
  </si>
  <si>
    <t>3x3SD_freq</t>
  </si>
  <si>
    <t>3x3SD_#peaks</t>
  </si>
  <si>
    <t>3x3SD_#nadirs</t>
  </si>
  <si>
    <t>3x3SD_meanPeakDur</t>
  </si>
  <si>
    <t>3x3SD_totalPeakDur</t>
  </si>
  <si>
    <t>3x3SD_meanNadirDur</t>
  </si>
  <si>
    <t>3x3SD_totalNadirDur</t>
  </si>
  <si>
    <t>3x3SD_meanPeakAmp</t>
  </si>
  <si>
    <t>3x3SD_meanNadirAmp</t>
  </si>
  <si>
    <t>Senktide</t>
  </si>
  <si>
    <t>Epoch 2</t>
  </si>
  <si>
    <t>Nadir</t>
  </si>
  <si>
    <t>Temp2</t>
  </si>
  <si>
    <t>Epoch 3</t>
  </si>
  <si>
    <t>Temp3</t>
  </si>
  <si>
    <t>Epoch 4</t>
  </si>
  <si>
    <t>Epoch 5</t>
  </si>
  <si>
    <t>2x2SE_dur</t>
  </si>
  <si>
    <t>2x2SE_freq</t>
  </si>
  <si>
    <t>2x2SE_#peaks</t>
  </si>
  <si>
    <t>2x2SE_#nadirs</t>
  </si>
  <si>
    <t>2x2SE_meanPeakDur</t>
  </si>
  <si>
    <t>2x2SE_totalPeakDur</t>
  </si>
  <si>
    <t>2x2SE_meanNadirDur</t>
  </si>
  <si>
    <t>2x2SE_totalNadirDur</t>
  </si>
  <si>
    <t>2x2SE_meanPeakAmp</t>
  </si>
  <si>
    <t>2x2SE_meanNadirAmp</t>
  </si>
  <si>
    <t>Epoch 6</t>
  </si>
  <si>
    <t>Epoch 7</t>
  </si>
  <si>
    <t>CONC SCREENSHOT</t>
  </si>
  <si>
    <t>Epoch 8</t>
  </si>
  <si>
    <t>Epoch 9</t>
  </si>
  <si>
    <t>3x3SE_dur</t>
  </si>
  <si>
    <t>3x3SE_freq</t>
  </si>
  <si>
    <t>3x3SE_#peaks</t>
  </si>
  <si>
    <t>3x3SE_#nadirs</t>
  </si>
  <si>
    <t>3x3SE_meanPeakDur</t>
  </si>
  <si>
    <t>3x3SE_totalPeakDur</t>
  </si>
  <si>
    <t>3x3SE_meanNadirDur</t>
  </si>
  <si>
    <t>3x3SE_totalNadirDur</t>
  </si>
  <si>
    <t>3x3SE_meanPeakAmp</t>
  </si>
  <si>
    <t>3x3SE_meanNadirAmp</t>
  </si>
  <si>
    <t>Epoch 10</t>
  </si>
  <si>
    <t>Epoch 11</t>
  </si>
  <si>
    <t>Epoch 12</t>
  </si>
  <si>
    <t>Epoch 13</t>
  </si>
  <si>
    <t>Epoch 14</t>
  </si>
  <si>
    <t>Epoch 15</t>
  </si>
  <si>
    <t>Epoch 16</t>
  </si>
  <si>
    <t>Mouse #</t>
  </si>
  <si>
    <t>Name of sheet</t>
  </si>
  <si>
    <t>Comments</t>
  </si>
  <si>
    <t>BurstNum_spont</t>
  </si>
  <si>
    <t>Mbd_spont</t>
  </si>
  <si>
    <t>SpikesPerBurst_spont</t>
  </si>
  <si>
    <t>BurstFreq_spont</t>
  </si>
  <si>
    <t>SingleSpikeNum_spont</t>
  </si>
  <si>
    <t>SingleSpikeFreq_spont</t>
  </si>
  <si>
    <t>TotalFreq_spont</t>
  </si>
  <si>
    <t>InterBurst_spont</t>
  </si>
  <si>
    <t>IntraBurst_spont</t>
  </si>
  <si>
    <t>BurstsPerHour_spont</t>
  </si>
  <si>
    <t>MaxBurstWindow_spont</t>
  </si>
  <si>
    <t>totalPeakDur_2x2SD</t>
  </si>
  <si>
    <t>Freq_2x2SD</t>
  </si>
  <si>
    <t>Dur_2x2SD</t>
  </si>
  <si>
    <t>numPeaks_2x2SD</t>
  </si>
  <si>
    <t>numNadirs_2x2SD</t>
  </si>
  <si>
    <t>meanPeakDur_2x2SD</t>
  </si>
  <si>
    <t>meanNadirDur_2x2SD</t>
  </si>
  <si>
    <t>totalNadirDur_2x2SD</t>
  </si>
  <si>
    <t>meanPeakFiring_2x2SD</t>
  </si>
  <si>
    <t>meanNadirFiring_2x2SD</t>
  </si>
  <si>
    <t>Dur_3x3SD</t>
  </si>
  <si>
    <t>Freq_3x3SD</t>
  </si>
  <si>
    <t>numPeaks_3x3SD</t>
  </si>
  <si>
    <t>numNadirs_3x3SD</t>
  </si>
  <si>
    <t>meanPeakDur_3x3SD</t>
  </si>
  <si>
    <t>totalPeakDur_3x3SD</t>
  </si>
  <si>
    <t>meanNadirDur_3x3SD</t>
  </si>
  <si>
    <t>totalNadirDur_3x3SD</t>
  </si>
  <si>
    <t>meanPeakFiring_3x3SD</t>
  </si>
  <si>
    <t>meanNadirFiring_3x3SD</t>
  </si>
  <si>
    <t>Dur_2x2SE</t>
  </si>
  <si>
    <t>Freq_2x2SE</t>
  </si>
  <si>
    <t>numPeaks_2x2SE</t>
  </si>
  <si>
    <t>numNadirs_2x2SE</t>
  </si>
  <si>
    <t>meanPeakDur_2x2SE</t>
  </si>
  <si>
    <t>totalPeakDur_2x2SE</t>
  </si>
  <si>
    <t>meanNadirDur_2x2SE</t>
  </si>
  <si>
    <t>totalNadirDur_2x2SE</t>
  </si>
  <si>
    <t>meanPeakFiring_2x2SE</t>
  </si>
  <si>
    <t>meanNadirFiring_2x2SE</t>
  </si>
  <si>
    <t>Sheet Name</t>
  </si>
  <si>
    <t>Burst/Cluster = NA if firing less than</t>
  </si>
  <si>
    <t>Cell</t>
  </si>
  <si>
    <t>Daylights Savings? Y/N</t>
  </si>
  <si>
    <t>Start of Recording</t>
  </si>
  <si>
    <t>End of Recording</t>
  </si>
  <si>
    <t>Start - Hrs after Lights On</t>
  </si>
  <si>
    <t>End - Hrs after Lights On</t>
  </si>
  <si>
    <t>Length in min</t>
  </si>
  <si>
    <t>CellID</t>
  </si>
  <si>
    <t>MouseID</t>
  </si>
  <si>
    <t>Daylight_Savings</t>
  </si>
  <si>
    <t>Record_start</t>
  </si>
  <si>
    <t>Record_end</t>
  </si>
  <si>
    <t>Record_start_hr</t>
  </si>
  <si>
    <t>Record_end_hr</t>
  </si>
  <si>
    <t>SheetName</t>
  </si>
  <si>
    <t>SpontLength_min</t>
  </si>
  <si>
    <t>Calculated</t>
  </si>
  <si>
    <t>SpontAvgFiring</t>
  </si>
  <si>
    <t>Average Firing Rate (Hz)</t>
  </si>
  <si>
    <t>Dur_3x3SE</t>
  </si>
  <si>
    <t>Freq_3x3SE</t>
  </si>
  <si>
    <t>numPeaks_3x3SE</t>
  </si>
  <si>
    <t>numNadirs_3x3SE</t>
  </si>
  <si>
    <t>meanPeakDur_3x3SE</t>
  </si>
  <si>
    <t>totalPeakDur_3x3SE</t>
  </si>
  <si>
    <t>meanNadirDur_3x3SE</t>
  </si>
  <si>
    <t>totalNadirDur_3x3SE</t>
  </si>
  <si>
    <t>meanPeakFiring_3x3SE</t>
  </si>
  <si>
    <t>meanNadirFiring_3x3SE</t>
  </si>
  <si>
    <t>SenktideFiring</t>
  </si>
  <si>
    <t>Flagged</t>
  </si>
  <si>
    <t>Analyze Senkitde? - Enter TRUE/FALSE</t>
  </si>
  <si>
    <t>BurstNum_senktide</t>
  </si>
  <si>
    <t>Mbd_senktide</t>
  </si>
  <si>
    <t>SpikesPerBurst_senktide</t>
  </si>
  <si>
    <t>BurstFreq_senktide</t>
  </si>
  <si>
    <t>SingleSpikeNum_senktide</t>
  </si>
  <si>
    <t>SingleSpikeFreq_senktide</t>
  </si>
  <si>
    <t>TotalFreq_senktide</t>
  </si>
  <si>
    <t>InterBurst_senktide</t>
  </si>
  <si>
    <t>IntraBurst_senktide</t>
  </si>
  <si>
    <t>BurstsPerHour_senktide</t>
  </si>
  <si>
    <t>MaxBurstWindow_senktide</t>
  </si>
  <si>
    <t>SCREENSHOTS HERE</t>
  </si>
  <si>
    <t>2x2 - SD</t>
  </si>
  <si>
    <t>3x3 - SD</t>
  </si>
  <si>
    <t>2X2-SE</t>
  </si>
  <si>
    <t>3X3 - SE</t>
  </si>
  <si>
    <t>Test20190322d</t>
  </si>
  <si>
    <t>Analyze?</t>
  </si>
  <si>
    <t>Average Burst Window</t>
  </si>
  <si>
    <t>**NOTE: Added after Test Sheet Created</t>
  </si>
  <si>
    <t>Starting Time (sec)</t>
  </si>
  <si>
    <t>Ending Time (sec)</t>
  </si>
  <si>
    <t>Mbd_temp3</t>
  </si>
  <si>
    <t>BurstsPerHour_0.01</t>
  </si>
  <si>
    <t>BurstsPerHour_0.02</t>
  </si>
  <si>
    <t>BurstsPerHour_0.03</t>
  </si>
  <si>
    <t>BurstsPerHour_0.04</t>
  </si>
  <si>
    <t>BurstsPerHour_0.05</t>
  </si>
  <si>
    <t>BurstsPerHour_0.06</t>
  </si>
  <si>
    <t>BurstsPerHour_0.07</t>
  </si>
  <si>
    <t>BurstsPerHour_0.08</t>
  </si>
  <si>
    <t>BurstsPerHour_0.09</t>
  </si>
  <si>
    <t>BurstsPerHour_0.10</t>
  </si>
  <si>
    <t>BurstsPerHour_0.11</t>
  </si>
  <si>
    <t>BurstsPerHour_0.12</t>
  </si>
  <si>
    <t>BurstsPerHour_0.13</t>
  </si>
  <si>
    <t>BurstsPerHour_0.14</t>
  </si>
  <si>
    <t>BurstsPerHour_0.15</t>
  </si>
  <si>
    <t>BurstsPerHour_0.16</t>
  </si>
  <si>
    <t>BurstsPerHour_0.17</t>
  </si>
  <si>
    <t>BurstsPerHour_0.18</t>
  </si>
  <si>
    <t>BurstsPerHour_0.19</t>
  </si>
  <si>
    <t>BurstsPerHour_0.20</t>
  </si>
  <si>
    <t>BurstsPerHour_0.21</t>
  </si>
  <si>
    <t>BurstsPerHour_0.22</t>
  </si>
  <si>
    <t>BurstsPerHour_0.23</t>
  </si>
  <si>
    <t>BurstsPerHour_0.24</t>
  </si>
  <si>
    <t>BurstsPerHour_0.25</t>
  </si>
  <si>
    <t>BurstsPerHour_0.26</t>
  </si>
  <si>
    <t>BurstsPerHour_0.27</t>
  </si>
  <si>
    <t>BurstsPerHour_0.28</t>
  </si>
  <si>
    <t>BurstsPerHour_0.29</t>
  </si>
  <si>
    <t>BurstsPerHour_0.30</t>
  </si>
  <si>
    <t>BurstsPerHour_0.31</t>
  </si>
  <si>
    <t>BurstsPerHour_0.32</t>
  </si>
  <si>
    <t>BurstsPerHour_0.33</t>
  </si>
  <si>
    <t>BurstsPerHour_0.34</t>
  </si>
  <si>
    <t>BurstsPerHour_0.35</t>
  </si>
  <si>
    <t>BurstsPerHour_0.36</t>
  </si>
  <si>
    <t>BurstsPerHour_0.37</t>
  </si>
  <si>
    <t>BurstsPerHour_0.38</t>
  </si>
  <si>
    <t>BurstsPerHour_0.39</t>
  </si>
  <si>
    <t>BurstsPerHour_0.40</t>
  </si>
  <si>
    <t>BurstsPerHour_0.41</t>
  </si>
  <si>
    <t>BurstsPerHour_0.42</t>
  </si>
  <si>
    <t>BurstsPerHour_0.43</t>
  </si>
  <si>
    <t>BurstsPerHour_0.44</t>
  </si>
  <si>
    <t>BurstsPerHour_0.45</t>
  </si>
  <si>
    <t>BurstsPerHour_0.46</t>
  </si>
  <si>
    <t>BurstsPerHour_0.47</t>
  </si>
  <si>
    <t>BurstsPerHour_0.48</t>
  </si>
  <si>
    <t>BurstsPerHour_0.49</t>
  </si>
  <si>
    <t>BurstsPerHour_0.50</t>
  </si>
  <si>
    <t>BurstsPerHour_0.51</t>
  </si>
  <si>
    <t>BurstsPerHour_0.52</t>
  </si>
  <si>
    <t>BurstsPerHour_0.53</t>
  </si>
  <si>
    <t>BurstsPerHour_0.54</t>
  </si>
  <si>
    <t>BurstsPerHour_0.55</t>
  </si>
  <si>
    <t>BurstsPerHour_0.56</t>
  </si>
  <si>
    <t>BurstsPerHour_0.57</t>
  </si>
  <si>
    <t>BurstsPerHour_0.58</t>
  </si>
  <si>
    <t>BurstsPerHour_0.59</t>
  </si>
  <si>
    <t>BurstsPerHour_0.60</t>
  </si>
  <si>
    <t>BurstsPerHour_0.61</t>
  </si>
  <si>
    <t>BurstsPerHour_0.62</t>
  </si>
  <si>
    <t>BurstsPerHour_0.63</t>
  </si>
  <si>
    <t>BurstsPerHour_0.64</t>
  </si>
  <si>
    <t>BurstsPerHour_0.65</t>
  </si>
  <si>
    <t>BurstsPerHour_0.66</t>
  </si>
  <si>
    <t>BurstsPerHour_0.67</t>
  </si>
  <si>
    <t>BurstsPerHour_0.68</t>
  </si>
  <si>
    <t>BurstsPerHour_0.69</t>
  </si>
  <si>
    <t>BurstsPerHour_0.70</t>
  </si>
  <si>
    <t>BurstsPerHour_0.71</t>
  </si>
  <si>
    <t>BurstsPerHour_0.72</t>
  </si>
  <si>
    <t>BurstsPerHour_0.73</t>
  </si>
  <si>
    <t>BurstsPerHour_0.74</t>
  </si>
  <si>
    <t>BurstsPerHour_0.75</t>
  </si>
  <si>
    <t>BurstsPerHour_0.76</t>
  </si>
  <si>
    <t>BurstsPerHour_0.77</t>
  </si>
  <si>
    <t>BurstsPerHour_0.78</t>
  </si>
  <si>
    <t>BurstsPerHour_0.79</t>
  </si>
  <si>
    <t>BurstsPerHour_0.80</t>
  </si>
  <si>
    <t>BurstsPerHour_0.81</t>
  </si>
  <si>
    <t>BurstsPerHour_0.82</t>
  </si>
  <si>
    <t>BurstsPerHour_0.83</t>
  </si>
  <si>
    <t>BurstsPerHour_0.84</t>
  </si>
  <si>
    <t>BurstsPerHour_0.85</t>
  </si>
  <si>
    <t>BurstsPerHour_0.86</t>
  </si>
  <si>
    <t>BurstsPerHour_0.87</t>
  </si>
  <si>
    <t>BurstsPerHour_0.88</t>
  </si>
  <si>
    <t>BurstsPerHour_0.89</t>
  </si>
  <si>
    <t>BurstsPerHour_0.90</t>
  </si>
  <si>
    <t>BurstsPerHour_0.91</t>
  </si>
  <si>
    <t>BurstsPerHour_0.92</t>
  </si>
  <si>
    <t>BurstsPerHour_0.93</t>
  </si>
  <si>
    <t>BurstsPerHour_0.94</t>
  </si>
  <si>
    <t>BurstsPerHour_0.95</t>
  </si>
  <si>
    <t>BurstsPerHour_0.96</t>
  </si>
  <si>
    <t>BurstsPerHour_0.97</t>
  </si>
  <si>
    <t>BurstsPerHour_0.98</t>
  </si>
  <si>
    <t>BurstsPerHour_0.99</t>
  </si>
  <si>
    <t>BurstsPerHour_1.00</t>
  </si>
  <si>
    <t>AllowBurstsPerHour0</t>
  </si>
  <si>
    <t>Selected Burst Window 1</t>
  </si>
  <si>
    <t>Selected Burst Window 2</t>
  </si>
  <si>
    <t>Values at avg burst window</t>
  </si>
  <si>
    <t>Values at selected burst window 1</t>
  </si>
  <si>
    <t>Values at selected burst window 2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</si>
  <si>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</si>
  <si>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</si>
  <si>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</si>
  <si>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</si>
  <si>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</si>
  <si>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</si>
  <si>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</si>
  <si>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</si>
  <si>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</si>
  <si>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Mbd_spont_BW1</t>
  </si>
  <si>
    <t>SpikesPerBurst_spont_BW1</t>
  </si>
  <si>
    <t>BurstFreq_spont_BW1</t>
  </si>
  <si>
    <t>SingleSpikeNum_spont_BW1</t>
  </si>
  <si>
    <t>SingleSpikeFreq_spont_BW1</t>
  </si>
  <si>
    <t>TotalFreq_spont_BW1</t>
  </si>
  <si>
    <t>InterBurst_spont_BW1</t>
  </si>
  <si>
    <t>IntraBurst_spont_BW1</t>
  </si>
  <si>
    <t>BurstsPerHour_spont_BW1</t>
  </si>
  <si>
    <t>Mbd_spont_BW2</t>
  </si>
  <si>
    <t>SpikesPerBurst_spont_BW2</t>
  </si>
  <si>
    <t>BurstFreq_spont_BW2</t>
  </si>
  <si>
    <t>SingleSpikeNum_spont_BW2</t>
  </si>
  <si>
    <t>SingleSpikeFreq_spont_BW2</t>
  </si>
  <si>
    <t>TotalFreq_spont_BW2</t>
  </si>
  <si>
    <t>InterBurst_spont_BW2</t>
  </si>
  <si>
    <t>IntraBurst_spont_BW2</t>
  </si>
  <si>
    <t>BurstsPerHour_spont_BW2</t>
  </si>
  <si>
    <t>StartTime_spont</t>
  </si>
  <si>
    <t>EndTime_spont</t>
  </si>
  <si>
    <t>FreqHz_0</t>
  </si>
  <si>
    <t>FreqHz_1</t>
  </si>
  <si>
    <t>FreqHz_2</t>
  </si>
  <si>
    <t>FreqHz_3</t>
  </si>
  <si>
    <t>FreqHz_4</t>
  </si>
  <si>
    <t>FreqHz_5</t>
  </si>
  <si>
    <t>FreqHz_6</t>
  </si>
  <si>
    <t>FreqHz_7</t>
  </si>
  <si>
    <t>FreqHz_8</t>
  </si>
  <si>
    <t>FreqHz_9</t>
  </si>
  <si>
    <t>FreqHz_10</t>
  </si>
  <si>
    <t>FreqHz_11</t>
  </si>
  <si>
    <t>FreqHz_12</t>
  </si>
  <si>
    <t>FreqHz_13</t>
  </si>
  <si>
    <t>FreqHz_14</t>
  </si>
  <si>
    <t>FreqHz_15</t>
  </si>
  <si>
    <t>FreqHz_16</t>
  </si>
  <si>
    <t>FreqHz_17</t>
  </si>
  <si>
    <t>FreqHz_18</t>
  </si>
  <si>
    <t>FreqHz_19</t>
  </si>
  <si>
    <t>FreqHz_20</t>
  </si>
  <si>
    <t>FreqHz_21</t>
  </si>
  <si>
    <t>FreqHz_22</t>
  </si>
  <si>
    <t>FreqHz_23</t>
  </si>
  <si>
    <t>FreqHz_24</t>
  </si>
  <si>
    <t>FreqHz_25</t>
  </si>
  <si>
    <t>FreqHz_26</t>
  </si>
  <si>
    <t>FreqHz_27</t>
  </si>
  <si>
    <t>FreqHz_28</t>
  </si>
  <si>
    <t>FreqHz_29</t>
  </si>
  <si>
    <t>FreqHz_30</t>
  </si>
  <si>
    <t>FreqHz_31</t>
  </si>
  <si>
    <t>FreqHz_32</t>
  </si>
  <si>
    <t>FreqHz_33</t>
  </si>
  <si>
    <t>FreqHz_34</t>
  </si>
  <si>
    <t>FreqHz_35</t>
  </si>
  <si>
    <t>FreqHz_36</t>
  </si>
  <si>
    <t>FreqHz_37</t>
  </si>
  <si>
    <t>FreqHz_38</t>
  </si>
  <si>
    <t>FreqHz_39</t>
  </si>
  <si>
    <t>FreqHz_40</t>
  </si>
  <si>
    <t>FreqHz_41</t>
  </si>
  <si>
    <t>FreqHz_42</t>
  </si>
  <si>
    <t>FreqHz_43</t>
  </si>
  <si>
    <t>FreqHz_44</t>
  </si>
  <si>
    <t>FreqHz_45</t>
  </si>
  <si>
    <t>FreqHz_46</t>
  </si>
  <si>
    <t>FreqHz_47</t>
  </si>
  <si>
    <t>FreqHz_48</t>
  </si>
  <si>
    <t>FreqHz_49</t>
  </si>
  <si>
    <t>FreqHz_50</t>
  </si>
  <si>
    <t>FreqHz_51</t>
  </si>
  <si>
    <t>FreqHz_52</t>
  </si>
  <si>
    <t>FreqHz_53</t>
  </si>
  <si>
    <t>FreqHz_54</t>
  </si>
  <si>
    <t>FreqHz_55</t>
  </si>
  <si>
    <t>FreqHz_56</t>
  </si>
  <si>
    <t>FreqHz_57</t>
  </si>
  <si>
    <t>FreqHz_58</t>
  </si>
  <si>
    <t>FreqHz_59</t>
  </si>
  <si>
    <t>FreqHz_60</t>
  </si>
  <si>
    <t>FreqHz_61</t>
  </si>
  <si>
    <t>FreqHz_62</t>
  </si>
  <si>
    <t>FreqHz_63</t>
  </si>
  <si>
    <t>FreqHz_64</t>
  </si>
  <si>
    <t>FreqHz_65</t>
  </si>
  <si>
    <t>FreqHz_66</t>
  </si>
  <si>
    <t>FreqHz_67</t>
  </si>
  <si>
    <t>FreqHz_68</t>
  </si>
  <si>
    <t>FreqHz_69</t>
  </si>
  <si>
    <t>FreqHz_70</t>
  </si>
  <si>
    <t>FreqHz_71</t>
  </si>
  <si>
    <t>FreqHz_72</t>
  </si>
  <si>
    <t>FreqHz_73</t>
  </si>
  <si>
    <t>FreqHz_74</t>
  </si>
  <si>
    <t>FreqHz_75</t>
  </si>
  <si>
    <t>FreqHz_76</t>
  </si>
  <si>
    <t>FreqHz_77</t>
  </si>
  <si>
    <t>FreqHz_78</t>
  </si>
  <si>
    <t>FreqHz_79</t>
  </si>
  <si>
    <t>FreqHz_80</t>
  </si>
  <si>
    <t>FreqHz_81</t>
  </si>
  <si>
    <t>FreqHz_82</t>
  </si>
  <si>
    <t>FreqHz_83</t>
  </si>
  <si>
    <t>FreqHz_84</t>
  </si>
  <si>
    <t>FreqHz_85</t>
  </si>
  <si>
    <t>FreqHz_86</t>
  </si>
  <si>
    <t>FreqHz_87</t>
  </si>
  <si>
    <t>FreqHz_88</t>
  </si>
  <si>
    <t>FreqHz_89</t>
  </si>
  <si>
    <t>FreqHz_90</t>
  </si>
  <si>
    <t>FreqHz_91</t>
  </si>
  <si>
    <t>FreqHz_92</t>
  </si>
  <si>
    <t>FreqHz_93</t>
  </si>
  <si>
    <t>FreqHz_94</t>
  </si>
  <si>
    <t>FreqHz_95</t>
  </si>
  <si>
    <t>FreqHz_96</t>
  </si>
  <si>
    <t>FreqHz_97</t>
  </si>
  <si>
    <t>FreqHz_98</t>
  </si>
  <si>
    <t>FreqHz_99</t>
  </si>
  <si>
    <t>FreqHz_100</t>
  </si>
  <si>
    <t>FreqHz_101</t>
  </si>
  <si>
    <t>FreqHz_102</t>
  </si>
  <si>
    <t>FreqHz_103</t>
  </si>
  <si>
    <t>FreqHz_104</t>
  </si>
  <si>
    <t>FreqHz_105</t>
  </si>
  <si>
    <t>FreqHz_106</t>
  </si>
  <si>
    <t>FreqHz_107</t>
  </si>
  <si>
    <t>FreqHz_108</t>
  </si>
  <si>
    <t>FreqHz_109</t>
  </si>
  <si>
    <t>FreqHz_110</t>
  </si>
  <si>
    <t>FreqHz_111</t>
  </si>
  <si>
    <t>FreqHz_112</t>
  </si>
  <si>
    <t>FreqHz_113</t>
  </si>
  <si>
    <t>FreqHz_114</t>
  </si>
  <si>
    <t>FreqHz_115</t>
  </si>
  <si>
    <t>FreqHz_116</t>
  </si>
  <si>
    <t>FreqHz_117</t>
  </si>
  <si>
    <t>FreqHz_118</t>
  </si>
  <si>
    <t>FreqHz_119</t>
  </si>
  <si>
    <t>FreqHz_120</t>
  </si>
  <si>
    <t>FreqHz_121</t>
  </si>
  <si>
    <t>FreqHz_122</t>
  </si>
  <si>
    <t>FreqHz_123</t>
  </si>
  <si>
    <t>FreqHz_124</t>
  </si>
  <si>
    <t>FreqHz_125</t>
  </si>
  <si>
    <t>FreqHz_126</t>
  </si>
  <si>
    <t>FreqHz_127</t>
  </si>
  <si>
    <t>FreqHz_128</t>
  </si>
  <si>
    <t>FreqHz_129</t>
  </si>
  <si>
    <t>FreqHz_130</t>
  </si>
  <si>
    <t>FreqHz_131</t>
  </si>
  <si>
    <t>FreqHz_132</t>
  </si>
  <si>
    <t>FreqHz_133</t>
  </si>
  <si>
    <t>FreqHz_134</t>
  </si>
  <si>
    <t>FreqHz_135</t>
  </si>
  <si>
    <t>FreqHz_136</t>
  </si>
  <si>
    <t>FreqHz_137</t>
  </si>
  <si>
    <t>FreqHz_138</t>
  </si>
  <si>
    <t>FreqHz_139</t>
  </si>
  <si>
    <t>FreqHz_140</t>
  </si>
  <si>
    <t>FreqHz_141</t>
  </si>
  <si>
    <t>FreqHz_142</t>
  </si>
  <si>
    <t>FreqHz_143</t>
  </si>
  <si>
    <t>FreqHz_144</t>
  </si>
  <si>
    <t>FreqHz_145</t>
  </si>
  <si>
    <t>FreqHz_146</t>
  </si>
  <si>
    <t>FreqHz_147</t>
  </si>
  <si>
    <t>FreqHz_148</t>
  </si>
  <si>
    <t>FreqHz_149</t>
  </si>
  <si>
    <t>FreqHz_150</t>
  </si>
  <si>
    <t>FreqHz_151</t>
  </si>
  <si>
    <t>FreqHz_152</t>
  </si>
  <si>
    <t>FreqHz_153</t>
  </si>
  <si>
    <t>FreqHz_154</t>
  </si>
  <si>
    <t>FreqHz_155</t>
  </si>
  <si>
    <t>FreqHz_156</t>
  </si>
  <si>
    <t>FreqHz_157</t>
  </si>
  <si>
    <t>FreqHz_158</t>
  </si>
  <si>
    <t>FreqHz_159</t>
  </si>
  <si>
    <t>FreqHz_160</t>
  </si>
  <si>
    <t>FreqHz_161</t>
  </si>
  <si>
    <t>FreqHz_162</t>
  </si>
  <si>
    <t>FreqHz_163</t>
  </si>
  <si>
    <t>FreqHz_164</t>
  </si>
  <si>
    <t>FreqHz_165</t>
  </si>
  <si>
    <t>FreqHz_166</t>
  </si>
  <si>
    <t>FreqHz_167</t>
  </si>
  <si>
    <t>FreqHz_168</t>
  </si>
  <si>
    <t>FreqHz_169</t>
  </si>
  <si>
    <t>FreqHz_170</t>
  </si>
  <si>
    <t>FreqHz_171</t>
  </si>
  <si>
    <t>FreqHz_172</t>
  </si>
  <si>
    <t>FreqHz_173</t>
  </si>
  <si>
    <t>FreqHz_174</t>
  </si>
  <si>
    <t>FreqHz_175</t>
  </si>
  <si>
    <t>FreqHz_176</t>
  </si>
  <si>
    <t>FreqHz_177</t>
  </si>
  <si>
    <t>FreqHz_178</t>
  </si>
  <si>
    <t>FreqHz_179</t>
  </si>
  <si>
    <t>FreqHz_180</t>
  </si>
  <si>
    <t>All data copied from CombinedData or Individual Sheet. Don't need to enter anything on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</si>
</sst>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6"/>
      <color theme="1"/>
      <name val="Calibri (Body)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C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3" fillId="0" borderId="0"/>
  </cellStyleXfs>
  <cellXfs count="171">
    <xf numFmtId="0" fontId="0" fillId="0" borderId="0" xfId="0"/>
    <xf numFmtId="0" fontId="5" fillId="0" borderId="0" xfId="1"/>
    <xf numFmtId="0" fontId="4" fillId="0" borderId="0" xfId="2"/>
    <xf numFmtId="0" fontId="5" fillId="2" borderId="2" xfId="1" applyFill="1" applyBorder="1"/>
    <xf numFmtId="0" fontId="5" fillId="3" borderId="3" xfId="1" applyFill="1" applyBorder="1"/>
    <xf numFmtId="0" fontId="5" fillId="4" borderId="3" xfId="1" applyFill="1" applyBorder="1"/>
    <xf numFmtId="0" fontId="4" fillId="5" borderId="2" xfId="2" applyFill="1" applyBorder="1"/>
    <xf numFmtId="0" fontId="4" fillId="6" borderId="2" xfId="2" applyFill="1" applyBorder="1"/>
    <xf numFmtId="0" fontId="4" fillId="7" borderId="2" xfId="2" applyFill="1" applyBorder="1"/>
    <xf numFmtId="0" fontId="4" fillId="8" borderId="2" xfId="2" applyFill="1" applyBorder="1"/>
    <xf numFmtId="0" fontId="5" fillId="3" borderId="2" xfId="1" applyFill="1" applyBorder="1"/>
    <xf numFmtId="0" fontId="5" fillId="4" borderId="2" xfId="1" applyFill="1" applyBorder="1"/>
    <xf numFmtId="0" fontId="5" fillId="9" borderId="2" xfId="1" applyFill="1" applyBorder="1"/>
    <xf numFmtId="0" fontId="4" fillId="10" borderId="0" xfId="2" applyFill="1"/>
    <xf numFmtId="0" fontId="4" fillId="2" borderId="2" xfId="2" applyFill="1" applyBorder="1"/>
    <xf numFmtId="0" fontId="4" fillId="3" borderId="2" xfId="2" applyFill="1" applyBorder="1"/>
    <xf numFmtId="0" fontId="4" fillId="11" borderId="2" xfId="2" applyFill="1" applyBorder="1"/>
    <xf numFmtId="0" fontId="8" fillId="0" borderId="0" xfId="2" applyFont="1"/>
    <xf numFmtId="0" fontId="5" fillId="12" borderId="0" xfId="1" applyFill="1"/>
    <xf numFmtId="0" fontId="5" fillId="13" borderId="0" xfId="1" applyFill="1"/>
    <xf numFmtId="0" fontId="5" fillId="8" borderId="0" xfId="1" applyFill="1"/>
    <xf numFmtId="0" fontId="5" fillId="7" borderId="0" xfId="1" applyFill="1"/>
    <xf numFmtId="0" fontId="5" fillId="10" borderId="0" xfId="1" applyFill="1"/>
    <xf numFmtId="0" fontId="5" fillId="5" borderId="0" xfId="1" applyFill="1"/>
    <xf numFmtId="0" fontId="5" fillId="14" borderId="0" xfId="1" applyFill="1"/>
    <xf numFmtId="0" fontId="5" fillId="15" borderId="0" xfId="1" applyFill="1"/>
    <xf numFmtId="0" fontId="5" fillId="8" borderId="2" xfId="1" applyFill="1" applyBorder="1"/>
    <xf numFmtId="0" fontId="5" fillId="0" borderId="0" xfId="1" applyAlignment="1">
      <alignment wrapText="1"/>
    </xf>
    <xf numFmtId="0" fontId="5" fillId="0" borderId="0" xfId="1" applyAlignment="1">
      <alignment horizontal="left" wrapText="1"/>
    </xf>
    <xf numFmtId="0" fontId="5" fillId="5" borderId="2" xfId="1" applyFill="1" applyBorder="1"/>
    <xf numFmtId="0" fontId="5" fillId="11" borderId="2" xfId="1" applyFill="1" applyBorder="1"/>
    <xf numFmtId="0" fontId="5" fillId="7" borderId="2" xfId="1" applyFill="1" applyBorder="1"/>
    <xf numFmtId="0" fontId="5" fillId="10" borderId="2" xfId="1" applyFill="1" applyBorder="1"/>
    <xf numFmtId="0" fontId="5" fillId="6" borderId="2" xfId="1" applyFill="1" applyBorder="1"/>
    <xf numFmtId="0" fontId="10" fillId="16" borderId="2" xfId="1" applyFont="1" applyFill="1" applyBorder="1"/>
    <xf numFmtId="0" fontId="5" fillId="17" borderId="2" xfId="1" applyFill="1" applyBorder="1"/>
    <xf numFmtId="0" fontId="11" fillId="0" borderId="0" xfId="1" applyFont="1"/>
    <xf numFmtId="0" fontId="5" fillId="0" borderId="2" xfId="1" applyFill="1" applyBorder="1"/>
    <xf numFmtId="0" fontId="5" fillId="16" borderId="2" xfId="1" applyFill="1" applyBorder="1"/>
    <xf numFmtId="0" fontId="7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10" borderId="0" xfId="0" applyFill="1"/>
    <xf numFmtId="0" fontId="5" fillId="0" borderId="0" xfId="1" applyBorder="1"/>
    <xf numFmtId="0" fontId="9" fillId="0" borderId="0" xfId="1" applyFont="1" applyBorder="1"/>
    <xf numFmtId="0" fontId="5" fillId="9" borderId="4" xfId="1" applyFill="1" applyBorder="1"/>
    <xf numFmtId="0" fontId="5" fillId="11" borderId="0" xfId="1" applyFill="1" applyBorder="1"/>
    <xf numFmtId="0" fontId="0" fillId="0" borderId="0" xfId="0" applyBorder="1"/>
    <xf numFmtId="0" fontId="5" fillId="10" borderId="4" xfId="1" applyFill="1" applyBorder="1"/>
    <xf numFmtId="0" fontId="5" fillId="16" borderId="4" xfId="1" applyFill="1" applyBorder="1"/>
    <xf numFmtId="0" fontId="5" fillId="17" borderId="4" xfId="1" applyFill="1" applyBorder="1"/>
    <xf numFmtId="0" fontId="8" fillId="0" borderId="0" xfId="1" applyFont="1"/>
    <xf numFmtId="0" fontId="5" fillId="9" borderId="0" xfId="1" applyFont="1" applyFill="1" applyBorder="1"/>
    <xf numFmtId="0" fontId="5" fillId="10" borderId="0" xfId="1" applyFont="1" applyFill="1" applyBorder="1"/>
    <xf numFmtId="0" fontId="5" fillId="16" borderId="0" xfId="1" applyFill="1" applyBorder="1"/>
    <xf numFmtId="0" fontId="5" fillId="17" borderId="0" xfId="1" applyFill="1" applyBorder="1"/>
    <xf numFmtId="0" fontId="5" fillId="18" borderId="0" xfId="1" applyFill="1" applyBorder="1"/>
    <xf numFmtId="0" fontId="5" fillId="3" borderId="0" xfId="1" applyFill="1" applyBorder="1"/>
    <xf numFmtId="0" fontId="0" fillId="2" borderId="5" xfId="0" applyFill="1" applyBorder="1"/>
    <xf numFmtId="0" fontId="0" fillId="8" borderId="3" xfId="0" applyFill="1" applyBorder="1"/>
    <xf numFmtId="0" fontId="0" fillId="5" borderId="6" xfId="0" applyFill="1" applyBorder="1" applyAlignment="1">
      <alignment wrapText="1"/>
    </xf>
    <xf numFmtId="49" fontId="0" fillId="8" borderId="3" xfId="0" applyNumberFormat="1" applyFill="1" applyBorder="1"/>
    <xf numFmtId="20" fontId="0" fillId="8" borderId="3" xfId="0" applyNumberFormat="1" applyFill="1" applyBorder="1"/>
    <xf numFmtId="164" fontId="0" fillId="8" borderId="3" xfId="0" applyNumberFormat="1" applyFill="1" applyBorder="1"/>
    <xf numFmtId="0" fontId="0" fillId="17" borderId="3" xfId="0" applyFill="1" applyBorder="1"/>
    <xf numFmtId="0" fontId="0" fillId="10" borderId="3" xfId="0" applyFill="1" applyBorder="1"/>
    <xf numFmtId="0" fontId="0" fillId="9" borderId="3" xfId="0" applyFill="1" applyBorder="1"/>
    <xf numFmtId="0" fontId="0" fillId="16" borderId="3" xfId="0" applyFill="1" applyBorder="1"/>
    <xf numFmtId="0" fontId="0" fillId="13" borderId="3" xfId="0" applyFill="1" applyBorder="1"/>
    <xf numFmtId="0" fontId="0" fillId="10" borderId="0" xfId="0" applyFill="1" applyBorder="1"/>
    <xf numFmtId="0" fontId="0" fillId="13" borderId="0" xfId="0" applyFill="1" applyBorder="1"/>
    <xf numFmtId="49" fontId="0" fillId="0" borderId="0" xfId="0" applyNumberFormat="1" applyBorder="1"/>
    <xf numFmtId="164" fontId="0" fillId="0" borderId="0" xfId="0" applyNumberFormat="1" applyBorder="1"/>
    <xf numFmtId="0" fontId="0" fillId="8" borderId="7" xfId="0" applyFill="1" applyBorder="1"/>
    <xf numFmtId="0" fontId="0" fillId="19" borderId="3" xfId="0" applyFill="1" applyBorder="1"/>
    <xf numFmtId="0" fontId="5" fillId="6" borderId="0" xfId="1" applyFill="1"/>
    <xf numFmtId="0" fontId="0" fillId="0" borderId="0" xfId="0" applyNumberFormat="1"/>
    <xf numFmtId="0" fontId="12" fillId="0" borderId="0" xfId="0" applyFont="1"/>
    <xf numFmtId="0" fontId="0" fillId="10" borderId="0" xfId="0" applyFill="1" applyAlignment="1"/>
    <xf numFmtId="0" fontId="0" fillId="0" borderId="0" xfId="0" applyFill="1" applyAlignment="1"/>
    <xf numFmtId="0" fontId="0" fillId="8" borderId="0" xfId="0" applyFill="1"/>
    <xf numFmtId="0" fontId="0" fillId="8" borderId="2" xfId="0" applyFill="1" applyBorder="1"/>
    <xf numFmtId="49" fontId="0" fillId="8" borderId="2" xfId="0" applyNumberFormat="1" applyFill="1" applyBorder="1"/>
    <xf numFmtId="20" fontId="0" fillId="8" borderId="2" xfId="0" applyNumberFormat="1" applyFill="1" applyBorder="1"/>
    <xf numFmtId="164" fontId="0" fillId="8" borderId="2" xfId="0" applyNumberFormat="1" applyFill="1" applyBorder="1"/>
    <xf numFmtId="0" fontId="0" fillId="10" borderId="2" xfId="0" applyFill="1" applyBorder="1"/>
    <xf numFmtId="0" fontId="0" fillId="13" borderId="3" xfId="0" applyNumberFormat="1" applyFill="1" applyBorder="1"/>
    <xf numFmtId="0" fontId="0" fillId="8" borderId="8" xfId="0" applyFill="1" applyBorder="1"/>
    <xf numFmtId="0" fontId="0" fillId="11" borderId="0" xfId="0" applyFill="1"/>
    <xf numFmtId="0" fontId="3" fillId="0" borderId="0" xfId="3"/>
    <xf numFmtId="0" fontId="3" fillId="2" borderId="2" xfId="3" applyFill="1" applyBorder="1"/>
    <xf numFmtId="0" fontId="3" fillId="3" borderId="3" xfId="3" applyFill="1" applyBorder="1"/>
    <xf numFmtId="0" fontId="3" fillId="4" borderId="3" xfId="3" applyFill="1" applyBorder="1"/>
    <xf numFmtId="0" fontId="3" fillId="3" borderId="2" xfId="3" applyFill="1" applyBorder="1"/>
    <xf numFmtId="0" fontId="3" fillId="4" borderId="2" xfId="3" applyFill="1" applyBorder="1"/>
    <xf numFmtId="0" fontId="3" fillId="9" borderId="2" xfId="3" applyFill="1" applyBorder="1"/>
    <xf numFmtId="0" fontId="7" fillId="0" borderId="0" xfId="3" applyFont="1" applyAlignment="1">
      <alignment vertical="center" wrapText="1"/>
    </xf>
    <xf numFmtId="0" fontId="3" fillId="12" borderId="0" xfId="3" applyFill="1"/>
    <xf numFmtId="0" fontId="3" fillId="13" borderId="0" xfId="3" applyFill="1"/>
    <xf numFmtId="0" fontId="3" fillId="8" borderId="0" xfId="3" applyFill="1"/>
    <xf numFmtId="0" fontId="3" fillId="7" borderId="0" xfId="3" applyFill="1"/>
    <xf numFmtId="0" fontId="3" fillId="10" borderId="0" xfId="3" applyFill="1"/>
    <xf numFmtId="0" fontId="3" fillId="5" borderId="0" xfId="3" applyFill="1"/>
    <xf numFmtId="0" fontId="3" fillId="14" borderId="0" xfId="3" applyFill="1"/>
    <xf numFmtId="0" fontId="3" fillId="15" borderId="0" xfId="3" applyFill="1"/>
    <xf numFmtId="0" fontId="9" fillId="0" borderId="0" xfId="3" applyFont="1"/>
    <xf numFmtId="0" fontId="3" fillId="8" borderId="2" xfId="3" applyFill="1" applyBorder="1"/>
    <xf numFmtId="0" fontId="3" fillId="0" borderId="0" xfId="3" applyAlignment="1">
      <alignment wrapText="1"/>
    </xf>
    <xf numFmtId="0" fontId="3" fillId="0" borderId="0" xfId="3" applyAlignment="1">
      <alignment horizontal="left" wrapText="1"/>
    </xf>
    <xf numFmtId="0" fontId="3" fillId="9" borderId="0" xfId="3" applyFill="1"/>
    <xf numFmtId="0" fontId="3" fillId="16" borderId="0" xfId="3" applyFill="1"/>
    <xf numFmtId="0" fontId="3" fillId="17" borderId="0" xfId="3" applyFill="1"/>
    <xf numFmtId="0" fontId="3" fillId="5" borderId="2" xfId="3" applyFill="1" applyBorder="1"/>
    <xf numFmtId="0" fontId="3" fillId="11" borderId="2" xfId="3" applyFill="1" applyBorder="1"/>
    <xf numFmtId="0" fontId="3" fillId="6" borderId="0" xfId="3" applyFill="1"/>
    <xf numFmtId="0" fontId="3" fillId="18" borderId="0" xfId="3" applyFill="1"/>
    <xf numFmtId="0" fontId="3" fillId="10" borderId="2" xfId="3" applyFill="1" applyBorder="1"/>
    <xf numFmtId="0" fontId="3" fillId="6" borderId="2" xfId="3" applyFill="1" applyBorder="1"/>
    <xf numFmtId="0" fontId="3" fillId="3" borderId="0" xfId="3" applyFill="1"/>
    <xf numFmtId="0" fontId="3" fillId="7" borderId="2" xfId="3" applyFill="1" applyBorder="1"/>
    <xf numFmtId="0" fontId="10" fillId="16" borderId="2" xfId="3" applyFont="1" applyFill="1" applyBorder="1"/>
    <xf numFmtId="0" fontId="3" fillId="0" borderId="2" xfId="3" applyBorder="1"/>
    <xf numFmtId="0" fontId="3" fillId="17" borderId="2" xfId="3" applyFill="1" applyBorder="1"/>
    <xf numFmtId="0" fontId="8" fillId="0" borderId="0" xfId="3" applyFont="1"/>
    <xf numFmtId="0" fontId="3" fillId="9" borderId="4" xfId="3" applyFill="1" applyBorder="1"/>
    <xf numFmtId="0" fontId="3" fillId="11" borderId="0" xfId="3" applyFill="1"/>
    <xf numFmtId="0" fontId="3" fillId="10" borderId="4" xfId="3" applyFill="1" applyBorder="1"/>
    <xf numFmtId="0" fontId="3" fillId="16" borderId="2" xfId="3" applyFill="1" applyBorder="1"/>
    <xf numFmtId="0" fontId="3" fillId="16" borderId="4" xfId="3" applyFill="1" applyBorder="1"/>
    <xf numFmtId="0" fontId="11" fillId="0" borderId="0" xfId="3" applyFont="1"/>
    <xf numFmtId="0" fontId="3" fillId="17" borderId="4" xfId="3" applyFill="1" applyBorder="1"/>
    <xf numFmtId="0" fontId="3" fillId="2" borderId="2" xfId="3" applyNumberFormat="1" applyFill="1" applyBorder="1"/>
    <xf numFmtId="0" fontId="3" fillId="3" borderId="2" xfId="3" applyNumberFormat="1" applyFill="1" applyBorder="1"/>
    <xf numFmtId="0" fontId="3" fillId="4" borderId="2" xfId="3" applyNumberFormat="1" applyFill="1" applyBorder="1"/>
    <xf numFmtId="0" fontId="3" fillId="9" borderId="2" xfId="3" applyNumberFormat="1" applyFill="1" applyBorder="1"/>
    <xf numFmtId="0" fontId="2" fillId="0" borderId="0" xfId="3" applyFont="1"/>
    <xf numFmtId="0" fontId="0" fillId="3" borderId="3" xfId="0" applyNumberFormat="1" applyFill="1" applyBorder="1"/>
    <xf numFmtId="0" fontId="0" fillId="3" borderId="3" xfId="0" applyFill="1" applyBorder="1"/>
    <xf numFmtId="0" fontId="0" fillId="2" borderId="9" xfId="0" applyFill="1" applyBorder="1"/>
    <xf numFmtId="0" fontId="0" fillId="2" borderId="3" xfId="0" applyFill="1" applyBorder="1"/>
    <xf numFmtId="0" fontId="0" fillId="20" borderId="9" xfId="0" applyFill="1" applyBorder="1"/>
    <xf numFmtId="0" fontId="0" fillId="5" borderId="10" xfId="0" applyFill="1" applyBorder="1" applyAlignment="1">
      <alignment wrapText="1"/>
    </xf>
    <xf numFmtId="0" fontId="1" fillId="0" borderId="0" xfId="3" applyFont="1"/>
    <xf numFmtId="0" fontId="1" fillId="0" borderId="2" xfId="1" applyFont="1" applyFill="1" applyBorder="1"/>
    <xf numFmtId="0" fontId="0" fillId="10" borderId="5" xfId="0" applyFill="1" applyBorder="1"/>
    <xf numFmtId="0" fontId="0" fillId="17" borderId="5" xfId="0" applyNumberFormat="1" applyFill="1" applyBorder="1"/>
    <xf numFmtId="0" fontId="0" fillId="10" borderId="9" xfId="0" applyFill="1" applyBorder="1"/>
    <xf numFmtId="0" fontId="0" fillId="11" borderId="3" xfId="0" applyFill="1" applyBorder="1"/>
    <xf numFmtId="0" fontId="0" fillId="22" borderId="6" xfId="0" applyFill="1" applyBorder="1" applyAlignment="1">
      <alignment wrapText="1"/>
    </xf>
    <xf numFmtId="0" fontId="0" fillId="11" borderId="8" xfId="0" applyFill="1" applyBorder="1"/>
    <xf numFmtId="0" fontId="0" fillId="0" borderId="0" xfId="0" applyAlignment="1"/>
    <xf numFmtId="0" fontId="0" fillId="2" borderId="5" xfId="0" applyNumberFormat="1" applyFill="1" applyBorder="1"/>
    <xf numFmtId="0" fontId="0" fillId="5" borderId="11" xfId="0" applyFill="1" applyBorder="1" applyAlignment="1">
      <alignment wrapText="1"/>
    </xf>
    <xf numFmtId="0" fontId="0" fillId="8" borderId="12" xfId="0" applyFill="1" applyBorder="1"/>
    <xf numFmtId="0" fontId="0" fillId="10" borderId="0" xfId="0" applyNumberFormat="1" applyFill="1" applyBorder="1"/>
    <xf numFmtId="0" fontId="0" fillId="17" borderId="0" xfId="0" applyNumberFormat="1" applyFill="1" applyBorder="1"/>
    <xf numFmtId="0" fontId="0" fillId="22" borderId="4" xfId="0" applyFill="1" applyBorder="1" applyAlignment="1">
      <alignment wrapText="1"/>
    </xf>
    <xf numFmtId="0" fontId="0" fillId="17" borderId="7" xfId="0" applyNumberFormat="1" applyFill="1" applyBorder="1" applyAlignment="1">
      <alignment wrapText="1"/>
    </xf>
    <xf numFmtId="0" fontId="0" fillId="17" borderId="13" xfId="0" applyNumberFormat="1" applyFill="1" applyBorder="1" applyAlignment="1">
      <alignment wrapText="1"/>
    </xf>
    <xf numFmtId="0" fontId="0" fillId="11" borderId="14" xfId="0" applyNumberFormat="1" applyFill="1" applyBorder="1"/>
    <xf numFmtId="0" fontId="0" fillId="10" borderId="2" xfId="0" applyNumberFormat="1" applyFill="1" applyBorder="1"/>
    <xf numFmtId="0" fontId="0" fillId="21" borderId="0" xfId="0" applyFill="1"/>
    <xf numFmtId="0" fontId="0" fillId="2" borderId="0" xfId="0" applyFill="1" applyBorder="1"/>
    <xf numFmtId="0" fontId="16" fillId="9" borderId="0" xfId="0" applyFont="1" applyFill="1" applyAlignment="1">
      <alignment horizontal="center" wrapText="1"/>
    </xf>
    <xf numFmtId="0" fontId="0" fillId="10" borderId="0" xfId="0" applyFill="1" applyAlignment="1">
      <alignment horizontal="center"/>
    </xf>
    <xf numFmtId="0" fontId="3" fillId="0" borderId="1" xfId="3" applyBorder="1" applyAlignment="1">
      <alignment horizontal="center"/>
    </xf>
    <xf numFmtId="0" fontId="6" fillId="0" borderId="0" xfId="2" applyFont="1" applyAlignment="1">
      <alignment horizontal="center"/>
    </xf>
    <xf numFmtId="0" fontId="11" fillId="0" borderId="0" xfId="3" applyFont="1" applyAlignment="1">
      <alignment horizontal="center"/>
    </xf>
    <xf numFmtId="0" fontId="3" fillId="0" borderId="0" xfId="3" applyAlignment="1">
      <alignment horizontal="center"/>
    </xf>
    <xf numFmtId="0" fontId="5" fillId="0" borderId="1" xfId="1" applyBorder="1" applyAlignment="1">
      <alignment horizontal="center"/>
    </xf>
    <xf numFmtId="0" fontId="11" fillId="0" borderId="0" xfId="1" applyFont="1" applyAlignment="1">
      <alignment horizontal="center"/>
    </xf>
    <xf numFmtId="0" fontId="5" fillId="0" borderId="0" xfId="1" applyAlignment="1">
      <alignment horizontal="center"/>
    </xf>
  </cellXfs>
  <cellStyles count="4">
    <cellStyle name="Normal" xfId="0" builtinId="0"/>
    <cellStyle name="Normal 2" xfId="1" xr:uid="{C4AFCE58-41A7-4B3D-B03F-D41329D82D32}"/>
    <cellStyle name="Normal 2 2" xfId="2" xr:uid="{F90920DF-1522-4591-B224-7579E53E37FA}"/>
    <cellStyle name="Normal 2 3" xfId="3" xr:uid="{986AB246-81D0-904F-825B-F2912C6F854E}"/>
  </cellStyles>
  <dxfs count="7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1CBFF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>
          <fgColor indexed="64"/>
          <bgColor rgb="FFE1C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1CBFF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>
          <fgColor indexed="64"/>
          <bgColor rgb="FFE1C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;@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000000"/>
          <bgColor rgb="FFEDEDED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rgb="FF000000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ck">
          <color auto="1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auto="1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EDEDED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1CB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;@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ck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colors>
    <mruColors>
      <color rgb="FFE1CBFF"/>
      <color rgb="FF4472C4"/>
      <color rgb="FFFF7C80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493889</xdr:colOff>
      <xdr:row>125</xdr:row>
      <xdr:rowOff>61736</xdr:rowOff>
    </xdr:from>
    <xdr:to>
      <xdr:col>21</xdr:col>
      <xdr:colOff>349529</xdr:colOff>
      <xdr:row>163</xdr:row>
      <xdr:rowOff>193497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B6EBAC-EA49-4168-97A1-C16FBC8E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6989" y="27246086"/>
          <a:ext cx="9885465" cy="83232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A2E003-B2BF-4895-9F47-033DD3D59C6E}" name="CellData" displayName="CellData" ref="A4:GB6" totalsRowShown="0" dataDxfId="776">
  <autoFilter ref="A4:GB6" xr:uid="{566B5D69-64EA-4298-BA4E-9BCE09ACA2C2}"/>
  <tableColumns count="184">
    <tableColumn id="1" xr3:uid="{3D725DEF-7BB5-4824-BE6E-097F2FDD4E65}" name="SheetName" dataDxfId="775"/>
    <tableColumn id="2" xr3:uid="{423AB2BF-503D-4003-B265-32B9F8176364}" name="Comments" dataDxfId="774"/>
    <tableColumn id="166" xr3:uid="{5820A29D-3BA6-F349-8610-64DC6AE5A003}" name="AllowBurstsPerHour0" dataDxfId="773"/>
    <tableColumn id="3" xr3:uid="{5950C28B-2CA8-4B6B-8A44-006FF4B7B32F}" name="CellID" dataDxfId="772"/>
    <tableColumn id="4" xr3:uid="{4F1C019E-A9C4-4F2A-97F7-BD37B3F74AD8}" name="MouseID" dataDxfId="771"/>
    <tableColumn id="5" xr3:uid="{91DB7671-9294-4A4E-BEAD-FA814902734B}" name="Daylight_Savings" dataDxfId="770"/>
    <tableColumn id="6" xr3:uid="{A5E2DFE8-C98E-4A84-9973-371B815F0B3B}" name="Record_start" dataDxfId="769"/>
    <tableColumn id="7" xr3:uid="{52A67F9D-98BF-40A8-AE87-B3A089604571}" name="Record_end" dataDxfId="768"/>
    <tableColumn id="8" xr3:uid="{D59B424D-A637-4AB9-98A7-7A9EB956E561}" name="Record_start_hr" dataDxfId="767">
      <calculatedColumnFormula>IF(F5="Y", G5 - 4/24, G5 - 3/24) * 24</calculatedColumnFormula>
    </tableColumn>
    <tableColumn id="9" xr3:uid="{B7D4AA74-6B5F-47B8-B147-B61CF957E0B9}" name="Record_end_hr" dataDxfId="766">
      <calculatedColumnFormula>IF(F5="Y", H5 - 4/24, H5 - 3/24) * 24</calculatedColumnFormula>
    </tableColumn>
    <tableColumn id="10" xr3:uid="{B44EE830-C12C-4134-AC99-FCCE3E2230AA}" name="SpontLength_min" dataDxfId="765">
      <calculatedColumnFormula array="1">IF(ISBLANK(CellData[[#This Row],[SheetName]]), "Enter Sheet", INDIRECT(CellData[[#This Row],[SheetName]]&amp;"!"&amp;CellData[[#Headers],[SpontLength_min]]))</calculatedColumnFormula>
    </tableColumn>
    <tableColumn id="65" xr3:uid="{BD32759B-7B09-48CC-AD4A-154DE20B7E47}" name="Flagged" dataDxfId="764"/>
    <tableColumn id="11" xr3:uid="{8DC17E0D-ED25-4F0D-B4B3-5B7B2ED5162E}" name="SpontAvgFiring" dataDxfId="763">
      <calculatedColumnFormula array="1">IF(ISBLANK($A5),"Enter Sheet",IF(ISNUMBER(INDIRECT($A5&amp;"!"&amp;M$4)),INDIRECT($A5&amp;"!"&amp;M$4),"NA"))</calculatedColumnFormula>
    </tableColumn>
    <tableColumn id="64" xr3:uid="{E980291A-23A4-4B78-A6D7-8A850B00C114}" name="SenktideFiring" dataDxfId="762">
      <calculatedColumnFormula array="1">IF(ISBLANK($A5), "Enter Sheet", IF(INDIRECT($A5&amp;"!Senktide_Analysis"), IF(ISNUMBER(INDIRECT($A5&amp;"!"&amp;N$4)), INDIRECT($A5&amp;"!"&amp;N$4), "NA"), "NA"))</calculatedColumnFormula>
    </tableColumn>
    <tableColumn id="13" xr3:uid="{7E1C066C-B7DE-4088-B106-FEDB0D28BF75}" name="Mbd_spont" dataDxfId="761">
      <calculatedColumnFormula array="1">IF(ISBLANK($A5), "Enter Sheet", IF($M5 &gt; minFiringRate, IF(AND(ISNUMBER(INDIRECT($A5&amp;"!"&amp;$W$4)), 0 &lt; INDIRECT($A5&amp;"!"&amp;$W$4)), INDIRECT($A5&amp;"!"&amp;O$4), "NA"), "NA"))</calculatedColumnFormula>
    </tableColumn>
    <tableColumn id="14" xr3:uid="{714A906B-6C5D-4CAF-9285-0F43890D1CDF}" name="SpikesPerBurst_spont" dataDxfId="760">
      <calculatedColumnFormula array="1">IF(ISBLANK($A5), "Enter Sheet", IF($M5 &gt; minFiringRate, IF(AND(ISNUMBER(INDIRECT($A5&amp;"!"&amp;$W$4)), 0 &lt; INDIRECT($A5&amp;"!"&amp;$W$4)), INDIRECT($A5&amp;"!"&amp;P$4), "NA"), "NA"))</calculatedColumnFormula>
    </tableColumn>
    <tableColumn id="15" xr3:uid="{D33D5AAA-812C-42C0-8187-13A4D502B357}" name="BurstFreq_spont" dataDxfId="759">
      <calculatedColumnFormula array="1">IF(ISBLANK($A5), "Enter Sheet", IF($M5 &gt; minFiringRate, IF(AND(ISNUMBER(INDIRECT($A5&amp;"!"&amp;$W$4)), 0 &lt; INDIRECT($A5&amp;"!"&amp;$W$4)), INDIRECT($A5&amp;"!"&amp;Q$4), "NA"), "NA"))</calculatedColumnFormula>
    </tableColumn>
    <tableColumn id="16" xr3:uid="{3ABE6D13-66B4-47C6-8FA2-066DC0AFE249}" name="SingleSpikeNum_spont" dataDxfId="758">
      <calculatedColumnFormula array="1">IF(ISBLANK($A5), "Enter Sheet", IF($M5 &gt; minFiringRate, IF(AND(ISNUMBER(INDIRECT($A5&amp;"!"&amp;$W$4)), 0 &lt; INDIRECT($A5&amp;"!"&amp;$W$4)), INDIRECT($A5&amp;"!"&amp;R$4), "NA"), "NA"))</calculatedColumnFormula>
    </tableColumn>
    <tableColumn id="17" xr3:uid="{4E86191A-B546-4639-BCB6-09A4AEB5AB8A}" name="SingleSpikeFreq_spont" dataDxfId="757">
      <calculatedColumnFormula array="1">IF(ISBLANK($A5), "Enter Sheet", IF($M5 &gt; minFiringRate, IF(AND(ISNUMBER(INDIRECT($A5&amp;"!"&amp;$W$4)), 0 &lt; INDIRECT($A5&amp;"!"&amp;$W$4)), INDIRECT($A5&amp;"!"&amp;S$4), "NA"), "NA"))</calculatedColumnFormula>
    </tableColumn>
    <tableColumn id="18" xr3:uid="{52DBAB74-67F9-4D83-959C-18DD0635E767}" name="TotalFreq_spont" dataDxfId="756">
      <calculatedColumnFormula array="1">IF(ISBLANK($A5), "Enter Sheet", IF($M5 &gt; minFiringRate, IF(AND(ISNUMBER(INDIRECT($A5&amp;"!"&amp;$W$4)), 0 &lt; INDIRECT($A5&amp;"!"&amp;$W$4)), INDIRECT($A5&amp;"!"&amp;T$4), "NA"), "NA"))</calculatedColumnFormula>
    </tableColumn>
    <tableColumn id="19" xr3:uid="{1EEEB7D9-C5A4-4447-9C4F-18EFC128BDE9}" name="InterBurst_spont" dataDxfId="755">
      <calculatedColumnFormula array="1">IF(ISBLANK($A5), "Enter Sheet", IF($M5 &gt; minFiringRate, IF(AND(ISNUMBER(INDIRECT($A5&amp;"!"&amp;$W$4)), 0 &lt; INDIRECT($A5&amp;"!"&amp;$W$4)), INDIRECT($A5&amp;"!"&amp;U$4), "NA"), "NA"))</calculatedColumnFormula>
    </tableColumn>
    <tableColumn id="20" xr3:uid="{A4DE47E1-41CD-4A0D-9E09-0A376833B4E4}" name="IntraBurst_spont" dataDxfId="754">
      <calculatedColumnFormula array="1">IF(ISBLANK($A5), "Enter Sheet", IF($M5 &gt; minFiringRate, IF(AND(ISNUMBER(INDIRECT($A5&amp;"!"&amp;$W$4)), 0 &lt; INDIRECT($A5&amp;"!"&amp;$W$4)), INDIRECT($A5&amp;"!"&amp;V$4), "NA"), "NA"))</calculatedColumnFormula>
    </tableColumn>
    <tableColumn id="21" xr3:uid="{5651AE24-D4FE-4EAF-8077-CBC48FDD3B95}" name="BurstsPerHour_spont" dataDxfId="753">
      <calculatedColumnFormula array="1">IF(ISBLANK($A5), "Enter Sheet", IF(ISNUMBER($M5), IF(ISNUMBER(INDIRECT($A5&amp;"!"&amp;$W$4)), INDIRECT($A5&amp;"!"&amp;$W$4), IF($C5, 0, "NA")), "Enter Cell Values"))</calculatedColumnFormula>
    </tableColumn>
    <tableColumn id="22" xr3:uid="{E3AB09D8-D071-48CD-9C23-E048CAAB79C6}" name="MaxBurstWindow_spont" dataDxfId="752">
      <calculatedColumnFormula array="1">IF(ISBLANK($A5), "Enter Sheet", IF($M5 &gt; minFiringRate, IF(ISNUMBER(INDIRECT($A5&amp;"!"&amp;X$4)), INDIRECT($A5&amp;"!"&amp;X$4), "NA"), "NA"))</calculatedColumnFormula>
    </tableColumn>
    <tableColumn id="23" xr3:uid="{EE8CD4B6-0544-4707-951E-A17DC0589C95}" name="numPeaks_2x2SD" dataDxfId="751">
      <calculatedColumnFormula array="1">IF(ISBLANK($A5), "Enter Sheet", IF($M5 &gt; minFiringRate, IF(ISNUMBER(INDIRECT($A5&amp;"!"&amp;Y$4)), INDIRECT($A5&amp;"!"&amp;Y$4), "NA"), "NA"))</calculatedColumnFormula>
    </tableColumn>
    <tableColumn id="24" xr3:uid="{A49F545B-2DAB-4A6F-8B5E-C8F90C9F82C8}" name="numNadirs_2x2SD" dataDxfId="750">
      <calculatedColumnFormula array="1">IF(ISBLANK($A5), "Enter Sheet", IF($M5 &gt; minFiringRate, IF(ISNUMBER(INDIRECT($A5&amp;"!"&amp;Z$4)), INDIRECT($A5&amp;"!"&amp;Z$4), "NA"), "NA"))</calculatedColumnFormula>
    </tableColumn>
    <tableColumn id="25" xr3:uid="{B4BF43A3-741A-430E-A7AA-9CDD8B985E74}" name="meanPeakDur_2x2SD" dataDxfId="749">
      <calculatedColumnFormula array="1">IF(ISBLANK($A5), "Enter Sheet", IF($M5 &gt; minFiringRate, IF(ISNUMBER(INDIRECT($A5&amp;"!"&amp;AA$4)), INDIRECT($A5&amp;"!"&amp;AA$4), "NA"), "NA"))</calculatedColumnFormula>
    </tableColumn>
    <tableColumn id="26" xr3:uid="{1499DA5F-1908-475F-9CC4-6BBCB776B86C}" name="totalPeakDur_2x2SD" dataDxfId="748">
      <calculatedColumnFormula array="1">IF(ISBLANK($A5), "Enter Sheet", IF($M5 &gt; minFiringRate, IF(ISNUMBER(INDIRECT($A5&amp;"!"&amp;AB$4)), INDIRECT($A5&amp;"!"&amp;AB$4), "NA"), "NA"))</calculatedColumnFormula>
    </tableColumn>
    <tableColumn id="27" xr3:uid="{F0F1EE54-13DD-40C1-AD3F-D6BA228A4263}" name="meanNadirDur_2x2SD" dataDxfId="747">
      <calculatedColumnFormula array="1">IF(ISBLANK($A5), "Enter Sheet", IF($M5 &gt; minFiringRate, IF(ISNUMBER(INDIRECT($A5&amp;"!"&amp;AC$4)), INDIRECT($A5&amp;"!"&amp;AC$4), "NA"), "NA"))</calculatedColumnFormula>
    </tableColumn>
    <tableColumn id="28" xr3:uid="{05441D88-DCF1-4D39-A876-E6DBD4685BD6}" name="totalNadirDur_2x2SD" dataDxfId="746">
      <calculatedColumnFormula array="1">IF(ISBLANK($A5), "Enter Sheet", IF($M5 &gt; minFiringRate, IF(ISNUMBER(INDIRECT($A5&amp;"!"&amp;AD$4)), INDIRECT($A5&amp;"!"&amp;AD$4), "NA"), "NA"))</calculatedColumnFormula>
    </tableColumn>
    <tableColumn id="29" xr3:uid="{E3964D3A-71F4-473C-8108-B347D5E7B1F8}" name="meanPeakFiring_2x2SD" dataDxfId="745">
      <calculatedColumnFormula array="1">IF(ISBLANK($A5), "Enter Sheet", IF($M5 &gt; minFiringRate, IF(ISNUMBER(INDIRECT($A5&amp;"!"&amp;AE$4)), INDIRECT($A5&amp;"!"&amp;AE$4), "NA"), "NA"))</calculatedColumnFormula>
    </tableColumn>
    <tableColumn id="30" xr3:uid="{C3B2C6A1-DF5A-4A4A-A7E6-CEA4932B76BB}" name="meanNadirFiring_2x2SD" dataDxfId="744">
      <calculatedColumnFormula array="1">IF(ISBLANK($A5), "Enter Sheet", IF($M5 &gt; minFiringRate, IF(ISNUMBER(INDIRECT($A5&amp;"!"&amp;AF$4)), INDIRECT($A5&amp;"!"&amp;AF$4), "NA"), "NA"))</calculatedColumnFormula>
    </tableColumn>
    <tableColumn id="31" xr3:uid="{8036233D-B4E2-478C-A6C4-13DD6406E178}" name="numPeaks_3x3SD" dataDxfId="743">
      <calculatedColumnFormula array="1">IF(ISBLANK($A5), "Enter Sheet", IF($M5 &gt; minFiringRate, IF(ISNUMBER(INDIRECT($A5&amp;"!"&amp;AG$4)), INDIRECT($A5&amp;"!"&amp;AG$4), "NA"), "NA"))</calculatedColumnFormula>
    </tableColumn>
    <tableColumn id="32" xr3:uid="{9AC097C2-2955-43E1-8353-74F613CAA226}" name="numNadirs_3x3SD" dataDxfId="742">
      <calculatedColumnFormula array="1">IF(ISBLANK($A5), "Enter Sheet", IF($M5 &gt; minFiringRate, IF(ISNUMBER(INDIRECT($A5&amp;"!"&amp;AH$4)), INDIRECT($A5&amp;"!"&amp;AH$4), "NA"), "NA"))</calculatedColumnFormula>
    </tableColumn>
    <tableColumn id="33" xr3:uid="{09DF63CF-F121-4701-B410-E149BDF1EE25}" name="meanPeakDur_3x3SD" dataDxfId="741">
      <calculatedColumnFormula array="1">IF(ISBLANK($A5), "Enter Sheet", IF($M5 &gt; minFiringRate, IF(ISNUMBER(INDIRECT($A5&amp;"!"&amp;AI$4)), INDIRECT($A5&amp;"!"&amp;AI$4), "NA"), "NA"))</calculatedColumnFormula>
    </tableColumn>
    <tableColumn id="34" xr3:uid="{2353981B-C9BE-46A4-B599-44AE666AB29E}" name="totalPeakDur_3x3SD" dataDxfId="740">
      <calculatedColumnFormula array="1">IF(ISBLANK($A5), "Enter Sheet", IF($M5 &gt; minFiringRate, IF(ISNUMBER(INDIRECT($A5&amp;"!"&amp;AJ$4)), INDIRECT($A5&amp;"!"&amp;AJ$4), "NA"), "NA"))</calculatedColumnFormula>
    </tableColumn>
    <tableColumn id="35" xr3:uid="{653956D3-663A-462C-BFEB-DC220F8294DD}" name="meanNadirDur_3x3SD" dataDxfId="739">
      <calculatedColumnFormula array="1">IF(ISBLANK($A5), "Enter Sheet", IF($M5 &gt; minFiringRate, IF(ISNUMBER(INDIRECT($A5&amp;"!"&amp;AK$4)), INDIRECT($A5&amp;"!"&amp;AK$4), "NA"), "NA"))</calculatedColumnFormula>
    </tableColumn>
    <tableColumn id="36" xr3:uid="{7E94DBFE-570C-49E8-842B-9273E40C491E}" name="totalNadirDur_3x3SD" dataDxfId="738">
      <calculatedColumnFormula array="1">IF(ISBLANK($A5), "Enter Sheet", IF($M5 &gt; minFiringRate, IF(ISNUMBER(INDIRECT($A5&amp;"!"&amp;AL$4)), INDIRECT($A5&amp;"!"&amp;AL$4), "NA"), "NA"))</calculatedColumnFormula>
    </tableColumn>
    <tableColumn id="37" xr3:uid="{25863871-F237-414A-BAC4-6BE41B463C07}" name="meanPeakFiring_3x3SD" dataDxfId="737">
      <calculatedColumnFormula array="1">IF(ISBLANK($A5), "Enter Sheet", IF($M5 &gt; minFiringRate, IF(ISNUMBER(INDIRECT($A5&amp;"!"&amp;AM$4)), INDIRECT($A5&amp;"!"&amp;AM$4), "NA"), "NA"))</calculatedColumnFormula>
    </tableColumn>
    <tableColumn id="38" xr3:uid="{95A3750F-D997-4DE6-B49A-071C584C5825}" name="meanNadirFiring_3x3SD" dataDxfId="736">
      <calculatedColumnFormula array="1">IF(ISBLANK($A5), "Enter Sheet", IF($M5 &gt; minFiringRate, IF(ISNUMBER(INDIRECT($A5&amp;"!"&amp;AN$4)), INDIRECT($A5&amp;"!"&amp;AN$4), "NA"), "NA"))</calculatedColumnFormula>
    </tableColumn>
    <tableColumn id="39" xr3:uid="{31A39CAF-10B7-44A6-ABE6-472279B17FB7}" name="numPeaks_2x2SE" dataDxfId="735">
      <calculatedColumnFormula array="1">IF(ISBLANK($A5), "Enter Sheet", IF($M5 &gt; minFiringRate, IF(ISNUMBER(INDIRECT($A5&amp;"!"&amp;AO$4)), INDIRECT($A5&amp;"!"&amp;AO$4), "NA"), "NA"))</calculatedColumnFormula>
    </tableColumn>
    <tableColumn id="40" xr3:uid="{0FEFF7E9-CDD9-4466-9204-356F1C7F79B0}" name="numNadirs_2x2SE" dataDxfId="734">
      <calculatedColumnFormula array="1">IF(ISBLANK($A5), "Enter Sheet", IF($M5 &gt; minFiringRate, IF(ISNUMBER(INDIRECT($A5&amp;"!"&amp;AP$4)), INDIRECT($A5&amp;"!"&amp;AP$4), "NA"), "NA"))</calculatedColumnFormula>
    </tableColumn>
    <tableColumn id="41" xr3:uid="{A7DCF561-D467-4736-9EC7-8F5CCE12C9EF}" name="meanPeakDur_2x2SE" dataDxfId="733">
      <calculatedColumnFormula array="1">IF(ISBLANK($A5), "Enter Sheet", IF($M5 &gt; minFiringRate, IF(ISNUMBER(INDIRECT($A5&amp;"!"&amp;AQ$4)), INDIRECT($A5&amp;"!"&amp;AQ$4), "NA"), "NA"))</calculatedColumnFormula>
    </tableColumn>
    <tableColumn id="42" xr3:uid="{B7B8C3AE-577A-4113-8DEF-ACA6A93D00E9}" name="totalPeakDur_2x2SE" dataDxfId="732">
      <calculatedColumnFormula array="1">IF(ISBLANK($A5), "Enter Sheet", IF($M5 &gt; minFiringRate, IF(ISNUMBER(INDIRECT($A5&amp;"!"&amp;AR$4)), INDIRECT($A5&amp;"!"&amp;AR$4), "NA"), "NA"))</calculatedColumnFormula>
    </tableColumn>
    <tableColumn id="43" xr3:uid="{D44B78B6-55DB-4FFD-906F-FC5E65C0E5C9}" name="meanNadirDur_2x2SE" dataDxfId="731">
      <calculatedColumnFormula array="1">IF(ISBLANK($A5), "Enter Sheet", IF($M5 &gt; minFiringRate, IF(ISNUMBER(INDIRECT($A5&amp;"!"&amp;AS$4)), INDIRECT($A5&amp;"!"&amp;AS$4), "NA"), "NA"))</calculatedColumnFormula>
    </tableColumn>
    <tableColumn id="44" xr3:uid="{3E961B73-3CFA-4CF5-83BB-95348A25777F}" name="totalNadirDur_2x2SE" dataDxfId="730">
      <calculatedColumnFormula array="1">IF(ISBLANK($A5), "Enter Sheet", IF($M5 &gt; minFiringRate, IF(ISNUMBER(INDIRECT($A5&amp;"!"&amp;AT$4)), INDIRECT($A5&amp;"!"&amp;AT$4), "NA"), "NA"))</calculatedColumnFormula>
    </tableColumn>
    <tableColumn id="45" xr3:uid="{6C1887A1-3939-4E39-9DF8-B9D4F033C21B}" name="meanPeakFiring_2x2SE" dataDxfId="729">
      <calculatedColumnFormula array="1">IF(ISBLANK($A5), "Enter Sheet", IF($M5 &gt; minFiringRate, IF(ISNUMBER(INDIRECT($A5&amp;"!"&amp;AU$4)), INDIRECT($A5&amp;"!"&amp;AU$4), "NA"), "NA"))</calculatedColumnFormula>
    </tableColumn>
    <tableColumn id="46" xr3:uid="{ABC634F7-B3DD-4EF4-B061-3D8FA4476C66}" name="meanNadirFiring_2x2SE" dataDxfId="728">
      <calculatedColumnFormula array="1">IF(ISBLANK($A5), "Enter Sheet", IF($M5 &gt; minFiringRate, IF(ISNUMBER(INDIRECT($A5&amp;"!"&amp;AV$4)), INDIRECT($A5&amp;"!"&amp;AV$4), "NA"), "NA"))</calculatedColumnFormula>
    </tableColumn>
    <tableColumn id="55" xr3:uid="{87ECBB7A-7463-45B6-9846-AE82FA5EDFD1}" name="numPeaks_3x3SE" dataDxfId="727">
      <calculatedColumnFormula array="1">IF(ISBLANK($A5), "Enter Sheet", IF($M5 &gt; minFiringRate, IF(ISNUMBER(INDIRECT($A5&amp;"!"&amp;AW$4)), INDIRECT($A5&amp;"!"&amp;AW$4), "NA"), "NA"))</calculatedColumnFormula>
    </tableColumn>
    <tableColumn id="56" xr3:uid="{74FDC5C6-E8D2-4A01-9F32-6559BFC7BF24}" name="numNadirs_3x3SE" dataDxfId="726">
      <calculatedColumnFormula array="1">IF(ISBLANK($A5), "Enter Sheet", IF($M5 &gt; minFiringRate, IF(ISNUMBER(INDIRECT($A5&amp;"!"&amp;AX$4)), INDIRECT($A5&amp;"!"&amp;AX$4), "NA"), "NA"))</calculatedColumnFormula>
    </tableColumn>
    <tableColumn id="57" xr3:uid="{B1946FE2-82E6-4C1D-9C71-270AC69471B6}" name="meanPeakDur_3x3SE" dataDxfId="725">
      <calculatedColumnFormula array="1">IF(ISBLANK($A5), "Enter Sheet", IF($M5 &gt; minFiringRate, IF(ISNUMBER(INDIRECT($A5&amp;"!"&amp;AY$4)), INDIRECT($A5&amp;"!"&amp;AY$4), "NA"), "NA"))</calculatedColumnFormula>
    </tableColumn>
    <tableColumn id="58" xr3:uid="{DA4E68FD-4546-4842-B8CE-64F4DDCFAA97}" name="totalPeakDur_3x3SE" dataDxfId="724">
      <calculatedColumnFormula array="1">IF(ISBLANK($A5), "Enter Sheet", IF($M5 &gt; minFiringRate, IF(ISNUMBER(INDIRECT($A5&amp;"!"&amp;AZ$4)), INDIRECT($A5&amp;"!"&amp;AZ$4), "NA"), "NA"))</calculatedColumnFormula>
    </tableColumn>
    <tableColumn id="59" xr3:uid="{C58F2A62-E171-44C5-A1A0-86F95A523B4F}" name="meanNadirDur_3x3SE" dataDxfId="723">
      <calculatedColumnFormula array="1">IF(ISBLANK($A5), "Enter Sheet", IF($M5 &gt; minFiringRate, IF(ISNUMBER(INDIRECT($A5&amp;"!"&amp;BA$4)), INDIRECT($A5&amp;"!"&amp;BA$4), "NA"), "NA"))</calculatedColumnFormula>
    </tableColumn>
    <tableColumn id="60" xr3:uid="{15939A30-2174-490C-81ED-EA510E8D990C}" name="totalNadirDur_3x3SE" dataDxfId="722">
      <calculatedColumnFormula array="1">IF(ISBLANK($A5), "Enter Sheet", IF($M5 &gt; minFiringRate, IF(ISNUMBER(INDIRECT($A5&amp;"!"&amp;BB$4)), INDIRECT($A5&amp;"!"&amp;BB$4), "NA"), "NA"))</calculatedColumnFormula>
    </tableColumn>
    <tableColumn id="61" xr3:uid="{581F0C3B-1E40-4A59-9DC8-A74785794045}" name="meanPeakFiring_3x3SE" dataDxfId="721">
      <calculatedColumnFormula array="1">IF(ISBLANK($A5), "Enter Sheet", IF($M5 &gt; minFiringRate, IF(ISNUMBER(INDIRECT($A5&amp;"!"&amp;BC$4)), INDIRECT($A5&amp;"!"&amp;BC$4), "NA"), "NA"))</calculatedColumnFormula>
    </tableColumn>
    <tableColumn id="62" xr3:uid="{351F3359-B048-4D83-A8C7-11E91B6BD641}" name="meanNadirFiring_3x3SE" dataDxfId="720">
      <calculatedColumnFormula array="1">IF(ISBLANK($A5), "Enter Sheet", IF($M5 &gt; minFiringRate, IF(ISNUMBER(INDIRECT($A5&amp;"!"&amp;BD$4)), INDIRECT($A5&amp;"!"&amp;BD$4), "NA"), "NA"))</calculatedColumnFormula>
    </tableColumn>
    <tableColumn id="12" xr3:uid="{9E209EA1-72E3-4A40-8D45-04F3F8A89FB6}" name="Mbd_senktide" dataDxfId="719">
      <calculatedColumnFormula array="1">IF(ISBLANK($A5), "Enter Sheet", IF(INDIRECT($A5&amp;"!Senktide_Analysis"), IF($N5 &gt; minFiringRate, IF(ISNUMBER(INDIRECT($A5&amp;"!"&amp;BE$4)), INDIRECT($A5&amp;"!"&amp;BE$4), "NA"), "NA"), "NA"))</calculatedColumnFormula>
    </tableColumn>
    <tableColumn id="47" xr3:uid="{5C97C772-BED1-4620-BCFD-CEE359773822}" name="SpikesPerBurst_senktide" dataDxfId="718">
      <calculatedColumnFormula array="1">IF(ISBLANK($A5), "Enter Sheet", IF(INDIRECT($A5&amp;"!Senktide_Analysis"), IF($N5 &gt; minFiringRate, IF(ISNUMBER(INDIRECT($A5&amp;"!"&amp;BF$4)), INDIRECT($A5&amp;"!"&amp;BF$4), "NA"), "NA"), "NA"))</calculatedColumnFormula>
    </tableColumn>
    <tableColumn id="48" xr3:uid="{D7E559B5-05F7-4061-B78D-B6208F3E8673}" name="BurstFreq_senktide" dataDxfId="717">
      <calculatedColumnFormula array="1">IF(ISBLANK($A5), "Enter Sheet", IF(INDIRECT($A5&amp;"!Senktide_Analysis"), IF($N5 &gt; minFiringRate, IF(ISNUMBER(INDIRECT($A5&amp;"!"&amp;BG$4)), INDIRECT($A5&amp;"!"&amp;BG$4), "NA"), "NA"), "NA"))</calculatedColumnFormula>
    </tableColumn>
    <tableColumn id="49" xr3:uid="{060360B9-C7D7-4350-862A-11B177834E4F}" name="SingleSpikeNum_senktide" dataDxfId="716">
      <calculatedColumnFormula array="1">IF(ISBLANK($A5), "Enter Sheet", IF(INDIRECT($A5&amp;"!Senktide_Analysis"), IF($N5 &gt; minFiringRate, IF(ISNUMBER(INDIRECT($A5&amp;"!"&amp;BH$4)), INDIRECT($A5&amp;"!"&amp;BH$4), "NA"), "NA"), "NA"))</calculatedColumnFormula>
    </tableColumn>
    <tableColumn id="50" xr3:uid="{4CB4B82D-6DD5-4058-AE62-DF09507EC117}" name="SingleSpikeFreq_senktide" dataDxfId="715">
      <calculatedColumnFormula array="1">IF(ISBLANK($A5), "Enter Sheet", IF(INDIRECT($A5&amp;"!Senktide_Analysis"), IF($N5 &gt; minFiringRate, IF(ISNUMBER(INDIRECT($A5&amp;"!"&amp;BI$4)), INDIRECT($A5&amp;"!"&amp;BI$4), "NA"), "NA"), "NA"))</calculatedColumnFormula>
    </tableColumn>
    <tableColumn id="51" xr3:uid="{533DD87B-3FBA-4635-8613-5ED37255185A}" name="TotalFreq_senktide" dataDxfId="714">
      <calculatedColumnFormula array="1">IF(ISBLANK($A5), "Enter Sheet", IF(INDIRECT($A5&amp;"!Senktide_Analysis"), IF($N5 &gt; minFiringRate, IF(ISNUMBER(INDIRECT($A5&amp;"!"&amp;BJ$4)), INDIRECT($A5&amp;"!"&amp;BJ$4), "NA"), "NA"), "NA"))</calculatedColumnFormula>
    </tableColumn>
    <tableColumn id="52" xr3:uid="{6C20D8FB-5020-454B-961C-7D36FCD1C7EB}" name="InterBurst_senktide" dataDxfId="713">
      <calculatedColumnFormula array="1">IF(ISBLANK($A5), "Enter Sheet", IF(INDIRECT($A5&amp;"!Senktide_Analysis"), IF($N5 &gt; minFiringRate, IF(ISNUMBER(INDIRECT($A5&amp;"!"&amp;BK$4)), INDIRECT($A5&amp;"!"&amp;BK$4), "NA"), "NA"), "NA"))</calculatedColumnFormula>
    </tableColumn>
    <tableColumn id="53" xr3:uid="{0A3AEE54-4ED2-4B8E-804F-52164FAFBB7F}" name="IntraBurst_senktide" dataDxfId="712">
      <calculatedColumnFormula array="1">IF(ISBLANK($A5), "Enter Sheet", IF(INDIRECT($A5&amp;"!Senktide_Analysis"), IF($N5 &gt; minFiringRate, IF(ISNUMBER(INDIRECT($A5&amp;"!"&amp;BL$4)), INDIRECT($A5&amp;"!"&amp;BL$4), "NA"), "NA"), "NA"))</calculatedColumnFormula>
    </tableColumn>
    <tableColumn id="54" xr3:uid="{6E10DFD4-7E83-49EF-A481-C8D9720C08AB}" name="BurstsPerHour_senktide" dataDxfId="711">
      <calculatedColumnFormula array="1">IF(ISBLANK($A5), "Enter Sheet", IF(INDIRECT($A5&amp;"!Senktide_Analysis"), IF($N5 &gt; minFiringRate, IF(ISNUMBER(INDIRECT($A5&amp;"!"&amp;BM$4)), INDIRECT($A5&amp;"!"&amp;BM$4), "NA"), "NA"), "NA"))</calculatedColumnFormula>
    </tableColumn>
    <tableColumn id="63" xr3:uid="{B153BE0B-6BFA-4C65-8ABA-ACE9F69581F7}" name="MaxBurstWindow_senktide" dataDxfId="710">
      <calculatedColumnFormula array="1">IF(ISBLANK($A5), "Enter Sheet", IF(INDIRECT($A5&amp;"!Senktide_Analysis"), IF($N5 &gt; minFiringRate, IF(ISNUMBER(INDIRECT($A5&amp;"!"&amp;BN$4)), INDIRECT($A5&amp;"!"&amp;BN$4), "NA"), "NA"), "NA"))</calculatedColumnFormula>
    </tableColumn>
    <tableColumn id="66" xr3:uid="{A7B1E670-7E7A-4442-AEE5-A84CB97B74B1}" name="BurstsPerHour_0.01" dataDxfId="709">
      <calculatedColumnFormula array="1">IF(ISBLANK($A5), "Enter Sheet", IF($M5 &gt; minFiringRate, IF(SUM(INDIRECT($A5 &amp; "!AL3:AL102")) &gt; 0, INDIRECT($A5&amp;"!AL"&amp;BO$3), "NA"), "NA"))</calculatedColumnFormula>
    </tableColumn>
    <tableColumn id="67" xr3:uid="{FD7F0AE6-5327-144B-9D8B-1B12F17890A6}" name="BurstsPerHour_0.02" dataDxfId="708">
      <calculatedColumnFormula array="1">IF(ISBLANK($A5), "Enter Sheet", IF($M5 &gt; minFiringRate, IF(SUM(INDIRECT($A5 &amp; "!AL3:AL102")) &gt; 0, INDIRECT($A5&amp;"!AL"&amp;BP$3), "NA"), "NA"))</calculatedColumnFormula>
    </tableColumn>
    <tableColumn id="68" xr3:uid="{FCF41510-CDBA-9940-8B4B-4B973C913670}" name="BurstsPerHour_0.03" dataDxfId="707">
      <calculatedColumnFormula array="1">IF(ISBLANK($A5), "Enter Sheet", IF($M5 &gt; minFiringRate, IF(SUM(INDIRECT($A5 &amp; "!AL3:AL102")) &gt; 0, INDIRECT($A5&amp;"!AL"&amp;BQ$3), "NA"), "NA"))</calculatedColumnFormula>
    </tableColumn>
    <tableColumn id="69" xr3:uid="{A8506FF6-329D-6A46-8303-778B7F8AFCF4}" name="BurstsPerHour_0.04" dataDxfId="706">
      <calculatedColumnFormula array="1">IF(ISBLANK($A5), "Enter Sheet", IF($M5 &gt; minFiringRate, IF(SUM(INDIRECT($A5 &amp; "!AL3:AL102")) &gt; 0, INDIRECT($A5&amp;"!AL"&amp;BR$3), "NA"), "NA"))</calculatedColumnFormula>
    </tableColumn>
    <tableColumn id="70" xr3:uid="{854715C7-5AB2-5C48-9920-6B671643F7AE}" name="BurstsPerHour_0.05" dataDxfId="705">
      <calculatedColumnFormula array="1">IF(ISBLANK($A5), "Enter Sheet", IF($M5 &gt; minFiringRate, IF(SUM(INDIRECT($A5 &amp; "!AL3:AL102")) &gt; 0, INDIRECT($A5&amp;"!AL"&amp;BS$3), "NA"), "NA"))</calculatedColumnFormula>
    </tableColumn>
    <tableColumn id="71" xr3:uid="{989C0FE1-460A-E945-8383-ADB89E4A24EC}" name="BurstsPerHour_0.06" dataDxfId="704">
      <calculatedColumnFormula array="1">IF(ISBLANK($A5), "Enter Sheet", IF($M5 &gt; minFiringRate, IF(SUM(INDIRECT($A5 &amp; "!AL3:AL102")) &gt; 0, INDIRECT($A5&amp;"!AL"&amp;BT$3), "NA"), "NA"))</calculatedColumnFormula>
    </tableColumn>
    <tableColumn id="72" xr3:uid="{9B65F853-57B8-074D-B97E-26D28A350DEE}" name="BurstsPerHour_0.07" dataDxfId="703">
      <calculatedColumnFormula array="1">IF(ISBLANK($A5), "Enter Sheet", IF($M5 &gt; minFiringRate, IF(SUM(INDIRECT($A5 &amp; "!AL3:AL102")) &gt; 0, INDIRECT($A5&amp;"!AL"&amp;BU$3), "NA"), "NA"))</calculatedColumnFormula>
    </tableColumn>
    <tableColumn id="73" xr3:uid="{B7345C76-882C-5245-901F-4D4FDB1CB328}" name="BurstsPerHour_0.08" dataDxfId="702">
      <calculatedColumnFormula array="1">IF(ISBLANK($A5), "Enter Sheet", IF($M5 &gt; minFiringRate, IF(SUM(INDIRECT($A5 &amp; "!AL3:AL102")) &gt; 0, INDIRECT($A5&amp;"!AL"&amp;BV$3), "NA"), "NA"))</calculatedColumnFormula>
    </tableColumn>
    <tableColumn id="74" xr3:uid="{8D6C5A16-87B1-9341-9CD4-A7405383DA7A}" name="BurstsPerHour_0.09" dataDxfId="701">
      <calculatedColumnFormula array="1">IF(ISBLANK($A5), "Enter Sheet", IF($M5 &gt; minFiringRate, IF(SUM(INDIRECT($A5 &amp; "!AL3:AL102")) &gt; 0, INDIRECT($A5&amp;"!AL"&amp;BW$3), "NA"), "NA"))</calculatedColumnFormula>
    </tableColumn>
    <tableColumn id="75" xr3:uid="{0F0B273F-FD1D-A84A-A040-05E3F65F8F2D}" name="BurstsPerHour_0.10" dataDxfId="700">
      <calculatedColumnFormula array="1">IF(ISBLANK($A5), "Enter Sheet", IF($M5 &gt; minFiringRate, IF(SUM(INDIRECT($A5 &amp; "!AL3:AL102")) &gt; 0, INDIRECT($A5&amp;"!AL"&amp;BX$3), "NA"), "NA"))</calculatedColumnFormula>
    </tableColumn>
    <tableColumn id="76" xr3:uid="{C4B257E7-0177-7148-930A-17538586C8A7}" name="BurstsPerHour_0.11" dataDxfId="699">
      <calculatedColumnFormula array="1">IF(ISBLANK($A5), "Enter Sheet", IF($M5 &gt; minFiringRate, IF(SUM(INDIRECT($A5 &amp; "!AL3:AL102")) &gt; 0, INDIRECT($A5&amp;"!AL"&amp;BY$3), "NA"), "NA"))</calculatedColumnFormula>
    </tableColumn>
    <tableColumn id="77" xr3:uid="{EF73647D-C1BA-2E4B-83AB-54BE3B579A68}" name="BurstsPerHour_0.12" dataDxfId="698">
      <calculatedColumnFormula array="1">IF(ISBLANK($A5), "Enter Sheet", IF($M5 &gt; minFiringRate, IF(SUM(INDIRECT($A5 &amp; "!AL3:AL102")) &gt; 0, INDIRECT($A5&amp;"!AL"&amp;BZ$3), "NA"), "NA"))</calculatedColumnFormula>
    </tableColumn>
    <tableColumn id="78" xr3:uid="{C2337A6D-FF9A-3941-953B-B9174DCE44CF}" name="BurstsPerHour_0.13" dataDxfId="697">
      <calculatedColumnFormula array="1">IF(ISBLANK($A5), "Enter Sheet", IF($M5 &gt; minFiringRate, IF(SUM(INDIRECT($A5 &amp; "!AL3:AL102")) &gt; 0, INDIRECT($A5&amp;"!AL"&amp;CA$3), "NA"), "NA"))</calculatedColumnFormula>
    </tableColumn>
    <tableColumn id="79" xr3:uid="{BD273B0F-5506-8048-9B4F-5E69E44CF643}" name="BurstsPerHour_0.14" dataDxfId="696">
      <calculatedColumnFormula array="1">IF(ISBLANK($A5), "Enter Sheet", IF($M5 &gt; minFiringRate, IF(SUM(INDIRECT($A5 &amp; "!AL3:AL102")) &gt; 0, INDIRECT($A5&amp;"!AL"&amp;CB$3), "NA"), "NA"))</calculatedColumnFormula>
    </tableColumn>
    <tableColumn id="80" xr3:uid="{3302C6AE-84B6-7B4C-8790-A83DB3D84D48}" name="BurstsPerHour_0.15" dataDxfId="695">
      <calculatedColumnFormula array="1">IF(ISBLANK($A5), "Enter Sheet", IF($M5 &gt; minFiringRate, IF(SUM(INDIRECT($A5 &amp; "!AL3:AL102")) &gt; 0, INDIRECT($A5&amp;"!AL"&amp;CC$3), "NA"), "NA"))</calculatedColumnFormula>
    </tableColumn>
    <tableColumn id="81" xr3:uid="{DAA8A33B-58B9-D144-9438-A7FC0D591879}" name="BurstsPerHour_0.16" dataDxfId="694">
      <calculatedColumnFormula array="1">IF(ISBLANK($A5), "Enter Sheet", IF($M5 &gt; minFiringRate, IF(SUM(INDIRECT($A5 &amp; "!AL3:AL102")) &gt; 0, INDIRECT($A5&amp;"!AL"&amp;CD$3), "NA"), "NA"))</calculatedColumnFormula>
    </tableColumn>
    <tableColumn id="82" xr3:uid="{A6942685-A378-644B-A87F-A512478FAEAA}" name="BurstsPerHour_0.17" dataDxfId="693">
      <calculatedColumnFormula array="1">IF(ISBLANK($A5), "Enter Sheet", IF($M5 &gt; minFiringRate, IF(SUM(INDIRECT($A5 &amp; "!AL3:AL102")) &gt; 0, INDIRECT($A5&amp;"!AL"&amp;CE$3), "NA"), "NA"))</calculatedColumnFormula>
    </tableColumn>
    <tableColumn id="83" xr3:uid="{D6E10569-D6C8-C946-846F-BC05D21CEF98}" name="BurstsPerHour_0.18" dataDxfId="692">
      <calculatedColumnFormula array="1">IF(ISBLANK($A5), "Enter Sheet", IF($M5 &gt; minFiringRate, IF(SUM(INDIRECT($A5 &amp; "!AL3:AL102")) &gt; 0, INDIRECT($A5&amp;"!AL"&amp;CF$3), "NA"), "NA"))</calculatedColumnFormula>
    </tableColumn>
    <tableColumn id="84" xr3:uid="{D51DF7FF-C9C8-524D-86CD-8482232A58C9}" name="BurstsPerHour_0.19" dataDxfId="691">
      <calculatedColumnFormula array="1">IF(ISBLANK($A5), "Enter Sheet", IF($M5 &gt; minFiringRate, IF(SUM(INDIRECT($A5 &amp; "!AL3:AL102")) &gt; 0, INDIRECT($A5&amp;"!AL"&amp;CG$3), "NA"), "NA"))</calculatedColumnFormula>
    </tableColumn>
    <tableColumn id="85" xr3:uid="{7A6EE4E3-087D-094C-A9E1-EB1C0B8EC6A3}" name="BurstsPerHour_0.20" dataDxfId="690">
      <calculatedColumnFormula array="1">IF(ISBLANK($A5), "Enter Sheet", IF($M5 &gt; minFiringRate, IF(SUM(INDIRECT($A5 &amp; "!AL3:AL102")) &gt; 0, INDIRECT($A5&amp;"!AL"&amp;CH$3), "NA"), "NA"))</calculatedColumnFormula>
    </tableColumn>
    <tableColumn id="86" xr3:uid="{535F09C8-5D57-E648-9946-CBBB60D221F3}" name="BurstsPerHour_0.21" dataDxfId="689">
      <calculatedColumnFormula array="1">IF(ISBLANK($A5), "Enter Sheet", IF($M5 &gt; minFiringRate, IF(SUM(INDIRECT($A5 &amp; "!AL3:AL102")) &gt; 0, INDIRECT($A5&amp;"!AL"&amp;CI$3), "NA"), "NA"))</calculatedColumnFormula>
    </tableColumn>
    <tableColumn id="87" xr3:uid="{6AD01CBC-B63D-2743-965C-9D8CD93A48A4}" name="BurstsPerHour_0.22" dataDxfId="688">
      <calculatedColumnFormula array="1">IF(ISBLANK($A5), "Enter Sheet", IF($M5 &gt; minFiringRate, IF(SUM(INDIRECT($A5 &amp; "!AL3:AL102")) &gt; 0, INDIRECT($A5&amp;"!AL"&amp;CJ$3), "NA"), "NA"))</calculatedColumnFormula>
    </tableColumn>
    <tableColumn id="88" xr3:uid="{77679CFB-9031-EA45-87D0-A8A4F8A799BE}" name="BurstsPerHour_0.23" dataDxfId="687">
      <calculatedColumnFormula array="1">IF(ISBLANK($A5), "Enter Sheet", IF($M5 &gt; minFiringRate, IF(SUM(INDIRECT($A5 &amp; "!AL3:AL102")) &gt; 0, INDIRECT($A5&amp;"!AL"&amp;CK$3), "NA"), "NA"))</calculatedColumnFormula>
    </tableColumn>
    <tableColumn id="89" xr3:uid="{17DFF588-8169-7549-8BF5-AC09DE7E54E3}" name="BurstsPerHour_0.24" dataDxfId="686">
      <calculatedColumnFormula array="1">IF(ISBLANK($A5), "Enter Sheet", IF($M5 &gt; minFiringRate, IF(SUM(INDIRECT($A5 &amp; "!AL3:AL102")) &gt; 0, INDIRECT($A5&amp;"!AL"&amp;CL$3), "NA"), "NA"))</calculatedColumnFormula>
    </tableColumn>
    <tableColumn id="90" xr3:uid="{2EDF8CB6-9101-9A42-B915-D5E3C5D45E69}" name="BurstsPerHour_0.25" dataDxfId="685">
      <calculatedColumnFormula array="1">IF(ISBLANK($A5), "Enter Sheet", IF($M5 &gt; minFiringRate, IF(SUM(INDIRECT($A5 &amp; "!AL3:AL102")) &gt; 0, INDIRECT($A5&amp;"!AL"&amp;CM$3), "NA"), "NA"))</calculatedColumnFormula>
    </tableColumn>
    <tableColumn id="91" xr3:uid="{77793F90-C18A-3344-9A4B-B7CBC86EF4C6}" name="BurstsPerHour_0.26" dataDxfId="684">
      <calculatedColumnFormula array="1">IF(ISBLANK($A5), "Enter Sheet", IF($M5 &gt; minFiringRate, IF(SUM(INDIRECT($A5 &amp; "!AL3:AL102")) &gt; 0, INDIRECT($A5&amp;"!AL"&amp;CN$3), "NA"), "NA"))</calculatedColumnFormula>
    </tableColumn>
    <tableColumn id="92" xr3:uid="{2C6D1895-1F95-6E49-8C83-7727EC5AB61C}" name="BurstsPerHour_0.27" dataDxfId="683">
      <calculatedColumnFormula array="1">IF(ISBLANK($A5), "Enter Sheet", IF($M5 &gt; minFiringRate, IF(SUM(INDIRECT($A5 &amp; "!AL3:AL102")) &gt; 0, INDIRECT($A5&amp;"!AL"&amp;CO$3), "NA"), "NA"))</calculatedColumnFormula>
    </tableColumn>
    <tableColumn id="93" xr3:uid="{685E9558-A41C-DB43-966A-450E0312461D}" name="BurstsPerHour_0.28" dataDxfId="682">
      <calculatedColumnFormula array="1">IF(ISBLANK($A5), "Enter Sheet", IF($M5 &gt; minFiringRate, IF(SUM(INDIRECT($A5 &amp; "!AL3:AL102")) &gt; 0, INDIRECT($A5&amp;"!AL"&amp;CP$3), "NA"), "NA"))</calculatedColumnFormula>
    </tableColumn>
    <tableColumn id="94" xr3:uid="{119A10E1-366E-4F46-80D8-10D8E34D4B2C}" name="BurstsPerHour_0.29" dataDxfId="681">
      <calculatedColumnFormula array="1">IF(ISBLANK($A5), "Enter Sheet", IF($M5 &gt; minFiringRate, IF(SUM(INDIRECT($A5 &amp; "!AL3:AL102")) &gt; 0, INDIRECT($A5&amp;"!AL"&amp;CQ$3), "NA"), "NA"))</calculatedColumnFormula>
    </tableColumn>
    <tableColumn id="95" xr3:uid="{99DBAB1F-83BB-3F48-A9D5-7E3ECD2ABFBB}" name="BurstsPerHour_0.30" dataDxfId="680">
      <calculatedColumnFormula array="1">IF(ISBLANK($A5), "Enter Sheet", IF($M5 &gt; minFiringRate, IF(SUM(INDIRECT($A5 &amp; "!AL3:AL102")) &gt; 0, INDIRECT($A5&amp;"!AL"&amp;CR$3), "NA"), "NA"))</calculatedColumnFormula>
    </tableColumn>
    <tableColumn id="96" xr3:uid="{3761A076-24A5-B74A-AD0D-FD7F386DE823}" name="BurstsPerHour_0.31" dataDxfId="679">
      <calculatedColumnFormula array="1">IF(ISBLANK($A5), "Enter Sheet", IF($M5 &gt; minFiringRate, IF(SUM(INDIRECT($A5 &amp; "!AL3:AL102")) &gt; 0, INDIRECT($A5&amp;"!AL"&amp;CS$3), "NA"), "NA"))</calculatedColumnFormula>
    </tableColumn>
    <tableColumn id="97" xr3:uid="{C1201B3B-BA9A-8F4C-8045-2AC27B8A7940}" name="BurstsPerHour_0.32" dataDxfId="678">
      <calculatedColumnFormula array="1">IF(ISBLANK($A5), "Enter Sheet", IF($M5 &gt; minFiringRate, IF(SUM(INDIRECT($A5 &amp; "!AL3:AL102")) &gt; 0, INDIRECT($A5&amp;"!AL"&amp;CT$3), "NA"), "NA"))</calculatedColumnFormula>
    </tableColumn>
    <tableColumn id="98" xr3:uid="{FAE980EC-55DF-3540-B1F2-9A7BADBCF7EA}" name="BurstsPerHour_0.33" dataDxfId="677">
      <calculatedColumnFormula array="1">IF(ISBLANK($A5), "Enter Sheet", IF($M5 &gt; minFiringRate, IF(SUM(INDIRECT($A5 &amp; "!AL3:AL102")) &gt; 0, INDIRECT($A5&amp;"!AL"&amp;CU$3), "NA"), "NA"))</calculatedColumnFormula>
    </tableColumn>
    <tableColumn id="99" xr3:uid="{C575F933-5384-2341-AC12-C234F2A52B09}" name="BurstsPerHour_0.34" dataDxfId="676">
      <calculatedColumnFormula array="1">IF(ISBLANK($A5), "Enter Sheet", IF($M5 &gt; minFiringRate, IF(SUM(INDIRECT($A5 &amp; "!AL3:AL102")) &gt; 0, INDIRECT($A5&amp;"!AL"&amp;CV$3), "NA"), "NA"))</calculatedColumnFormula>
    </tableColumn>
    <tableColumn id="100" xr3:uid="{0ABFD6AC-630D-9A47-AD37-1EA536FF69AE}" name="BurstsPerHour_0.35" dataDxfId="675">
      <calculatedColumnFormula array="1">IF(ISBLANK($A5), "Enter Sheet", IF($M5 &gt; minFiringRate, IF(SUM(INDIRECT($A5 &amp; "!AL3:AL102")) &gt; 0, INDIRECT($A5&amp;"!AL"&amp;CW$3), "NA"), "NA"))</calculatedColumnFormula>
    </tableColumn>
    <tableColumn id="101" xr3:uid="{C753C6EC-2C6D-DD4E-9CB1-D7F4F5C8111C}" name="BurstsPerHour_0.36" dataDxfId="674">
      <calculatedColumnFormula array="1">IF(ISBLANK($A5), "Enter Sheet", IF($M5 &gt; minFiringRate, IF(SUM(INDIRECT($A5 &amp; "!AL3:AL102")) &gt; 0, INDIRECT($A5&amp;"!AL"&amp;CX$3), "NA"), "NA"))</calculatedColumnFormula>
    </tableColumn>
    <tableColumn id="102" xr3:uid="{2AFFB186-D644-7744-8A7D-72DABA9187AB}" name="BurstsPerHour_0.37" dataDxfId="673">
      <calculatedColumnFormula array="1">IF(ISBLANK($A5), "Enter Sheet", IF($M5 &gt; minFiringRate, IF(SUM(INDIRECT($A5 &amp; "!AL3:AL102")) &gt; 0, INDIRECT($A5&amp;"!AL"&amp;CY$3), "NA"), "NA"))</calculatedColumnFormula>
    </tableColumn>
    <tableColumn id="103" xr3:uid="{E72E920A-286F-EC4C-A0C7-0C5EBD7A2670}" name="BurstsPerHour_0.38" dataDxfId="672">
      <calculatedColumnFormula array="1">IF(ISBLANK($A5), "Enter Sheet", IF($M5 &gt; minFiringRate, IF(SUM(INDIRECT($A5 &amp; "!AL3:AL102")) &gt; 0, INDIRECT($A5&amp;"!AL"&amp;CZ$3), "NA"), "NA"))</calculatedColumnFormula>
    </tableColumn>
    <tableColumn id="104" xr3:uid="{0E5CAE0B-ED5C-F542-A094-A2CD2AD1745A}" name="BurstsPerHour_0.39" dataDxfId="671">
      <calculatedColumnFormula array="1">IF(ISBLANK($A5), "Enter Sheet", IF($M5 &gt; minFiringRate, IF(SUM(INDIRECT($A5 &amp; "!AL3:AL102")) &gt; 0, INDIRECT($A5&amp;"!AL"&amp;DA$3), "NA"), "NA"))</calculatedColumnFormula>
    </tableColumn>
    <tableColumn id="105" xr3:uid="{6325AC6B-C9FB-F94C-9ECE-4B61CF0F714C}" name="BurstsPerHour_0.40" dataDxfId="670">
      <calculatedColumnFormula array="1">IF(ISBLANK($A5), "Enter Sheet", IF($M5 &gt; minFiringRate, IF(SUM(INDIRECT($A5 &amp; "!AL3:AL102")) &gt; 0, INDIRECT($A5&amp;"!AL"&amp;DB$3), "NA"), "NA"))</calculatedColumnFormula>
    </tableColumn>
    <tableColumn id="106" xr3:uid="{DD7DAEED-EF14-9340-9CF0-9DA9B7AE9F70}" name="BurstsPerHour_0.41" dataDxfId="669">
      <calculatedColumnFormula array="1">IF(ISBLANK($A5), "Enter Sheet", IF($M5 &gt; minFiringRate, IF(SUM(INDIRECT($A5 &amp; "!AL3:AL102")) &gt; 0, INDIRECT($A5&amp;"!AL"&amp;DC$3), "NA"), "NA"))</calculatedColumnFormula>
    </tableColumn>
    <tableColumn id="107" xr3:uid="{B335DC9B-339B-F74A-B1AC-B9E0300CB635}" name="BurstsPerHour_0.42" dataDxfId="668">
      <calculatedColumnFormula array="1">IF(ISBLANK($A5), "Enter Sheet", IF($M5 &gt; minFiringRate, IF(SUM(INDIRECT($A5 &amp; "!AL3:AL102")) &gt; 0, INDIRECT($A5&amp;"!AL"&amp;DD$3), "NA"), "NA"))</calculatedColumnFormula>
    </tableColumn>
    <tableColumn id="108" xr3:uid="{758C2C47-D7D0-9740-967E-4F28E2871CF8}" name="BurstsPerHour_0.43" dataDxfId="667">
      <calculatedColumnFormula array="1">IF(ISBLANK($A5), "Enter Sheet", IF($M5 &gt; minFiringRate, IF(SUM(INDIRECT($A5 &amp; "!AL3:AL102")) &gt; 0, INDIRECT($A5&amp;"!AL"&amp;DE$3), "NA"), "NA"))</calculatedColumnFormula>
    </tableColumn>
    <tableColumn id="109" xr3:uid="{7F51CE05-C450-F14C-807A-5C14955E1773}" name="BurstsPerHour_0.44" dataDxfId="666">
      <calculatedColumnFormula array="1">IF(ISBLANK($A5), "Enter Sheet", IF($M5 &gt; minFiringRate, IF(SUM(INDIRECT($A5 &amp; "!AL3:AL102")) &gt; 0, INDIRECT($A5&amp;"!AL"&amp;DF$3), "NA"), "NA"))</calculatedColumnFormula>
    </tableColumn>
    <tableColumn id="110" xr3:uid="{06C7B840-B558-8243-8FD6-3818FC0ECF14}" name="BurstsPerHour_0.45" dataDxfId="665">
      <calculatedColumnFormula array="1">IF(ISBLANK($A5), "Enter Sheet", IF($M5 &gt; minFiringRate, IF(SUM(INDIRECT($A5 &amp; "!AL3:AL102")) &gt; 0, INDIRECT($A5&amp;"!AL"&amp;DG$3), "NA"), "NA"))</calculatedColumnFormula>
    </tableColumn>
    <tableColumn id="111" xr3:uid="{D098E924-C5D2-E349-83AB-BC3662347A61}" name="BurstsPerHour_0.46" dataDxfId="664">
      <calculatedColumnFormula array="1">IF(ISBLANK($A5), "Enter Sheet", IF($M5 &gt; minFiringRate, IF(SUM(INDIRECT($A5 &amp; "!AL3:AL102")) &gt; 0, INDIRECT($A5&amp;"!AL"&amp;DH$3), "NA"), "NA"))</calculatedColumnFormula>
    </tableColumn>
    <tableColumn id="112" xr3:uid="{DEA808D5-9EAE-224B-BFB9-1EBD19358B61}" name="BurstsPerHour_0.47" dataDxfId="663">
      <calculatedColumnFormula array="1">IF(ISBLANK($A5), "Enter Sheet", IF($M5 &gt; minFiringRate, IF(SUM(INDIRECT($A5 &amp; "!AL3:AL102")) &gt; 0, INDIRECT($A5&amp;"!AL"&amp;DI$3), "NA"), "NA"))</calculatedColumnFormula>
    </tableColumn>
    <tableColumn id="113" xr3:uid="{1453D45F-2238-B64B-9645-662927A21D45}" name="BurstsPerHour_0.48" dataDxfId="662">
      <calculatedColumnFormula array="1">IF(ISBLANK($A5), "Enter Sheet", IF($M5 &gt; minFiringRate, IF(SUM(INDIRECT($A5 &amp; "!AL3:AL102")) &gt; 0, INDIRECT($A5&amp;"!AL"&amp;DJ$3), "NA"), "NA"))</calculatedColumnFormula>
    </tableColumn>
    <tableColumn id="114" xr3:uid="{302DCF1D-30A8-3C4E-94F2-88FB5A616801}" name="BurstsPerHour_0.49" dataDxfId="661">
      <calculatedColumnFormula array="1">IF(ISBLANK($A5), "Enter Sheet", IF($M5 &gt; minFiringRate, IF(SUM(INDIRECT($A5 &amp; "!AL3:AL102")) &gt; 0, INDIRECT($A5&amp;"!AL"&amp;DK$3), "NA"), "NA"))</calculatedColumnFormula>
    </tableColumn>
    <tableColumn id="115" xr3:uid="{89C80B57-EF32-954F-9144-677119ED99B8}" name="BurstsPerHour_0.50" dataDxfId="660">
      <calculatedColumnFormula array="1">IF(ISBLANK($A5), "Enter Sheet", IF($M5 &gt; minFiringRate, IF(SUM(INDIRECT($A5 &amp; "!AL3:AL102")) &gt; 0, INDIRECT($A5&amp;"!AL"&amp;DL$3), "NA"), "NA"))</calculatedColumnFormula>
    </tableColumn>
    <tableColumn id="116" xr3:uid="{024C646A-912C-6A48-A0DC-87C9FCA09812}" name="BurstsPerHour_0.51" dataDxfId="659">
      <calculatedColumnFormula array="1">IF(ISBLANK($A5), "Enter Sheet", IF($M5 &gt; minFiringRate, IF(SUM(INDIRECT($A5 &amp; "!AL3:AL102")) &gt; 0, INDIRECT($A5&amp;"!AL"&amp;DM$3), "NA"), "NA"))</calculatedColumnFormula>
    </tableColumn>
    <tableColumn id="117" xr3:uid="{D01B8AAB-45FA-3145-AF87-D1052D144358}" name="BurstsPerHour_0.52" dataDxfId="658">
      <calculatedColumnFormula array="1">IF(ISBLANK($A5), "Enter Sheet", IF($M5 &gt; minFiringRate, IF(SUM(INDIRECT($A5 &amp; "!AL3:AL102")) &gt; 0, INDIRECT($A5&amp;"!AL"&amp;DN$3), "NA"), "NA"))</calculatedColumnFormula>
    </tableColumn>
    <tableColumn id="118" xr3:uid="{70016E19-C9A9-1D42-AAB3-AECD66E7C0C0}" name="BurstsPerHour_0.53" dataDxfId="657">
      <calculatedColumnFormula array="1">IF(ISBLANK($A5), "Enter Sheet", IF($M5 &gt; minFiringRate, IF(SUM(INDIRECT($A5 &amp; "!AL3:AL102")) &gt; 0, INDIRECT($A5&amp;"!AL"&amp;DO$3), "NA"), "NA"))</calculatedColumnFormula>
    </tableColumn>
    <tableColumn id="119" xr3:uid="{38737230-3269-044E-8CFD-237C089B92C5}" name="BurstsPerHour_0.54" dataDxfId="656">
      <calculatedColumnFormula array="1">IF(ISBLANK($A5), "Enter Sheet", IF($M5 &gt; minFiringRate, IF(SUM(INDIRECT($A5 &amp; "!AL3:AL102")) &gt; 0, INDIRECT($A5&amp;"!AL"&amp;DP$3), "NA"), "NA"))</calculatedColumnFormula>
    </tableColumn>
    <tableColumn id="120" xr3:uid="{520ADDB1-D143-0047-93F1-0EE306EE99F3}" name="BurstsPerHour_0.55" dataDxfId="655">
      <calculatedColumnFormula array="1">IF(ISBLANK($A5), "Enter Sheet", IF($M5 &gt; minFiringRate, IF(SUM(INDIRECT($A5 &amp; "!AL3:AL102")) &gt; 0, INDIRECT($A5&amp;"!AL"&amp;DQ$3), "NA"), "NA"))</calculatedColumnFormula>
    </tableColumn>
    <tableColumn id="121" xr3:uid="{22351B27-DD87-8346-AAEF-8BDF865F401C}" name="BurstsPerHour_0.56" dataDxfId="654">
      <calculatedColumnFormula array="1">IF(ISBLANK($A5), "Enter Sheet", IF($M5 &gt; minFiringRate, IF(SUM(INDIRECT($A5 &amp; "!AL3:AL102")) &gt; 0, INDIRECT($A5&amp;"!AL"&amp;DR$3), "NA"), "NA"))</calculatedColumnFormula>
    </tableColumn>
    <tableColumn id="122" xr3:uid="{E8195B01-1398-E14C-BADB-3B8E4F5F2849}" name="BurstsPerHour_0.57" dataDxfId="653">
      <calculatedColumnFormula array="1">IF(ISBLANK($A5), "Enter Sheet", IF($M5 &gt; minFiringRate, IF(SUM(INDIRECT($A5 &amp; "!AL3:AL102")) &gt; 0, INDIRECT($A5&amp;"!AL"&amp;DS$3), "NA"), "NA"))</calculatedColumnFormula>
    </tableColumn>
    <tableColumn id="123" xr3:uid="{4687F630-93FB-A243-B853-E2F3B869FA42}" name="BurstsPerHour_0.58" dataDxfId="652">
      <calculatedColumnFormula array="1">IF(ISBLANK($A5), "Enter Sheet", IF($M5 &gt; minFiringRate, IF(SUM(INDIRECT($A5 &amp; "!AL3:AL102")) &gt; 0, INDIRECT($A5&amp;"!AL"&amp;DT$3), "NA"), "NA"))</calculatedColumnFormula>
    </tableColumn>
    <tableColumn id="124" xr3:uid="{1423ADA7-EEFA-294D-8ED9-B71A95E5F33A}" name="BurstsPerHour_0.59" dataDxfId="651">
      <calculatedColumnFormula array="1">IF(ISBLANK($A5), "Enter Sheet", IF($M5 &gt; minFiringRate, IF(SUM(INDIRECT($A5 &amp; "!AL3:AL102")) &gt; 0, INDIRECT($A5&amp;"!AL"&amp;DU$3), "NA"), "NA"))</calculatedColumnFormula>
    </tableColumn>
    <tableColumn id="125" xr3:uid="{069A2E71-B6D5-284F-A1B0-67A61FE6D333}" name="BurstsPerHour_0.60" dataDxfId="650">
      <calculatedColumnFormula array="1">IF(ISBLANK($A5), "Enter Sheet", IF($M5 &gt; minFiringRate, IF(SUM(INDIRECT($A5 &amp; "!AL3:AL102")) &gt; 0, INDIRECT($A5&amp;"!AL"&amp;DV$3), "NA"), "NA"))</calculatedColumnFormula>
    </tableColumn>
    <tableColumn id="126" xr3:uid="{19B363CF-C4D8-7142-A79F-5DF67B4417D5}" name="BurstsPerHour_0.61" dataDxfId="649">
      <calculatedColumnFormula array="1">IF(ISBLANK($A5), "Enter Sheet", IF($M5 &gt; minFiringRate, IF(SUM(INDIRECT($A5 &amp; "!AL3:AL102")) &gt; 0, INDIRECT($A5&amp;"!AL"&amp;DW$3), "NA"), "NA"))</calculatedColumnFormula>
    </tableColumn>
    <tableColumn id="127" xr3:uid="{AC89852D-BEB6-644D-A86D-3641E8C0A65D}" name="BurstsPerHour_0.62" dataDxfId="648">
      <calculatedColumnFormula array="1">IF(ISBLANK($A5), "Enter Sheet", IF($M5 &gt; minFiringRate, IF(SUM(INDIRECT($A5 &amp; "!AL3:AL102")) &gt; 0, INDIRECT($A5&amp;"!AL"&amp;DX$3), "NA"), "NA"))</calculatedColumnFormula>
    </tableColumn>
    <tableColumn id="128" xr3:uid="{BE536808-0248-244B-B2C0-F58A531BCBBF}" name="BurstsPerHour_0.63" dataDxfId="647">
      <calculatedColumnFormula array="1">IF(ISBLANK($A5), "Enter Sheet", IF($M5 &gt; minFiringRate, IF(SUM(INDIRECT($A5 &amp; "!AL3:AL102")) &gt; 0, INDIRECT($A5&amp;"!AL"&amp;DY$3), "NA"), "NA"))</calculatedColumnFormula>
    </tableColumn>
    <tableColumn id="129" xr3:uid="{F9BF83A4-E8DC-4D40-907A-05807D65CAF7}" name="BurstsPerHour_0.64" dataDxfId="646">
      <calculatedColumnFormula array="1">IF(ISBLANK($A5), "Enter Sheet", IF($M5 &gt; minFiringRate, IF(SUM(INDIRECT($A5 &amp; "!AL3:AL102")) &gt; 0, INDIRECT($A5&amp;"!AL"&amp;DZ$3), "NA"), "NA"))</calculatedColumnFormula>
    </tableColumn>
    <tableColumn id="130" xr3:uid="{62083257-67FE-6744-8409-0A085B61FDBE}" name="BurstsPerHour_0.65" dataDxfId="645">
      <calculatedColumnFormula array="1">IF(ISBLANK($A5), "Enter Sheet", IF($M5 &gt; minFiringRate, IF(SUM(INDIRECT($A5 &amp; "!AL3:AL102")) &gt; 0, INDIRECT($A5&amp;"!AL"&amp;EA$3), "NA"), "NA"))</calculatedColumnFormula>
    </tableColumn>
    <tableColumn id="131" xr3:uid="{8FB866CA-655A-B740-999F-7B17648570C5}" name="BurstsPerHour_0.66" dataDxfId="644">
      <calculatedColumnFormula array="1">IF(ISBLANK($A5), "Enter Sheet", IF($M5 &gt; minFiringRate, IF(SUM(INDIRECT($A5 &amp; "!AL3:AL102")) &gt; 0, INDIRECT($A5&amp;"!AL"&amp;EB$3), "NA"), "NA"))</calculatedColumnFormula>
    </tableColumn>
    <tableColumn id="132" xr3:uid="{28F5A0A6-1851-DA4F-AEC1-9ED2F51839E6}" name="BurstsPerHour_0.67" dataDxfId="643">
      <calculatedColumnFormula array="1">IF(ISBLANK($A5), "Enter Sheet", IF($M5 &gt; minFiringRate, IF(SUM(INDIRECT($A5 &amp; "!AL3:AL102")) &gt; 0, INDIRECT($A5&amp;"!AL"&amp;EC$3), "NA"), "NA"))</calculatedColumnFormula>
    </tableColumn>
    <tableColumn id="133" xr3:uid="{9214E7FA-F9BE-3640-B2AF-B1A44AC4A3B2}" name="BurstsPerHour_0.68" dataDxfId="642">
      <calculatedColumnFormula array="1">IF(ISBLANK($A5), "Enter Sheet", IF($M5 &gt; minFiringRate, IF(SUM(INDIRECT($A5 &amp; "!AL3:AL102")) &gt; 0, INDIRECT($A5&amp;"!AL"&amp;ED$3), "NA"), "NA"))</calculatedColumnFormula>
    </tableColumn>
    <tableColumn id="134" xr3:uid="{062476F0-EA23-A047-A5F8-CAB82E05E29A}" name="BurstsPerHour_0.69" dataDxfId="641">
      <calculatedColumnFormula array="1">IF(ISBLANK($A5), "Enter Sheet", IF($M5 &gt; minFiringRate, IF(SUM(INDIRECT($A5 &amp; "!AL3:AL102")) &gt; 0, INDIRECT($A5&amp;"!AL"&amp;EE$3), "NA"), "NA"))</calculatedColumnFormula>
    </tableColumn>
    <tableColumn id="135" xr3:uid="{DB0E1B47-CDBF-4D49-BF95-6FE9BF703690}" name="BurstsPerHour_0.70" dataDxfId="640">
      <calculatedColumnFormula array="1">IF(ISBLANK($A5), "Enter Sheet", IF($M5 &gt; minFiringRate, IF(SUM(INDIRECT($A5 &amp; "!AL3:AL102")) &gt; 0, INDIRECT($A5&amp;"!AL"&amp;EF$3), "NA"), "NA"))</calculatedColumnFormula>
    </tableColumn>
    <tableColumn id="136" xr3:uid="{091BD831-50AC-2347-8BB6-F13E587C7D12}" name="BurstsPerHour_0.71" dataDxfId="639">
      <calculatedColumnFormula array="1">IF(ISBLANK($A5), "Enter Sheet", IF($M5 &gt; minFiringRate, IF(SUM(INDIRECT($A5 &amp; "!AL3:AL102")) &gt; 0, INDIRECT($A5&amp;"!AL"&amp;EG$3), "NA"), "NA"))</calculatedColumnFormula>
    </tableColumn>
    <tableColumn id="137" xr3:uid="{E55598D6-6ADE-DB4A-BBE6-B7F554DD3265}" name="BurstsPerHour_0.72" dataDxfId="638">
      <calculatedColumnFormula array="1">IF(ISBLANK($A5), "Enter Sheet", IF($M5 &gt; minFiringRate, IF(SUM(INDIRECT($A5 &amp; "!AL3:AL102")) &gt; 0, INDIRECT($A5&amp;"!AL"&amp;EH$3), "NA"), "NA"))</calculatedColumnFormula>
    </tableColumn>
    <tableColumn id="138" xr3:uid="{00EDB942-4B4C-664F-9A39-DCFD5C9C13DB}" name="BurstsPerHour_0.73" dataDxfId="637">
      <calculatedColumnFormula array="1">IF(ISBLANK($A5), "Enter Sheet", IF($M5 &gt; minFiringRate, IF(SUM(INDIRECT($A5 &amp; "!AL3:AL102")) &gt; 0, INDIRECT($A5&amp;"!AL"&amp;EI$3), "NA"), "NA"))</calculatedColumnFormula>
    </tableColumn>
    <tableColumn id="139" xr3:uid="{5A27326C-44C0-D440-918B-3FD89AE25E6C}" name="BurstsPerHour_0.74" dataDxfId="636">
      <calculatedColumnFormula array="1">IF(ISBLANK($A5), "Enter Sheet", IF($M5 &gt; minFiringRate, IF(SUM(INDIRECT($A5 &amp; "!AL3:AL102")) &gt; 0, INDIRECT($A5&amp;"!AL"&amp;EJ$3), "NA"), "NA"))</calculatedColumnFormula>
    </tableColumn>
    <tableColumn id="140" xr3:uid="{34739725-A8C1-384B-B00A-D06B8A5AFA0C}" name="BurstsPerHour_0.75" dataDxfId="635">
      <calculatedColumnFormula array="1">IF(ISBLANK($A5), "Enter Sheet", IF($M5 &gt; minFiringRate, IF(SUM(INDIRECT($A5 &amp; "!AL3:AL102")) &gt; 0, INDIRECT($A5&amp;"!AL"&amp;EK$3), "NA"), "NA"))</calculatedColumnFormula>
    </tableColumn>
    <tableColumn id="141" xr3:uid="{8D9E87E4-3B0D-9349-B55F-DA6360CBDB38}" name="BurstsPerHour_0.76" dataDxfId="634">
      <calculatedColumnFormula array="1">IF(ISBLANK($A5), "Enter Sheet", IF($M5 &gt; minFiringRate, IF(SUM(INDIRECT($A5 &amp; "!AL3:AL102")) &gt; 0, INDIRECT($A5&amp;"!AL"&amp;EL$3), "NA"), "NA"))</calculatedColumnFormula>
    </tableColumn>
    <tableColumn id="142" xr3:uid="{1CA2AEAA-7A28-B44B-BA78-37C3E92C98BE}" name="BurstsPerHour_0.77" dataDxfId="633">
      <calculatedColumnFormula array="1">IF(ISBLANK($A5), "Enter Sheet", IF($M5 &gt; minFiringRate, IF(SUM(INDIRECT($A5 &amp; "!AL3:AL102")) &gt; 0, INDIRECT($A5&amp;"!AL"&amp;EM$3), "NA"), "NA"))</calculatedColumnFormula>
    </tableColumn>
    <tableColumn id="143" xr3:uid="{DDA6A44D-F51A-0145-BDE7-1C993C2F4E93}" name="BurstsPerHour_0.78" dataDxfId="632">
      <calculatedColumnFormula array="1">IF(ISBLANK($A5), "Enter Sheet", IF($M5 &gt; minFiringRate, IF(SUM(INDIRECT($A5 &amp; "!AL3:AL102")) &gt; 0, INDIRECT($A5&amp;"!AL"&amp;EN$3), "NA"), "NA"))</calculatedColumnFormula>
    </tableColumn>
    <tableColumn id="144" xr3:uid="{DECDBA2B-F112-2D43-BEBB-0A4C69F54486}" name="BurstsPerHour_0.79" dataDxfId="631">
      <calculatedColumnFormula array="1">IF(ISBLANK($A5), "Enter Sheet", IF($M5 &gt; minFiringRate, IF(SUM(INDIRECT($A5 &amp; "!AL3:AL102")) &gt; 0, INDIRECT($A5&amp;"!AL"&amp;EO$3), "NA"), "NA"))</calculatedColumnFormula>
    </tableColumn>
    <tableColumn id="145" xr3:uid="{5032F8BD-9CCC-C840-A40E-D6CD4B5AAD81}" name="BurstsPerHour_0.80" dataDxfId="630">
      <calculatedColumnFormula array="1">IF(ISBLANK($A5), "Enter Sheet", IF($M5 &gt; minFiringRate, IF(SUM(INDIRECT($A5 &amp; "!AL3:AL102")) &gt; 0, INDIRECT($A5&amp;"!AL"&amp;EP$3), "NA"), "NA"))</calculatedColumnFormula>
    </tableColumn>
    <tableColumn id="146" xr3:uid="{84615A2C-6D90-B24B-B64C-BBC842503177}" name="BurstsPerHour_0.81" dataDxfId="629">
      <calculatedColumnFormula array="1">IF(ISBLANK($A5), "Enter Sheet", IF($M5 &gt; minFiringRate, IF(SUM(INDIRECT($A5 &amp; "!AL3:AL102")) &gt; 0, INDIRECT($A5&amp;"!AL"&amp;EQ$3), "NA"), "NA"))</calculatedColumnFormula>
    </tableColumn>
    <tableColumn id="147" xr3:uid="{3578E0B6-E706-9640-8144-34BEA8F744A8}" name="BurstsPerHour_0.82" dataDxfId="628">
      <calculatedColumnFormula array="1">IF(ISBLANK($A5), "Enter Sheet", IF($M5 &gt; minFiringRate, IF(SUM(INDIRECT($A5 &amp; "!AL3:AL102")) &gt; 0, INDIRECT($A5&amp;"!AL"&amp;ER$3), "NA"), "NA"))</calculatedColumnFormula>
    </tableColumn>
    <tableColumn id="148" xr3:uid="{2C91F9A5-BC6A-3B47-8153-5EB0396450B3}" name="BurstsPerHour_0.83" dataDxfId="627">
      <calculatedColumnFormula array="1">IF(ISBLANK($A5), "Enter Sheet", IF($M5 &gt; minFiringRate, IF(SUM(INDIRECT($A5 &amp; "!AL3:AL102")) &gt; 0, INDIRECT($A5&amp;"!AL"&amp;ES$3), "NA"), "NA"))</calculatedColumnFormula>
    </tableColumn>
    <tableColumn id="149" xr3:uid="{CB3C1B5A-3AA9-5F42-9F21-A0022346F1AA}" name="BurstsPerHour_0.84" dataDxfId="626">
      <calculatedColumnFormula array="1">IF(ISBLANK($A5), "Enter Sheet", IF($M5 &gt; minFiringRate, IF(SUM(INDIRECT($A5 &amp; "!AL3:AL102")) &gt; 0, INDIRECT($A5&amp;"!AL"&amp;ET$3), "NA"), "NA"))</calculatedColumnFormula>
    </tableColumn>
    <tableColumn id="150" xr3:uid="{2752EB2E-79B3-764C-AFB7-868B4ADE0965}" name="BurstsPerHour_0.85" dataDxfId="625">
      <calculatedColumnFormula array="1">IF(ISBLANK($A5), "Enter Sheet", IF($M5 &gt; minFiringRate, IF(SUM(INDIRECT($A5 &amp; "!AL3:AL102")) &gt; 0, INDIRECT($A5&amp;"!AL"&amp;EU$3), "NA"), "NA"))</calculatedColumnFormula>
    </tableColumn>
    <tableColumn id="151" xr3:uid="{6F7663D1-A074-5549-828C-38DC919E6E33}" name="BurstsPerHour_0.86" dataDxfId="624">
      <calculatedColumnFormula array="1">IF(ISBLANK($A5), "Enter Sheet", IF($M5 &gt; minFiringRate, IF(SUM(INDIRECT($A5 &amp; "!AL3:AL102")) &gt; 0, INDIRECT($A5&amp;"!AL"&amp;EV$3), "NA"), "NA"))</calculatedColumnFormula>
    </tableColumn>
    <tableColumn id="152" xr3:uid="{36FB4CA3-8A18-DC42-BDD2-6E6377E97905}" name="BurstsPerHour_0.87" dataDxfId="623">
      <calculatedColumnFormula array="1">IF(ISBLANK($A5), "Enter Sheet", IF($M5 &gt; minFiringRate, IF(SUM(INDIRECT($A5 &amp; "!AL3:AL102")) &gt; 0, INDIRECT($A5&amp;"!AL"&amp;EW$3), "NA"), "NA"))</calculatedColumnFormula>
    </tableColumn>
    <tableColumn id="153" xr3:uid="{2B39C91F-83E2-BC40-89C2-67AC58BCCD4F}" name="BurstsPerHour_0.88" dataDxfId="622">
      <calculatedColumnFormula array="1">IF(ISBLANK($A5), "Enter Sheet", IF($M5 &gt; minFiringRate, IF(SUM(INDIRECT($A5 &amp; "!AL3:AL102")) &gt; 0, INDIRECT($A5&amp;"!AL"&amp;EX$3), "NA"), "NA"))</calculatedColumnFormula>
    </tableColumn>
    <tableColumn id="154" xr3:uid="{A4D51370-9803-6C43-8FF7-3EB5848B72DD}" name="BurstsPerHour_0.89" dataDxfId="621">
      <calculatedColumnFormula array="1">IF(ISBLANK($A5), "Enter Sheet", IF($M5 &gt; minFiringRate, IF(SUM(INDIRECT($A5 &amp; "!AL3:AL102")) &gt; 0, INDIRECT($A5&amp;"!AL"&amp;EY$3), "NA"), "NA"))</calculatedColumnFormula>
    </tableColumn>
    <tableColumn id="155" xr3:uid="{B1EEF110-373B-7D41-8F54-9C55CC533184}" name="BurstsPerHour_0.90" dataDxfId="620">
      <calculatedColumnFormula array="1">IF(ISBLANK($A5), "Enter Sheet", IF($M5 &gt; minFiringRate, IF(SUM(INDIRECT($A5 &amp; "!AL3:AL102")) &gt; 0, INDIRECT($A5&amp;"!AL"&amp;EZ$3), "NA"), "NA"))</calculatedColumnFormula>
    </tableColumn>
    <tableColumn id="156" xr3:uid="{4ED6C150-2544-7D47-8A86-2C95F896D156}" name="BurstsPerHour_0.91" dataDxfId="619">
      <calculatedColumnFormula array="1">IF(ISBLANK($A5), "Enter Sheet", IF($M5 &gt; minFiringRate, IF(SUM(INDIRECT($A5 &amp; "!AL3:AL102")) &gt; 0, INDIRECT($A5&amp;"!AL"&amp;FA$3), "NA"), "NA"))</calculatedColumnFormula>
    </tableColumn>
    <tableColumn id="157" xr3:uid="{CED236AE-0322-6642-B0D3-62DFE56FCD15}" name="BurstsPerHour_0.92" dataDxfId="618">
      <calculatedColumnFormula array="1">IF(ISBLANK($A5), "Enter Sheet", IF($M5 &gt; minFiringRate, IF(SUM(INDIRECT($A5 &amp; "!AL3:AL102")) &gt; 0, INDIRECT($A5&amp;"!AL"&amp;FB$3), "NA"), "NA"))</calculatedColumnFormula>
    </tableColumn>
    <tableColumn id="158" xr3:uid="{E68730DF-97EF-C543-AF59-92AAB4BB475E}" name="BurstsPerHour_0.93" dataDxfId="617">
      <calculatedColumnFormula array="1">IF(ISBLANK($A5), "Enter Sheet", IF($M5 &gt; minFiringRate, IF(SUM(INDIRECT($A5 &amp; "!AL3:AL102")) &gt; 0, INDIRECT($A5&amp;"!AL"&amp;FC$3), "NA"), "NA"))</calculatedColumnFormula>
    </tableColumn>
    <tableColumn id="159" xr3:uid="{3BBC20F2-377C-5A43-A43E-BBCD5982CFBE}" name="BurstsPerHour_0.94" dataDxfId="616">
      <calculatedColumnFormula array="1">IF(ISBLANK($A5), "Enter Sheet", IF($M5 &gt; minFiringRate, IF(SUM(INDIRECT($A5 &amp; "!AL3:AL102")) &gt; 0, INDIRECT($A5&amp;"!AL"&amp;FD$3), "NA"), "NA"))</calculatedColumnFormula>
    </tableColumn>
    <tableColumn id="160" xr3:uid="{CBB6939B-469B-F04D-BD5B-A31F8BB98D01}" name="BurstsPerHour_0.95" dataDxfId="615">
      <calculatedColumnFormula array="1">IF(ISBLANK($A5), "Enter Sheet", IF($M5 &gt; minFiringRate, IF(SUM(INDIRECT($A5 &amp; "!AL3:AL102")) &gt; 0, INDIRECT($A5&amp;"!AL"&amp;FE$3), "NA"), "NA"))</calculatedColumnFormula>
    </tableColumn>
    <tableColumn id="161" xr3:uid="{DFC5DA7B-4F46-DB4D-8BC2-E10417290A64}" name="BurstsPerHour_0.96" dataDxfId="614">
      <calculatedColumnFormula array="1">IF(ISBLANK($A5), "Enter Sheet", IF($M5 &gt; minFiringRate, IF(SUM(INDIRECT($A5 &amp; "!AL3:AL102")) &gt; 0, INDIRECT($A5&amp;"!AL"&amp;FF$3), "NA"), "NA"))</calculatedColumnFormula>
    </tableColumn>
    <tableColumn id="162" xr3:uid="{539A7170-02D3-2749-B28E-62B2154C3109}" name="BurstsPerHour_0.97" dataDxfId="613">
      <calculatedColumnFormula array="1">IF(ISBLANK($A5), "Enter Sheet", IF($M5 &gt; minFiringRate, IF(SUM(INDIRECT($A5 &amp; "!AL3:AL102")) &gt; 0, INDIRECT($A5&amp;"!AL"&amp;FG$3), "NA"), "NA"))</calculatedColumnFormula>
    </tableColumn>
    <tableColumn id="163" xr3:uid="{D82FE163-3D39-E94F-9733-C88DD335D535}" name="BurstsPerHour_0.98" dataDxfId="612">
      <calculatedColumnFormula array="1">IF(ISBLANK($A5), "Enter Sheet", IF($M5 &gt; minFiringRate, IF(SUM(INDIRECT($A5 &amp; "!AL3:AL102")) &gt; 0, INDIRECT($A5&amp;"!AL"&amp;FH$3), "NA"), "NA"))</calculatedColumnFormula>
    </tableColumn>
    <tableColumn id="164" xr3:uid="{24F9FDC0-DC82-EF41-931E-6D6FC21141F0}" name="BurstsPerHour_0.99" dataDxfId="611">
      <calculatedColumnFormula array="1">IF(ISBLANK($A5), "Enter Sheet", IF($M5 &gt; minFiringRate, IF(SUM(INDIRECT($A5 &amp; "!AL3:AL102")) &gt; 0, INDIRECT($A5&amp;"!AL"&amp;FI$3), "NA"), "NA"))</calculatedColumnFormula>
    </tableColumn>
    <tableColumn id="165" xr3:uid="{54CC3A0B-2CCA-2748-97F4-38A18675DA9F}" name="BurstsPerHour_1.00" dataDxfId="610">
      <calculatedColumnFormula array="1">IF(ISBLANK($A5), "Enter Sheet", IF($M5 &gt; minFiringRate, IF(SUM(INDIRECT($A5 &amp; "!AL3:AL102")) &gt; 0, INDIRECT($A5&amp;"!AL"&amp;FJ$3), "NA"), "NA"))</calculatedColumnFormula>
    </tableColumn>
    <tableColumn id="176" xr3:uid="{590A183B-89F8-46F2-9779-BF7EB16F5DC3}" name="Mbd_spont_BW1" dataDxfId="609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FK$3 &amp; "3:" &amp; FK$3 &amp; "102")), "NA"))</calculatedColumnFormula>
    </tableColumn>
    <tableColumn id="177" xr3:uid="{74751483-D432-4FF7-8545-F3BE8A9094FD}" name="SpikesPerBurst_spont_BW1" dataDxfId="608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FL$3 &amp; "3:" &amp; FL$3 &amp; "102")), "NA"))</calculatedColumnFormula>
    </tableColumn>
    <tableColumn id="178" xr3:uid="{72128186-132C-44FA-ACA6-E34404CE1161}" name="BurstFreq_spont_BW1" dataDxfId="607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FM$3 &amp; "3:" &amp; FM$3 &amp; "102")), "NA"))</calculatedColumnFormula>
    </tableColumn>
    <tableColumn id="179" xr3:uid="{86BA427D-3780-4DEE-82A9-FA3DE0941B40}" name="SingleSpikeNum_spont_BW1" dataDxfId="606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FN$3 &amp; "3:" &amp; FN$3 &amp; "102")), "NA"))</calculatedColumnFormula>
    </tableColumn>
    <tableColumn id="180" xr3:uid="{EAB3F852-213A-4565-B961-750029CC0BF6}" name="SingleSpikeFreq_spont_BW1" dataDxfId="605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FO$3 &amp; "3:" &amp; FO$3 &amp; "102")), "NA"))</calculatedColumnFormula>
    </tableColumn>
    <tableColumn id="181" xr3:uid="{C265B3CA-93F4-43F1-A803-6AB506BC5BF8}" name="TotalFreq_spont_BW1" dataDxfId="604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FP$3 &amp; "3:" &amp; FP$3 &amp; "102")), "NA"))</calculatedColumnFormula>
    </tableColumn>
    <tableColumn id="182" xr3:uid="{6F8FC217-DD1C-44E6-8FFC-9472ACBC00A6}" name="InterBurst_spont_BW1" dataDxfId="603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FQ$3 &amp; "3:" &amp; FQ$3 &amp; "102")), "NA"))</calculatedColumnFormula>
    </tableColumn>
    <tableColumn id="183" xr3:uid="{060F4077-C014-40B6-A380-2F612C51490B}" name="IntraBurst_spont_BW1" dataDxfId="602">
      <calculatedColumnFormula array="1">IF(ISBLANK($A5), "Enter Sheet Name", IF(0 &lt; _xlfn.XLOOKUP(SelectedBW_1, INDIRECT($A5 &amp; "!A3:A102"), INDIRECT($A5 &amp; "!" &amp; $FS$3 &amp; "3:" &amp; $FS$3 &amp; "102")),_xlfn.XLOOKUP(SelectedBW_1, INDIRECT($A5 &amp; "!A3:A102"), INDIRECT($A5 &amp; "!" &amp; FR$3 &amp; "3:" &amp; FR$3 &amp; "102")), "NA"))</calculatedColumnFormula>
    </tableColumn>
    <tableColumn id="184" xr3:uid="{95B6710A-952B-4409-9301-9C197A548E97}" name="BurstsPerHour_spont_BW1" dataDxfId="601">
      <calculatedColumnFormula array="1">IF(ISBLANK($A5), "Enter Sheet", IF(ISNUMBER($M5), IF(ISNUMBER(_xlfn.XLOOKUP(SelectedBW_1, INDIRECT($A5 &amp; "!A3:A102"), INDIRECT($A5 &amp; "!" &amp; $FS$3 &amp; "3:" &amp; $FS$3 &amp; "102"))), _xlfn.XLOOKUP(SelectedBW_1, INDIRECT($A5 &amp; "!A3:A102"), INDIRECT($A5 &amp; "!" &amp; $FS$3 &amp; "3:" &amp; $FS$3 &amp; "102")), IF($C5, 0, "NA")), "Enter Cell Values"))</calculatedColumnFormula>
    </tableColumn>
    <tableColumn id="185" xr3:uid="{60467733-5278-4A2C-8B05-915F52EE6CF0}" name="Mbd_spont_BW2" dataDxfId="600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FT$3 &amp; "3:" &amp; FT$3 &amp; "102")), "NA"))</calculatedColumnFormula>
    </tableColumn>
    <tableColumn id="186" xr3:uid="{3129EB34-6F7B-48E7-AA89-DB8833B08C3F}" name="SpikesPerBurst_spont_BW2" dataDxfId="599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FU$3 &amp; "3:" &amp; FU$3 &amp; "102")), "NA"))</calculatedColumnFormula>
    </tableColumn>
    <tableColumn id="187" xr3:uid="{3230A52E-CB21-4397-A264-67BC40700B51}" name="BurstFreq_spont_BW2" dataDxfId="598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FV$3 &amp; "3:" &amp; FV$3 &amp; "102")), "NA"))</calculatedColumnFormula>
    </tableColumn>
    <tableColumn id="188" xr3:uid="{75E38970-7649-48F7-B026-E2A91A06DCB2}" name="SingleSpikeNum_spont_BW2" dataDxfId="597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FW$3 &amp; "3:" &amp; FW$3 &amp; "102")), "NA"))</calculatedColumnFormula>
    </tableColumn>
    <tableColumn id="189" xr3:uid="{243DE8C1-BEBD-40E5-837F-4BD337DBC86E}" name="SingleSpikeFreq_spont_BW2" dataDxfId="596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FX$3 &amp; "3:" &amp; FX$3 &amp; "102")), "NA"))</calculatedColumnFormula>
    </tableColumn>
    <tableColumn id="190" xr3:uid="{E436497E-7272-4DD6-909F-5384776617DE}" name="TotalFreq_spont_BW2" dataDxfId="595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FY$3 &amp; "3:" &amp; FY$3 &amp; "102")), "NA"))</calculatedColumnFormula>
    </tableColumn>
    <tableColumn id="191" xr3:uid="{49B29EF4-E523-4EED-BF31-CAC5E8A0C951}" name="InterBurst_spont_BW2" dataDxfId="594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FZ$3 &amp; "3:" &amp; FZ$3 &amp; "102")), "NA"))</calculatedColumnFormula>
    </tableColumn>
    <tableColumn id="192" xr3:uid="{BAE2C3B9-9814-445A-BF7E-8CB2E517541D}" name="IntraBurst_spont_BW2" dataDxfId="593">
      <calculatedColumnFormula array="1">IF(ISBLANK($A5), "Enter Sheet Name", IF(0 &lt; _xlfn.XLOOKUP(SelectedBW_2, INDIRECT($A5 &amp; "!A3:A102"), INDIRECT($A5 &amp; "!" &amp; $GB$3 &amp; "3:" &amp; $GB$3 &amp; "102")),_xlfn.XLOOKUP(SelectedBW_2, INDIRECT($A5 &amp; "!A3:A102"), INDIRECT($A5 &amp; "!" &amp; GA$3 &amp; "3:" &amp; GA$3 &amp; "102")), "NA"))</calculatedColumnFormula>
    </tableColumn>
    <tableColumn id="193" xr3:uid="{BA4B063A-F6F2-4FEF-8D6B-07EEBCD39DFC}" name="BurstsPerHour_spont_BW2" dataDxfId="592">
      <calculatedColumnFormula array="1">IF(ISBLANK($A5), "Enter Sheet", IF(ISNUMBER($M5), IF(ISNUMBER(_xlfn.XLOOKUP(SelectedBW_2, INDIRECT($A5 &amp; "!A3:A102"), INDIRECT($A5 &amp; "!" &amp; $GB$3 &amp; "3:" &amp; $GB$3 &amp; "102"))), _xlfn.XLOOKUP(SelectedBW_2, INDIRECT($A5 &amp; "!A3:A102"), INDIRECT($A5 &amp; "!" &amp; $GB$3 &amp; "3:" &amp; $GB$3 &amp; "102")), IF($C5, 0, "NA")), "Enter Cell Values"))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xr:uid="{766C6A8C-D5C6-8849-AAD6-117E4AF07D19}" name="CellData436" displayName="CellData436" ref="A4:GD6" totalsRowShown="0" dataDxfId="591">
  <autoFilter ref="A4:GD6" xr:uid="{566B5D69-64EA-4298-BA4E-9BCE09ACA2C2}"/>
  <tableColumns count="186">
    <tableColumn id="1" xr3:uid="{1C6DAAF1-5A99-4243-9DDC-589BCB38944E}" name="SheetName" dataDxfId="590">
      <calculatedColumnFormula>IF(ISBLANK(CellData[[#This Row],[SheetName]]), "", CellData[[#This Row],[SheetName]])</calculatedColumnFormula>
    </tableColumn>
    <tableColumn id="2" xr3:uid="{1E420267-D265-7A42-BA0A-DACCAD66A473}" name="Comments" dataDxfId="589">
      <calculatedColumnFormula>IF(ISBLANK(CellData[[#This Row],[Comments]]), "", CellData[[#This Row],[Comments]])</calculatedColumnFormula>
    </tableColumn>
    <tableColumn id="5" xr3:uid="{D005C693-1D42-B149-9A72-7E1EBB8C39F5}" name="StartTime_spont" dataDxfId="588">
      <calculatedColumnFormula array="1">IF(CellData436[[#This Row],[SheetName]] = "", "Enter Sheet", INDIRECT(CellData436[[#This Row],[SheetName]]&amp;"!"&amp;CellData436[[#Headers],[StartTime_spont]]))</calculatedColumnFormula>
    </tableColumn>
    <tableColumn id="4" xr3:uid="{B70EA575-D621-674C-A8F6-A2E363E6AAE5}" name="EndTime_spont" dataDxfId="587">
      <calculatedColumnFormula array="1">IF(CellData436[[#This Row],[SheetName]] = "", "Enter Sheet", INDIRECT(CellData436[[#This Row],[SheetName]]&amp;"!"&amp;CellData436[[#Headers],[EndTime_spont]]))</calculatedColumnFormula>
    </tableColumn>
    <tableColumn id="3" xr3:uid="{FF766C46-EB09-3148-AC66-7B0CF1CDB66D}" name="CellID" dataDxfId="586">
      <calculatedColumnFormula>IF(ISBLANK(CellData[[#This Row],[CellID]]), "", CellData[[#This Row],[CellID]])</calculatedColumnFormula>
    </tableColumn>
    <tableColumn id="66" xr3:uid="{E44E3E62-31D6-3B43-935E-1EA7F9DD3BC4}" name="FreqHz_0" dataDxfId="585">
      <calculatedColumnFormula array="1">IF($A5 = "", "Enter Sheet Name", IF(($C5 + F$3) &lt; $D5, _xlfn.XLOOKUP(($C5 + F$3), INDIRECT($A5 &amp; "!D112:D291"), INDIRECT($A5 &amp; "!K112:K291")), "NA"))</calculatedColumnFormula>
    </tableColumn>
    <tableColumn id="67" xr3:uid="{F6AE7093-959D-CD4C-A29A-A12A07863F8D}" name="FreqHz_1" dataDxfId="584">
      <calculatedColumnFormula array="1">IF($A5 = "", "Enter Sheet Name", IF(($C5 + G$3) &lt; $D5, _xlfn.XLOOKUP(($C5 + G$3), INDIRECT($A5 &amp; "!D112:D291"), INDIRECT($A5 &amp; "!K112:K291")), "NA"))</calculatedColumnFormula>
    </tableColumn>
    <tableColumn id="68" xr3:uid="{12BE89BE-4422-6C45-828D-DA1BDE44F8A1}" name="FreqHz_2" dataDxfId="583">
      <calculatedColumnFormula array="1">IF($A5 = "", "Enter Sheet Name", IF(($C5 + H$3) &lt; $D5, _xlfn.XLOOKUP(($C5 + H$3), INDIRECT($A5 &amp; "!D112:D291"), INDIRECT($A5 &amp; "!K112:K291")), "NA"))</calculatedColumnFormula>
    </tableColumn>
    <tableColumn id="69" xr3:uid="{03C63FBA-65C1-E543-9CD3-4CEE694CE248}" name="FreqHz_3" dataDxfId="582">
      <calculatedColumnFormula array="1">IF($A5 = "", "Enter Sheet Name", IF(($C5 + I$3) &lt; $D5, _xlfn.XLOOKUP(($C5 + I$3), INDIRECT($A5 &amp; "!D112:D291"), INDIRECT($A5 &amp; "!K112:K291")), "NA"))</calculatedColumnFormula>
    </tableColumn>
    <tableColumn id="70" xr3:uid="{8EFADBA9-1AF6-A245-91D2-C15D218734E9}" name="FreqHz_4" dataDxfId="581">
      <calculatedColumnFormula array="1">IF($A5 = "", "Enter Sheet Name", IF(($C5 + J$3) &lt; $D5, _xlfn.XLOOKUP(($C5 + J$3), INDIRECT($A5 &amp; "!D112:D291"), INDIRECT($A5 &amp; "!K112:K291")), "NA"))</calculatedColumnFormula>
    </tableColumn>
    <tableColumn id="71" xr3:uid="{C2DB41AD-EE9D-C54B-912A-67197355803A}" name="FreqHz_5" dataDxfId="580">
      <calculatedColumnFormula array="1">IF($A5 = "", "Enter Sheet Name", IF(($C5 + K$3) &lt; $D5, _xlfn.XLOOKUP(($C5 + K$3), INDIRECT($A5 &amp; "!D112:D291"), INDIRECT($A5 &amp; "!K112:K291")), "NA"))</calculatedColumnFormula>
    </tableColumn>
    <tableColumn id="72" xr3:uid="{725CA760-CAD4-1348-BD3F-A7CC169E7792}" name="FreqHz_6" dataDxfId="579">
      <calculatedColumnFormula array="1">IF($A5 = "", "Enter Sheet Name", IF(($C5 + L$3) &lt; $D5, _xlfn.XLOOKUP(($C5 + L$3), INDIRECT($A5 &amp; "!D112:D291"), INDIRECT($A5 &amp; "!K112:K291")), "NA"))</calculatedColumnFormula>
    </tableColumn>
    <tableColumn id="73" xr3:uid="{DF94F277-2E5D-7244-966B-3CE456008B1B}" name="FreqHz_7" dataDxfId="578">
      <calculatedColumnFormula array="1">IF($A5 = "", "Enter Sheet Name", IF(($C5 + M$3) &lt; $D5, _xlfn.XLOOKUP(($C5 + M$3), INDIRECT($A5 &amp; "!D112:D291"), INDIRECT($A5 &amp; "!K112:K291")), "NA"))</calculatedColumnFormula>
    </tableColumn>
    <tableColumn id="74" xr3:uid="{E79655F3-DABB-354A-8501-974E547FEF73}" name="FreqHz_8" dataDxfId="577">
      <calculatedColumnFormula array="1">IF($A5 = "", "Enter Sheet Name", IF(($C5 + N$3) &lt; $D5, _xlfn.XLOOKUP(($C5 + N$3), INDIRECT($A5 &amp; "!D112:D291"), INDIRECT($A5 &amp; "!K112:K291")), "NA"))</calculatedColumnFormula>
    </tableColumn>
    <tableColumn id="75" xr3:uid="{DD351521-00FB-774F-BEB1-5A427FA47D0F}" name="FreqHz_9" dataDxfId="576">
      <calculatedColumnFormula array="1">IF($A5 = "", "Enter Sheet Name", IF(($C5 + O$3) &lt; $D5, _xlfn.XLOOKUP(($C5 + O$3), INDIRECT($A5 &amp; "!D112:D291"), INDIRECT($A5 &amp; "!K112:K291")), "NA"))</calculatedColumnFormula>
    </tableColumn>
    <tableColumn id="76" xr3:uid="{2689126C-E4CB-424A-A220-CBCB6C454FBC}" name="FreqHz_10" dataDxfId="575">
      <calculatedColumnFormula array="1">IF($A5 = "", "Enter Sheet Name", IF(($C5 + P$3) &lt; $D5, _xlfn.XLOOKUP(($C5 + P$3), INDIRECT($A5 &amp; "!D112:D291"), INDIRECT($A5 &amp; "!K112:K291")), "NA"))</calculatedColumnFormula>
    </tableColumn>
    <tableColumn id="77" xr3:uid="{A91B8984-8C64-B444-8924-ACB8E1A7025C}" name="FreqHz_11" dataDxfId="574">
      <calculatedColumnFormula array="1">IF($A5 = "", "Enter Sheet Name", IF(($C5 + Q$3) &lt; $D5, _xlfn.XLOOKUP(($C5 + Q$3), INDIRECT($A5 &amp; "!D112:D291"), INDIRECT($A5 &amp; "!K112:K291")), "NA"))</calculatedColumnFormula>
    </tableColumn>
    <tableColumn id="78" xr3:uid="{1B67E246-DF71-3743-8128-63A5D37ABF74}" name="FreqHz_12" dataDxfId="573">
      <calculatedColumnFormula array="1">IF($A5 = "", "Enter Sheet Name", IF(($C5 + R$3) &lt; $D5, _xlfn.XLOOKUP(($C5 + R$3), INDIRECT($A5 &amp; "!D112:D291"), INDIRECT($A5 &amp; "!K112:K291")), "NA"))</calculatedColumnFormula>
    </tableColumn>
    <tableColumn id="79" xr3:uid="{7A3615F3-87D9-B149-AF07-F38A058E019B}" name="FreqHz_13" dataDxfId="572">
      <calculatedColumnFormula array="1">IF($A5 = "", "Enter Sheet Name", IF(($C5 + S$3) &lt; $D5, _xlfn.XLOOKUP(($C5 + S$3), INDIRECT($A5 &amp; "!D112:D291"), INDIRECT($A5 &amp; "!K112:K291")), "NA"))</calculatedColumnFormula>
    </tableColumn>
    <tableColumn id="80" xr3:uid="{8831F925-52B6-F64B-9B85-28F30C919E61}" name="FreqHz_14" dataDxfId="571">
      <calculatedColumnFormula array="1">IF($A5 = "", "Enter Sheet Name", IF(($C5 + T$3) &lt; $D5, _xlfn.XLOOKUP(($C5 + T$3), INDIRECT($A5 &amp; "!D112:D291"), INDIRECT($A5 &amp; "!K112:K291")), "NA"))</calculatedColumnFormula>
    </tableColumn>
    <tableColumn id="81" xr3:uid="{51770026-AD87-B94F-943E-E4C6002D118A}" name="FreqHz_15" dataDxfId="570">
      <calculatedColumnFormula array="1">IF($A5 = "", "Enter Sheet Name", IF(($C5 + U$3) &lt; $D5, _xlfn.XLOOKUP(($C5 + U$3), INDIRECT($A5 &amp; "!D112:D291"), INDIRECT($A5 &amp; "!K112:K291")), "NA"))</calculatedColumnFormula>
    </tableColumn>
    <tableColumn id="82" xr3:uid="{D5DED45B-1DE0-2E4A-B155-4A1DF25D9E02}" name="FreqHz_16" dataDxfId="569">
      <calculatedColumnFormula array="1">IF($A5 = "", "Enter Sheet Name", IF(($C5 + V$3) &lt; $D5, _xlfn.XLOOKUP(($C5 + V$3), INDIRECT($A5 &amp; "!D112:D291"), INDIRECT($A5 &amp; "!K112:K291")), "NA"))</calculatedColumnFormula>
    </tableColumn>
    <tableColumn id="83" xr3:uid="{0386733C-9DAC-C046-AD88-10D210A3E3EE}" name="FreqHz_17" dataDxfId="568">
      <calculatedColumnFormula array="1">IF($A5 = "", "Enter Sheet Name", IF(($C5 + W$3) &lt; $D5, _xlfn.XLOOKUP(($C5 + W$3), INDIRECT($A5 &amp; "!D112:D291"), INDIRECT($A5 &amp; "!K112:K291")), "NA"))</calculatedColumnFormula>
    </tableColumn>
    <tableColumn id="84" xr3:uid="{82FF61CE-693A-D347-A9D1-F16178C34F3C}" name="FreqHz_18" dataDxfId="567">
      <calculatedColumnFormula array="1">IF($A5 = "", "Enter Sheet Name", IF(($C5 + X$3) &lt; $D5, _xlfn.XLOOKUP(($C5 + X$3), INDIRECT($A5 &amp; "!D112:D291"), INDIRECT($A5 &amp; "!K112:K291")), "NA"))</calculatedColumnFormula>
    </tableColumn>
    <tableColumn id="85" xr3:uid="{0BEA551A-4CB9-8B4C-8842-7F29D4ABEBD4}" name="FreqHz_19" dataDxfId="566">
      <calculatedColumnFormula array="1">IF($A5 = "", "Enter Sheet Name", IF(($C5 + Y$3) &lt; $D5, _xlfn.XLOOKUP(($C5 + Y$3), INDIRECT($A5 &amp; "!D112:D291"), INDIRECT($A5 &amp; "!K112:K291")), "NA"))</calculatedColumnFormula>
    </tableColumn>
    <tableColumn id="86" xr3:uid="{D55E7CC3-E2B2-6547-B1A1-3878AEB16C0F}" name="FreqHz_20" dataDxfId="565">
      <calculatedColumnFormula array="1">IF($A5 = "", "Enter Sheet Name", IF(($C5 + Z$3) &lt; $D5, _xlfn.XLOOKUP(($C5 + Z$3), INDIRECT($A5 &amp; "!D112:D291"), INDIRECT($A5 &amp; "!K112:K291")), "NA"))</calculatedColumnFormula>
    </tableColumn>
    <tableColumn id="87" xr3:uid="{AD9984F6-288C-0245-A53F-BF7E3A21167C}" name="FreqHz_21" dataDxfId="564">
      <calculatedColumnFormula array="1">IF($A5 = "", "Enter Sheet Name", IF(($C5 + AA$3) &lt; $D5, _xlfn.XLOOKUP(($C5 + AA$3), INDIRECT($A5 &amp; "!D112:D291"), INDIRECT($A5 &amp; "!K112:K291")), "NA"))</calculatedColumnFormula>
    </tableColumn>
    <tableColumn id="88" xr3:uid="{9A4A4ECE-3771-354A-B765-4F7015B66FB8}" name="FreqHz_22" dataDxfId="563">
      <calculatedColumnFormula array="1">IF($A5 = "", "Enter Sheet Name", IF(($C5 + AB$3) &lt; $D5, _xlfn.XLOOKUP(($C5 + AB$3), INDIRECT($A5 &amp; "!D112:D291"), INDIRECT($A5 &amp; "!K112:K291")), "NA"))</calculatedColumnFormula>
    </tableColumn>
    <tableColumn id="89" xr3:uid="{B053EF8C-3F08-114F-9E11-8115EF2373A2}" name="FreqHz_23" dataDxfId="562">
      <calculatedColumnFormula array="1">IF($A5 = "", "Enter Sheet Name", IF(($C5 + AC$3) &lt; $D5, _xlfn.XLOOKUP(($C5 + AC$3), INDIRECT($A5 &amp; "!D112:D291"), INDIRECT($A5 &amp; "!K112:K291")), "NA"))</calculatedColumnFormula>
    </tableColumn>
    <tableColumn id="90" xr3:uid="{1B1F589E-4A90-AC41-9629-73FE1E1D0008}" name="FreqHz_24" dataDxfId="561">
      <calculatedColumnFormula array="1">IF($A5 = "", "Enter Sheet Name", IF(($C5 + AD$3) &lt; $D5, _xlfn.XLOOKUP(($C5 + AD$3), INDIRECT($A5 &amp; "!D112:D291"), INDIRECT($A5 &amp; "!K112:K291")), "NA"))</calculatedColumnFormula>
    </tableColumn>
    <tableColumn id="91" xr3:uid="{15192F41-5FD9-7C4C-B26E-F760DC3DC7DC}" name="FreqHz_25" dataDxfId="560">
      <calculatedColumnFormula array="1">IF($A5 = "", "Enter Sheet Name", IF(($C5 + AE$3) &lt; $D5, _xlfn.XLOOKUP(($C5 + AE$3), INDIRECT($A5 &amp; "!D112:D291"), INDIRECT($A5 &amp; "!K112:K291")), "NA"))</calculatedColumnFormula>
    </tableColumn>
    <tableColumn id="92" xr3:uid="{D7A7E59A-1227-BF48-8A89-E69FF333C9DB}" name="FreqHz_26" dataDxfId="559">
      <calculatedColumnFormula array="1">IF($A5 = "", "Enter Sheet Name", IF(($C5 + AF$3) &lt; $D5, _xlfn.XLOOKUP(($C5 + AF$3), INDIRECT($A5 &amp; "!D112:D291"), INDIRECT($A5 &amp; "!K112:K291")), "NA"))</calculatedColumnFormula>
    </tableColumn>
    <tableColumn id="93" xr3:uid="{BEC7F06F-2AAB-B742-88E2-D8833C271C82}" name="FreqHz_27" dataDxfId="558">
      <calculatedColumnFormula array="1">IF($A5 = "", "Enter Sheet Name", IF(($C5 + AG$3) &lt; $D5, _xlfn.XLOOKUP(($C5 + AG$3), INDIRECT($A5 &amp; "!D112:D291"), INDIRECT($A5 &amp; "!K112:K291")), "NA"))</calculatedColumnFormula>
    </tableColumn>
    <tableColumn id="94" xr3:uid="{F0F2DEDA-85D3-8045-BC9B-E7AB9ABC49D6}" name="FreqHz_28" dataDxfId="557">
      <calculatedColumnFormula array="1">IF($A5 = "", "Enter Sheet Name", IF(($C5 + AH$3) &lt; $D5, _xlfn.XLOOKUP(($C5 + AH$3), INDIRECT($A5 &amp; "!D112:D291"), INDIRECT($A5 &amp; "!K112:K291")), "NA"))</calculatedColumnFormula>
    </tableColumn>
    <tableColumn id="95" xr3:uid="{6AB8ACE5-03E0-D840-8B63-9335F0DA6650}" name="FreqHz_29" dataDxfId="556">
      <calculatedColumnFormula array="1">IF($A5 = "", "Enter Sheet Name", IF(($C5 + AI$3) &lt; $D5, _xlfn.XLOOKUP(($C5 + AI$3), INDIRECT($A5 &amp; "!D112:D291"), INDIRECT($A5 &amp; "!K112:K291")), "NA"))</calculatedColumnFormula>
    </tableColumn>
    <tableColumn id="96" xr3:uid="{DCADF207-0DAC-D140-B4AD-B365AA199077}" name="FreqHz_30" dataDxfId="555">
      <calculatedColumnFormula array="1">IF($A5 = "", "Enter Sheet Name", IF(($C5 + AJ$3) &lt; $D5, _xlfn.XLOOKUP(($C5 + AJ$3), INDIRECT($A5 &amp; "!D112:D291"), INDIRECT($A5 &amp; "!K112:K291")), "NA"))</calculatedColumnFormula>
    </tableColumn>
    <tableColumn id="97" xr3:uid="{C46296B5-1B8B-0848-A3AD-F05D75A9F774}" name="FreqHz_31" dataDxfId="554">
      <calculatedColumnFormula array="1">IF($A5 = "", "Enter Sheet Name", IF(($C5 + AK$3) &lt; $D5, _xlfn.XLOOKUP(($C5 + AK$3), INDIRECT($A5 &amp; "!D112:D291"), INDIRECT($A5 &amp; "!K112:K291")), "NA"))</calculatedColumnFormula>
    </tableColumn>
    <tableColumn id="98" xr3:uid="{A58D7F11-FFF9-E544-8AFD-3C676B4A75DB}" name="FreqHz_32" dataDxfId="553">
      <calculatedColumnFormula array="1">IF($A5 = "", "Enter Sheet Name", IF(($C5 + AL$3) &lt; $D5, _xlfn.XLOOKUP(($C5 + AL$3), INDIRECT($A5 &amp; "!D112:D291"), INDIRECT($A5 &amp; "!K112:K291")), "NA"))</calculatedColumnFormula>
    </tableColumn>
    <tableColumn id="99" xr3:uid="{313688C8-2760-6B4C-A829-1A2C68CD538D}" name="FreqHz_33" dataDxfId="552">
      <calculatedColumnFormula array="1">IF($A5 = "", "Enter Sheet Name", IF(($C5 + AM$3) &lt; $D5, _xlfn.XLOOKUP(($C5 + AM$3), INDIRECT($A5 &amp; "!D112:D291"), INDIRECT($A5 &amp; "!K112:K291")), "NA"))</calculatedColumnFormula>
    </tableColumn>
    <tableColumn id="100" xr3:uid="{2822D7CD-BD20-2D43-A49B-E00346B88924}" name="FreqHz_34" dataDxfId="551">
      <calculatedColumnFormula array="1">IF($A5 = "", "Enter Sheet Name", IF(($C5 + AN$3) &lt; $D5, _xlfn.XLOOKUP(($C5 + AN$3), INDIRECT($A5 &amp; "!D112:D291"), INDIRECT($A5 &amp; "!K112:K291")), "NA"))</calculatedColumnFormula>
    </tableColumn>
    <tableColumn id="101" xr3:uid="{695231AB-1F34-ED44-AC9E-E04D1C85FF55}" name="FreqHz_35" dataDxfId="550">
      <calculatedColumnFormula array="1">IF($A5 = "", "Enter Sheet Name", IF(($C5 + AO$3) &lt; $D5, _xlfn.XLOOKUP(($C5 + AO$3), INDIRECT($A5 &amp; "!D112:D291"), INDIRECT($A5 &amp; "!K112:K291")), "NA"))</calculatedColumnFormula>
    </tableColumn>
    <tableColumn id="102" xr3:uid="{B5F0BF9C-9850-0044-9C06-0CECF43ACCFC}" name="FreqHz_36" dataDxfId="549">
      <calculatedColumnFormula array="1">IF($A5 = "", "Enter Sheet Name", IF(($C5 + AP$3) &lt; $D5, _xlfn.XLOOKUP(($C5 + AP$3), INDIRECT($A5 &amp; "!D112:D291"), INDIRECT($A5 &amp; "!K112:K291")), "NA"))</calculatedColumnFormula>
    </tableColumn>
    <tableColumn id="103" xr3:uid="{82E7B907-D176-194B-ABA5-FAA0BBB5CA54}" name="FreqHz_37" dataDxfId="548">
      <calculatedColumnFormula array="1">IF($A5 = "", "Enter Sheet Name", IF(($C5 + AQ$3) &lt; $D5, _xlfn.XLOOKUP(($C5 + AQ$3), INDIRECT($A5 &amp; "!D112:D291"), INDIRECT($A5 &amp; "!K112:K291")), "NA"))</calculatedColumnFormula>
    </tableColumn>
    <tableColumn id="104" xr3:uid="{2E741EC3-6719-F14B-8BDB-1D0A93F50828}" name="FreqHz_38" dataDxfId="547">
      <calculatedColumnFormula array="1">IF($A5 = "", "Enter Sheet Name", IF(($C5 + AR$3) &lt; $D5, _xlfn.XLOOKUP(($C5 + AR$3), INDIRECT($A5 &amp; "!D112:D291"), INDIRECT($A5 &amp; "!K112:K291")), "NA"))</calculatedColumnFormula>
    </tableColumn>
    <tableColumn id="105" xr3:uid="{0B30347E-86C8-EA47-AAE6-278647CF5383}" name="FreqHz_39" dataDxfId="546">
      <calculatedColumnFormula array="1">IF($A5 = "", "Enter Sheet Name", IF(($C5 + AS$3) &lt; $D5, _xlfn.XLOOKUP(($C5 + AS$3), INDIRECT($A5 &amp; "!D112:D291"), INDIRECT($A5 &amp; "!K112:K291")), "NA"))</calculatedColumnFormula>
    </tableColumn>
    <tableColumn id="106" xr3:uid="{B331F07E-D694-034B-9F56-66C050A0E229}" name="FreqHz_40" dataDxfId="545">
      <calculatedColumnFormula array="1">IF($A5 = "", "Enter Sheet Name", IF(($C5 + AT$3) &lt; $D5, _xlfn.XLOOKUP(($C5 + AT$3), INDIRECT($A5 &amp; "!D112:D291"), INDIRECT($A5 &amp; "!K112:K291")), "NA"))</calculatedColumnFormula>
    </tableColumn>
    <tableColumn id="107" xr3:uid="{3314251E-458D-A64F-AE5B-4E8FA0E5D14B}" name="FreqHz_41" dataDxfId="544">
      <calculatedColumnFormula array="1">IF($A5 = "", "Enter Sheet Name", IF(($C5 + AU$3) &lt; $D5, _xlfn.XLOOKUP(($C5 + AU$3), INDIRECT($A5 &amp; "!D112:D291"), INDIRECT($A5 &amp; "!K112:K291")), "NA"))</calculatedColumnFormula>
    </tableColumn>
    <tableColumn id="108" xr3:uid="{949E0DC9-C06C-D34E-B675-15FF5BE15C22}" name="FreqHz_42" dataDxfId="543">
      <calculatedColumnFormula array="1">IF($A5 = "", "Enter Sheet Name", IF(($C5 + AV$3) &lt; $D5, _xlfn.XLOOKUP(($C5 + AV$3), INDIRECT($A5 &amp; "!D112:D291"), INDIRECT($A5 &amp; "!K112:K291")), "NA"))</calculatedColumnFormula>
    </tableColumn>
    <tableColumn id="109" xr3:uid="{5947780B-0DAB-7445-8996-3628767010B9}" name="FreqHz_43" dataDxfId="542">
      <calculatedColumnFormula array="1">IF($A5 = "", "Enter Sheet Name", IF(($C5 + AW$3) &lt; $D5, _xlfn.XLOOKUP(($C5 + AW$3), INDIRECT($A5 &amp; "!D112:D291"), INDIRECT($A5 &amp; "!K112:K291")), "NA"))</calculatedColumnFormula>
    </tableColumn>
    <tableColumn id="110" xr3:uid="{ECFEEA70-071F-B54E-BDD4-3CC7CB1AA8BD}" name="FreqHz_44" dataDxfId="541">
      <calculatedColumnFormula array="1">IF($A5 = "", "Enter Sheet Name", IF(($C5 + AX$3) &lt; $D5, _xlfn.XLOOKUP(($C5 + AX$3), INDIRECT($A5 &amp; "!D112:D291"), INDIRECT($A5 &amp; "!K112:K291")), "NA"))</calculatedColumnFormula>
    </tableColumn>
    <tableColumn id="111" xr3:uid="{E57B21D7-CC7C-B94F-A1C5-BC25E7222BC7}" name="FreqHz_45" dataDxfId="540">
      <calculatedColumnFormula array="1">IF($A5 = "", "Enter Sheet Name", IF(($C5 + AY$3) &lt; $D5, _xlfn.XLOOKUP(($C5 + AY$3), INDIRECT($A5 &amp; "!D112:D291"), INDIRECT($A5 &amp; "!K112:K291")), "NA"))</calculatedColumnFormula>
    </tableColumn>
    <tableColumn id="112" xr3:uid="{42198721-EDA3-B54E-A819-16FF5E213C13}" name="FreqHz_46" dataDxfId="539">
      <calculatedColumnFormula array="1">IF($A5 = "", "Enter Sheet Name", IF(($C5 + AZ$3) &lt; $D5, _xlfn.XLOOKUP(($C5 + AZ$3), INDIRECT($A5 &amp; "!D112:D291"), INDIRECT($A5 &amp; "!K112:K291")), "NA"))</calculatedColumnFormula>
    </tableColumn>
    <tableColumn id="113" xr3:uid="{7AB021C4-4C3A-F844-AB7C-322F839E7B16}" name="FreqHz_47" dataDxfId="538">
      <calculatedColumnFormula array="1">IF($A5 = "", "Enter Sheet Name", IF(($C5 + BA$3) &lt; $D5, _xlfn.XLOOKUP(($C5 + BA$3), INDIRECT($A5 &amp; "!D112:D291"), INDIRECT($A5 &amp; "!K112:K291")), "NA"))</calculatedColumnFormula>
    </tableColumn>
    <tableColumn id="114" xr3:uid="{DE210D28-F368-1F40-91C4-C0DC17EE1885}" name="FreqHz_48" dataDxfId="537">
      <calculatedColumnFormula array="1">IF($A5 = "", "Enter Sheet Name", IF(($C5 + BB$3) &lt; $D5, _xlfn.XLOOKUP(($C5 + BB$3), INDIRECT($A5 &amp; "!D112:D291"), INDIRECT($A5 &amp; "!K112:K291")), "NA"))</calculatedColumnFormula>
    </tableColumn>
    <tableColumn id="115" xr3:uid="{7973F76E-8239-BB41-81F3-77C4C6A79434}" name="FreqHz_49" dataDxfId="536">
      <calculatedColumnFormula array="1">IF($A5 = "", "Enter Sheet Name", IF(($C5 + BC$3) &lt; $D5, _xlfn.XLOOKUP(($C5 + BC$3), INDIRECT($A5 &amp; "!D112:D291"), INDIRECT($A5 &amp; "!K112:K291")), "NA"))</calculatedColumnFormula>
    </tableColumn>
    <tableColumn id="116" xr3:uid="{3265FF4D-5BBD-8D4D-90AB-2E9F9808B101}" name="FreqHz_50" dataDxfId="535">
      <calculatedColumnFormula array="1">IF($A5 = "", "Enter Sheet Name", IF(($C5 + BD$3) &lt; $D5, _xlfn.XLOOKUP(($C5 + BD$3), INDIRECT($A5 &amp; "!D112:D291"), INDIRECT($A5 &amp; "!K112:K291")), "NA"))</calculatedColumnFormula>
    </tableColumn>
    <tableColumn id="117" xr3:uid="{F993AF5C-DFFD-BE47-8DCB-80D20007DA13}" name="FreqHz_51" dataDxfId="534">
      <calculatedColumnFormula array="1">IF($A5 = "", "Enter Sheet Name", IF(($C5 + BE$3) &lt; $D5, _xlfn.XLOOKUP(($C5 + BE$3), INDIRECT($A5 &amp; "!D112:D291"), INDIRECT($A5 &amp; "!K112:K291")), "NA"))</calculatedColumnFormula>
    </tableColumn>
    <tableColumn id="118" xr3:uid="{6D39E092-7197-1944-ADEE-C7F710C06E04}" name="FreqHz_52" dataDxfId="533">
      <calculatedColumnFormula array="1">IF($A5 = "", "Enter Sheet Name", IF(($C5 + BF$3) &lt; $D5, _xlfn.XLOOKUP(($C5 + BF$3), INDIRECT($A5 &amp; "!D112:D291"), INDIRECT($A5 &amp; "!K112:K291")), "NA"))</calculatedColumnFormula>
    </tableColumn>
    <tableColumn id="119" xr3:uid="{91F8D9E5-C15F-AE47-A7DA-E9D81EFCF427}" name="FreqHz_53" dataDxfId="532">
      <calculatedColumnFormula array="1">IF($A5 = "", "Enter Sheet Name", IF(($C5 + BG$3) &lt; $D5, _xlfn.XLOOKUP(($C5 + BG$3), INDIRECT($A5 &amp; "!D112:D291"), INDIRECT($A5 &amp; "!K112:K291")), "NA"))</calculatedColumnFormula>
    </tableColumn>
    <tableColumn id="120" xr3:uid="{EA12C389-875B-5649-ACB7-666EC0343E54}" name="FreqHz_54" dataDxfId="531">
      <calculatedColumnFormula array="1">IF($A5 = "", "Enter Sheet Name", IF(($C5 + BH$3) &lt; $D5, _xlfn.XLOOKUP(($C5 + BH$3), INDIRECT($A5 &amp; "!D112:D291"), INDIRECT($A5 &amp; "!K112:K291")), "NA"))</calculatedColumnFormula>
    </tableColumn>
    <tableColumn id="121" xr3:uid="{CADF1DC7-2D89-E644-A38A-9B0AC3ED6DB3}" name="FreqHz_55" dataDxfId="530">
      <calculatedColumnFormula array="1">IF($A5 = "", "Enter Sheet Name", IF(($C5 + BI$3) &lt; $D5, _xlfn.XLOOKUP(($C5 + BI$3), INDIRECT($A5 &amp; "!D112:D291"), INDIRECT($A5 &amp; "!K112:K291")), "NA"))</calculatedColumnFormula>
    </tableColumn>
    <tableColumn id="122" xr3:uid="{CD44E8C6-9334-2848-BC0A-C30C13911D38}" name="FreqHz_56" dataDxfId="529">
      <calculatedColumnFormula array="1">IF($A5 = "", "Enter Sheet Name", IF(($C5 + BJ$3) &lt; $D5, _xlfn.XLOOKUP(($C5 + BJ$3), INDIRECT($A5 &amp; "!D112:D291"), INDIRECT($A5 &amp; "!K112:K291")), "NA"))</calculatedColumnFormula>
    </tableColumn>
    <tableColumn id="123" xr3:uid="{7F06E506-E56F-5D4C-AA9D-109FDA16522F}" name="FreqHz_57" dataDxfId="528">
      <calculatedColumnFormula array="1">IF($A5 = "", "Enter Sheet Name", IF(($C5 + BK$3) &lt; $D5, _xlfn.XLOOKUP(($C5 + BK$3), INDIRECT($A5 &amp; "!D112:D291"), INDIRECT($A5 &amp; "!K112:K291")), "NA"))</calculatedColumnFormula>
    </tableColumn>
    <tableColumn id="124" xr3:uid="{CCDB5552-6639-DA4D-AAC3-91FE51A33432}" name="FreqHz_58" dataDxfId="527">
      <calculatedColumnFormula array="1">IF($A5 = "", "Enter Sheet Name", IF(($C5 + BL$3) &lt; $D5, _xlfn.XLOOKUP(($C5 + BL$3), INDIRECT($A5 &amp; "!D112:D291"), INDIRECT($A5 &amp; "!K112:K291")), "NA"))</calculatedColumnFormula>
    </tableColumn>
    <tableColumn id="125" xr3:uid="{BD0D7723-AD99-B44E-9959-F27B57CF395A}" name="FreqHz_59" dataDxfId="526">
      <calculatedColumnFormula array="1">IF($A5 = "", "Enter Sheet Name", IF(($C5 + BM$3) &lt; $D5, _xlfn.XLOOKUP(($C5 + BM$3), INDIRECT($A5 &amp; "!D112:D291"), INDIRECT($A5 &amp; "!K112:K291")), "NA"))</calculatedColumnFormula>
    </tableColumn>
    <tableColumn id="126" xr3:uid="{F40D307F-8F3F-8C40-887A-F1240880A764}" name="FreqHz_60" dataDxfId="525">
      <calculatedColumnFormula array="1">IF($A5 = "", "Enter Sheet Name", IF(($C5 + BN$3) &lt; $D5, _xlfn.XLOOKUP(($C5 + BN$3), INDIRECT($A5 &amp; "!D112:D291"), INDIRECT($A5 &amp; "!K112:K291")), "NA"))</calculatedColumnFormula>
    </tableColumn>
    <tableColumn id="127" xr3:uid="{C39D3929-B0DF-B34B-8735-A986DAD59766}" name="FreqHz_61" dataDxfId="524">
      <calculatedColumnFormula array="1">IF($A5 = "", "Enter Sheet Name", IF(($C5 + BO$3) &lt; $D5, _xlfn.XLOOKUP(($C5 + BO$3), INDIRECT($A5 &amp; "!D112:D291"), INDIRECT($A5 &amp; "!K112:K291")), "NA"))</calculatedColumnFormula>
    </tableColumn>
    <tableColumn id="128" xr3:uid="{C564DC35-DA7E-8A4C-8372-AA0C2BD9173A}" name="FreqHz_62" dataDxfId="523">
      <calculatedColumnFormula array="1">IF($A5 = "", "Enter Sheet Name", IF(($C5 + BP$3) &lt; $D5, _xlfn.XLOOKUP(($C5 + BP$3), INDIRECT($A5 &amp; "!D112:D291"), INDIRECT($A5 &amp; "!K112:K291")), "NA"))</calculatedColumnFormula>
    </tableColumn>
    <tableColumn id="129" xr3:uid="{A6954A62-C318-6945-A759-A08A138C631B}" name="FreqHz_63" dataDxfId="522">
      <calculatedColumnFormula array="1">IF($A5 = "", "Enter Sheet Name", IF(($C5 + BQ$3) &lt; $D5, _xlfn.XLOOKUP(($C5 + BQ$3), INDIRECT($A5 &amp; "!D112:D291"), INDIRECT($A5 &amp; "!K112:K291")), "NA"))</calculatedColumnFormula>
    </tableColumn>
    <tableColumn id="130" xr3:uid="{A09E1162-D18F-AC42-B2EF-8A92239DA5F6}" name="FreqHz_64" dataDxfId="521">
      <calculatedColumnFormula array="1">IF($A5 = "", "Enter Sheet Name", IF(($C5 + BR$3) &lt; $D5, _xlfn.XLOOKUP(($C5 + BR$3), INDIRECT($A5 &amp; "!D112:D291"), INDIRECT($A5 &amp; "!K112:K291")), "NA"))</calculatedColumnFormula>
    </tableColumn>
    <tableColumn id="131" xr3:uid="{B6C378CC-63CB-AE4B-BFCC-14F2FFD562EE}" name="FreqHz_65" dataDxfId="520">
      <calculatedColumnFormula array="1">IF($A5 = "", "Enter Sheet Name", IF(($C5 + BS$3) &lt; $D5, _xlfn.XLOOKUP(($C5 + BS$3), INDIRECT($A5 &amp; "!D112:D291"), INDIRECT($A5 &amp; "!K112:K291")), "NA"))</calculatedColumnFormula>
    </tableColumn>
    <tableColumn id="132" xr3:uid="{CFF6AADE-3A4E-4349-AE9D-38F2379C1551}" name="FreqHz_66" dataDxfId="519">
      <calculatedColumnFormula array="1">IF($A5 = "", "Enter Sheet Name", IF(($C5 + BT$3) &lt; $D5, _xlfn.XLOOKUP(($C5 + BT$3), INDIRECT($A5 &amp; "!D112:D291"), INDIRECT($A5 &amp; "!K112:K291")), "NA"))</calculatedColumnFormula>
    </tableColumn>
    <tableColumn id="133" xr3:uid="{41343DE9-8904-2F48-A63B-03C2DE7B188A}" name="FreqHz_67" dataDxfId="518">
      <calculatedColumnFormula array="1">IF($A5 = "", "Enter Sheet Name", IF(($C5 + BU$3) &lt; $D5, _xlfn.XLOOKUP(($C5 + BU$3), INDIRECT($A5 &amp; "!D112:D291"), INDIRECT($A5 &amp; "!K112:K291")), "NA"))</calculatedColumnFormula>
    </tableColumn>
    <tableColumn id="134" xr3:uid="{A3018EF7-92E8-2341-A185-9E2839296486}" name="FreqHz_68" dataDxfId="517">
      <calculatedColumnFormula array="1">IF($A5 = "", "Enter Sheet Name", IF(($C5 + BV$3) &lt; $D5, _xlfn.XLOOKUP(($C5 + BV$3), INDIRECT($A5 &amp; "!D112:D291"), INDIRECT($A5 &amp; "!K112:K291")), "NA"))</calculatedColumnFormula>
    </tableColumn>
    <tableColumn id="135" xr3:uid="{F6414050-BDBF-D14B-9682-7F6F59B9EB83}" name="FreqHz_69" dataDxfId="516">
      <calculatedColumnFormula array="1">IF($A5 = "", "Enter Sheet Name", IF(($C5 + BW$3) &lt; $D5, _xlfn.XLOOKUP(($C5 + BW$3), INDIRECT($A5 &amp; "!D112:D291"), INDIRECT($A5 &amp; "!K112:K291")), "NA"))</calculatedColumnFormula>
    </tableColumn>
    <tableColumn id="136" xr3:uid="{96E1F6E5-20F1-9245-A993-9C3BBA9D1221}" name="FreqHz_70" dataDxfId="515">
      <calculatedColumnFormula array="1">IF($A5 = "", "Enter Sheet Name", IF(($C5 + BX$3) &lt; $D5, _xlfn.XLOOKUP(($C5 + BX$3), INDIRECT($A5 &amp; "!D112:D291"), INDIRECT($A5 &amp; "!K112:K291")), "NA"))</calculatedColumnFormula>
    </tableColumn>
    <tableColumn id="137" xr3:uid="{4FF2DABF-6C3C-A841-B939-234B82B0B10E}" name="FreqHz_71" dataDxfId="514">
      <calculatedColumnFormula array="1">IF($A5 = "", "Enter Sheet Name", IF(($C5 + BY$3) &lt; $D5, _xlfn.XLOOKUP(($C5 + BY$3), INDIRECT($A5 &amp; "!D112:D291"), INDIRECT($A5 &amp; "!K112:K291")), "NA"))</calculatedColumnFormula>
    </tableColumn>
    <tableColumn id="138" xr3:uid="{9EB24739-3F9A-D746-9243-FDFC656F8E6D}" name="FreqHz_72" dataDxfId="513">
      <calculatedColumnFormula array="1">IF($A5 = "", "Enter Sheet Name", IF(($C5 + BZ$3) &lt; $D5, _xlfn.XLOOKUP(($C5 + BZ$3), INDIRECT($A5 &amp; "!D112:D291"), INDIRECT($A5 &amp; "!K112:K291")), "NA"))</calculatedColumnFormula>
    </tableColumn>
    <tableColumn id="139" xr3:uid="{8C886515-E65E-CC4D-8D4B-F58CA479F29F}" name="FreqHz_73" dataDxfId="512">
      <calculatedColumnFormula array="1">IF($A5 = "", "Enter Sheet Name", IF(($C5 + CA$3) &lt; $D5, _xlfn.XLOOKUP(($C5 + CA$3), INDIRECT($A5 &amp; "!D112:D291"), INDIRECT($A5 &amp; "!K112:K291")), "NA"))</calculatedColumnFormula>
    </tableColumn>
    <tableColumn id="140" xr3:uid="{24EA7A49-3E89-C847-9F7F-122E7576344D}" name="FreqHz_74" dataDxfId="511">
      <calculatedColumnFormula array="1">IF($A5 = "", "Enter Sheet Name", IF(($C5 + CB$3) &lt; $D5, _xlfn.XLOOKUP(($C5 + CB$3), INDIRECT($A5 &amp; "!D112:D291"), INDIRECT($A5 &amp; "!K112:K291")), "NA"))</calculatedColumnFormula>
    </tableColumn>
    <tableColumn id="141" xr3:uid="{A69F6EB0-BBC0-E340-8123-9FE7F2DCB59D}" name="FreqHz_75" dataDxfId="510">
      <calculatedColumnFormula array="1">IF($A5 = "", "Enter Sheet Name", IF(($C5 + CC$3) &lt; $D5, _xlfn.XLOOKUP(($C5 + CC$3), INDIRECT($A5 &amp; "!D112:D291"), INDIRECT($A5 &amp; "!K112:K291")), "NA"))</calculatedColumnFormula>
    </tableColumn>
    <tableColumn id="142" xr3:uid="{D1539C57-8CE4-5C4B-8208-94C0754B401C}" name="FreqHz_76" dataDxfId="509">
      <calculatedColumnFormula array="1">IF($A5 = "", "Enter Sheet Name", IF(($C5 + CD$3) &lt; $D5, _xlfn.XLOOKUP(($C5 + CD$3), INDIRECT($A5 &amp; "!D112:D291"), INDIRECT($A5 &amp; "!K112:K291")), "NA"))</calculatedColumnFormula>
    </tableColumn>
    <tableColumn id="143" xr3:uid="{7A560B28-5625-B847-BC87-5083D5F5DB68}" name="FreqHz_77" dataDxfId="508">
      <calculatedColumnFormula array="1">IF($A5 = "", "Enter Sheet Name", IF(($C5 + CE$3) &lt; $D5, _xlfn.XLOOKUP(($C5 + CE$3), INDIRECT($A5 &amp; "!D112:D291"), INDIRECT($A5 &amp; "!K112:K291")), "NA"))</calculatedColumnFormula>
    </tableColumn>
    <tableColumn id="144" xr3:uid="{A0ED6EEE-1070-C847-B6D8-9A6588B937A1}" name="FreqHz_78" dataDxfId="507">
      <calculatedColumnFormula array="1">IF($A5 = "", "Enter Sheet Name", IF(($C5 + CF$3) &lt; $D5, _xlfn.XLOOKUP(($C5 + CF$3), INDIRECT($A5 &amp; "!D112:D291"), INDIRECT($A5 &amp; "!K112:K291")), "NA"))</calculatedColumnFormula>
    </tableColumn>
    <tableColumn id="145" xr3:uid="{4B4BEE3D-D10E-DD44-9710-81C605F34AB4}" name="FreqHz_79" dataDxfId="506">
      <calculatedColumnFormula array="1">IF($A5 = "", "Enter Sheet Name", IF(($C5 + CG$3) &lt; $D5, _xlfn.XLOOKUP(($C5 + CG$3), INDIRECT($A5 &amp; "!D112:D291"), INDIRECT($A5 &amp; "!K112:K291")), "NA"))</calculatedColumnFormula>
    </tableColumn>
    <tableColumn id="146" xr3:uid="{F1F3F0C5-30FB-5E42-9380-6A2082A4C55C}" name="FreqHz_80" dataDxfId="505">
      <calculatedColumnFormula array="1">IF($A5 = "", "Enter Sheet Name", IF(($C5 + CH$3) &lt; $D5, _xlfn.XLOOKUP(($C5 + CH$3), INDIRECT($A5 &amp; "!D112:D291"), INDIRECT($A5 &amp; "!K112:K291")), "NA"))</calculatedColumnFormula>
    </tableColumn>
    <tableColumn id="147" xr3:uid="{5F773AB3-E31B-3C4E-A488-F36D693F4F81}" name="FreqHz_81" dataDxfId="504">
      <calculatedColumnFormula array="1">IF($A5 = "", "Enter Sheet Name", IF(($C5 + CI$3) &lt; $D5, _xlfn.XLOOKUP(($C5 + CI$3), INDIRECT($A5 &amp; "!D112:D291"), INDIRECT($A5 &amp; "!K112:K291")), "NA"))</calculatedColumnFormula>
    </tableColumn>
    <tableColumn id="148" xr3:uid="{33556085-58F4-1040-9B85-9E0E4F5D3036}" name="FreqHz_82" dataDxfId="503">
      <calculatedColumnFormula array="1">IF($A5 = "", "Enter Sheet Name", IF(($C5 + CJ$3) &lt; $D5, _xlfn.XLOOKUP(($C5 + CJ$3), INDIRECT($A5 &amp; "!D112:D291"), INDIRECT($A5 &amp; "!K112:K291")), "NA"))</calculatedColumnFormula>
    </tableColumn>
    <tableColumn id="149" xr3:uid="{F59881BA-A73C-D245-976D-6A12EFF5EDE7}" name="FreqHz_83" dataDxfId="502">
      <calculatedColumnFormula array="1">IF($A5 = "", "Enter Sheet Name", IF(($C5 + CK$3) &lt; $D5, _xlfn.XLOOKUP(($C5 + CK$3), INDIRECT($A5 &amp; "!D112:D291"), INDIRECT($A5 &amp; "!K112:K291")), "NA"))</calculatedColumnFormula>
    </tableColumn>
    <tableColumn id="150" xr3:uid="{757CBB10-27F4-3D40-BB2C-49C207CAEE7C}" name="FreqHz_84" dataDxfId="501">
      <calculatedColumnFormula array="1">IF($A5 = "", "Enter Sheet Name", IF(($C5 + CL$3) &lt; $D5, _xlfn.XLOOKUP(($C5 + CL$3), INDIRECT($A5 &amp; "!D112:D291"), INDIRECT($A5 &amp; "!K112:K291")), "NA"))</calculatedColumnFormula>
    </tableColumn>
    <tableColumn id="151" xr3:uid="{0F63FC54-CEF7-8C49-8880-27E32B64CE88}" name="FreqHz_85" dataDxfId="500">
      <calculatedColumnFormula array="1">IF($A5 = "", "Enter Sheet Name", IF(($C5 + CM$3) &lt; $D5, _xlfn.XLOOKUP(($C5 + CM$3), INDIRECT($A5 &amp; "!D112:D291"), INDIRECT($A5 &amp; "!K112:K291")), "NA"))</calculatedColumnFormula>
    </tableColumn>
    <tableColumn id="152" xr3:uid="{9072DBDB-7231-3649-884D-ACDADF69277E}" name="FreqHz_86" dataDxfId="499">
      <calculatedColumnFormula array="1">IF($A5 = "", "Enter Sheet Name", IF(($C5 + CN$3) &lt; $D5, _xlfn.XLOOKUP(($C5 + CN$3), INDIRECT($A5 &amp; "!D112:D291"), INDIRECT($A5 &amp; "!K112:K291")), "NA"))</calculatedColumnFormula>
    </tableColumn>
    <tableColumn id="153" xr3:uid="{12757071-184C-E848-81C7-CAFE32BF19A8}" name="FreqHz_87" dataDxfId="498">
      <calculatedColumnFormula array="1">IF($A5 = "", "Enter Sheet Name", IF(($C5 + CO$3) &lt; $D5, _xlfn.XLOOKUP(($C5 + CO$3), INDIRECT($A5 &amp; "!D112:D291"), INDIRECT($A5 &amp; "!K112:K291")), "NA"))</calculatedColumnFormula>
    </tableColumn>
    <tableColumn id="154" xr3:uid="{702E503E-C5B7-D741-8E83-A764430E79FA}" name="FreqHz_88" dataDxfId="497">
      <calculatedColumnFormula array="1">IF($A5 = "", "Enter Sheet Name", IF(($C5 + CP$3) &lt; $D5, _xlfn.XLOOKUP(($C5 + CP$3), INDIRECT($A5 &amp; "!D112:D291"), INDIRECT($A5 &amp; "!K112:K291")), "NA"))</calculatedColumnFormula>
    </tableColumn>
    <tableColumn id="155" xr3:uid="{66312EB3-A382-A142-A5E7-8A1D2DA9174E}" name="FreqHz_89" dataDxfId="496">
      <calculatedColumnFormula array="1">IF($A5 = "", "Enter Sheet Name", IF(($C5 + CQ$3) &lt; $D5, _xlfn.XLOOKUP(($C5 + CQ$3), INDIRECT($A5 &amp; "!D112:D291"), INDIRECT($A5 &amp; "!K112:K291")), "NA"))</calculatedColumnFormula>
    </tableColumn>
    <tableColumn id="156" xr3:uid="{1223DAC8-B215-0945-AEB9-EF3A3BBC0823}" name="FreqHz_90" dataDxfId="495">
      <calculatedColumnFormula array="1">IF($A5 = "", "Enter Sheet Name", IF(($C5 + CR$3) &lt; $D5, _xlfn.XLOOKUP(($C5 + CR$3), INDIRECT($A5 &amp; "!D112:D291"), INDIRECT($A5 &amp; "!K112:K291")), "NA"))</calculatedColumnFormula>
    </tableColumn>
    <tableColumn id="157" xr3:uid="{5450C09D-7826-A347-9060-AFE86F6A1B1C}" name="FreqHz_91" dataDxfId="494">
      <calculatedColumnFormula array="1">IF($A5 = "", "Enter Sheet Name", IF(($C5 + CS$3) &lt; $D5, _xlfn.XLOOKUP(($C5 + CS$3), INDIRECT($A5 &amp; "!D112:D291"), INDIRECT($A5 &amp; "!K112:K291")), "NA"))</calculatedColumnFormula>
    </tableColumn>
    <tableColumn id="158" xr3:uid="{7B33A3FE-A123-3546-80E5-9AD156BDEA4B}" name="FreqHz_92" dataDxfId="493">
      <calculatedColumnFormula array="1">IF($A5 = "", "Enter Sheet Name", IF(($C5 + CT$3) &lt; $D5, _xlfn.XLOOKUP(($C5 + CT$3), INDIRECT($A5 &amp; "!D112:D291"), INDIRECT($A5 &amp; "!K112:K291")), "NA"))</calculatedColumnFormula>
    </tableColumn>
    <tableColumn id="159" xr3:uid="{8EBCDE59-5CDD-C045-9EE6-16C8A32F33FD}" name="FreqHz_93" dataDxfId="492">
      <calculatedColumnFormula array="1">IF($A5 = "", "Enter Sheet Name", IF(($C5 + CU$3) &lt; $D5, _xlfn.XLOOKUP(($C5 + CU$3), INDIRECT($A5 &amp; "!D112:D291"), INDIRECT($A5 &amp; "!K112:K291")), "NA"))</calculatedColumnFormula>
    </tableColumn>
    <tableColumn id="160" xr3:uid="{70BA8AC4-2D41-604F-9225-ECE38CACE90B}" name="FreqHz_94" dataDxfId="491">
      <calculatedColumnFormula array="1">IF($A5 = "", "Enter Sheet Name", IF(($C5 + CV$3) &lt; $D5, _xlfn.XLOOKUP(($C5 + CV$3), INDIRECT($A5 &amp; "!D112:D291"), INDIRECT($A5 &amp; "!K112:K291")), "NA"))</calculatedColumnFormula>
    </tableColumn>
    <tableColumn id="161" xr3:uid="{4B7F1AF9-ADFA-1D4B-9E99-25A873D78E93}" name="FreqHz_95" dataDxfId="490">
      <calculatedColumnFormula array="1">IF($A5 = "", "Enter Sheet Name", IF(($C5 + CW$3) &lt; $D5, _xlfn.XLOOKUP(($C5 + CW$3), INDIRECT($A5 &amp; "!D112:D291"), INDIRECT($A5 &amp; "!K112:K291")), "NA"))</calculatedColumnFormula>
    </tableColumn>
    <tableColumn id="162" xr3:uid="{BF8CFF8D-2400-5A4C-8CFD-E81DAD2AAD90}" name="FreqHz_96" dataDxfId="489">
      <calculatedColumnFormula array="1">IF($A5 = "", "Enter Sheet Name", IF(($C5 + CX$3) &lt; $D5, _xlfn.XLOOKUP(($C5 + CX$3), INDIRECT($A5 &amp; "!D112:D291"), INDIRECT($A5 &amp; "!K112:K291")), "NA"))</calculatedColumnFormula>
    </tableColumn>
    <tableColumn id="163" xr3:uid="{F88323FD-FA4E-284D-B46C-37D583E284E2}" name="FreqHz_97" dataDxfId="488">
      <calculatedColumnFormula array="1">IF($A5 = "", "Enter Sheet Name", IF(($C5 + CY$3) &lt; $D5, _xlfn.XLOOKUP(($C5 + CY$3), INDIRECT($A5 &amp; "!D112:D291"), INDIRECT($A5 &amp; "!K112:K291")), "NA"))</calculatedColumnFormula>
    </tableColumn>
    <tableColumn id="164" xr3:uid="{193A6AEE-1BAF-914F-B390-D0FE2B0BED2E}" name="FreqHz_98" dataDxfId="487">
      <calculatedColumnFormula array="1">IF($A5 = "", "Enter Sheet Name", IF(($C5 + CZ$3) &lt; $D5, _xlfn.XLOOKUP(($C5 + CZ$3), INDIRECT($A5 &amp; "!D112:D291"), INDIRECT($A5 &amp; "!K112:K291")), "NA"))</calculatedColumnFormula>
    </tableColumn>
    <tableColumn id="165" xr3:uid="{020AF322-9BD5-F043-A3DD-9332684AA872}" name="FreqHz_99" dataDxfId="486">
      <calculatedColumnFormula array="1">IF($A5 = "", "Enter Sheet Name", IF(($C5 + DA$3) &lt; $D5, _xlfn.XLOOKUP(($C5 + DA$3), INDIRECT($A5 &amp; "!D112:D291"), INDIRECT($A5 &amp; "!K112:K291")), "NA"))</calculatedColumnFormula>
    </tableColumn>
    <tableColumn id="6" xr3:uid="{A9D4BDDD-7195-C345-A1EA-5910C564F7D6}" name="FreqHz_100" dataDxfId="485">
      <calculatedColumnFormula array="1">IF($A5 = "", "Enter Sheet Name", IF(($C5 + DB$3) &lt; $D5, _xlfn.XLOOKUP(($C5 + DB$3), INDIRECT($A5 &amp; "!D112:D291"), INDIRECT($A5 &amp; "!K112:K291")), "NA"))</calculatedColumnFormula>
    </tableColumn>
    <tableColumn id="7" xr3:uid="{BC01866A-4124-144D-A85C-693110FC7ED3}" name="FreqHz_101" dataDxfId="484">
      <calculatedColumnFormula array="1">IF($A5 = "", "Enter Sheet Name", IF(($C5 + DC$3) &lt; $D5, _xlfn.XLOOKUP(($C5 + DC$3), INDIRECT($A5 &amp; "!D112:D291"), INDIRECT($A5 &amp; "!K112:K291")), "NA"))</calculatedColumnFormula>
    </tableColumn>
    <tableColumn id="8" xr3:uid="{77D16EA5-DC81-CC43-8D59-D3C4181DF355}" name="FreqHz_102" dataDxfId="483">
      <calculatedColumnFormula array="1">IF($A5 = "", "Enter Sheet Name", IF(($C5 + DD$3) &lt; $D5, _xlfn.XLOOKUP(($C5 + DD$3), INDIRECT($A5 &amp; "!D112:D291"), INDIRECT($A5 &amp; "!K112:K291")), "NA"))</calculatedColumnFormula>
    </tableColumn>
    <tableColumn id="9" xr3:uid="{466FB7E3-3EBE-1347-A549-24FB402F15D0}" name="FreqHz_103" dataDxfId="482">
      <calculatedColumnFormula array="1">IF($A5 = "", "Enter Sheet Name", IF(($C5 + DE$3) &lt; $D5, _xlfn.XLOOKUP(($C5 + DE$3), INDIRECT($A5 &amp; "!D112:D291"), INDIRECT($A5 &amp; "!K112:K291")), "NA"))</calculatedColumnFormula>
    </tableColumn>
    <tableColumn id="10" xr3:uid="{69E01828-4783-A24B-9445-6ACEA6C27CD3}" name="FreqHz_104" dataDxfId="481">
      <calculatedColumnFormula array="1">IF($A5 = "", "Enter Sheet Name", IF(($C5 + DF$3) &lt; $D5, _xlfn.XLOOKUP(($C5 + DF$3), INDIRECT($A5 &amp; "!D112:D291"), INDIRECT($A5 &amp; "!K112:K291")), "NA"))</calculatedColumnFormula>
    </tableColumn>
    <tableColumn id="11" xr3:uid="{4EA3A553-6A7D-734B-8986-8C8E912242C3}" name="FreqHz_105" dataDxfId="480">
      <calculatedColumnFormula array="1">IF($A5 = "", "Enter Sheet Name", IF(($C5 + DG$3) &lt; $D5, _xlfn.XLOOKUP(($C5 + DG$3), INDIRECT($A5 &amp; "!D112:D291"), INDIRECT($A5 &amp; "!K112:K291")), "NA"))</calculatedColumnFormula>
    </tableColumn>
    <tableColumn id="12" xr3:uid="{332C5B36-3CDD-7C4E-81CB-267A9E5F136B}" name="FreqHz_106" dataDxfId="479">
      <calculatedColumnFormula array="1">IF($A5 = "", "Enter Sheet Name", IF(($C5 + DH$3) &lt; $D5, _xlfn.XLOOKUP(($C5 + DH$3), INDIRECT($A5 &amp; "!D112:D291"), INDIRECT($A5 &amp; "!K112:K291")), "NA"))</calculatedColumnFormula>
    </tableColumn>
    <tableColumn id="13" xr3:uid="{2B423A72-CFA3-814D-8BF8-6A81E5F93E5F}" name="FreqHz_107" dataDxfId="478">
      <calculatedColumnFormula array="1">IF($A5 = "", "Enter Sheet Name", IF(($C5 + DI$3) &lt; $D5, _xlfn.XLOOKUP(($C5 + DI$3), INDIRECT($A5 &amp; "!D112:D291"), INDIRECT($A5 &amp; "!K112:K291")), "NA"))</calculatedColumnFormula>
    </tableColumn>
    <tableColumn id="14" xr3:uid="{F2678101-FBF8-194E-AD6B-CA46A9A42970}" name="FreqHz_108" dataDxfId="477">
      <calculatedColumnFormula array="1">IF($A5 = "", "Enter Sheet Name", IF(($C5 + DJ$3) &lt; $D5, _xlfn.XLOOKUP(($C5 + DJ$3), INDIRECT($A5 &amp; "!D112:D291"), INDIRECT($A5 &amp; "!K112:K291")), "NA"))</calculatedColumnFormula>
    </tableColumn>
    <tableColumn id="15" xr3:uid="{9D2A16B1-1AB3-2945-A276-4DAC5FA86508}" name="FreqHz_109" dataDxfId="476">
      <calculatedColumnFormula array="1">IF($A5 = "", "Enter Sheet Name", IF(($C5 + DK$3) &lt; $D5, _xlfn.XLOOKUP(($C5 + DK$3), INDIRECT($A5 &amp; "!D112:D291"), INDIRECT($A5 &amp; "!K112:K291")), "NA"))</calculatedColumnFormula>
    </tableColumn>
    <tableColumn id="16" xr3:uid="{EF85AAB0-F4DD-4E46-85D3-AA54054452A6}" name="FreqHz_110" dataDxfId="475">
      <calculatedColumnFormula array="1">IF($A5 = "", "Enter Sheet Name", IF(($C5 + DL$3) &lt; $D5, _xlfn.XLOOKUP(($C5 + DL$3), INDIRECT($A5 &amp; "!D112:D291"), INDIRECT($A5 &amp; "!K112:K291")), "NA"))</calculatedColumnFormula>
    </tableColumn>
    <tableColumn id="17" xr3:uid="{DD3E7719-1B75-B443-B44B-304482AD218C}" name="FreqHz_111" dataDxfId="474">
      <calculatedColumnFormula array="1">IF($A5 = "", "Enter Sheet Name", IF(($C5 + DM$3) &lt; $D5, _xlfn.XLOOKUP(($C5 + DM$3), INDIRECT($A5 &amp; "!D112:D291"), INDIRECT($A5 &amp; "!K112:K291")), "NA"))</calculatedColumnFormula>
    </tableColumn>
    <tableColumn id="18" xr3:uid="{BB331F24-0129-C347-BFE2-1864225B3614}" name="FreqHz_112" dataDxfId="473">
      <calculatedColumnFormula array="1">IF($A5 = "", "Enter Sheet Name", IF(($C5 + DN$3) &lt; $D5, _xlfn.XLOOKUP(($C5 + DN$3), INDIRECT($A5 &amp; "!D112:D291"), INDIRECT($A5 &amp; "!K112:K291")), "NA"))</calculatedColumnFormula>
    </tableColumn>
    <tableColumn id="19" xr3:uid="{61CB0277-BDC9-6E4D-BD51-F89468CD9856}" name="FreqHz_113" dataDxfId="472">
      <calculatedColumnFormula array="1">IF($A5 = "", "Enter Sheet Name", IF(($C5 + DO$3) &lt; $D5, _xlfn.XLOOKUP(($C5 + DO$3), INDIRECT($A5 &amp; "!D112:D291"), INDIRECT($A5 &amp; "!K112:K291")), "NA"))</calculatedColumnFormula>
    </tableColumn>
    <tableColumn id="20" xr3:uid="{4B40DF15-2010-A440-A395-387813BA4121}" name="FreqHz_114" dataDxfId="471">
      <calculatedColumnFormula array="1">IF($A5 = "", "Enter Sheet Name", IF(($C5 + DP$3) &lt; $D5, _xlfn.XLOOKUP(($C5 + DP$3), INDIRECT($A5 &amp; "!D112:D291"), INDIRECT($A5 &amp; "!K112:K291")), "NA"))</calculatedColumnFormula>
    </tableColumn>
    <tableColumn id="21" xr3:uid="{2CFDD994-4803-0A4D-B213-84C2C8E382D9}" name="FreqHz_115" dataDxfId="470">
      <calculatedColumnFormula array="1">IF($A5 = "", "Enter Sheet Name", IF(($C5 + DQ$3) &lt; $D5, _xlfn.XLOOKUP(($C5 + DQ$3), INDIRECT($A5 &amp; "!D112:D291"), INDIRECT($A5 &amp; "!K112:K291")), "NA"))</calculatedColumnFormula>
    </tableColumn>
    <tableColumn id="22" xr3:uid="{A2AA047C-11F0-F942-A128-C9C405409C9F}" name="FreqHz_116" dataDxfId="469">
      <calculatedColumnFormula array="1">IF($A5 = "", "Enter Sheet Name", IF(($C5 + DR$3) &lt; $D5, _xlfn.XLOOKUP(($C5 + DR$3), INDIRECT($A5 &amp; "!D112:D291"), INDIRECT($A5 &amp; "!K112:K291")), "NA"))</calculatedColumnFormula>
    </tableColumn>
    <tableColumn id="23" xr3:uid="{D343B1BA-4B7D-2F45-B9AC-781D1BA8CF20}" name="FreqHz_117" dataDxfId="468">
      <calculatedColumnFormula array="1">IF($A5 = "", "Enter Sheet Name", IF(($C5 + DS$3) &lt; $D5, _xlfn.XLOOKUP(($C5 + DS$3), INDIRECT($A5 &amp; "!D112:D291"), INDIRECT($A5 &amp; "!K112:K291")), "NA"))</calculatedColumnFormula>
    </tableColumn>
    <tableColumn id="24" xr3:uid="{FA3383A8-6616-F944-B455-DDF2383040AD}" name="FreqHz_118" dataDxfId="467">
      <calculatedColumnFormula array="1">IF($A5 = "", "Enter Sheet Name", IF(($C5 + DT$3) &lt; $D5, _xlfn.XLOOKUP(($C5 + DT$3), INDIRECT($A5 &amp; "!D112:D291"), INDIRECT($A5 &amp; "!K112:K291")), "NA"))</calculatedColumnFormula>
    </tableColumn>
    <tableColumn id="25" xr3:uid="{7E3F8D76-6E43-304A-BE6E-8C5375746712}" name="FreqHz_119" dataDxfId="466">
      <calculatedColumnFormula array="1">IF($A5 = "", "Enter Sheet Name", IF(($C5 + DU$3) &lt; $D5, _xlfn.XLOOKUP(($C5 + DU$3), INDIRECT($A5 &amp; "!D112:D291"), INDIRECT($A5 &amp; "!K112:K291")), "NA"))</calculatedColumnFormula>
    </tableColumn>
    <tableColumn id="26" xr3:uid="{5487E5AC-CF8E-E747-8C3C-5F901A2D27E2}" name="FreqHz_120" dataDxfId="465">
      <calculatedColumnFormula array="1">IF($A5 = "", "Enter Sheet Name", IF(($C5 + DV$3) &lt; $D5, _xlfn.XLOOKUP(($C5 + DV$3), INDIRECT($A5 &amp; "!D112:D291"), INDIRECT($A5 &amp; "!K112:K291")), "NA"))</calculatedColumnFormula>
    </tableColumn>
    <tableColumn id="27" xr3:uid="{51913EC1-8272-D241-9026-6179892D0687}" name="FreqHz_121" dataDxfId="464">
      <calculatedColumnFormula array="1">IF($A5 = "", "Enter Sheet Name", IF(($C5 + DW$3) &lt; $D5, _xlfn.XLOOKUP(($C5 + DW$3), INDIRECT($A5 &amp; "!D112:D291"), INDIRECT($A5 &amp; "!K112:K291")), "NA"))</calculatedColumnFormula>
    </tableColumn>
    <tableColumn id="28" xr3:uid="{A51B7928-9B51-0E47-A385-2662E6920D8F}" name="FreqHz_122" dataDxfId="463">
      <calculatedColumnFormula array="1">IF($A5 = "", "Enter Sheet Name", IF(($C5 + DX$3) &lt; $D5, _xlfn.XLOOKUP(($C5 + DX$3), INDIRECT($A5 &amp; "!D112:D291"), INDIRECT($A5 &amp; "!K112:K291")), "NA"))</calculatedColumnFormula>
    </tableColumn>
    <tableColumn id="29" xr3:uid="{CFFB08B8-BA7D-1844-A653-397B082A778C}" name="FreqHz_123" dataDxfId="462">
      <calculatedColumnFormula array="1">IF($A5 = "", "Enter Sheet Name", IF(($C5 + DY$3) &lt; $D5, _xlfn.XLOOKUP(($C5 + DY$3), INDIRECT($A5 &amp; "!D112:D291"), INDIRECT($A5 &amp; "!K112:K291")), "NA"))</calculatedColumnFormula>
    </tableColumn>
    <tableColumn id="30" xr3:uid="{C8816AD6-BA60-7446-A9DB-7B460400C124}" name="FreqHz_124" dataDxfId="461">
      <calculatedColumnFormula array="1">IF($A5 = "", "Enter Sheet Name", IF(($C5 + DZ$3) &lt; $D5, _xlfn.XLOOKUP(($C5 + DZ$3), INDIRECT($A5 &amp; "!D112:D291"), INDIRECT($A5 &amp; "!K112:K291")), "NA"))</calculatedColumnFormula>
    </tableColumn>
    <tableColumn id="31" xr3:uid="{1D46581E-5461-3A40-887A-526616D6ACB2}" name="FreqHz_125" dataDxfId="460">
      <calculatedColumnFormula array="1">IF($A5 = "", "Enter Sheet Name", IF(($C5 + EA$3) &lt; $D5, _xlfn.XLOOKUP(($C5 + EA$3), INDIRECT($A5 &amp; "!D112:D291"), INDIRECT($A5 &amp; "!K112:K291")), "NA"))</calculatedColumnFormula>
    </tableColumn>
    <tableColumn id="32" xr3:uid="{3A13B033-1658-A448-A585-AD9A0E8D6857}" name="FreqHz_126" dataDxfId="459">
      <calculatedColumnFormula array="1">IF($A5 = "", "Enter Sheet Name", IF(($C5 + EB$3) &lt; $D5, _xlfn.XLOOKUP(($C5 + EB$3), INDIRECT($A5 &amp; "!D112:D291"), INDIRECT($A5 &amp; "!K112:K291")), "NA"))</calculatedColumnFormula>
    </tableColumn>
    <tableColumn id="33" xr3:uid="{90AB5A1F-0885-3245-BB32-5FE53AADFB08}" name="FreqHz_127" dataDxfId="458">
      <calculatedColumnFormula array="1">IF($A5 = "", "Enter Sheet Name", IF(($C5 + EC$3) &lt; $D5, _xlfn.XLOOKUP(($C5 + EC$3), INDIRECT($A5 &amp; "!D112:D291"), INDIRECT($A5 &amp; "!K112:K291")), "NA"))</calculatedColumnFormula>
    </tableColumn>
    <tableColumn id="34" xr3:uid="{FA8BA85A-0419-6D49-8696-CE2B99910BA7}" name="FreqHz_128" dataDxfId="457">
      <calculatedColumnFormula array="1">IF($A5 = "", "Enter Sheet Name", IF(($C5 + ED$3) &lt; $D5, _xlfn.XLOOKUP(($C5 + ED$3), INDIRECT($A5 &amp; "!D112:D291"), INDIRECT($A5 &amp; "!K112:K291")), "NA"))</calculatedColumnFormula>
    </tableColumn>
    <tableColumn id="35" xr3:uid="{2183F072-B1FD-E746-96ED-793B6476653C}" name="FreqHz_129" dataDxfId="456">
      <calculatedColumnFormula array="1">IF($A5 = "", "Enter Sheet Name", IF(($C5 + EE$3) &lt; $D5, _xlfn.XLOOKUP(($C5 + EE$3), INDIRECT($A5 &amp; "!D112:D291"), INDIRECT($A5 &amp; "!K112:K291")), "NA"))</calculatedColumnFormula>
    </tableColumn>
    <tableColumn id="36" xr3:uid="{D12BC843-0661-804A-963D-6C8E86DC3374}" name="FreqHz_130" dataDxfId="455">
      <calculatedColumnFormula array="1">IF($A5 = "", "Enter Sheet Name", IF(($C5 + EF$3) &lt; $D5, _xlfn.XLOOKUP(($C5 + EF$3), INDIRECT($A5 &amp; "!D112:D291"), INDIRECT($A5 &amp; "!K112:K291")), "NA"))</calculatedColumnFormula>
    </tableColumn>
    <tableColumn id="37" xr3:uid="{DC1BC298-11E5-AF40-B51E-03362552D58D}" name="FreqHz_131" dataDxfId="454">
      <calculatedColumnFormula array="1">IF($A5 = "", "Enter Sheet Name", IF(($C5 + EG$3) &lt; $D5, _xlfn.XLOOKUP(($C5 + EG$3), INDIRECT($A5 &amp; "!D112:D291"), INDIRECT($A5 &amp; "!K112:K291")), "NA"))</calculatedColumnFormula>
    </tableColumn>
    <tableColumn id="38" xr3:uid="{B566DD45-B816-A646-9158-E9EAAA9F8D5D}" name="FreqHz_132" dataDxfId="453">
      <calculatedColumnFormula array="1">IF($A5 = "", "Enter Sheet Name", IF(($C5 + EH$3) &lt; $D5, _xlfn.XLOOKUP(($C5 + EH$3), INDIRECT($A5 &amp; "!D112:D291"), INDIRECT($A5 &amp; "!K112:K291")), "NA"))</calculatedColumnFormula>
    </tableColumn>
    <tableColumn id="39" xr3:uid="{9EB9E8FB-3A75-CB4D-B20A-73AB21411167}" name="FreqHz_133" dataDxfId="452">
      <calculatedColumnFormula array="1">IF($A5 = "", "Enter Sheet Name", IF(($C5 + EI$3) &lt; $D5, _xlfn.XLOOKUP(($C5 + EI$3), INDIRECT($A5 &amp; "!D112:D291"), INDIRECT($A5 &amp; "!K112:K291")), "NA"))</calculatedColumnFormula>
    </tableColumn>
    <tableColumn id="40" xr3:uid="{B159F11C-43DB-694F-ABF4-B360F81F4C5D}" name="FreqHz_134" dataDxfId="451">
      <calculatedColumnFormula array="1">IF($A5 = "", "Enter Sheet Name", IF(($C5 + EJ$3) &lt; $D5, _xlfn.XLOOKUP(($C5 + EJ$3), INDIRECT($A5 &amp; "!D112:D291"), INDIRECT($A5 &amp; "!K112:K291")), "NA"))</calculatedColumnFormula>
    </tableColumn>
    <tableColumn id="41" xr3:uid="{8FFD244A-0BAC-9144-B026-DA5196008E32}" name="FreqHz_135" dataDxfId="450">
      <calculatedColumnFormula array="1">IF($A5 = "", "Enter Sheet Name", IF(($C5 + EK$3) &lt; $D5, _xlfn.XLOOKUP(($C5 + EK$3), INDIRECT($A5 &amp; "!D112:D291"), INDIRECT($A5 &amp; "!K112:K291")), "NA"))</calculatedColumnFormula>
    </tableColumn>
    <tableColumn id="42" xr3:uid="{EA2389D6-0FA4-A044-9898-75751EA87A06}" name="FreqHz_136" dataDxfId="449">
      <calculatedColumnFormula array="1">IF($A5 = "", "Enter Sheet Name", IF(($C5 + EL$3) &lt; $D5, _xlfn.XLOOKUP(($C5 + EL$3), INDIRECT($A5 &amp; "!D112:D291"), INDIRECT($A5 &amp; "!K112:K291")), "NA"))</calculatedColumnFormula>
    </tableColumn>
    <tableColumn id="43" xr3:uid="{541FC567-0F30-E246-A0CA-13CF4040A498}" name="FreqHz_137" dataDxfId="448">
      <calculatedColumnFormula array="1">IF($A5 = "", "Enter Sheet Name", IF(($C5 + EM$3) &lt; $D5, _xlfn.XLOOKUP(($C5 + EM$3), INDIRECT($A5 &amp; "!D112:D291"), INDIRECT($A5 &amp; "!K112:K291")), "NA"))</calculatedColumnFormula>
    </tableColumn>
    <tableColumn id="44" xr3:uid="{D30AD95F-BF3B-894B-B161-D326323F83E7}" name="FreqHz_138" dataDxfId="447">
      <calculatedColumnFormula array="1">IF($A5 = "", "Enter Sheet Name", IF(($C5 + EN$3) &lt; $D5, _xlfn.XLOOKUP(($C5 + EN$3), INDIRECT($A5 &amp; "!D112:D291"), INDIRECT($A5 &amp; "!K112:K291")), "NA"))</calculatedColumnFormula>
    </tableColumn>
    <tableColumn id="45" xr3:uid="{E45D7C37-5C04-FE46-BD13-56E310F83B42}" name="FreqHz_139" dataDxfId="446">
      <calculatedColumnFormula array="1">IF($A5 = "", "Enter Sheet Name", IF(($C5 + EO$3) &lt; $D5, _xlfn.XLOOKUP(($C5 + EO$3), INDIRECT($A5 &amp; "!D112:D291"), INDIRECT($A5 &amp; "!K112:K291")), "NA"))</calculatedColumnFormula>
    </tableColumn>
    <tableColumn id="46" xr3:uid="{58796AB7-3586-0D43-8C5A-46713BE0D3AE}" name="FreqHz_140" dataDxfId="445">
      <calculatedColumnFormula array="1">IF($A5 = "", "Enter Sheet Name", IF(($C5 + EP$3) &lt; $D5, _xlfn.XLOOKUP(($C5 + EP$3), INDIRECT($A5 &amp; "!D112:D291"), INDIRECT($A5 &amp; "!K112:K291")), "NA"))</calculatedColumnFormula>
    </tableColumn>
    <tableColumn id="47" xr3:uid="{A954962D-647D-F04A-B33C-6AF51AE48822}" name="FreqHz_141" dataDxfId="444">
      <calculatedColumnFormula array="1">IF($A5 = "", "Enter Sheet Name", IF(($C5 + EQ$3) &lt; $D5, _xlfn.XLOOKUP(($C5 + EQ$3), INDIRECT($A5 &amp; "!D112:D291"), INDIRECT($A5 &amp; "!K112:K291")), "NA"))</calculatedColumnFormula>
    </tableColumn>
    <tableColumn id="48" xr3:uid="{C5BEC3A2-21DB-A344-A283-C30BCC89C0F5}" name="FreqHz_142" dataDxfId="443">
      <calculatedColumnFormula array="1">IF($A5 = "", "Enter Sheet Name", IF(($C5 + ER$3) &lt; $D5, _xlfn.XLOOKUP(($C5 + ER$3), INDIRECT($A5 &amp; "!D112:D291"), INDIRECT($A5 &amp; "!K112:K291")), "NA"))</calculatedColumnFormula>
    </tableColumn>
    <tableColumn id="49" xr3:uid="{D0FCC553-C7C5-F54E-B6B8-1AFDA1670555}" name="FreqHz_143" dataDxfId="442">
      <calculatedColumnFormula array="1">IF($A5 = "", "Enter Sheet Name", IF(($C5 + ES$3) &lt; $D5, _xlfn.XLOOKUP(($C5 + ES$3), INDIRECT($A5 &amp; "!D112:D291"), INDIRECT($A5 &amp; "!K112:K291")), "NA"))</calculatedColumnFormula>
    </tableColumn>
    <tableColumn id="50" xr3:uid="{0D93CE05-9556-9546-A960-B19C078BECE7}" name="FreqHz_144" dataDxfId="441">
      <calculatedColumnFormula array="1">IF($A5 = "", "Enter Sheet Name", IF(($C5 + ET$3) &lt; $D5, _xlfn.XLOOKUP(($C5 + ET$3), INDIRECT($A5 &amp; "!D112:D291"), INDIRECT($A5 &amp; "!K112:K291")), "NA"))</calculatedColumnFormula>
    </tableColumn>
    <tableColumn id="51" xr3:uid="{95C710B3-31A7-C540-B2D3-0176BCB10647}" name="FreqHz_145" dataDxfId="440">
      <calculatedColumnFormula array="1">IF($A5 = "", "Enter Sheet Name", IF(($C5 + EU$3) &lt; $D5, _xlfn.XLOOKUP(($C5 + EU$3), INDIRECT($A5 &amp; "!D112:D291"), INDIRECT($A5 &amp; "!K112:K291")), "NA"))</calculatedColumnFormula>
    </tableColumn>
    <tableColumn id="52" xr3:uid="{C906540C-91F0-5D40-B21F-A709A59C76A9}" name="FreqHz_146" dataDxfId="439">
      <calculatedColumnFormula array="1">IF($A5 = "", "Enter Sheet Name", IF(($C5 + EV$3) &lt; $D5, _xlfn.XLOOKUP(($C5 + EV$3), INDIRECT($A5 &amp; "!D112:D291"), INDIRECT($A5 &amp; "!K112:K291")), "NA"))</calculatedColumnFormula>
    </tableColumn>
    <tableColumn id="53" xr3:uid="{4EE151C7-82B1-5648-997A-1621F701E748}" name="FreqHz_147" dataDxfId="438">
      <calculatedColumnFormula array="1">IF($A5 = "", "Enter Sheet Name", IF(($C5 + EW$3) &lt; $D5, _xlfn.XLOOKUP(($C5 + EW$3), INDIRECT($A5 &amp; "!D112:D291"), INDIRECT($A5 &amp; "!K112:K291")), "NA"))</calculatedColumnFormula>
    </tableColumn>
    <tableColumn id="54" xr3:uid="{CB09C9F7-1888-7740-BA27-AB946F46175F}" name="FreqHz_148" dataDxfId="437">
      <calculatedColumnFormula array="1">IF($A5 = "", "Enter Sheet Name", IF(($C5 + EX$3) &lt; $D5, _xlfn.XLOOKUP(($C5 + EX$3), INDIRECT($A5 &amp; "!D112:D291"), INDIRECT($A5 &amp; "!K112:K291")), "NA"))</calculatedColumnFormula>
    </tableColumn>
    <tableColumn id="55" xr3:uid="{64EF6AB6-1295-1144-ACF6-24438BA36638}" name="FreqHz_149" dataDxfId="436">
      <calculatedColumnFormula array="1">IF($A5 = "", "Enter Sheet Name", IF(($C5 + EY$3) &lt; $D5, _xlfn.XLOOKUP(($C5 + EY$3), INDIRECT($A5 &amp; "!D112:D291"), INDIRECT($A5 &amp; "!K112:K291")), "NA"))</calculatedColumnFormula>
    </tableColumn>
    <tableColumn id="56" xr3:uid="{5A34511B-DAA0-A04E-A528-D5DDC3DACC41}" name="FreqHz_150" dataDxfId="435">
      <calculatedColumnFormula array="1">IF($A5 = "", "Enter Sheet Name", IF(($C5 + EZ$3) &lt; $D5, _xlfn.XLOOKUP(($C5 + EZ$3), INDIRECT($A5 &amp; "!D112:D291"), INDIRECT($A5 &amp; "!K112:K291")), "NA"))</calculatedColumnFormula>
    </tableColumn>
    <tableColumn id="57" xr3:uid="{207794A6-B83E-AC4A-A15A-A3E972301184}" name="FreqHz_151" dataDxfId="434">
      <calculatedColumnFormula array="1">IF($A5 = "", "Enter Sheet Name", IF(($C5 + FA$3) &lt; $D5, _xlfn.XLOOKUP(($C5 + FA$3), INDIRECT($A5 &amp; "!D112:D291"), INDIRECT($A5 &amp; "!K112:K291")), "NA"))</calculatedColumnFormula>
    </tableColumn>
    <tableColumn id="58" xr3:uid="{CC2F9BD2-C814-A346-82AD-B05F6C1DDADE}" name="FreqHz_152" dataDxfId="433">
      <calculatedColumnFormula array="1">IF($A5 = "", "Enter Sheet Name", IF(($C5 + FB$3) &lt; $D5, _xlfn.XLOOKUP(($C5 + FB$3), INDIRECT($A5 &amp; "!D112:D291"), INDIRECT($A5 &amp; "!K112:K291")), "NA"))</calculatedColumnFormula>
    </tableColumn>
    <tableColumn id="59" xr3:uid="{91040BDD-DF0A-8344-A7E4-E78A39E1F58B}" name="FreqHz_153" dataDxfId="432">
      <calculatedColumnFormula array="1">IF($A5 = "", "Enter Sheet Name", IF(($C5 + FC$3) &lt; $D5, _xlfn.XLOOKUP(($C5 + FC$3), INDIRECT($A5 &amp; "!D112:D291"), INDIRECT($A5 &amp; "!K112:K291")), "NA"))</calculatedColumnFormula>
    </tableColumn>
    <tableColumn id="60" xr3:uid="{BD58A423-9944-F347-B9B7-AE502E13A8FD}" name="FreqHz_154" dataDxfId="431">
      <calculatedColumnFormula array="1">IF($A5 = "", "Enter Sheet Name", IF(($C5 + FD$3) &lt; $D5, _xlfn.XLOOKUP(($C5 + FD$3), INDIRECT($A5 &amp; "!D112:D291"), INDIRECT($A5 &amp; "!K112:K291")), "NA"))</calculatedColumnFormula>
    </tableColumn>
    <tableColumn id="61" xr3:uid="{AE8D207B-FAE1-F04B-B951-CDFCEF990C09}" name="FreqHz_155" dataDxfId="430">
      <calculatedColumnFormula array="1">IF($A5 = "", "Enter Sheet Name", IF(($C5 + FE$3) &lt; $D5, _xlfn.XLOOKUP(($C5 + FE$3), INDIRECT($A5 &amp; "!D112:D291"), INDIRECT($A5 &amp; "!K112:K291")), "NA"))</calculatedColumnFormula>
    </tableColumn>
    <tableColumn id="62" xr3:uid="{3CEDE322-2B6F-314F-9ED8-60F7E932820A}" name="FreqHz_156" dataDxfId="429">
      <calculatedColumnFormula array="1">IF($A5 = "", "Enter Sheet Name", IF(($C5 + FF$3) &lt; $D5, _xlfn.XLOOKUP(($C5 + FF$3), INDIRECT($A5 &amp; "!D112:D291"), INDIRECT($A5 &amp; "!K112:K291")), "NA"))</calculatedColumnFormula>
    </tableColumn>
    <tableColumn id="63" xr3:uid="{6DCAA9CF-0146-4341-B46B-BD575C33B88E}" name="FreqHz_157" dataDxfId="428">
      <calculatedColumnFormula array="1">IF($A5 = "", "Enter Sheet Name", IF(($C5 + FG$3) &lt; $D5, _xlfn.XLOOKUP(($C5 + FG$3), INDIRECT($A5 &amp; "!D112:D291"), INDIRECT($A5 &amp; "!K112:K291")), "NA"))</calculatedColumnFormula>
    </tableColumn>
    <tableColumn id="64" xr3:uid="{CF202F9A-493B-AD4F-A316-BCFEC8BDCBB0}" name="FreqHz_158" dataDxfId="427">
      <calculatedColumnFormula array="1">IF($A5 = "", "Enter Sheet Name", IF(($C5 + FH$3) &lt; $D5, _xlfn.XLOOKUP(($C5 + FH$3), INDIRECT($A5 &amp; "!D112:D291"), INDIRECT($A5 &amp; "!K112:K291")), "NA"))</calculatedColumnFormula>
    </tableColumn>
    <tableColumn id="65" xr3:uid="{48164905-5D2F-BD42-B5FA-0063E32C0E9D}" name="FreqHz_159" dataDxfId="426">
      <calculatedColumnFormula array="1">IF($A5 = "", "Enter Sheet Name", IF(($C5 + FI$3) &lt; $D5, _xlfn.XLOOKUP(($C5 + FI$3), INDIRECT($A5 &amp; "!D112:D291"), INDIRECT($A5 &amp; "!K112:K291")), "NA"))</calculatedColumnFormula>
    </tableColumn>
    <tableColumn id="167" xr3:uid="{1CEA9418-F3DF-F64A-BDCA-2AC91CF892E0}" name="FreqHz_160" dataDxfId="425">
      <calculatedColumnFormula array="1">IF($A5 = "", "Enter Sheet Name", IF(($C5 + FJ$3) &lt; $D5, _xlfn.XLOOKUP(($C5 + FJ$3), INDIRECT($A5 &amp; "!D112:D291"), INDIRECT($A5 &amp; "!K112:K291")), "NA"))</calculatedColumnFormula>
    </tableColumn>
    <tableColumn id="168" xr3:uid="{F47B49E6-4C3D-474C-90CE-43087B538477}" name="FreqHz_161" dataDxfId="424">
      <calculatedColumnFormula array="1">IF($A5 = "", "Enter Sheet Name", IF(($C5 + FK$3) &lt; $D5, _xlfn.XLOOKUP(($C5 + FK$3), INDIRECT($A5 &amp; "!D112:D291"), INDIRECT($A5 &amp; "!K112:K291")), "NA"))</calculatedColumnFormula>
    </tableColumn>
    <tableColumn id="169" xr3:uid="{A0AB0E0F-D75B-F743-8053-DFD22ED0AEB3}" name="FreqHz_162" dataDxfId="423">
      <calculatedColumnFormula array="1">IF($A5 = "", "Enter Sheet Name", IF(($C5 + FL$3) &lt; $D5, _xlfn.XLOOKUP(($C5 + FL$3), INDIRECT($A5 &amp; "!D112:D291"), INDIRECT($A5 &amp; "!K112:K291")), "NA"))</calculatedColumnFormula>
    </tableColumn>
    <tableColumn id="170" xr3:uid="{29384338-3594-C54E-AA7C-9CA863A42844}" name="FreqHz_163" dataDxfId="422">
      <calculatedColumnFormula array="1">IF($A5 = "", "Enter Sheet Name", IF(($C5 + FM$3) &lt; $D5, _xlfn.XLOOKUP(($C5 + FM$3), INDIRECT($A5 &amp; "!D112:D291"), INDIRECT($A5 &amp; "!K112:K291")), "NA"))</calculatedColumnFormula>
    </tableColumn>
    <tableColumn id="171" xr3:uid="{EF686C0D-26EE-3341-A6E6-DB9131E460F2}" name="FreqHz_164" dataDxfId="421">
      <calculatedColumnFormula array="1">IF($A5 = "", "Enter Sheet Name", IF(($C5 + FN$3) &lt; $D5, _xlfn.XLOOKUP(($C5 + FN$3), INDIRECT($A5 &amp; "!D112:D291"), INDIRECT($A5 &amp; "!K112:K291")), "NA"))</calculatedColumnFormula>
    </tableColumn>
    <tableColumn id="172" xr3:uid="{2BD908FC-5642-0642-BC81-F319CDCA38AB}" name="FreqHz_165" dataDxfId="420">
      <calculatedColumnFormula array="1">IF($A5 = "", "Enter Sheet Name", IF(($C5 + FO$3) &lt; $D5, _xlfn.XLOOKUP(($C5 + FO$3), INDIRECT($A5 &amp; "!D112:D291"), INDIRECT($A5 &amp; "!K112:K291")), "NA"))</calculatedColumnFormula>
    </tableColumn>
    <tableColumn id="173" xr3:uid="{E214EB5B-611C-8746-B65B-985E561DD3BD}" name="FreqHz_166" dataDxfId="419">
      <calculatedColumnFormula array="1">IF($A5 = "", "Enter Sheet Name", IF(($C5 + FP$3) &lt; $D5, _xlfn.XLOOKUP(($C5 + FP$3), INDIRECT($A5 &amp; "!D112:D291"), INDIRECT($A5 &amp; "!K112:K291")), "NA"))</calculatedColumnFormula>
    </tableColumn>
    <tableColumn id="174" xr3:uid="{3FFD8F1C-9596-2741-9750-842AF7206ABB}" name="FreqHz_167" dataDxfId="418">
      <calculatedColumnFormula array="1">IF($A5 = "", "Enter Sheet Name", IF(($C5 + FQ$3) &lt; $D5, _xlfn.XLOOKUP(($C5 + FQ$3), INDIRECT($A5 &amp; "!D112:D291"), INDIRECT($A5 &amp; "!K112:K291")), "NA"))</calculatedColumnFormula>
    </tableColumn>
    <tableColumn id="175" xr3:uid="{F1B42839-8FA3-4C49-A50F-D849300FE8DA}" name="FreqHz_168" dataDxfId="417">
      <calculatedColumnFormula array="1">IF($A5 = "", "Enter Sheet Name", IF(($C5 + FR$3) &lt; $D5, _xlfn.XLOOKUP(($C5 + FR$3), INDIRECT($A5 &amp; "!D112:D291"), INDIRECT($A5 &amp; "!K112:K291")), "NA"))</calculatedColumnFormula>
    </tableColumn>
    <tableColumn id="176" xr3:uid="{C706941E-CDAE-194F-9190-6C38CE62550F}" name="FreqHz_169" dataDxfId="416">
      <calculatedColumnFormula array="1">IF($A5 = "", "Enter Sheet Name", IF(($C5 + FS$3) &lt; $D5, _xlfn.XLOOKUP(($C5 + FS$3), INDIRECT($A5 &amp; "!D112:D291"), INDIRECT($A5 &amp; "!K112:K291")), "NA"))</calculatedColumnFormula>
    </tableColumn>
    <tableColumn id="177" xr3:uid="{E7015153-71B3-284C-9C82-ED9649695075}" name="FreqHz_170" dataDxfId="415">
      <calculatedColumnFormula array="1">IF($A5 = "", "Enter Sheet Name", IF(($C5 + FT$3) &lt; $D5, _xlfn.XLOOKUP(($C5 + FT$3), INDIRECT($A5 &amp; "!D112:D291"), INDIRECT($A5 &amp; "!K112:K291")), "NA"))</calculatedColumnFormula>
    </tableColumn>
    <tableColumn id="178" xr3:uid="{12E9D777-7CCA-724E-841B-2B128E67C71F}" name="FreqHz_171" dataDxfId="414">
      <calculatedColumnFormula array="1">IF($A5 = "", "Enter Sheet Name", IF(($C5 + FU$3) &lt; $D5, _xlfn.XLOOKUP(($C5 + FU$3), INDIRECT($A5 &amp; "!D112:D291"), INDIRECT($A5 &amp; "!K112:K291")), "NA"))</calculatedColumnFormula>
    </tableColumn>
    <tableColumn id="179" xr3:uid="{18BC5B44-E46F-F24A-9A4A-15B624C58C52}" name="FreqHz_172" dataDxfId="413">
      <calculatedColumnFormula array="1">IF($A5 = "", "Enter Sheet Name", IF(($C5 + FV$3) &lt; $D5, _xlfn.XLOOKUP(($C5 + FV$3), INDIRECT($A5 &amp; "!D112:D291"), INDIRECT($A5 &amp; "!K112:K291")), "NA"))</calculatedColumnFormula>
    </tableColumn>
    <tableColumn id="180" xr3:uid="{6D41F51D-5813-F049-8FD9-21F88BF19A5D}" name="FreqHz_173" dataDxfId="412">
      <calculatedColumnFormula array="1">IF($A5 = "", "Enter Sheet Name", IF(($C5 + FW$3) &lt; $D5, _xlfn.XLOOKUP(($C5 + FW$3), INDIRECT($A5 &amp; "!D112:D291"), INDIRECT($A5 &amp; "!K112:K291")), "NA"))</calculatedColumnFormula>
    </tableColumn>
    <tableColumn id="181" xr3:uid="{A027522C-0E8F-8E47-BC23-47B675B83A3A}" name="FreqHz_174" dataDxfId="411">
      <calculatedColumnFormula array="1">IF($A5 = "", "Enter Sheet Name", IF(($C5 + FX$3) &lt; $D5, _xlfn.XLOOKUP(($C5 + FX$3), INDIRECT($A5 &amp; "!D112:D291"), INDIRECT($A5 &amp; "!K112:K291")), "NA"))</calculatedColumnFormula>
    </tableColumn>
    <tableColumn id="182" xr3:uid="{7012961E-2409-4F4E-A89C-27E192C1C3C5}" name="FreqHz_175" dataDxfId="410">
      <calculatedColumnFormula array="1">IF($A5 = "", "Enter Sheet Name", IF(($C5 + FY$3) &lt; $D5, _xlfn.XLOOKUP(($C5 + FY$3), INDIRECT($A5 &amp; "!D112:D291"), INDIRECT($A5 &amp; "!K112:K291")), "NA"))</calculatedColumnFormula>
    </tableColumn>
    <tableColumn id="183" xr3:uid="{4BDFECBD-032C-EB45-B7C5-C22B491CA21C}" name="FreqHz_176" dataDxfId="409">
      <calculatedColumnFormula array="1">IF($A5 = "", "Enter Sheet Name", IF(($C5 + FZ$3) &lt; $D5, _xlfn.XLOOKUP(($C5 + FZ$3), INDIRECT($A5 &amp; "!D112:D291"), INDIRECT($A5 &amp; "!K112:K291")), "NA"))</calculatedColumnFormula>
    </tableColumn>
    <tableColumn id="184" xr3:uid="{5EFDE7C7-88D0-D549-A369-54540122F902}" name="FreqHz_177" dataDxfId="408">
      <calculatedColumnFormula array="1">IF($A5 = "", "Enter Sheet Name", IF(($C5 + GA$3) &lt; $D5, _xlfn.XLOOKUP(($C5 + GA$3), INDIRECT($A5 &amp; "!D112:D291"), INDIRECT($A5 &amp; "!K112:K291")), "NA"))</calculatedColumnFormula>
    </tableColumn>
    <tableColumn id="185" xr3:uid="{3F35DD93-DB51-694D-800B-E94815767F6A}" name="FreqHz_178" dataDxfId="407">
      <calculatedColumnFormula array="1">IF($A5 = "", "Enter Sheet Name", IF(($C5 + GB$3) &lt; $D5, _xlfn.XLOOKUP(($C5 + GB$3), INDIRECT($A5 &amp; "!D112:D291"), INDIRECT($A5 &amp; "!K112:K291")), "NA"))</calculatedColumnFormula>
    </tableColumn>
    <tableColumn id="186" xr3:uid="{0A5A5E83-549F-DA41-95A4-CF2701610A52}" name="FreqHz_179" dataDxfId="406">
      <calculatedColumnFormula array="1">IF($A5 = "", "Enter Sheet Name", IF(($C5 + GC$3) &lt; $D5, _xlfn.XLOOKUP(($C5 + GC$3), INDIRECT($A5 &amp; "!D112:D291"), INDIRECT($A5 &amp; "!K112:K291")), "NA"))</calculatedColumnFormula>
    </tableColumn>
    <tableColumn id="187" xr3:uid="{E2BE2FB6-A734-B247-A774-4FCD440952CF}" name="FreqHz_180" dataDxfId="405">
      <calculatedColumnFormula array="1">IF($A5 = "", "Enter Sheet Name", IF(($C5 + GD$3) &lt; $D5, _xlfn.XLOOKUP(($C5 + GD$3), INDIRECT($A5 &amp; "!D112:D291"), INDIRECT($A5 &amp; "!K112:K291")), "NA"))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F81DC1F-6A4E-4F96-9AF4-B5AEF6C70F0A}" name="CellData26" displayName="CellData26" ref="A4:FI5" totalsRowShown="0" dataDxfId="404">
  <autoFilter ref="A4:FI5" xr:uid="{566B5D69-64EA-4298-BA4E-9BCE09ACA2C2}"/>
  <tableColumns count="165">
    <tableColumn id="1" xr3:uid="{B343E433-D0B7-4728-AA9E-52B248FE7377}" name="SheetName" dataDxfId="403"/>
    <tableColumn id="2" xr3:uid="{A2963B2B-6E53-464F-8B24-7AACE89C02D9}" name="Comments" dataDxfId="402"/>
    <tableColumn id="3" xr3:uid="{9BB7F3B7-03D9-43B1-AAE4-18943D2F07D0}" name="CellID" dataDxfId="401"/>
    <tableColumn id="4" xr3:uid="{E0E0A4C7-D47F-4A37-BA12-0E099AED2B1E}" name="MouseID" dataDxfId="400"/>
    <tableColumn id="5" xr3:uid="{A0B6A37F-D59B-426F-92C0-B8F2406F4827}" name="Daylight_Savings" dataDxfId="399"/>
    <tableColumn id="6" xr3:uid="{DE20002C-EC83-44A4-9F1B-889094E830FF}" name="Record_start" dataDxfId="398"/>
    <tableColumn id="7" xr3:uid="{53557F92-B021-4A27-9989-976E9EEF63D1}" name="Record_end" dataDxfId="397"/>
    <tableColumn id="8" xr3:uid="{776CA7F7-B016-4541-864B-A0FE483B5D38}" name="Record_start_hr" dataDxfId="396">
      <calculatedColumnFormula>IF(E5="Y", F5 - 4/24, F5 - 3/24) * 24</calculatedColumnFormula>
    </tableColumn>
    <tableColumn id="9" xr3:uid="{96FBA151-0DD3-4E0E-9229-BA966CBA317E}" name="Record_end_hr" dataDxfId="395">
      <calculatedColumnFormula>IF(E5="Y", G5 - 4/24, G5 - 3/24) * 24</calculatedColumnFormula>
    </tableColumn>
    <tableColumn id="10" xr3:uid="{A7FD1C28-320D-48B1-B11C-A3D9132269AE}" name="SpontLength_min" dataDxfId="394">
      <calculatedColumnFormula array="1">IF(ISBLANK(CellData26[[#This Row],[SheetName]]), "Enter Sheet", INDIRECT(CellData26[[#This Row],[SheetName]]&amp;"!"&amp;CellData26[[#Headers],[SpontLength_min]]))</calculatedColumnFormula>
    </tableColumn>
    <tableColumn id="65" xr3:uid="{7F7A12A5-A76D-4E14-B5C7-CEEB4D8F045A}" name="Flagged" dataDxfId="393"/>
    <tableColumn id="11" xr3:uid="{2012D670-2E72-4B7E-8A71-B8CB6A41B59F}" name="SpontAvgFiring" dataDxfId="392">
      <calculatedColumnFormula array="1">IF(ISBLANK($A5),"Enter Sheet",IF(ISNUMBER(INDIRECT($A5&amp;"!"&amp;L$4)),INDIRECT($A5&amp;"!"&amp;L$4),"NA"))</calculatedColumnFormula>
    </tableColumn>
    <tableColumn id="64" xr3:uid="{85C3FB62-3184-4143-84A4-08E257D00451}" name="SenktideFiring" dataDxfId="391">
      <calculatedColumnFormula array="1">IF(ISBLANK($A5), "Enter Sheet", IF(INDIRECT($A5&amp;"!Senktide_Analysis"), IF(ISNUMBER(INDIRECT($A5&amp;"!"&amp;M$4)), INDIRECT($A5&amp;"!"&amp;M$4), "NA"), "NA"))</calculatedColumnFormula>
    </tableColumn>
    <tableColumn id="13" xr3:uid="{6DCE4622-5EC6-4D84-A1DA-1D0B7DE4DD55}" name="Mbd_spont" dataDxfId="390">
      <calculatedColumnFormula array="1">IF(ISBLANK($A5), "Enter Sheet", IF($L5 &gt; minFiringRate, IF(AND(ISNUMBER(INDIRECT($A5&amp;"!"&amp;$V$4)), 0 &lt; INDIRECT($A5&amp;"!"&amp;$V$4)), INDIRECT($A5&amp;"!"&amp;N$4), "NA"), "NA"))</calculatedColumnFormula>
    </tableColumn>
    <tableColumn id="14" xr3:uid="{93F0F0DB-992A-4B30-A54A-D90199ED5749}" name="SpikesPerBurst_spont" dataDxfId="389">
      <calculatedColumnFormula array="1">IF(ISBLANK($A5), "Enter Sheet", IF($L5 &gt; minFiringRate, IF(AND(ISNUMBER(INDIRECT($A5&amp;"!"&amp;$V$4)), 0 &lt; INDIRECT($A5&amp;"!"&amp;$V$4)), INDIRECT($A5&amp;"!"&amp;O$4), "NA"), "NA"))</calculatedColumnFormula>
    </tableColumn>
    <tableColumn id="15" xr3:uid="{3C0E33F0-0887-4AED-A73A-32C2C3D05A6A}" name="BurstFreq_spont" dataDxfId="388">
      <calculatedColumnFormula array="1">IF(ISBLANK($A5), "Enter Sheet", IF($L5 &gt; minFiringRate, IF(AND(ISNUMBER(INDIRECT($A5&amp;"!"&amp;$V$4)), 0 &lt; INDIRECT($A5&amp;"!"&amp;$V$4)), INDIRECT($A5&amp;"!"&amp;P$4), "NA"), "NA"))</calculatedColumnFormula>
    </tableColumn>
    <tableColumn id="16" xr3:uid="{86067E9E-6D11-4725-BEA2-0CB65C37A617}" name="SingleSpikeNum_spont" dataDxfId="387">
      <calculatedColumnFormula array="1">IF(ISBLANK($A5), "Enter Sheet", IF($L5 &gt; minFiringRate, IF(AND(ISNUMBER(INDIRECT($A5&amp;"!"&amp;$V$4)), 0 &lt; INDIRECT($A5&amp;"!"&amp;$V$4)), INDIRECT($A5&amp;"!"&amp;Q$4), "NA"), "NA"))</calculatedColumnFormula>
    </tableColumn>
    <tableColumn id="17" xr3:uid="{EF2656F5-645D-43DD-B28E-60FB6EF14727}" name="SingleSpikeFreq_spont" dataDxfId="386">
      <calculatedColumnFormula array="1">IF(ISBLANK($A5), "Enter Sheet", IF($L5 &gt; minFiringRate, IF(AND(ISNUMBER(INDIRECT($A5&amp;"!"&amp;$V$4)), 0 &lt; INDIRECT($A5&amp;"!"&amp;$V$4)), INDIRECT($A5&amp;"!"&amp;R$4), "NA"), "NA"))</calculatedColumnFormula>
    </tableColumn>
    <tableColumn id="18" xr3:uid="{4C24555A-F3F7-479F-B856-3C86A9B3C1ED}" name="TotalFreq_spont" dataDxfId="385">
      <calculatedColumnFormula array="1">IF(ISBLANK($A5), "Enter Sheet", IF($L5 &gt; minFiringRate, IF(AND(ISNUMBER(INDIRECT($A5&amp;"!"&amp;$V$4)), 0 &lt; INDIRECT($A5&amp;"!"&amp;$V$4)), INDIRECT($A5&amp;"!"&amp;S$4), "NA"), "NA"))</calculatedColumnFormula>
    </tableColumn>
    <tableColumn id="19" xr3:uid="{39F1520E-1A12-478E-9908-5E7892024A2A}" name="InterBurst_spont" dataDxfId="384">
      <calculatedColumnFormula array="1">IF(ISBLANK($A5), "Enter Sheet", IF($L5 &gt; minFiringRate, IF(AND(ISNUMBER(INDIRECT($A5&amp;"!"&amp;$V$4)), 0 &lt; INDIRECT($A5&amp;"!"&amp;$V$4)), INDIRECT($A5&amp;"!"&amp;T$4), "NA"), "NA"))</calculatedColumnFormula>
    </tableColumn>
    <tableColumn id="20" xr3:uid="{64C7A292-2E03-4B26-ABC6-F1E7A5DA9467}" name="IntraBurst_spont" dataDxfId="383">
      <calculatedColumnFormula array="1">IF(ISBLANK($A5), "Enter Sheet", IF($L5 &gt; minFiringRate, IF(AND(ISNUMBER(INDIRECT($A5&amp;"!"&amp;$V$4)), 0 &lt; INDIRECT($A5&amp;"!"&amp;$V$4)), INDIRECT($A5&amp;"!"&amp;U$4), "NA"), "NA"))</calculatedColumnFormula>
    </tableColumn>
    <tableColumn id="21" xr3:uid="{233605DE-18B2-4732-A4F8-97914A1EF2DA}" name="BurstsPerHour_spont" dataDxfId="382">
      <calculatedColumnFormula array="1">IF(ISBLANK($A5), "Enter Sheet", IF($L5 &gt; minFiringRate, IF(AND(ISNUMBER(INDIRECT($A5&amp;"!"&amp;$V$4)), 0 &lt; INDIRECT($A5&amp;"!"&amp;$V$4)), INDIRECT($A5&amp;"!"&amp;V$4), "NA"), "NA"))</calculatedColumnFormula>
    </tableColumn>
    <tableColumn id="22" xr3:uid="{E3EE5C78-103C-4FE7-BBAF-A83DFD708E82}" name="MaxBurstWindow_spont" dataDxfId="381">
      <calculatedColumnFormula array="1">IF(ISBLANK($A5), "Enter Sheet", IF($L5 &gt; minFiringRate, IF(ISNUMBER(INDIRECT($A5&amp;"!"&amp;W$4)), INDIRECT($A5&amp;"!"&amp;W$4), "NA"), "NA"))</calculatedColumnFormula>
    </tableColumn>
    <tableColumn id="23" xr3:uid="{EF38E403-D4A9-4C01-B80E-02013EC49396}" name="numPeaks_2x2SD" dataDxfId="380">
      <calculatedColumnFormula array="1">IF(ISBLANK($A5), "Enter Sheet", IF($L5 &gt; minFiringRate, IF(ISNUMBER(INDIRECT($A5&amp;"!"&amp;X$4)), INDIRECT($A5&amp;"!"&amp;X$4), "NA"), "NA"))</calculatedColumnFormula>
    </tableColumn>
    <tableColumn id="24" xr3:uid="{933A793A-F561-404D-A6C9-7CDCB89C9D6E}" name="numNadirs_2x2SD" dataDxfId="379">
      <calculatedColumnFormula array="1">IF(ISBLANK($A5), "Enter Sheet", IF($L5 &gt; minFiringRate, IF(ISNUMBER(INDIRECT($A5&amp;"!"&amp;Y$4)), INDIRECT($A5&amp;"!"&amp;Y$4), "NA"), "NA"))</calculatedColumnFormula>
    </tableColumn>
    <tableColumn id="25" xr3:uid="{DB32ABEE-EA9E-4C74-AAEE-946B2FF7DD24}" name="meanPeakDur_2x2SD" dataDxfId="378">
      <calculatedColumnFormula array="1">IF(ISBLANK($A5), "Enter Sheet", IF($L5 &gt; minFiringRate, IF(ISNUMBER(INDIRECT($A5&amp;"!"&amp;Z$4)), INDIRECT($A5&amp;"!"&amp;Z$4), "NA"), "NA"))</calculatedColumnFormula>
    </tableColumn>
    <tableColumn id="26" xr3:uid="{84A5174B-83CA-4A2E-9352-C9D8139EDE5D}" name="totalPeakDur_2x2SD" dataDxfId="377">
      <calculatedColumnFormula array="1">IF(ISBLANK($A5), "Enter Sheet", IF($L5 &gt; minFiringRate, IF(ISNUMBER(INDIRECT($A5&amp;"!"&amp;AA$4)), INDIRECT($A5&amp;"!"&amp;AA$4), "NA"), "NA"))</calculatedColumnFormula>
    </tableColumn>
    <tableColumn id="27" xr3:uid="{C9075F18-8F5D-4FD8-9A1E-D4BCF3C1012E}" name="meanNadirDur_2x2SD" dataDxfId="376">
      <calculatedColumnFormula array="1">IF(ISBLANK($A5), "Enter Sheet", IF($L5 &gt; minFiringRate, IF(ISNUMBER(INDIRECT($A5&amp;"!"&amp;AB$4)), INDIRECT($A5&amp;"!"&amp;AB$4), "NA"), "NA"))</calculatedColumnFormula>
    </tableColumn>
    <tableColumn id="28" xr3:uid="{A7CD1C13-F34E-4696-B3C9-C047194F5F15}" name="totalNadirDur_2x2SD" dataDxfId="375">
      <calculatedColumnFormula array="1">IF(ISBLANK($A5), "Enter Sheet", IF($L5 &gt; minFiringRate, IF(ISNUMBER(INDIRECT($A5&amp;"!"&amp;AC$4)), INDIRECT($A5&amp;"!"&amp;AC$4), "NA"), "NA"))</calculatedColumnFormula>
    </tableColumn>
    <tableColumn id="29" xr3:uid="{9A9161A9-3CD0-49F3-A809-1534BE82C458}" name="meanPeakFiring_2x2SD" dataDxfId="374">
      <calculatedColumnFormula array="1">IF(ISBLANK($A5), "Enter Sheet", IF($L5 &gt; minFiringRate, IF(ISNUMBER(INDIRECT($A5&amp;"!"&amp;AD$4)), INDIRECT($A5&amp;"!"&amp;AD$4), "NA"), "NA"))</calculatedColumnFormula>
    </tableColumn>
    <tableColumn id="30" xr3:uid="{A3EEE31A-69D8-47A6-9097-D7964490DCC9}" name="meanNadirFiring_2x2SD" dataDxfId="373">
      <calculatedColumnFormula array="1">IF(ISBLANK($A5), "Enter Sheet", IF($L5 &gt; minFiringRate, IF(ISNUMBER(INDIRECT($A5&amp;"!"&amp;AE$4)), INDIRECT($A5&amp;"!"&amp;AE$4), "NA"), "NA"))</calculatedColumnFormula>
    </tableColumn>
    <tableColumn id="31" xr3:uid="{B6488DEC-67B5-4AA8-A034-579421A05F99}" name="numPeaks_3x3SD" dataDxfId="372">
      <calculatedColumnFormula array="1">IF(ISBLANK($A5), "Enter Sheet", IF($L5 &gt; minFiringRate, IF(ISNUMBER(INDIRECT($A5&amp;"!"&amp;AF$4)), INDIRECT($A5&amp;"!"&amp;AF$4), "NA"), "NA"))</calculatedColumnFormula>
    </tableColumn>
    <tableColumn id="32" xr3:uid="{423C95A7-5A26-4A6D-8A05-4FA7F2CC0EA8}" name="numNadirs_3x3SD" dataDxfId="371">
      <calculatedColumnFormula array="1">IF(ISBLANK($A5), "Enter Sheet", IF($L5 &gt; minFiringRate, IF(ISNUMBER(INDIRECT($A5&amp;"!"&amp;AG$4)), INDIRECT($A5&amp;"!"&amp;AG$4), "NA"), "NA"))</calculatedColumnFormula>
    </tableColumn>
    <tableColumn id="33" xr3:uid="{3FF3A747-9561-4BE9-97AB-F445BEC02B5D}" name="meanPeakDur_3x3SD" dataDxfId="370">
      <calculatedColumnFormula array="1">IF(ISBLANK($A5), "Enter Sheet", IF($L5 &gt; minFiringRate, IF(ISNUMBER(INDIRECT($A5&amp;"!"&amp;AH$4)), INDIRECT($A5&amp;"!"&amp;AH$4), "NA"), "NA"))</calculatedColumnFormula>
    </tableColumn>
    <tableColumn id="34" xr3:uid="{E7DC071E-105D-43FB-9AFF-A05FAD84B31D}" name="totalPeakDur_3x3SD" dataDxfId="369">
      <calculatedColumnFormula array="1">IF(ISBLANK($A5), "Enter Sheet", IF($L5 &gt; minFiringRate, IF(ISNUMBER(INDIRECT($A5&amp;"!"&amp;AI$4)), INDIRECT($A5&amp;"!"&amp;AI$4), "NA"), "NA"))</calculatedColumnFormula>
    </tableColumn>
    <tableColumn id="35" xr3:uid="{30570A60-4D14-4A0F-9E8C-57B34D5EF9CD}" name="meanNadirDur_3x3SD" dataDxfId="368">
      <calculatedColumnFormula array="1">IF(ISBLANK($A5), "Enter Sheet", IF($L5 &gt; minFiringRate, IF(ISNUMBER(INDIRECT($A5&amp;"!"&amp;AJ$4)), INDIRECT($A5&amp;"!"&amp;AJ$4), "NA"), "NA"))</calculatedColumnFormula>
    </tableColumn>
    <tableColumn id="36" xr3:uid="{E4D0972A-134C-417F-81B9-06AE9B217FB0}" name="totalNadirDur_3x3SD" dataDxfId="367">
      <calculatedColumnFormula array="1">IF(ISBLANK($A5), "Enter Sheet", IF($L5 &gt; minFiringRate, IF(ISNUMBER(INDIRECT($A5&amp;"!"&amp;AK$4)), INDIRECT($A5&amp;"!"&amp;AK$4), "NA"), "NA"))</calculatedColumnFormula>
    </tableColumn>
    <tableColumn id="37" xr3:uid="{A1F6373A-B59A-4171-9633-492C7365EB0F}" name="meanPeakFiring_3x3SD" dataDxfId="366">
      <calculatedColumnFormula array="1">IF(ISBLANK($A5), "Enter Sheet", IF($L5 &gt; minFiringRate, IF(ISNUMBER(INDIRECT($A5&amp;"!"&amp;AL$4)), INDIRECT($A5&amp;"!"&amp;AL$4), "NA"), "NA"))</calculatedColumnFormula>
    </tableColumn>
    <tableColumn id="38" xr3:uid="{6A099EEF-1673-443A-9B6B-3E53C10F6A91}" name="meanNadirFiring_3x3SD" dataDxfId="365">
      <calculatedColumnFormula array="1">IF(ISBLANK($A5), "Enter Sheet", IF($L5 &gt; minFiringRate, IF(ISNUMBER(INDIRECT($A5&amp;"!"&amp;AM$4)), INDIRECT($A5&amp;"!"&amp;AM$4), "NA"), "NA"))</calculatedColumnFormula>
    </tableColumn>
    <tableColumn id="39" xr3:uid="{464A6DDE-EC6A-4F17-A40D-9CC4E53D10C6}" name="numPeaks_2x2SE" dataDxfId="364">
      <calculatedColumnFormula array="1">IF(ISBLANK($A5), "Enter Sheet", IF($L5 &gt; minFiringRate, IF(ISNUMBER(INDIRECT($A5&amp;"!"&amp;AN$4)), INDIRECT($A5&amp;"!"&amp;AN$4), "NA"), "NA"))</calculatedColumnFormula>
    </tableColumn>
    <tableColumn id="40" xr3:uid="{4BFFCBDD-3520-4ED4-8082-54CD8C48450A}" name="numNadirs_2x2SE" dataDxfId="363">
      <calculatedColumnFormula array="1">IF(ISBLANK($A5), "Enter Sheet", IF($L5 &gt; minFiringRate, IF(ISNUMBER(INDIRECT($A5&amp;"!"&amp;AO$4)), INDIRECT($A5&amp;"!"&amp;AO$4), "NA"), "NA"))</calculatedColumnFormula>
    </tableColumn>
    <tableColumn id="41" xr3:uid="{309FB35D-113D-4E89-9198-D5184E9C5173}" name="meanPeakDur_2x2SE" dataDxfId="362">
      <calculatedColumnFormula array="1">IF(ISBLANK($A5), "Enter Sheet", IF($L5 &gt; minFiringRate, IF(ISNUMBER(INDIRECT($A5&amp;"!"&amp;AP$4)), INDIRECT($A5&amp;"!"&amp;AP$4), "NA"), "NA"))</calculatedColumnFormula>
    </tableColumn>
    <tableColumn id="42" xr3:uid="{64B96C37-FB61-44CE-AF32-5184A27D5F9C}" name="totalPeakDur_2x2SE" dataDxfId="361">
      <calculatedColumnFormula array="1">IF(ISBLANK($A5), "Enter Sheet", IF($L5 &gt; minFiringRate, IF(ISNUMBER(INDIRECT($A5&amp;"!"&amp;AQ$4)), INDIRECT($A5&amp;"!"&amp;AQ$4), "NA"), "NA"))</calculatedColumnFormula>
    </tableColumn>
    <tableColumn id="43" xr3:uid="{58D7CEC2-11F0-49A9-88EA-33081C82DBE5}" name="meanNadirDur_2x2SE" dataDxfId="360">
      <calculatedColumnFormula array="1">IF(ISBLANK($A5), "Enter Sheet", IF($L5 &gt; minFiringRate, IF(ISNUMBER(INDIRECT($A5&amp;"!"&amp;AR$4)), INDIRECT($A5&amp;"!"&amp;AR$4), "NA"), "NA"))</calculatedColumnFormula>
    </tableColumn>
    <tableColumn id="44" xr3:uid="{894AC949-AC84-4BC3-A308-423821FC07C0}" name="totalNadirDur_2x2SE" dataDxfId="359">
      <calculatedColumnFormula array="1">IF(ISBLANK($A5), "Enter Sheet", IF($L5 &gt; minFiringRate, IF(ISNUMBER(INDIRECT($A5&amp;"!"&amp;AS$4)), INDIRECT($A5&amp;"!"&amp;AS$4), "NA"), "NA"))</calculatedColumnFormula>
    </tableColumn>
    <tableColumn id="45" xr3:uid="{C4341609-D292-4929-B052-86191F37DCD2}" name="meanPeakFiring_2x2SE" dataDxfId="358">
      <calculatedColumnFormula array="1">IF(ISBLANK($A5), "Enter Sheet", IF($L5 &gt; minFiringRate, IF(ISNUMBER(INDIRECT($A5&amp;"!"&amp;AT$4)), INDIRECT($A5&amp;"!"&amp;AT$4), "NA"), "NA"))</calculatedColumnFormula>
    </tableColumn>
    <tableColumn id="46" xr3:uid="{63E1E4D1-C9EC-41AC-A816-FDA70C9D45D0}" name="meanNadirFiring_2x2SE" dataDxfId="357">
      <calculatedColumnFormula array="1">IF(ISBLANK($A5), "Enter Sheet", IF($L5 &gt; minFiringRate, IF(ISNUMBER(INDIRECT($A5&amp;"!"&amp;AU$4)), INDIRECT($A5&amp;"!"&amp;AU$4), "NA"), "NA"))</calculatedColumnFormula>
    </tableColumn>
    <tableColumn id="55" xr3:uid="{8674A200-8EC3-464D-B333-207B49D46468}" name="numPeaks_3x3SE" dataDxfId="356">
      <calculatedColumnFormula array="1">IF(ISBLANK($A5), "Enter Sheet", IF($L5 &gt; minFiringRate, IF(ISNUMBER(INDIRECT($A5&amp;"!"&amp;AV$4)), INDIRECT($A5&amp;"!"&amp;AV$4), "NA"), "NA"))</calculatedColumnFormula>
    </tableColumn>
    <tableColumn id="56" xr3:uid="{96E8D951-232F-4BE5-A69D-34469D5A9B6D}" name="numNadirs_3x3SE" dataDxfId="355">
      <calculatedColumnFormula array="1">IF(ISBLANK($A5), "Enter Sheet", IF($L5 &gt; minFiringRate, IF(ISNUMBER(INDIRECT($A5&amp;"!"&amp;AW$4)), INDIRECT($A5&amp;"!"&amp;AW$4), "NA"), "NA"))</calculatedColumnFormula>
    </tableColumn>
    <tableColumn id="57" xr3:uid="{2E469A3C-73AD-4D98-BED0-A03BB5736CA8}" name="meanPeakDur_3x3SE" dataDxfId="354">
      <calculatedColumnFormula array="1">IF(ISBLANK($A5), "Enter Sheet", IF($L5 &gt; minFiringRate, IF(ISNUMBER(INDIRECT($A5&amp;"!"&amp;AX$4)), INDIRECT($A5&amp;"!"&amp;AX$4), "NA"), "NA"))</calculatedColumnFormula>
    </tableColumn>
    <tableColumn id="58" xr3:uid="{0B8E4D4F-2C4C-406A-90E3-84FC0BD93150}" name="totalPeakDur_3x3SE" dataDxfId="353">
      <calculatedColumnFormula array="1">IF(ISBLANK($A5), "Enter Sheet", IF($L5 &gt; minFiringRate, IF(ISNUMBER(INDIRECT($A5&amp;"!"&amp;AY$4)), INDIRECT($A5&amp;"!"&amp;AY$4), "NA"), "NA"))</calculatedColumnFormula>
    </tableColumn>
    <tableColumn id="59" xr3:uid="{976973B8-C709-4E11-9CC7-6460F3F7E9DB}" name="meanNadirDur_3x3SE" dataDxfId="352">
      <calculatedColumnFormula array="1">IF(ISBLANK($A5), "Enter Sheet", IF($L5 &gt; minFiringRate, IF(ISNUMBER(INDIRECT($A5&amp;"!"&amp;AZ$4)), INDIRECT($A5&amp;"!"&amp;AZ$4), "NA"), "NA"))</calculatedColumnFormula>
    </tableColumn>
    <tableColumn id="60" xr3:uid="{9B98E064-C78C-48ED-B406-0512A7E95AB0}" name="totalNadirDur_3x3SE" dataDxfId="351">
      <calculatedColumnFormula array="1">IF(ISBLANK($A5), "Enter Sheet", IF($L5 &gt; minFiringRate, IF(ISNUMBER(INDIRECT($A5&amp;"!"&amp;BA$4)), INDIRECT($A5&amp;"!"&amp;BA$4), "NA"), "NA"))</calculatedColumnFormula>
    </tableColumn>
    <tableColumn id="61" xr3:uid="{8B708E9A-C718-4B36-989D-9B271E491860}" name="meanPeakFiring_3x3SE" dataDxfId="350">
      <calculatedColumnFormula array="1">IF(ISBLANK($A5), "Enter Sheet", IF($L5 &gt; minFiringRate, IF(ISNUMBER(INDIRECT($A5&amp;"!"&amp;BB$4)), INDIRECT($A5&amp;"!"&amp;BB$4), "NA"), "NA"))</calculatedColumnFormula>
    </tableColumn>
    <tableColumn id="62" xr3:uid="{1FCB3C8C-BB75-4BE4-AD34-4DF88E75BBA6}" name="meanNadirFiring_3x3SE" dataDxfId="349">
      <calculatedColumnFormula array="1">IF(ISBLANK($A5), "Enter Sheet", IF($L5 &gt; minFiringRate, IF(ISNUMBER(INDIRECT($A5&amp;"!"&amp;BC$4)), INDIRECT($A5&amp;"!"&amp;BC$4), "NA"), "NA"))</calculatedColumnFormula>
    </tableColumn>
    <tableColumn id="12" xr3:uid="{E4FE4225-9191-4F48-9CCB-CE1B262BD766}" name="Mbd_senktide" dataDxfId="348">
      <calculatedColumnFormula array="1">IF(ISBLANK($A5), "Enter Sheet", IF(INDIRECT($A5&amp;"!Senktide_Analysis"), IF($M5 &gt; minFiringRate, IF(ISNUMBER(INDIRECT($A5&amp;"!"&amp;BD$4)), INDIRECT($A5&amp;"!"&amp;BD$4), "NA"), "NA"), "NA"))</calculatedColumnFormula>
    </tableColumn>
    <tableColumn id="47" xr3:uid="{DA5BE211-1E52-4793-9A13-171AFA31CAD5}" name="SpikesPerBurst_senktide" dataDxfId="347">
      <calculatedColumnFormula array="1">IF(ISBLANK($A5), "Enter Sheet", IF(INDIRECT($A5&amp;"!Senktide_Analysis"), IF($M5 &gt; minFiringRate, IF(ISNUMBER(INDIRECT($A5&amp;"!"&amp;BE$4)), INDIRECT($A5&amp;"!"&amp;BE$4), "NA"), "NA"), "NA"))</calculatedColumnFormula>
    </tableColumn>
    <tableColumn id="48" xr3:uid="{A305D683-F1FF-4FF0-AC06-FFEA4A0A2FA8}" name="BurstFreq_senktide" dataDxfId="346">
      <calculatedColumnFormula array="1">IF(ISBLANK($A5), "Enter Sheet", IF(INDIRECT($A5&amp;"!Senktide_Analysis"), IF($M5 &gt; minFiringRate, IF(ISNUMBER(INDIRECT($A5&amp;"!"&amp;BF$4)), INDIRECT($A5&amp;"!"&amp;BF$4), "NA"), "NA"), "NA"))</calculatedColumnFormula>
    </tableColumn>
    <tableColumn id="49" xr3:uid="{BB2A70B0-61ED-4BA2-8740-4363A0B305D9}" name="SingleSpikeNum_senktide" dataDxfId="345">
      <calculatedColumnFormula array="1">IF(ISBLANK($A5), "Enter Sheet", IF(INDIRECT($A5&amp;"!Senktide_Analysis"), IF($M5 &gt; minFiringRate, IF(ISNUMBER(INDIRECT($A5&amp;"!"&amp;BG$4)), INDIRECT($A5&amp;"!"&amp;BG$4), "NA"), "NA"), "NA"))</calculatedColumnFormula>
    </tableColumn>
    <tableColumn id="50" xr3:uid="{85C5FB46-B061-45BB-8059-D3F02663C570}" name="SingleSpikeFreq_senktide" dataDxfId="344">
      <calculatedColumnFormula array="1">IF(ISBLANK($A5), "Enter Sheet", IF(INDIRECT($A5&amp;"!Senktide_Analysis"), IF($M5 &gt; minFiringRate, IF(ISNUMBER(INDIRECT($A5&amp;"!"&amp;BH$4)), INDIRECT($A5&amp;"!"&amp;BH$4), "NA"), "NA"), "NA"))</calculatedColumnFormula>
    </tableColumn>
    <tableColumn id="51" xr3:uid="{3F6B952D-4C9D-42AD-AF42-BE821573BF5A}" name="TotalFreq_senktide" dataDxfId="343">
      <calculatedColumnFormula array="1">IF(ISBLANK($A5), "Enter Sheet", IF(INDIRECT($A5&amp;"!Senktide_Analysis"), IF($M5 &gt; minFiringRate, IF(ISNUMBER(INDIRECT($A5&amp;"!"&amp;BI$4)), INDIRECT($A5&amp;"!"&amp;BI$4), "NA"), "NA"), "NA"))</calculatedColumnFormula>
    </tableColumn>
    <tableColumn id="52" xr3:uid="{330230B0-6787-4B43-8B6F-50E3913BD3AE}" name="InterBurst_senktide" dataDxfId="342">
      <calculatedColumnFormula array="1">IF(ISBLANK($A5), "Enter Sheet", IF(INDIRECT($A5&amp;"!Senktide_Analysis"), IF($M5 &gt; minFiringRate, IF(ISNUMBER(INDIRECT($A5&amp;"!"&amp;BJ$4)), INDIRECT($A5&amp;"!"&amp;BJ$4), "NA"), "NA"), "NA"))</calculatedColumnFormula>
    </tableColumn>
    <tableColumn id="53" xr3:uid="{E7F0B727-EE7B-407E-89F8-D317D885B41B}" name="IntraBurst_senktide" dataDxfId="341">
      <calculatedColumnFormula array="1">IF(ISBLANK($A5), "Enter Sheet", IF(INDIRECT($A5&amp;"!Senktide_Analysis"), IF($M5 &gt; minFiringRate, IF(ISNUMBER(INDIRECT($A5&amp;"!"&amp;BK$4)), INDIRECT($A5&amp;"!"&amp;BK$4), "NA"), "NA"), "NA"))</calculatedColumnFormula>
    </tableColumn>
    <tableColumn id="54" xr3:uid="{0A8ACA01-D6BC-4B65-B955-BF7683E6A127}" name="BurstsPerHour_senktide" dataDxfId="340">
      <calculatedColumnFormula array="1">IF(ISBLANK($A5), "Enter Sheet", IF(INDIRECT($A5&amp;"!Senktide_Analysis"), IF($M5 &gt; minFiringRate, IF(ISNUMBER(INDIRECT($A5&amp;"!"&amp;BL$4)), INDIRECT($A5&amp;"!"&amp;BL$4), "NA"), "NA"), "NA"))</calculatedColumnFormula>
    </tableColumn>
    <tableColumn id="63" xr3:uid="{CE13F935-7401-49FE-8BF7-0D61238A40B6}" name="MaxBurstWindow_senktide" dataDxfId="339">
      <calculatedColumnFormula array="1">IF(ISBLANK($A5), "Enter Sheet", IF(INDIRECT($A5&amp;"!Senktide_Analysis"), IF($M5 &gt; minFiringRate, IF(ISNUMBER(INDIRECT($A5&amp;"!"&amp;BM$4)), INDIRECT($A5&amp;"!"&amp;BM$4), "NA"), "NA"), "NA"))</calculatedColumnFormula>
    </tableColumn>
    <tableColumn id="66" xr3:uid="{1D2B506F-0015-D244-8D14-AA062F849B50}" name="BurstsPerHour_0.01" dataDxfId="338">
      <calculatedColumnFormula array="1">IF(ISBLANK($A5), "Enter Sheet", IF($L5 &gt; minFiringRate, IF(SUM(INDIRECT($A5 &amp; "!AL3:AL102")) &gt; 0, INDIRECT($A5&amp;"!AL"&amp;BN$3), "NA"), "NA"))</calculatedColumnFormula>
    </tableColumn>
    <tableColumn id="67" xr3:uid="{9BB7F1B2-8CEC-A74F-813B-E6E235B39B60}" name="BurstsPerHour_0.02" dataDxfId="337">
      <calculatedColumnFormula array="1">IF(ISBLANK($A5), "Enter Sheet", IF($L5 &gt; minFiringRate, IF(SUM(INDIRECT($A5 &amp; "!AL3:AL102")) &gt; 0, INDIRECT($A5&amp;"!AL"&amp;BO$3), "NA"), "NA"))</calculatedColumnFormula>
    </tableColumn>
    <tableColumn id="68" xr3:uid="{9E5E4368-E168-B642-89FB-EB4FDAC28C79}" name="BurstsPerHour_0.03" dataDxfId="336">
      <calculatedColumnFormula array="1">IF(ISBLANK($A5), "Enter Sheet", IF($L5 &gt; minFiringRate, IF(SUM(INDIRECT($A5 &amp; "!AL3:AL102")) &gt; 0, INDIRECT($A5&amp;"!AL"&amp;BP$3), "NA"), "NA"))</calculatedColumnFormula>
    </tableColumn>
    <tableColumn id="69" xr3:uid="{046FA3F5-A60C-274D-8492-F9CD11E748DD}" name="BurstsPerHour_0.04" dataDxfId="335">
      <calculatedColumnFormula array="1">IF(ISBLANK($A5), "Enter Sheet", IF($L5 &gt; minFiringRate, IF(SUM(INDIRECT($A5 &amp; "!AL3:AL102")) &gt; 0, INDIRECT($A5&amp;"!AL"&amp;BQ$3), "NA"), "NA"))</calculatedColumnFormula>
    </tableColumn>
    <tableColumn id="70" xr3:uid="{D238083A-6046-664F-B2B3-26326B1E7AFC}" name="BurstsPerHour_0.05" dataDxfId="334">
      <calculatedColumnFormula array="1">IF(ISBLANK($A5), "Enter Sheet", IF($L5 &gt; minFiringRate, IF(SUM(INDIRECT($A5 &amp; "!AL3:AL102")) &gt; 0, INDIRECT($A5&amp;"!AL"&amp;BR$3), "NA"), "NA"))</calculatedColumnFormula>
    </tableColumn>
    <tableColumn id="71" xr3:uid="{C0814190-A593-D24E-A7D1-5216023A5C15}" name="BurstsPerHour_0.06" dataDxfId="333">
      <calculatedColumnFormula array="1">IF(ISBLANK($A5), "Enter Sheet", IF($L5 &gt; minFiringRate, IF(SUM(INDIRECT($A5 &amp; "!AL3:AL102")) &gt; 0, INDIRECT($A5&amp;"!AL"&amp;BS$3), "NA"), "NA"))</calculatedColumnFormula>
    </tableColumn>
    <tableColumn id="72" xr3:uid="{3D703F73-A237-734A-BC97-411E083A1D2A}" name="BurstsPerHour_0.07" dataDxfId="332">
      <calculatedColumnFormula array="1">IF(ISBLANK($A5), "Enter Sheet", IF($L5 &gt; minFiringRate, IF(SUM(INDIRECT($A5 &amp; "!AL3:AL102")) &gt; 0, INDIRECT($A5&amp;"!AL"&amp;BT$3), "NA"), "NA"))</calculatedColumnFormula>
    </tableColumn>
    <tableColumn id="73" xr3:uid="{8F15DBD9-16CA-9E44-BF69-7D255786912C}" name="BurstsPerHour_0.08" dataDxfId="331">
      <calculatedColumnFormula array="1">IF(ISBLANK($A5), "Enter Sheet", IF($L5 &gt; minFiringRate, IF(SUM(INDIRECT($A5 &amp; "!AL3:AL102")) &gt; 0, INDIRECT($A5&amp;"!AL"&amp;BU$3), "NA"), "NA"))</calculatedColumnFormula>
    </tableColumn>
    <tableColumn id="74" xr3:uid="{80C8795D-F9CB-BD45-97CD-27E138941997}" name="BurstsPerHour_0.09" dataDxfId="330">
      <calculatedColumnFormula array="1">IF(ISBLANK($A5), "Enter Sheet", IF($L5 &gt; minFiringRate, IF(SUM(INDIRECT($A5 &amp; "!AL3:AL102")) &gt; 0, INDIRECT($A5&amp;"!AL"&amp;BV$3), "NA"), "NA"))</calculatedColumnFormula>
    </tableColumn>
    <tableColumn id="75" xr3:uid="{9CB7ABE1-4390-F64B-B394-269BAF4E9CC2}" name="BurstsPerHour_0.10" dataDxfId="329">
      <calculatedColumnFormula array="1">IF(ISBLANK($A5), "Enter Sheet", IF($L5 &gt; minFiringRate, IF(SUM(INDIRECT($A5 &amp; "!AL3:AL102")) &gt; 0, INDIRECT($A5&amp;"!AL"&amp;BW$3), "NA"), "NA"))</calculatedColumnFormula>
    </tableColumn>
    <tableColumn id="76" xr3:uid="{E3D31C2C-7018-A64B-9D73-4B21A392E5DE}" name="BurstsPerHour_0.11" dataDxfId="328">
      <calculatedColumnFormula array="1">IF(ISBLANK($A5), "Enter Sheet", IF($L5 &gt; minFiringRate, IF(SUM(INDIRECT($A5 &amp; "!AL3:AL102")) &gt; 0, INDIRECT($A5&amp;"!AL"&amp;BX$3), "NA"), "NA"))</calculatedColumnFormula>
    </tableColumn>
    <tableColumn id="77" xr3:uid="{5FF11A7D-B5EC-A84C-A858-FF3095348738}" name="BurstsPerHour_0.12" dataDxfId="327">
      <calculatedColumnFormula array="1">IF(ISBLANK($A5), "Enter Sheet", IF($L5 &gt; minFiringRate, IF(SUM(INDIRECT($A5 &amp; "!AL3:AL102")) &gt; 0, INDIRECT($A5&amp;"!AL"&amp;BY$3), "NA"), "NA"))</calculatedColumnFormula>
    </tableColumn>
    <tableColumn id="78" xr3:uid="{10D1D9C9-31A7-7742-B9B2-B1BDEFECED55}" name="BurstsPerHour_0.13" dataDxfId="326">
      <calculatedColumnFormula array="1">IF(ISBLANK($A5), "Enter Sheet", IF($L5 &gt; minFiringRate, IF(SUM(INDIRECT($A5 &amp; "!AL3:AL102")) &gt; 0, INDIRECT($A5&amp;"!AL"&amp;BZ$3), "NA"), "NA"))</calculatedColumnFormula>
    </tableColumn>
    <tableColumn id="79" xr3:uid="{8F3916AD-74C9-D443-9ED6-541A637144CE}" name="BurstsPerHour_0.14" dataDxfId="325">
      <calculatedColumnFormula array="1">IF(ISBLANK($A5), "Enter Sheet", IF($L5 &gt; minFiringRate, IF(SUM(INDIRECT($A5 &amp; "!AL3:AL102")) &gt; 0, INDIRECT($A5&amp;"!AL"&amp;CA$3), "NA"), "NA"))</calculatedColumnFormula>
    </tableColumn>
    <tableColumn id="80" xr3:uid="{D94EAF48-8AA5-4B4C-A5CC-67A0FA025C62}" name="BurstsPerHour_0.15" dataDxfId="324">
      <calculatedColumnFormula array="1">IF(ISBLANK($A5), "Enter Sheet", IF($L5 &gt; minFiringRate, IF(SUM(INDIRECT($A5 &amp; "!AL3:AL102")) &gt; 0, INDIRECT($A5&amp;"!AL"&amp;CB$3), "NA"), "NA"))</calculatedColumnFormula>
    </tableColumn>
    <tableColumn id="81" xr3:uid="{7FEF37DB-C998-A740-8CEA-4527035676C3}" name="BurstsPerHour_0.16" dataDxfId="323">
      <calculatedColumnFormula array="1">IF(ISBLANK($A5), "Enter Sheet", IF($L5 &gt; minFiringRate, IF(SUM(INDIRECT($A5 &amp; "!AL3:AL102")) &gt; 0, INDIRECT($A5&amp;"!AL"&amp;CC$3), "NA"), "NA"))</calculatedColumnFormula>
    </tableColumn>
    <tableColumn id="82" xr3:uid="{E2A84D56-25E2-9A4C-B144-8473016DB200}" name="BurstsPerHour_0.17" dataDxfId="322">
      <calculatedColumnFormula array="1">IF(ISBLANK($A5), "Enter Sheet", IF($L5 &gt; minFiringRate, IF(SUM(INDIRECT($A5 &amp; "!AL3:AL102")) &gt; 0, INDIRECT($A5&amp;"!AL"&amp;CD$3), "NA"), "NA"))</calculatedColumnFormula>
    </tableColumn>
    <tableColumn id="83" xr3:uid="{0F419652-BE3B-5D49-9135-6856DF78FAE6}" name="BurstsPerHour_0.18" dataDxfId="321">
      <calculatedColumnFormula array="1">IF(ISBLANK($A5), "Enter Sheet", IF($L5 &gt; minFiringRate, IF(SUM(INDIRECT($A5 &amp; "!AL3:AL102")) &gt; 0, INDIRECT($A5&amp;"!AL"&amp;CE$3), "NA"), "NA"))</calculatedColumnFormula>
    </tableColumn>
    <tableColumn id="84" xr3:uid="{BD399334-EB1D-4C43-9D2D-A41003718627}" name="BurstsPerHour_0.19" dataDxfId="320">
      <calculatedColumnFormula array="1">IF(ISBLANK($A5), "Enter Sheet", IF($L5 &gt; minFiringRate, IF(SUM(INDIRECT($A5 &amp; "!AL3:AL102")) &gt; 0, INDIRECT($A5&amp;"!AL"&amp;CF$3), "NA"), "NA"))</calculatedColumnFormula>
    </tableColumn>
    <tableColumn id="85" xr3:uid="{FA250B33-AF17-934F-A505-678611F13A18}" name="BurstsPerHour_0.20" dataDxfId="319">
      <calculatedColumnFormula array="1">IF(ISBLANK($A5), "Enter Sheet", IF($L5 &gt; minFiringRate, IF(SUM(INDIRECT($A5 &amp; "!AL3:AL102")) &gt; 0, INDIRECT($A5&amp;"!AL"&amp;CG$3), "NA"), "NA"))</calculatedColumnFormula>
    </tableColumn>
    <tableColumn id="86" xr3:uid="{B79BD9EB-3D85-4347-AC4F-0A86AC3143D1}" name="BurstsPerHour_0.21" dataDxfId="318">
      <calculatedColumnFormula array="1">IF(ISBLANK($A5), "Enter Sheet", IF($L5 &gt; minFiringRate, IF(SUM(INDIRECT($A5 &amp; "!AL3:AL102")) &gt; 0, INDIRECT($A5&amp;"!AL"&amp;CH$3), "NA"), "NA"))</calculatedColumnFormula>
    </tableColumn>
    <tableColumn id="87" xr3:uid="{2C3599F7-2487-6F49-BB64-508BE57EB28F}" name="BurstsPerHour_0.22" dataDxfId="317">
      <calculatedColumnFormula array="1">IF(ISBLANK($A5), "Enter Sheet", IF($L5 &gt; minFiringRate, IF(SUM(INDIRECT($A5 &amp; "!AL3:AL102")) &gt; 0, INDIRECT($A5&amp;"!AL"&amp;CI$3), "NA"), "NA"))</calculatedColumnFormula>
    </tableColumn>
    <tableColumn id="88" xr3:uid="{0C7701DB-0F52-C049-97F0-B1BBD5FB5FE3}" name="BurstsPerHour_0.23" dataDxfId="316">
      <calculatedColumnFormula array="1">IF(ISBLANK($A5), "Enter Sheet", IF($L5 &gt; minFiringRate, IF(SUM(INDIRECT($A5 &amp; "!AL3:AL102")) &gt; 0, INDIRECT($A5&amp;"!AL"&amp;CJ$3), "NA"), "NA"))</calculatedColumnFormula>
    </tableColumn>
    <tableColumn id="89" xr3:uid="{B559F97D-C46A-AA49-85E2-EEE7930996BB}" name="BurstsPerHour_0.24" dataDxfId="315">
      <calculatedColumnFormula array="1">IF(ISBLANK($A5), "Enter Sheet", IF($L5 &gt; minFiringRate, IF(SUM(INDIRECT($A5 &amp; "!AL3:AL102")) &gt; 0, INDIRECT($A5&amp;"!AL"&amp;CK$3), "NA"), "NA"))</calculatedColumnFormula>
    </tableColumn>
    <tableColumn id="90" xr3:uid="{99BE0722-8F7C-CF4C-82A2-A1985CC9280C}" name="BurstsPerHour_0.25" dataDxfId="314">
      <calculatedColumnFormula array="1">IF(ISBLANK($A5), "Enter Sheet", IF($L5 &gt; minFiringRate, IF(SUM(INDIRECT($A5 &amp; "!AL3:AL102")) &gt; 0, INDIRECT($A5&amp;"!AL"&amp;CL$3), "NA"), "NA"))</calculatedColumnFormula>
    </tableColumn>
    <tableColumn id="91" xr3:uid="{B1926AF5-7AF4-2947-AAC5-C511A20B394B}" name="BurstsPerHour_0.26" dataDxfId="313">
      <calculatedColumnFormula array="1">IF(ISBLANK($A5), "Enter Sheet", IF($L5 &gt; minFiringRate, IF(SUM(INDIRECT($A5 &amp; "!AL3:AL102")) &gt; 0, INDIRECT($A5&amp;"!AL"&amp;CM$3), "NA"), "NA"))</calculatedColumnFormula>
    </tableColumn>
    <tableColumn id="92" xr3:uid="{27E9B5A0-363D-C242-A9E1-AFC3EDF5CE96}" name="BurstsPerHour_0.27" dataDxfId="312">
      <calculatedColumnFormula array="1">IF(ISBLANK($A5), "Enter Sheet", IF($L5 &gt; minFiringRate, IF(SUM(INDIRECT($A5 &amp; "!AL3:AL102")) &gt; 0, INDIRECT($A5&amp;"!AL"&amp;CN$3), "NA"), "NA"))</calculatedColumnFormula>
    </tableColumn>
    <tableColumn id="93" xr3:uid="{F6576A4F-46BC-3C42-9A7D-AF8F678911D8}" name="BurstsPerHour_0.28" dataDxfId="311">
      <calculatedColumnFormula array="1">IF(ISBLANK($A5), "Enter Sheet", IF($L5 &gt; minFiringRate, IF(SUM(INDIRECT($A5 &amp; "!AL3:AL102")) &gt; 0, INDIRECT($A5&amp;"!AL"&amp;CO$3), "NA"), "NA"))</calculatedColumnFormula>
    </tableColumn>
    <tableColumn id="94" xr3:uid="{6D786A60-FA1D-C548-9FD3-9BAFBD917239}" name="BurstsPerHour_0.29" dataDxfId="310">
      <calculatedColumnFormula array="1">IF(ISBLANK($A5), "Enter Sheet", IF($L5 &gt; minFiringRate, IF(SUM(INDIRECT($A5 &amp; "!AL3:AL102")) &gt; 0, INDIRECT($A5&amp;"!AL"&amp;CP$3), "NA"), "NA"))</calculatedColumnFormula>
    </tableColumn>
    <tableColumn id="95" xr3:uid="{A4A44E4D-217C-884C-A97A-D7650E9ECAEC}" name="BurstsPerHour_0.30" dataDxfId="309">
      <calculatedColumnFormula array="1">IF(ISBLANK($A5), "Enter Sheet", IF($L5 &gt; minFiringRate, IF(SUM(INDIRECT($A5 &amp; "!AL3:AL102")) &gt; 0, INDIRECT($A5&amp;"!AL"&amp;CQ$3), "NA"), "NA"))</calculatedColumnFormula>
    </tableColumn>
    <tableColumn id="96" xr3:uid="{B3BFD8F7-B369-F549-9954-2CD4663040E8}" name="BurstsPerHour_0.31" dataDxfId="308">
      <calculatedColumnFormula array="1">IF(ISBLANK($A5), "Enter Sheet", IF($L5 &gt; minFiringRate, IF(SUM(INDIRECT($A5 &amp; "!AL3:AL102")) &gt; 0, INDIRECT($A5&amp;"!AL"&amp;CR$3), "NA"), "NA"))</calculatedColumnFormula>
    </tableColumn>
    <tableColumn id="97" xr3:uid="{BA6B4015-E27E-C444-AC63-D637C0475383}" name="BurstsPerHour_0.32" dataDxfId="307">
      <calculatedColumnFormula array="1">IF(ISBLANK($A5), "Enter Sheet", IF($L5 &gt; minFiringRate, IF(SUM(INDIRECT($A5 &amp; "!AL3:AL102")) &gt; 0, INDIRECT($A5&amp;"!AL"&amp;CS$3), "NA"), "NA"))</calculatedColumnFormula>
    </tableColumn>
    <tableColumn id="98" xr3:uid="{DDA7C3DE-2ADF-A341-A0D3-EC8B80288B6D}" name="BurstsPerHour_0.33" dataDxfId="306">
      <calculatedColumnFormula array="1">IF(ISBLANK($A5), "Enter Sheet", IF($L5 &gt; minFiringRate, IF(SUM(INDIRECT($A5 &amp; "!AL3:AL102")) &gt; 0, INDIRECT($A5&amp;"!AL"&amp;CT$3), "NA"), "NA"))</calculatedColumnFormula>
    </tableColumn>
    <tableColumn id="99" xr3:uid="{AB9E40EE-4DF9-4B4F-89C7-B593AEB2DC55}" name="BurstsPerHour_0.34" dataDxfId="305">
      <calculatedColumnFormula array="1">IF(ISBLANK($A5), "Enter Sheet", IF($L5 &gt; minFiringRate, IF(SUM(INDIRECT($A5 &amp; "!AL3:AL102")) &gt; 0, INDIRECT($A5&amp;"!AL"&amp;CU$3), "NA"), "NA"))</calculatedColumnFormula>
    </tableColumn>
    <tableColumn id="100" xr3:uid="{4A2AE761-5FE1-ED4E-967D-22A7A3E36E92}" name="BurstsPerHour_0.35" dataDxfId="304">
      <calculatedColumnFormula array="1">IF(ISBLANK($A5), "Enter Sheet", IF($L5 &gt; minFiringRate, IF(SUM(INDIRECT($A5 &amp; "!AL3:AL102")) &gt; 0, INDIRECT($A5&amp;"!AL"&amp;CV$3), "NA"), "NA"))</calculatedColumnFormula>
    </tableColumn>
    <tableColumn id="101" xr3:uid="{14C6041D-4EBD-4243-842B-DBBAAB3FF521}" name="BurstsPerHour_0.36" dataDxfId="303">
      <calculatedColumnFormula array="1">IF(ISBLANK($A5), "Enter Sheet", IF($L5 &gt; minFiringRate, IF(SUM(INDIRECT($A5 &amp; "!AL3:AL102")) &gt; 0, INDIRECT($A5&amp;"!AL"&amp;CW$3), "NA"), "NA"))</calculatedColumnFormula>
    </tableColumn>
    <tableColumn id="102" xr3:uid="{D84FDDC1-5BAC-1C4B-8371-FAF6E4212819}" name="BurstsPerHour_0.37" dataDxfId="302">
      <calculatedColumnFormula array="1">IF(ISBLANK($A5), "Enter Sheet", IF($L5 &gt; minFiringRate, IF(SUM(INDIRECT($A5 &amp; "!AL3:AL102")) &gt; 0, INDIRECT($A5&amp;"!AL"&amp;CX$3), "NA"), "NA"))</calculatedColumnFormula>
    </tableColumn>
    <tableColumn id="103" xr3:uid="{B4B38043-42E3-8F42-A8A3-E5C843879A39}" name="BurstsPerHour_0.38" dataDxfId="301">
      <calculatedColumnFormula array="1">IF(ISBLANK($A5), "Enter Sheet", IF($L5 &gt; minFiringRate, IF(SUM(INDIRECT($A5 &amp; "!AL3:AL102")) &gt; 0, INDIRECT($A5&amp;"!AL"&amp;CY$3), "NA"), "NA"))</calculatedColumnFormula>
    </tableColumn>
    <tableColumn id="104" xr3:uid="{691ECDF4-0506-4C4C-83D9-E7BAAB3522E2}" name="BurstsPerHour_0.39" dataDxfId="300">
      <calculatedColumnFormula array="1">IF(ISBLANK($A5), "Enter Sheet", IF($L5 &gt; minFiringRate, IF(SUM(INDIRECT($A5 &amp; "!AL3:AL102")) &gt; 0, INDIRECT($A5&amp;"!AL"&amp;CZ$3), "NA"), "NA"))</calculatedColumnFormula>
    </tableColumn>
    <tableColumn id="105" xr3:uid="{D5D5DC1B-D70D-E342-AA85-BED1EEC21695}" name="BurstsPerHour_0.40" dataDxfId="299">
      <calculatedColumnFormula array="1">IF(ISBLANK($A5), "Enter Sheet", IF($L5 &gt; minFiringRate, IF(SUM(INDIRECT($A5 &amp; "!AL3:AL102")) &gt; 0, INDIRECT($A5&amp;"!AL"&amp;DA$3), "NA"), "NA"))</calculatedColumnFormula>
    </tableColumn>
    <tableColumn id="106" xr3:uid="{58587572-254E-E446-A762-B6E9632B153E}" name="BurstsPerHour_0.41" dataDxfId="298">
      <calculatedColumnFormula array="1">IF(ISBLANK($A5), "Enter Sheet", IF($L5 &gt; minFiringRate, IF(SUM(INDIRECT($A5 &amp; "!AL3:AL102")) &gt; 0, INDIRECT($A5&amp;"!AL"&amp;DB$3), "NA"), "NA"))</calculatedColumnFormula>
    </tableColumn>
    <tableColumn id="107" xr3:uid="{587695F6-216A-4F4B-8078-462C9FF46602}" name="BurstsPerHour_0.42" dataDxfId="297">
      <calculatedColumnFormula array="1">IF(ISBLANK($A5), "Enter Sheet", IF($L5 &gt; minFiringRate, IF(SUM(INDIRECT($A5 &amp; "!AL3:AL102")) &gt; 0, INDIRECT($A5&amp;"!AL"&amp;DC$3), "NA"), "NA"))</calculatedColumnFormula>
    </tableColumn>
    <tableColumn id="108" xr3:uid="{B8BA5F62-7464-BB41-A99E-D0F03DC9F71C}" name="BurstsPerHour_0.43" dataDxfId="296">
      <calculatedColumnFormula array="1">IF(ISBLANK($A5), "Enter Sheet", IF($L5 &gt; minFiringRate, IF(SUM(INDIRECT($A5 &amp; "!AL3:AL102")) &gt; 0, INDIRECT($A5&amp;"!AL"&amp;DD$3), "NA"), "NA"))</calculatedColumnFormula>
    </tableColumn>
    <tableColumn id="109" xr3:uid="{3CC88A8E-26F4-8342-8E5E-C20DF064D345}" name="BurstsPerHour_0.44" dataDxfId="295">
      <calculatedColumnFormula array="1">IF(ISBLANK($A5), "Enter Sheet", IF($L5 &gt; minFiringRate, IF(SUM(INDIRECT($A5 &amp; "!AL3:AL102")) &gt; 0, INDIRECT($A5&amp;"!AL"&amp;DE$3), "NA"), "NA"))</calculatedColumnFormula>
    </tableColumn>
    <tableColumn id="110" xr3:uid="{16328BCB-436B-F94C-9122-E400E660BDD1}" name="BurstsPerHour_0.45" dataDxfId="294">
      <calculatedColumnFormula array="1">IF(ISBLANK($A5), "Enter Sheet", IF($L5 &gt; minFiringRate, IF(SUM(INDIRECT($A5 &amp; "!AL3:AL102")) &gt; 0, INDIRECT($A5&amp;"!AL"&amp;DF$3), "NA"), "NA"))</calculatedColumnFormula>
    </tableColumn>
    <tableColumn id="111" xr3:uid="{8591BA05-1EF9-704D-ACFE-027B55383871}" name="BurstsPerHour_0.46" dataDxfId="293">
      <calculatedColumnFormula array="1">IF(ISBLANK($A5), "Enter Sheet", IF($L5 &gt; minFiringRate, IF(SUM(INDIRECT($A5 &amp; "!AL3:AL102")) &gt; 0, INDIRECT($A5&amp;"!AL"&amp;DG$3), "NA"), "NA"))</calculatedColumnFormula>
    </tableColumn>
    <tableColumn id="112" xr3:uid="{45E7C330-84E0-D54C-94DA-54E1E4E9D8F3}" name="BurstsPerHour_0.47" dataDxfId="292">
      <calculatedColumnFormula array="1">IF(ISBLANK($A5), "Enter Sheet", IF($L5 &gt; minFiringRate, IF(SUM(INDIRECT($A5 &amp; "!AL3:AL102")) &gt; 0, INDIRECT($A5&amp;"!AL"&amp;DH$3), "NA"), "NA"))</calculatedColumnFormula>
    </tableColumn>
    <tableColumn id="113" xr3:uid="{27E56A9C-B80B-2F40-AA6A-C9C2C4F91644}" name="BurstsPerHour_0.48" dataDxfId="291">
      <calculatedColumnFormula array="1">IF(ISBLANK($A5), "Enter Sheet", IF($L5 &gt; minFiringRate, IF(SUM(INDIRECT($A5 &amp; "!AL3:AL102")) &gt; 0, INDIRECT($A5&amp;"!AL"&amp;DI$3), "NA"), "NA"))</calculatedColumnFormula>
    </tableColumn>
    <tableColumn id="114" xr3:uid="{1A0A7ADC-D2AA-6A45-919D-9D34D9FA7F65}" name="BurstsPerHour_0.49" dataDxfId="290">
      <calculatedColumnFormula array="1">IF(ISBLANK($A5), "Enter Sheet", IF($L5 &gt; minFiringRate, IF(SUM(INDIRECT($A5 &amp; "!AL3:AL102")) &gt; 0, INDIRECT($A5&amp;"!AL"&amp;DJ$3), "NA"), "NA"))</calculatedColumnFormula>
    </tableColumn>
    <tableColumn id="115" xr3:uid="{D2E4C3BC-5A9A-CA41-B3DA-B08D3DF9B0EA}" name="BurstsPerHour_0.50" dataDxfId="289">
      <calculatedColumnFormula array="1">IF(ISBLANK($A5), "Enter Sheet", IF($L5 &gt; minFiringRate, IF(SUM(INDIRECT($A5 &amp; "!AL3:AL102")) &gt; 0, INDIRECT($A5&amp;"!AL"&amp;DK$3), "NA"), "NA"))</calculatedColumnFormula>
    </tableColumn>
    <tableColumn id="116" xr3:uid="{0025925F-0707-7348-A5F2-F05241F3EDA5}" name="BurstsPerHour_0.51" dataDxfId="288">
      <calculatedColumnFormula array="1">IF(ISBLANK($A5), "Enter Sheet", IF($L5 &gt; minFiringRate, IF(SUM(INDIRECT($A5 &amp; "!AL3:AL102")) &gt; 0, INDIRECT($A5&amp;"!AL"&amp;DL$3), "NA"), "NA"))</calculatedColumnFormula>
    </tableColumn>
    <tableColumn id="117" xr3:uid="{8D8B5584-0C55-1643-AB79-A0981A6219F8}" name="BurstsPerHour_0.52" dataDxfId="287">
      <calculatedColumnFormula array="1">IF(ISBLANK($A5), "Enter Sheet", IF($L5 &gt; minFiringRate, IF(SUM(INDIRECT($A5 &amp; "!AL3:AL102")) &gt; 0, INDIRECT($A5&amp;"!AL"&amp;DM$3), "NA"), "NA"))</calculatedColumnFormula>
    </tableColumn>
    <tableColumn id="118" xr3:uid="{60401E49-8F19-4F4F-8A82-EB8347FAF16A}" name="BurstsPerHour_0.53" dataDxfId="286">
      <calculatedColumnFormula array="1">IF(ISBLANK($A5), "Enter Sheet", IF($L5 &gt; minFiringRate, IF(SUM(INDIRECT($A5 &amp; "!AL3:AL102")) &gt; 0, INDIRECT($A5&amp;"!AL"&amp;DN$3), "NA"), "NA"))</calculatedColumnFormula>
    </tableColumn>
    <tableColumn id="119" xr3:uid="{0E31AE98-1D95-E642-B6D3-D49D59E44609}" name="BurstsPerHour_0.54" dataDxfId="285">
      <calculatedColumnFormula array="1">IF(ISBLANK($A5), "Enter Sheet", IF($L5 &gt; minFiringRate, IF(SUM(INDIRECT($A5 &amp; "!AL3:AL102")) &gt; 0, INDIRECT($A5&amp;"!AL"&amp;DO$3), "NA"), "NA"))</calculatedColumnFormula>
    </tableColumn>
    <tableColumn id="120" xr3:uid="{DA929CCA-0026-3244-9AAC-57164BEC0AFC}" name="BurstsPerHour_0.55" dataDxfId="284">
      <calculatedColumnFormula array="1">IF(ISBLANK($A5), "Enter Sheet", IF($L5 &gt; minFiringRate, IF(SUM(INDIRECT($A5 &amp; "!AL3:AL102")) &gt; 0, INDIRECT($A5&amp;"!AL"&amp;DP$3), "NA"), "NA"))</calculatedColumnFormula>
    </tableColumn>
    <tableColumn id="121" xr3:uid="{14D4F55D-9787-DC43-B2D2-EB6860BFA392}" name="BurstsPerHour_0.56" dataDxfId="283">
      <calculatedColumnFormula array="1">IF(ISBLANK($A5), "Enter Sheet", IF($L5 &gt; minFiringRate, IF(SUM(INDIRECT($A5 &amp; "!AL3:AL102")) &gt; 0, INDIRECT($A5&amp;"!AL"&amp;DQ$3), "NA"), "NA"))</calculatedColumnFormula>
    </tableColumn>
    <tableColumn id="122" xr3:uid="{0AB88018-6AE0-764F-A849-29F6B975E7BC}" name="BurstsPerHour_0.57" dataDxfId="282">
      <calculatedColumnFormula array="1">IF(ISBLANK($A5), "Enter Sheet", IF($L5 &gt; minFiringRate, IF(SUM(INDIRECT($A5 &amp; "!AL3:AL102")) &gt; 0, INDIRECT($A5&amp;"!AL"&amp;DR$3), "NA"), "NA"))</calculatedColumnFormula>
    </tableColumn>
    <tableColumn id="123" xr3:uid="{1677F126-D579-AB48-AD05-6155C905550B}" name="BurstsPerHour_0.58" dataDxfId="281">
      <calculatedColumnFormula array="1">IF(ISBLANK($A5), "Enter Sheet", IF($L5 &gt; minFiringRate, IF(SUM(INDIRECT($A5 &amp; "!AL3:AL102")) &gt; 0, INDIRECT($A5&amp;"!AL"&amp;DS$3), "NA"), "NA"))</calculatedColumnFormula>
    </tableColumn>
    <tableColumn id="124" xr3:uid="{DB86B0AF-87B3-C64E-90B8-FF2FDC3DDF38}" name="BurstsPerHour_0.59" dataDxfId="280">
      <calculatedColumnFormula array="1">IF(ISBLANK($A5), "Enter Sheet", IF($L5 &gt; minFiringRate, IF(SUM(INDIRECT($A5 &amp; "!AL3:AL102")) &gt; 0, INDIRECT($A5&amp;"!AL"&amp;DT$3), "NA"), "NA"))</calculatedColumnFormula>
    </tableColumn>
    <tableColumn id="125" xr3:uid="{63FD90E0-E6DD-D34B-A9C4-CF9D5C2D6C5B}" name="BurstsPerHour_0.60" dataDxfId="279">
      <calculatedColumnFormula array="1">IF(ISBLANK($A5), "Enter Sheet", IF($L5 &gt; minFiringRate, IF(SUM(INDIRECT($A5 &amp; "!AL3:AL102")) &gt; 0, INDIRECT($A5&amp;"!AL"&amp;DU$3), "NA"), "NA"))</calculatedColumnFormula>
    </tableColumn>
    <tableColumn id="126" xr3:uid="{412AF057-7740-A745-A847-CB9E9BE0B1E6}" name="BurstsPerHour_0.61" dataDxfId="278">
      <calculatedColumnFormula array="1">IF(ISBLANK($A5), "Enter Sheet", IF($L5 &gt; minFiringRate, IF(SUM(INDIRECT($A5 &amp; "!AL3:AL102")) &gt; 0, INDIRECT($A5&amp;"!AL"&amp;DV$3), "NA"), "NA"))</calculatedColumnFormula>
    </tableColumn>
    <tableColumn id="127" xr3:uid="{E2AB6698-76BD-3F4F-A8A1-BA8D88B09DBE}" name="BurstsPerHour_0.62" dataDxfId="277">
      <calculatedColumnFormula array="1">IF(ISBLANK($A5), "Enter Sheet", IF($L5 &gt; minFiringRate, IF(SUM(INDIRECT($A5 &amp; "!AL3:AL102")) &gt; 0, INDIRECT($A5&amp;"!AL"&amp;DW$3), "NA"), "NA"))</calculatedColumnFormula>
    </tableColumn>
    <tableColumn id="128" xr3:uid="{710ACCAA-552D-4649-9928-22295EF88BB8}" name="BurstsPerHour_0.63" dataDxfId="276">
      <calculatedColumnFormula array="1">IF(ISBLANK($A5), "Enter Sheet", IF($L5 &gt; minFiringRate, IF(SUM(INDIRECT($A5 &amp; "!AL3:AL102")) &gt; 0, INDIRECT($A5&amp;"!AL"&amp;DX$3), "NA"), "NA"))</calculatedColumnFormula>
    </tableColumn>
    <tableColumn id="129" xr3:uid="{141B1E22-7602-C74F-91CE-A74D5E95908B}" name="BurstsPerHour_0.64" dataDxfId="275">
      <calculatedColumnFormula array="1">IF(ISBLANK($A5), "Enter Sheet", IF($L5 &gt; minFiringRate, IF(SUM(INDIRECT($A5 &amp; "!AL3:AL102")) &gt; 0, INDIRECT($A5&amp;"!AL"&amp;DY$3), "NA"), "NA"))</calculatedColumnFormula>
    </tableColumn>
    <tableColumn id="130" xr3:uid="{C2B9506C-FAF8-BC47-91F5-7BBF8DC52575}" name="BurstsPerHour_0.65" dataDxfId="274">
      <calculatedColumnFormula array="1">IF(ISBLANK($A5), "Enter Sheet", IF($L5 &gt; minFiringRate, IF(SUM(INDIRECT($A5 &amp; "!AL3:AL102")) &gt; 0, INDIRECT($A5&amp;"!AL"&amp;DZ$3), "NA"), "NA"))</calculatedColumnFormula>
    </tableColumn>
    <tableColumn id="131" xr3:uid="{D58ADE0F-48C0-C64B-B492-68E2349DF581}" name="BurstsPerHour_0.66" dataDxfId="273">
      <calculatedColumnFormula array="1">IF(ISBLANK($A5), "Enter Sheet", IF($L5 &gt; minFiringRate, IF(SUM(INDIRECT($A5 &amp; "!AL3:AL102")) &gt; 0, INDIRECT($A5&amp;"!AL"&amp;EA$3), "NA"), "NA"))</calculatedColumnFormula>
    </tableColumn>
    <tableColumn id="132" xr3:uid="{6707D456-46BD-374C-BEB5-1007444E4C42}" name="BurstsPerHour_0.67" dataDxfId="272">
      <calculatedColumnFormula array="1">IF(ISBLANK($A5), "Enter Sheet", IF($L5 &gt; minFiringRate, IF(SUM(INDIRECT($A5 &amp; "!AL3:AL102")) &gt; 0, INDIRECT($A5&amp;"!AL"&amp;EB$3), "NA"), "NA"))</calculatedColumnFormula>
    </tableColumn>
    <tableColumn id="133" xr3:uid="{C02803B4-803C-9F4C-A953-0B011CF91603}" name="BurstsPerHour_0.68" dataDxfId="271">
      <calculatedColumnFormula array="1">IF(ISBLANK($A5), "Enter Sheet", IF($L5 &gt; minFiringRate, IF(SUM(INDIRECT($A5 &amp; "!AL3:AL102")) &gt; 0, INDIRECT($A5&amp;"!AL"&amp;EC$3), "NA"), "NA"))</calculatedColumnFormula>
    </tableColumn>
    <tableColumn id="134" xr3:uid="{A9263992-0DD5-8945-829B-193CB60FF487}" name="BurstsPerHour_0.69" dataDxfId="270">
      <calculatedColumnFormula array="1">IF(ISBLANK($A5), "Enter Sheet", IF($L5 &gt; minFiringRate, IF(SUM(INDIRECT($A5 &amp; "!AL3:AL102")) &gt; 0, INDIRECT($A5&amp;"!AL"&amp;ED$3), "NA"), "NA"))</calculatedColumnFormula>
    </tableColumn>
    <tableColumn id="135" xr3:uid="{942773A8-8CBA-2A4B-932C-ABD2E2D50DBF}" name="BurstsPerHour_0.70" dataDxfId="269">
      <calculatedColumnFormula array="1">IF(ISBLANK($A5), "Enter Sheet", IF($L5 &gt; minFiringRate, IF(SUM(INDIRECT($A5 &amp; "!AL3:AL102")) &gt; 0, INDIRECT($A5&amp;"!AL"&amp;EE$3), "NA"), "NA"))</calculatedColumnFormula>
    </tableColumn>
    <tableColumn id="136" xr3:uid="{7D6A99FA-37D9-B44C-A86A-DF87D3588AB8}" name="BurstsPerHour_0.71" dataDxfId="268">
      <calculatedColumnFormula array="1">IF(ISBLANK($A5), "Enter Sheet", IF($L5 &gt; minFiringRate, IF(SUM(INDIRECT($A5 &amp; "!AL3:AL102")) &gt; 0, INDIRECT($A5&amp;"!AL"&amp;EF$3), "NA"), "NA"))</calculatedColumnFormula>
    </tableColumn>
    <tableColumn id="137" xr3:uid="{2A5087A0-B5BC-E64A-9D82-5551A490F55A}" name="BurstsPerHour_0.72" dataDxfId="267">
      <calculatedColumnFormula array="1">IF(ISBLANK($A5), "Enter Sheet", IF($L5 &gt; minFiringRate, IF(SUM(INDIRECT($A5 &amp; "!AL3:AL102")) &gt; 0, INDIRECT($A5&amp;"!AL"&amp;EG$3), "NA"), "NA"))</calculatedColumnFormula>
    </tableColumn>
    <tableColumn id="138" xr3:uid="{364F8E76-9B7A-1241-B42A-55201479F40C}" name="BurstsPerHour_0.73" dataDxfId="266">
      <calculatedColumnFormula array="1">IF(ISBLANK($A5), "Enter Sheet", IF($L5 &gt; minFiringRate, IF(SUM(INDIRECT($A5 &amp; "!AL3:AL102")) &gt; 0, INDIRECT($A5&amp;"!AL"&amp;EH$3), "NA"), "NA"))</calculatedColumnFormula>
    </tableColumn>
    <tableColumn id="139" xr3:uid="{45BB568B-8F25-EA4D-A6F8-96FDD69A761F}" name="BurstsPerHour_0.74" dataDxfId="265">
      <calculatedColumnFormula array="1">IF(ISBLANK($A5), "Enter Sheet", IF($L5 &gt; minFiringRate, IF(SUM(INDIRECT($A5 &amp; "!AL3:AL102")) &gt; 0, INDIRECT($A5&amp;"!AL"&amp;EI$3), "NA"), "NA"))</calculatedColumnFormula>
    </tableColumn>
    <tableColumn id="140" xr3:uid="{D3F97CD1-9882-944D-9E2E-219B023F3514}" name="BurstsPerHour_0.75" dataDxfId="264">
      <calculatedColumnFormula array="1">IF(ISBLANK($A5), "Enter Sheet", IF($L5 &gt; minFiringRate, IF(SUM(INDIRECT($A5 &amp; "!AL3:AL102")) &gt; 0, INDIRECT($A5&amp;"!AL"&amp;EJ$3), "NA"), "NA"))</calculatedColumnFormula>
    </tableColumn>
    <tableColumn id="141" xr3:uid="{C60F4EA9-6732-344F-94C4-A2E0030F6D4B}" name="BurstsPerHour_0.76" dataDxfId="263">
      <calculatedColumnFormula array="1">IF(ISBLANK($A5), "Enter Sheet", IF($L5 &gt; minFiringRate, IF(SUM(INDIRECT($A5 &amp; "!AL3:AL102")) &gt; 0, INDIRECT($A5&amp;"!AL"&amp;EK$3), "NA"), "NA"))</calculatedColumnFormula>
    </tableColumn>
    <tableColumn id="142" xr3:uid="{22E41777-798A-6841-87E7-962A833C4254}" name="BurstsPerHour_0.77" dataDxfId="262">
      <calculatedColumnFormula array="1">IF(ISBLANK($A5), "Enter Sheet", IF($L5 &gt; minFiringRate, IF(SUM(INDIRECT($A5 &amp; "!AL3:AL102")) &gt; 0, INDIRECT($A5&amp;"!AL"&amp;EL$3), "NA"), "NA"))</calculatedColumnFormula>
    </tableColumn>
    <tableColumn id="143" xr3:uid="{2FE9ED52-46EA-2D48-A08A-1545547A2CD9}" name="BurstsPerHour_0.78" dataDxfId="261">
      <calculatedColumnFormula array="1">IF(ISBLANK($A5), "Enter Sheet", IF($L5 &gt; minFiringRate, IF(SUM(INDIRECT($A5 &amp; "!AL3:AL102")) &gt; 0, INDIRECT($A5&amp;"!AL"&amp;EM$3), "NA"), "NA"))</calculatedColumnFormula>
    </tableColumn>
    <tableColumn id="144" xr3:uid="{8755AA3F-50C6-E34B-8DB5-CB631CAE352B}" name="BurstsPerHour_0.79" dataDxfId="260">
      <calculatedColumnFormula array="1">IF(ISBLANK($A5), "Enter Sheet", IF($L5 &gt; minFiringRate, IF(SUM(INDIRECT($A5 &amp; "!AL3:AL102")) &gt; 0, INDIRECT($A5&amp;"!AL"&amp;EN$3), "NA"), "NA"))</calculatedColumnFormula>
    </tableColumn>
    <tableColumn id="145" xr3:uid="{C97BB574-D11B-7F44-82D4-AB4D0EDFCD95}" name="BurstsPerHour_0.80" dataDxfId="259">
      <calculatedColumnFormula array="1">IF(ISBLANK($A5), "Enter Sheet", IF($L5 &gt; minFiringRate, IF(SUM(INDIRECT($A5 &amp; "!AL3:AL102")) &gt; 0, INDIRECT($A5&amp;"!AL"&amp;EO$3), "NA"), "NA"))</calculatedColumnFormula>
    </tableColumn>
    <tableColumn id="146" xr3:uid="{680C7F16-9875-3B43-B576-95D558005C3E}" name="BurstsPerHour_0.81" dataDxfId="258">
      <calculatedColumnFormula array="1">IF(ISBLANK($A5), "Enter Sheet", IF($L5 &gt; minFiringRate, IF(SUM(INDIRECT($A5 &amp; "!AL3:AL102")) &gt; 0, INDIRECT($A5&amp;"!AL"&amp;EP$3), "NA"), "NA"))</calculatedColumnFormula>
    </tableColumn>
    <tableColumn id="147" xr3:uid="{869573ED-5CC1-B94D-8879-BB6B5828E729}" name="BurstsPerHour_0.82" dataDxfId="257">
      <calculatedColumnFormula array="1">IF(ISBLANK($A5), "Enter Sheet", IF($L5 &gt; minFiringRate, IF(SUM(INDIRECT($A5 &amp; "!AL3:AL102")) &gt; 0, INDIRECT($A5&amp;"!AL"&amp;EQ$3), "NA"), "NA"))</calculatedColumnFormula>
    </tableColumn>
    <tableColumn id="148" xr3:uid="{E08B187A-1F20-2845-8F68-413DF5DAD317}" name="BurstsPerHour_0.83" dataDxfId="256">
      <calculatedColumnFormula array="1">IF(ISBLANK($A5), "Enter Sheet", IF($L5 &gt; minFiringRate, IF(SUM(INDIRECT($A5 &amp; "!AL3:AL102")) &gt; 0, INDIRECT($A5&amp;"!AL"&amp;ER$3), "NA"), "NA"))</calculatedColumnFormula>
    </tableColumn>
    <tableColumn id="149" xr3:uid="{D2975ECC-BCEB-714F-9F7A-568EA8B5858A}" name="BurstsPerHour_0.84" dataDxfId="255">
      <calculatedColumnFormula array="1">IF(ISBLANK($A5), "Enter Sheet", IF($L5 &gt; minFiringRate, IF(SUM(INDIRECT($A5 &amp; "!AL3:AL102")) &gt; 0, INDIRECT($A5&amp;"!AL"&amp;ES$3), "NA"), "NA"))</calculatedColumnFormula>
    </tableColumn>
    <tableColumn id="150" xr3:uid="{65BB9C3C-C0D9-8B48-B06E-24EAD0C0A69A}" name="BurstsPerHour_0.85" dataDxfId="254">
      <calculatedColumnFormula array="1">IF(ISBLANK($A5), "Enter Sheet", IF($L5 &gt; minFiringRate, IF(SUM(INDIRECT($A5 &amp; "!AL3:AL102")) &gt; 0, INDIRECT($A5&amp;"!AL"&amp;ET$3), "NA"), "NA"))</calculatedColumnFormula>
    </tableColumn>
    <tableColumn id="151" xr3:uid="{143A7A7A-41E3-DC4D-85E9-CF9F5A628F6B}" name="BurstsPerHour_0.86" dataDxfId="253">
      <calculatedColumnFormula array="1">IF(ISBLANK($A5), "Enter Sheet", IF($L5 &gt; minFiringRate, IF(SUM(INDIRECT($A5 &amp; "!AL3:AL102")) &gt; 0, INDIRECT($A5&amp;"!AL"&amp;EU$3), "NA"), "NA"))</calculatedColumnFormula>
    </tableColumn>
    <tableColumn id="152" xr3:uid="{CDFBC347-2EF1-A64E-9E29-001E1578566A}" name="BurstsPerHour_0.87" dataDxfId="252">
      <calculatedColumnFormula array="1">IF(ISBLANK($A5), "Enter Sheet", IF($L5 &gt; minFiringRate, IF(SUM(INDIRECT($A5 &amp; "!AL3:AL102")) &gt; 0, INDIRECT($A5&amp;"!AL"&amp;EV$3), "NA"), "NA"))</calculatedColumnFormula>
    </tableColumn>
    <tableColumn id="153" xr3:uid="{F6D19339-9F48-CE4E-9B16-AB2B9FB4CB6C}" name="BurstsPerHour_0.88" dataDxfId="251">
      <calculatedColumnFormula array="1">IF(ISBLANK($A5), "Enter Sheet", IF($L5 &gt; minFiringRate, IF(SUM(INDIRECT($A5 &amp; "!AL3:AL102")) &gt; 0, INDIRECT($A5&amp;"!AL"&amp;EW$3), "NA"), "NA"))</calculatedColumnFormula>
    </tableColumn>
    <tableColumn id="154" xr3:uid="{40316043-FAB4-BB46-A849-F871F23EE379}" name="BurstsPerHour_0.89" dataDxfId="250">
      <calculatedColumnFormula array="1">IF(ISBLANK($A5), "Enter Sheet", IF($L5 &gt; minFiringRate, IF(SUM(INDIRECT($A5 &amp; "!AL3:AL102")) &gt; 0, INDIRECT($A5&amp;"!AL"&amp;EX$3), "NA"), "NA"))</calculatedColumnFormula>
    </tableColumn>
    <tableColumn id="155" xr3:uid="{7EE7D286-2DB4-9148-A8F7-31CE86A5FFE6}" name="BurstsPerHour_0.90" dataDxfId="249">
      <calculatedColumnFormula array="1">IF(ISBLANK($A5), "Enter Sheet", IF($L5 &gt; minFiringRate, IF(SUM(INDIRECT($A5 &amp; "!AL3:AL102")) &gt; 0, INDIRECT($A5&amp;"!AL"&amp;EY$3), "NA"), "NA"))</calculatedColumnFormula>
    </tableColumn>
    <tableColumn id="156" xr3:uid="{1D81CC58-8B75-8048-989B-9D73FC516CA5}" name="BurstsPerHour_0.91" dataDxfId="248">
      <calculatedColumnFormula array="1">IF(ISBLANK($A5), "Enter Sheet", IF($L5 &gt; minFiringRate, IF(SUM(INDIRECT($A5 &amp; "!AL3:AL102")) &gt; 0, INDIRECT($A5&amp;"!AL"&amp;EZ$3), "NA"), "NA"))</calculatedColumnFormula>
    </tableColumn>
    <tableColumn id="157" xr3:uid="{694E418E-1C76-204C-A644-45CFC789BF84}" name="BurstsPerHour_0.92" dataDxfId="247">
      <calculatedColumnFormula array="1">IF(ISBLANK($A5), "Enter Sheet", IF($L5 &gt; minFiringRate, IF(SUM(INDIRECT($A5 &amp; "!AL3:AL102")) &gt; 0, INDIRECT($A5&amp;"!AL"&amp;FA$3), "NA"), "NA"))</calculatedColumnFormula>
    </tableColumn>
    <tableColumn id="158" xr3:uid="{99B712F5-EB7D-5340-B06F-0836A35FF558}" name="BurstsPerHour_0.93" dataDxfId="246">
      <calculatedColumnFormula array="1">IF(ISBLANK($A5), "Enter Sheet", IF($L5 &gt; minFiringRate, IF(SUM(INDIRECT($A5 &amp; "!AL3:AL102")) &gt; 0, INDIRECT($A5&amp;"!AL"&amp;FB$3), "NA"), "NA"))</calculatedColumnFormula>
    </tableColumn>
    <tableColumn id="159" xr3:uid="{CAA2A67A-D38D-5B43-ABC1-337CB7B8CE5D}" name="BurstsPerHour_0.94" dataDxfId="245">
      <calculatedColumnFormula array="1">IF(ISBLANK($A5), "Enter Sheet", IF($L5 &gt; minFiringRate, IF(SUM(INDIRECT($A5 &amp; "!AL3:AL102")) &gt; 0, INDIRECT($A5&amp;"!AL"&amp;FC$3), "NA"), "NA"))</calculatedColumnFormula>
    </tableColumn>
    <tableColumn id="160" xr3:uid="{2EA3DF84-E19F-2746-8A43-BA52B1024F30}" name="BurstsPerHour_0.95" dataDxfId="244">
      <calculatedColumnFormula array="1">IF(ISBLANK($A5), "Enter Sheet", IF($L5 &gt; minFiringRate, IF(SUM(INDIRECT($A5 &amp; "!AL3:AL102")) &gt; 0, INDIRECT($A5&amp;"!AL"&amp;FD$3), "NA"), "NA"))</calculatedColumnFormula>
    </tableColumn>
    <tableColumn id="161" xr3:uid="{C381DD0A-33A4-184D-BCA5-B9AFD10DF949}" name="BurstsPerHour_0.96" dataDxfId="243">
      <calculatedColumnFormula array="1">IF(ISBLANK($A5), "Enter Sheet", IF($L5 &gt; minFiringRate, IF(SUM(INDIRECT($A5 &amp; "!AL3:AL102")) &gt; 0, INDIRECT($A5&amp;"!AL"&amp;FE$3), "NA"), "NA"))</calculatedColumnFormula>
    </tableColumn>
    <tableColumn id="162" xr3:uid="{3E872FF8-EEE5-AC43-A513-E75692F6D871}" name="BurstsPerHour_0.97" dataDxfId="242">
      <calculatedColumnFormula array="1">IF(ISBLANK($A5), "Enter Sheet", IF($L5 &gt; minFiringRate, IF(SUM(INDIRECT($A5 &amp; "!AL3:AL102")) &gt; 0, INDIRECT($A5&amp;"!AL"&amp;FF$3), "NA"), "NA"))</calculatedColumnFormula>
    </tableColumn>
    <tableColumn id="163" xr3:uid="{BB257573-CE61-C340-9258-E1FFBC837C19}" name="BurstsPerHour_0.98" dataDxfId="241">
      <calculatedColumnFormula array="1">IF(ISBLANK($A5), "Enter Sheet", IF($L5 &gt; minFiringRate, IF(SUM(INDIRECT($A5 &amp; "!AL3:AL102")) &gt; 0, INDIRECT($A5&amp;"!AL"&amp;FG$3), "NA"), "NA"))</calculatedColumnFormula>
    </tableColumn>
    <tableColumn id="164" xr3:uid="{2A7B2AD8-B4B2-3940-A9F3-5FC5EC8B7DB4}" name="BurstsPerHour_0.99" dataDxfId="240">
      <calculatedColumnFormula array="1">IF(ISBLANK($A5), "Enter Sheet", IF($L5 &gt; minFiringRate, IF(SUM(INDIRECT($A5 &amp; "!AL3:AL102")) &gt; 0, INDIRECT($A5&amp;"!AL"&amp;FH$3), "NA"), "NA"))</calculatedColumnFormula>
    </tableColumn>
    <tableColumn id="165" xr3:uid="{DDB51BA5-55EC-CE4A-A4E1-8917BFB605C6}" name="BurstsPerHour_1.00" dataDxfId="239">
      <calculatedColumnFormula array="1">IF(ISBLANK($A5), "Enter Sheet", IF($L5 &gt; minFiringRate, IF(SUM(INDIRECT($A5 &amp; "!AL3:AL102")) &gt; 0, INDIRECT($A5&amp;"!AL"&amp;FI$3), "NA"), "NA"))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92235D9-AF8D-43B8-986E-42D7B745E0EF}" name="SelectingBW" displayName="SelectingBW" ref="A1:B3">
  <autoFilter ref="A1:B3" xr:uid="{3DB2B5BB-C85A-4DEB-85C8-18113693140D}"/>
  <tableColumns count="2">
    <tableColumn id="1" xr3:uid="{6AB7596A-B1A0-4FF9-840D-65EA92AF1F98}" name="Sheet Name" totalsRowLabel="Avg Burst Window"/>
    <tableColumn id="2" xr3:uid="{6072A0C1-AD77-44A9-A8FD-B03F433EEB58}" name="MaxBurstWindow_spont" totalsRowFunction="custom" dataDxfId="238">
      <calculatedColumnFormula array="1">IF(ISBLANK(A2), "", INDIRECT(A2&amp;"!"&amp;B$1))</calculatedColumnFormula>
      <totalsRowFormula>ROUND(SUBTOTAL(101,SelectingBW[MaxBurstWindow_spont]), 2)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D08E7-0FFD-4B43-9350-7F4ADD454620}" name="FiringRate" displayName="FiringRate" ref="B111:L291" totalsRowShown="0">
  <autoFilter ref="B111:L291" xr:uid="{E3361547-89CF-1349-AE02-C5BA9ADC2346}"/>
  <tableColumns count="11">
    <tableColumn id="1" xr3:uid="{82377DD5-4DEE-354C-BF61-29B232F66E55}" name="Series"/>
    <tableColumn id="2" xr3:uid="{AA8ACF06-6A03-E449-B6E8-2584C98A4156}" name="Point"/>
    <tableColumn id="11" xr3:uid="{9E3ADCDA-EE0B-BE49-B7E1-F9B1D0C1127D}" name="Bin Start (min)" dataDxfId="220"/>
    <tableColumn id="10" xr3:uid="{281727D7-459D-5C4F-B598-7E4DDA8C97D2}" name="Bin End (min)" dataDxfId="219"/>
    <tableColumn id="9" xr3:uid="{A9A07895-889A-2E47-AED6-57E4ADB0C562}" name="Bin Start (sec)" dataDxfId="218"/>
    <tableColumn id="7" xr3:uid="{4F7C8626-EC7A-F143-9F5F-9F3CDAA844B8}" name="Bin End (sec)" dataDxfId="217"/>
    <tableColumn id="3" xr3:uid="{4C48A10F-3E94-BC46-94FA-6DC9B9CC9348}" name="Event/bin" dataDxfId="216"/>
    <tableColumn id="4" xr3:uid="{D9A99428-8AA6-0B43-99CF-C0E7314B488F}" name="Conc events/bin" dataDxfId="215"/>
    <tableColumn id="5" xr3:uid="{B3D9E217-AED6-B245-9270-0C4F16799B7B}" name="Freq (in Hz)" dataDxfId="214">
      <calculatedColumnFormula>IF(ISBLANK(FiringRate[[#This Row],[Event/bin]]), " ", FiringRate[[#This Row],[Event/bin]]/BinSize_sec)</calculatedColumnFormula>
    </tableColumn>
    <tableColumn id="6" xr3:uid="{C7635FB2-2869-DD4F-AA9E-3D457E546255}" name="Freq conc (in Hz)" dataDxfId="213">
      <calculatedColumnFormula>IF(ISBLANK(FiringRate[[#This Row],[Conc events/bin]]), " ", FiringRate[[#This Row],[Conc events/bin]]/BinSize_sec)</calculatedColumnFormula>
    </tableColumn>
    <tableColumn id="8" xr3:uid="{15D6F2DC-A548-A24E-8D77-8B37E4EA423E}" name="Treatment Notes" dataCellStyle="Normal 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F8F9F-C04A-AD43-B80B-B7A5AEACED98}" name="BurstIgor" displayName="BurstIgor" ref="A2:AO103" totalsRowShown="0" headerRowDxfId="212" tableBorderDxfId="211" headerRowCellStyle="Normal 2">
  <autoFilter ref="A2:AO103" xr:uid="{B2BD87B5-EB43-DA49-A7A5-6F2E7C6BB21B}"/>
  <tableColumns count="41">
    <tableColumn id="38" xr3:uid="{E38C6438-A6AF-3D42-8D36-991F2C9950D7}" name="BurstWindow" dataDxfId="210" dataCellStyle="Normal 2"/>
    <tableColumn id="1" xr3:uid="{C19F34A3-7E62-4143-87FD-3102F0575663}" name="BurstNum_spont" dataDxfId="209" dataCellStyle="Normal 2"/>
    <tableColumn id="2" xr3:uid="{6DA22EDB-2D8D-4C43-BD1E-6CAE27292BED}" name="BurstNum_senktide" dataDxfId="208" dataCellStyle="Normal 2"/>
    <tableColumn id="3" xr3:uid="{40202663-0683-2A4D-BAD4-56280E1684D7}" name="BurstNum_temp2" dataDxfId="207" dataCellStyle="Normal 2"/>
    <tableColumn id="4" xr3:uid="{55B4754C-ADA3-F24D-A910-A42839727C2E}" name="BurstNum_temp3" dataDxfId="206" dataCellStyle="Normal 2"/>
    <tableColumn id="5" xr3:uid="{0154B80C-4292-874E-B529-924000F65E31}" name="Mbd_spont" dataDxfId="205" dataCellStyle="Normal 2"/>
    <tableColumn id="6" xr3:uid="{FABDFA43-5A65-7B4B-B6C6-AF7DE086E583}" name="Mbd_senktide" dataDxfId="204" dataCellStyle="Normal 2"/>
    <tableColumn id="7" xr3:uid="{DA4BBF64-2230-3349-9608-1FE360884C0D}" name="Mbd_temp2" dataDxfId="203" dataCellStyle="Normal 2"/>
    <tableColumn id="8" xr3:uid="{0F4631B3-0F24-EF42-876F-AE5EAC849E68}" name="Mbd_temp3" dataDxfId="202" dataCellStyle="Normal 2"/>
    <tableColumn id="9" xr3:uid="{8A3CC2E1-000E-1E49-8F5E-6E1FF8061E2E}" name="SpikesPerBurst_spont" dataDxfId="201" dataCellStyle="Normal 2"/>
    <tableColumn id="10" xr3:uid="{787535A1-71B4-B24E-9486-360E7FC211B5}" name="SpikesPerBurst_senktide" dataDxfId="200" dataCellStyle="Normal 2"/>
    <tableColumn id="11" xr3:uid="{D853D496-4A6F-2245-AB8C-965932A39C21}" name="SpikesPerBurst_temp2" dataDxfId="199" dataCellStyle="Normal 2"/>
    <tableColumn id="12" xr3:uid="{A423E468-56A7-A940-BE99-8CB3A438BBFA}" name="SpikesPerBurst_temp3" dataDxfId="198" dataCellStyle="Normal 2"/>
    <tableColumn id="13" xr3:uid="{C6167369-8030-5D4C-9460-505DF2DEF3B8}" name="BurstFreq_spont" dataDxfId="197" dataCellStyle="Normal 2"/>
    <tableColumn id="14" xr3:uid="{2257B794-62FC-8440-BD86-F62F8E00DE6E}" name="BurstFreq_senktide" dataDxfId="196" dataCellStyle="Normal 2"/>
    <tableColumn id="15" xr3:uid="{3B062C95-8D4B-8E4D-91D8-88D790A966AF}" name="BurstFreq_temp2" dataDxfId="195" dataCellStyle="Normal 2"/>
    <tableColumn id="16" xr3:uid="{0E4FBA9E-BC4C-9B42-9AC2-96B12E52CB8F}" name="BurstFreq_temp3" dataDxfId="194" dataCellStyle="Normal 2"/>
    <tableColumn id="17" xr3:uid="{E9A95190-75D1-1A49-9955-D41AA99D41EB}" name="SingleSpikeNum_spont" dataDxfId="193" dataCellStyle="Normal 2"/>
    <tableColumn id="18" xr3:uid="{7048F2C9-AE62-194D-9321-336782D53AA1}" name="SingleSpikeNum_senktide" dataDxfId="192" dataCellStyle="Normal 2"/>
    <tableColumn id="19" xr3:uid="{F4FB2F5C-DBA2-7A43-953B-3F9D75C3EF6C}" name="SingleSpikeNum_temp2" dataDxfId="191" dataCellStyle="Normal 2"/>
    <tableColumn id="20" xr3:uid="{6AC13CF7-8DED-694A-BCF2-911AD7D6BC16}" name="SpingleSpikeNum_temp3" dataDxfId="190" dataCellStyle="Normal 2"/>
    <tableColumn id="21" xr3:uid="{E10E5593-6DFA-AF45-8F0E-F76D4D2F60A6}" name="SingleSpikeFreq_spont" dataDxfId="189" dataCellStyle="Normal 2"/>
    <tableColumn id="22" xr3:uid="{46003756-0B24-DB49-8923-4B1837137042}" name="SingleSpikeFreq_senktide" dataDxfId="188" dataCellStyle="Normal 2"/>
    <tableColumn id="23" xr3:uid="{56C5CCBD-8203-B447-8F09-15834DD1385C}" name="SingleSpikeFreq_temp2" dataDxfId="187" dataCellStyle="Normal 2"/>
    <tableColumn id="24" xr3:uid="{117E449C-8228-AF4F-ACBB-1ABC1693B908}" name="SingleSpikeFreq_temp3" dataDxfId="186" dataCellStyle="Normal 2"/>
    <tableColumn id="25" xr3:uid="{4C30012A-B9DA-5749-8F81-6F98E4DF25A3}" name="TotalFreq_spont" dataDxfId="185" dataCellStyle="Normal 2"/>
    <tableColumn id="26" xr3:uid="{06814F1B-0A69-CB40-9077-BC3D11458474}" name="TotalFreq_senktide" dataDxfId="184" dataCellStyle="Normal 2"/>
    <tableColumn id="27" xr3:uid="{ECEE750D-4254-344E-8CB5-DB630853DC92}" name="TotalFreq_temp2" dataDxfId="183" dataCellStyle="Normal 2"/>
    <tableColumn id="28" xr3:uid="{2604E730-503C-E547-BE7A-EEB9D6297898}" name="TotalFreq_temp3" dataDxfId="182" dataCellStyle="Normal 2"/>
    <tableColumn id="29" xr3:uid="{599231BD-E63B-4F45-A7EF-9E9226948D90}" name="InterBurst_spont" dataDxfId="181" dataCellStyle="Normal 2"/>
    <tableColumn id="30" xr3:uid="{C3BB9D32-425B-7846-9B40-8F29FB6E20D2}" name="InterBurst_senktide" dataDxfId="180" dataCellStyle="Normal 2"/>
    <tableColumn id="31" xr3:uid="{65B30304-F1AB-8149-8B5D-83CC86E63EBB}" name="InterBurst_temp2" dataDxfId="179" dataCellStyle="Normal 2"/>
    <tableColumn id="32" xr3:uid="{35983065-67FC-7B4F-A67D-FD14ED71C8C6}" name="InterBurst_temp3" dataDxfId="178" dataCellStyle="Normal 2"/>
    <tableColumn id="33" xr3:uid="{F6BAE4AE-3B7F-BC4B-A354-1041E643BAE5}" name="IntraBurst_spont" dataDxfId="177" dataCellStyle="Normal 2"/>
    <tableColumn id="34" xr3:uid="{66557BBB-2A7E-C646-9A9F-DD5FD98B9418}" name="IntraBurst_senktide" dataDxfId="176" dataCellStyle="Normal 2"/>
    <tableColumn id="35" xr3:uid="{8C1CF0EC-B64D-EC4A-82DE-9837F185A789}" name="IntraBurst_temp2" dataDxfId="175" dataCellStyle="Normal 2"/>
    <tableColumn id="36" xr3:uid="{9FC87205-370F-8C4C-B338-271CE645A92C}" name="IntraBurst_temp3" dataDxfId="174" dataCellStyle="Normal 2"/>
    <tableColumn id="39" xr3:uid="{86046F3E-7D25-6E47-9CA3-9B7C0D6171E4}" name="BurstsPerHour_spont" dataDxfId="173">
      <calculatedColumnFormula>IF(ISNUMBER(BurstIgor[[#This Row],[BurstNum_spont]]), IF(ISNUMBER(SpontLength_min), BurstIgor[[#This Row],[BurstNum_spont]]/SpontLength_min*60, "Enter Length"), "Enter Burst Vals")</calculatedColumnFormula>
    </tableColumn>
    <tableColumn id="40" xr3:uid="{6C2E59A9-0229-6B40-AE5B-528AB587700E}" name="BurstsPerHour_senktide" dataDxfId="172">
      <calculatedColumnFormula>IF(Senktide_analysis, IF(ISNUMBER(BurstIgor[[#This Row],[BurstNum_senktide]]), IF(ISNUMBER(Senktide_length), BurstIgor[[#This Row],[BurstNum_senktide]]/Senktide_length*60, "Enter Length"), "Enter Burst Vals"), "NA")</calculatedColumnFormula>
    </tableColumn>
    <tableColumn id="41" xr3:uid="{D166BBD8-DFC3-5D44-9CDA-A65C637826D0}" name="BurstsPerHour_temp2" dataDxfId="171">
      <calculatedColumnFormula array="1">IF(ISNUMBER(BurstIgor[[#This Row],[BurstNum_temp2]]), IF(ISNUMBER(Temp2_length), BurstIgor[[#This Row],[BurstNum_temp2]]/Temp2_length*60, "Enter Length"), "Enter Burst Vals")</calculatedColumnFormula>
    </tableColumn>
    <tableColumn id="37" xr3:uid="{9071A66C-6B69-B441-B6C3-C705D2E0994D}" name="BurstsPerHour_temp3" dataDxfId="170">
      <calculatedColumnFormula array="1">IF(ISNUMBER(BurstIgor[[#This Row],[BurstNum_temp3]]), IF(ISNUMBER(Temp3_length), BurstIgor[[#This Row],[BurstNum_temp3]]/Temp3_length*60, "Enter Length"), "Enter Burst Vals")</calculatedColumnFormula>
    </tableColumn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73E5F5-73A1-9347-9C8B-57EAC9BFDBB9}" name="Cluster" displayName="Cluster" ref="W111:AG201" totalsRowShown="0">
  <autoFilter ref="W111:AG201" xr:uid="{914A54A5-87B7-DD4E-85EB-5628135EE820}"/>
  <tableColumns count="11">
    <tableColumn id="11" xr3:uid="{CE085C93-C226-1A44-9BAA-32A77029854A}" name="Bin Start (min)" dataDxfId="169"/>
    <tableColumn id="10" xr3:uid="{4CBEEEF2-D531-CD4E-B085-B5830AF54584}" name="Bin End (min)" dataDxfId="168"/>
    <tableColumn id="9" xr3:uid="{4984B19C-92E9-F246-86B1-69ABAD200F10}" name="Bin Start (sec)" dataDxfId="167"/>
    <tableColumn id="7" xr3:uid="{2A6E95DA-23B4-B444-AEE5-69E61EB3D58D}" name="Bin End (sec)" dataDxfId="166"/>
    <tableColumn id="4" xr3:uid="{873F23AC-896A-224F-A652-87F711BF2D92}" name="Conc events/bin" dataDxfId="165"/>
    <tableColumn id="2" xr3:uid="{FE39353E-B7E1-9C47-8C05-A2B0F96895ED}" name="Bin_start" dataDxfId="164"/>
    <tableColumn id="1" xr3:uid="{9033E749-F0ED-B84E-A7CF-7AEF601A9E7A}" name="Bin_end" dataDxfId="163"/>
    <tableColumn id="5" xr3:uid="{0B94F851-DD82-DD45-8FAF-5C726F7096F0}" name="2x2 - Global SD" dataDxfId="162">
      <calculatedColumnFormula>IF(ISNUMBER(Cluster[[#This Row],[Bin_end]]), _xlfn.XLOOKUP(Cluster[[#This Row],[Bin_end]], ClusterCalc_2x2SD[Bin_end], ClusterCalc_2x2SD[Peak or Nadir], "fill ClusterCalc Table",1), "no bin")</calculatedColumnFormula>
    </tableColumn>
    <tableColumn id="12" xr3:uid="{EBBA839D-8260-3546-AC08-F68B47BEFE02}" name="3x3 - Global SD" dataDxfId="161">
      <calculatedColumnFormula>IF(ISNUMBER(Cluster[[#This Row],[Bin_end]]), _xlfn.XLOOKUP(Cluster[[#This Row],[Bin_end]], ClusterCalc_3x3SD[Bin_end], ClusterCalc_3x3SD[Peak or Nadir], "fill ClusterCalc Table",1), "no bin")</calculatedColumnFormula>
    </tableColumn>
    <tableColumn id="6" xr3:uid="{0686815B-9F50-E24D-8F72-703E2E40C96F}" name="2x2 - Global SE" dataDxfId="160">
      <calculatedColumnFormula>IF(ISNUMBER(Cluster[[#This Row],[Bin_end]]), _xlfn.XLOOKUP(Cluster[[#This Row],[Bin_end]], ClusterCalc_2x2SE[Bin_end], ClusterCalc_2x2SE[Peak or Nadir], "fill ClusterCalc Table",1), "no bin")</calculatedColumnFormula>
    </tableColumn>
    <tableColumn id="8" xr3:uid="{33F23411-B513-C743-8793-5573168D1E3C}" name="3x3 - Global SE" dataDxfId="159" dataCellStyle="Normal 2">
      <calculatedColumnFormula>IF(ISNUMBER(Cluster[[#This Row],[Bin_end]]), _xlfn.XLOOKUP(Cluster[[#This Row],[Bin_end]], ClusterCalc_3x3SE[Bin_end], ClusterCalc_3x3SE[Peak or Nadir], "fill ClusterCalc Table",1), "no bin")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E002C0-333E-9744-81C5-0E2359BC181F}" name="ClusterCalc_2x2SD" displayName="ClusterCalc_2x2SD" ref="AI120:AN136" totalsRowShown="0">
  <autoFilter ref="AI120:AN136" xr:uid="{BE128F75-5A80-1440-87BF-E6055F12B3D2}"/>
  <tableColumns count="6">
    <tableColumn id="1" xr3:uid="{7E83F8D0-1E39-434D-B22D-04D1E6DB40B1}" name="Epoch"/>
    <tableColumn id="2" xr3:uid="{BFC6FBD9-C5B5-494B-A9F7-11CA5EDB5867}" name="Peak or Nadir" dataDxfId="158"/>
    <tableColumn id="3" xr3:uid="{2588E322-0B9C-3444-B215-840D07E6093A}" name="Bin_start" dataDxfId="157"/>
    <tableColumn id="4" xr3:uid="{404D504A-84A0-8343-B59F-8F810F6EC485}" name="Bin_end" dataDxfId="156"/>
    <tableColumn id="5" xr3:uid="{02961D95-4206-5443-9D0D-621082D78952}" name="Duration (min)" dataDxfId="155">
      <calculatedColumnFormula>IF(ISNUMBER(ClusterCalc_2x2SD[[#This Row],[Bin_end]]), (ClusterCalc_2x2SD[[#This Row],[Bin_end]]-ClusterCalc_2x2SD[[#This Row],[Bin_start]]) * (ClusterBinSize_sec / 60), "NA")</calculatedColumnFormula>
    </tableColumn>
    <tableColumn id="6" xr3:uid="{F2EB72FD-B220-4448-A2AC-B243E6A77095}" name="Mean Firing (Hz)" dataDxfId="154">
      <calculatedColumnFormula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016C70-09FC-C14C-8168-338B4899899B}" name="ClusterVals_2x2SD" displayName="ClusterVals_2x2SD" ref="AI115:AM117" totalsRowShown="0" headerRowDxfId="153">
  <autoFilter ref="AI115:AM117" xr:uid="{93D34FCE-1069-46CB-A090-D1A1A4F9D064}"/>
  <tableColumns count="5">
    <tableColumn id="1" xr3:uid="{D3698292-EF42-F441-9BE1-F452991221CF}" name="Peak or Nadir"/>
    <tableColumn id="2" xr3:uid="{C9068BE9-428D-4D41-8C1D-3ED259A38ECB}" name="Total Duration" dataDxfId="152">
      <calculatedColumnFormula>IF(Analysis_2x2SD, SUMIF(ClusterCalc_2x2SD[Peak or Nadir], ClusterVals_2x2SD[[#This Row],[Peak or Nadir]], ClusterCalc_2x2SD[Duration (min)])/ SpontLength_min / 60, "NA")</calculatedColumnFormula>
    </tableColumn>
    <tableColumn id="3" xr3:uid="{63C93ECF-1D5C-3548-A240-E8F9C56F13B9}" name="Average Duration" dataDxfId="151">
      <calculatedColumnFormula>IF(Analysis_2x2SD, AVERAGEIF(ClusterCalc_2x2SD[Peak or Nadir], ClusterVals_2x2SD[[#This Row],[Peak or Nadir]], ClusterCalc_2x2SD[Duration (min)]), "NA")</calculatedColumnFormula>
    </tableColumn>
    <tableColumn id="4" xr3:uid="{FBD4A908-2D1D-1740-82FA-98C278092843}" name="Average Firing Rate" dataDxfId="150">
      <calculatedColumnFormula>IF(Analysis_2x2SD, AVERAGEIF(ClusterCalc_2x2SD[Peak or Nadir], ClusterVals_2x2SD[[#This Row],[Peak or Nadir]], ClusterCalc_2x2SD[Mean Firing (Hz)]), "NA")</calculatedColumnFormula>
    </tableColumn>
    <tableColumn id="5" xr3:uid="{3183CD7D-DA20-4745-8D28-1AF8445FAF8E}" name="Count of Peak or Nadir" dataDxfId="149">
      <calculatedColumnFormula>IF(Analysis_2x2SD, COUNTIF(ClusterCalc_2x2SD[Peak or Nadir],ClusterVals_2x2SD[[#This Row],[Peak or Nadir]])/ SpontLength_min / 60, "NA")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F4891F-FE1B-DA46-A635-060BF99BECAB}" name="ClusterCalc_3x3SD" displayName="ClusterCalc_3x3SD" ref="AP120:AU136" totalsRowShown="0">
  <autoFilter ref="AP120:AU136" xr:uid="{ACEEDFEE-FBEA-4D5E-91D9-47B719CBC3D0}"/>
  <tableColumns count="6">
    <tableColumn id="1" xr3:uid="{7DE5D06F-E531-4B45-BC17-6D53BE5C4F16}" name="Epoch"/>
    <tableColumn id="2" xr3:uid="{6ABE7953-750E-654A-B902-5BE10B3F1711}" name="Peak or Nadir" dataDxfId="148" dataCellStyle="Normal 2"/>
    <tableColumn id="3" xr3:uid="{1B993220-BFED-8E47-A1BE-6E4AFDD0E562}" name="Bin_start" dataDxfId="147">
      <calculatedColumnFormula>IF(ISNUMBER(AS120), AS120, "")</calculatedColumnFormula>
    </tableColumn>
    <tableColumn id="4" xr3:uid="{3376D3A8-43D2-4A42-8952-2CEBA99F11D4}" name="Bin_end" dataDxfId="146"/>
    <tableColumn id="5" xr3:uid="{A2094336-A099-9547-B3E4-BEAFCFB40592}" name="Duration (min)" dataDxfId="145" dataCellStyle="Normal 2">
      <calculatedColumnFormula>IF(ISNUMBER(ClusterCalc_3x3SD[[#This Row],[Bin_end]]), (ClusterCalc_3x3SD[[#This Row],[Bin_end]]-ClusterCalc_3x3SD[[#This Row],[Bin_start]]) * (ClusterBinSize_sec / 60), "NA")</calculatedColumnFormula>
    </tableColumn>
    <tableColumn id="6" xr3:uid="{DA583DE4-E080-C04A-98B6-D0D903DE2E96}" name="Mean Firing (Hz)" dataDxfId="144">
      <calculatedColumnFormula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A75282-D0F2-134D-9AE5-036B759D911D}" name="ClusterVals_3x3SD" displayName="ClusterVals_3x3SD" ref="AP115:AT117" totalsRowShown="0" headerRowDxfId="143">
  <autoFilter ref="AP115:AT117" xr:uid="{B2A07285-8318-4431-BAA1-D819C3245759}"/>
  <tableColumns count="5">
    <tableColumn id="1" xr3:uid="{ACF713DA-287D-7D47-AF34-04AB8F12A5DC}" name="Peak or Nadir"/>
    <tableColumn id="2" xr3:uid="{F9BE98EE-D157-6047-8265-06B53AF92193}" name="Total Duration" dataDxfId="142">
      <calculatedColumnFormula>IF(Analysis_3x3SD, SUMIF(ClusterCalc_3x3SD[Peak or Nadir], ClusterVals_3x3SD[[#This Row],[Peak or Nadir]], ClusterCalc_3x3SD[Duration (min)])/ SpontLength_min / 60, "NA")</calculatedColumnFormula>
    </tableColumn>
    <tableColumn id="3" xr3:uid="{4EE1E079-E0F5-674C-AA8F-1C49E0C3098C}" name="Average Duration" dataDxfId="141">
      <calculatedColumnFormula>IF(Analysis_3x3SD, AVERAGEIF(ClusterCalc_3x3SD[Peak or Nadir], ClusterVals_3x3SD[[#This Row],[Peak or Nadir]], ClusterCalc_3x3SD[Duration (min)]), "NA")</calculatedColumnFormula>
    </tableColumn>
    <tableColumn id="4" xr3:uid="{5795669D-141E-4F41-8F1C-7F1720291108}" name="Average Firing Rate" dataDxfId="140">
      <calculatedColumnFormula>IF(Analysis_3x3SD, AVERAGEIF(ClusterCalc_3x3SD[Peak or Nadir], ClusterVals_3x3SD[[#This Row],[Peak or Nadir]], ClusterCalc_3x3SD[Mean Firing (Hz)]), "NA")</calculatedColumnFormula>
    </tableColumn>
    <tableColumn id="5" xr3:uid="{F798E8CF-86CD-B148-84E8-372D33D03D2F}" name="Count of Peak or Nadir" dataDxfId="139">
      <calculatedColumnFormula>IF(Analysis_3x3SD, COUNTIF(ClusterCalc_3x3SD[Peak or Nadir],ClusterVals_3x3SD[[#This Row],[Peak or Nadir]])/ SpontLength_min / 60, "NA")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D008EC-1CB4-5247-A263-ECE8BDFEBC00}" name="ClusterCalc_2x2SE" displayName="ClusterCalc_2x2SE" ref="AW120:BB136" totalsRowShown="0">
  <autoFilter ref="AW120:BB136" xr:uid="{47C38CC1-2F7C-470E-9C3E-2FE3FC3E504A}"/>
  <tableColumns count="6">
    <tableColumn id="1" xr3:uid="{9917055D-69B3-ED46-ABCD-642879FDE60A}" name="Epoch" dataCellStyle="Normal 2"/>
    <tableColumn id="2" xr3:uid="{1276B067-E6CE-B049-975E-6B5217357836}" name="Peak or Nadir" dataDxfId="138" dataCellStyle="Normal 2"/>
    <tableColumn id="3" xr3:uid="{5B3FC5A6-2849-AA4F-BC56-28ABD75E14C4}" name="Bin_start" dataDxfId="137" dataCellStyle="Normal 2">
      <calculatedColumnFormula>IF(ISNUMBER(AZ120), AZ120, "")</calculatedColumnFormula>
    </tableColumn>
    <tableColumn id="4" xr3:uid="{BB1727B6-D9D9-4C4B-BAF9-8B544949672E}" name="Bin_end" dataDxfId="136" dataCellStyle="Normal 2"/>
    <tableColumn id="5" xr3:uid="{75C65E4B-A269-3743-BA88-F21FE56216BF}" name="Duration (min)" dataDxfId="135" dataCellStyle="Normal 2">
      <calculatedColumnFormula>IF(ISNUMBER(ClusterCalc_2x2SE[[#This Row],[Bin_end]]), (ClusterCalc_2x2SE[[#This Row],[Bin_end]]-ClusterCalc_2x2SE[[#This Row],[Bin_start]]) * (ClusterBinSize_sec / 60), "NA")</calculatedColumnFormula>
    </tableColumn>
    <tableColumn id="6" xr3:uid="{1071C4C0-B995-DA4A-B379-90A28E955CD9}" name="Mean Firing (Hz)" dataDxfId="134" dataCellStyle="Normal 2">
      <calculatedColumnFormula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6DD870-A189-3943-96A6-115B8CFE0152}" name="ClusterVals_2x2SE" displayName="ClusterVals_2x2SE" ref="AW115:BA117" totalsRowShown="0" headerRowDxfId="133">
  <autoFilter ref="AW115:BA117" xr:uid="{9FB9980A-573C-4A9A-8571-C962876E9011}"/>
  <tableColumns count="5">
    <tableColumn id="1" xr3:uid="{6244AC0D-3AC6-884E-AA15-820835031262}" name="Peak or Nadir"/>
    <tableColumn id="2" xr3:uid="{411C008E-7DAC-FD46-A6B1-F6E6DA732853}" name="Total Duration" dataDxfId="132">
      <calculatedColumnFormula>IF(Analysis_2x2SE, SUMIF(ClusterCalc_2x2SE[Peak or Nadir], ClusterVals_2x2SE[[#This Row],[Peak or Nadir]], ClusterCalc_2x2SE[Duration (min)])/ SpontLength_min / 60, "NA")</calculatedColumnFormula>
    </tableColumn>
    <tableColumn id="3" xr3:uid="{45A7C937-DBB2-1840-B20D-DF140743F4B1}" name="Average Duration" dataDxfId="131">
      <calculatedColumnFormula>IF(Analysis_2x2SE, AVERAGEIF(ClusterCalc_2x2SE[Peak or Nadir], ClusterVals_2x2SE[[#This Row],[Peak or Nadir]], ClusterCalc_2x2SE[Duration (min)]), "NA")</calculatedColumnFormula>
    </tableColumn>
    <tableColumn id="4" xr3:uid="{474C22C6-B428-6944-A3B1-A6CAA655D0F3}" name="Average Firing Rate" dataDxfId="130">
      <calculatedColumnFormula>IF(Analysis_2x2SE, AVERAGEIF(ClusterCalc_2x2SE[Peak or Nadir], ClusterVals_2x2SE[[#This Row],[Peak or Nadir]], ClusterCalc_2x2SE[Mean Firing (Hz)]), "NA")</calculatedColumnFormula>
    </tableColumn>
    <tableColumn id="5" xr3:uid="{292CF896-94C0-DE4F-850D-2EF381FE0358}" name="Count of Peak or Nadir" dataDxfId="129">
      <calculatedColumnFormula>IF(Analysis_2x2SE, COUNTIF(ClusterCalc_2x2SE[Peak or Nadir],ClusterVals_2x2SE[[#This Row],[Peak or Nadir]])/ SpontLength_min / 60, "NA")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455A77-3FD1-DB4B-9A05-C05314A8DE69}" name="ClusterCalc_3x3SE" displayName="ClusterCalc_3x3SE" ref="BD120:BI136" totalsRowShown="0">
  <autoFilter ref="BD120:BI136" xr:uid="{5CD332BF-FEA1-44F4-B152-10BC2730CD34}"/>
  <tableColumns count="6">
    <tableColumn id="1" xr3:uid="{301960C4-1D25-EC41-963A-A3724D7BBD05}" name="Epoch" dataCellStyle="Normal 2"/>
    <tableColumn id="2" xr3:uid="{38EE9EBB-9FE8-7642-B86D-2573709363B3}" name="Peak or Nadir" dataDxfId="128" dataCellStyle="Normal 2"/>
    <tableColumn id="3" xr3:uid="{B8E3904F-EF01-CF41-ACD9-E8A89CCABA1A}" name="Bin_start" dataDxfId="127" dataCellStyle="Normal 2">
      <calculatedColumnFormula>IF(ISNUMBER(BG120), BG120, "")</calculatedColumnFormula>
    </tableColumn>
    <tableColumn id="4" xr3:uid="{4AD9B992-1C58-9E43-97DC-1C4FF4843C93}" name="Bin_end" dataDxfId="126" dataCellStyle="Normal 2"/>
    <tableColumn id="5" xr3:uid="{5A122CA4-3DC0-964F-84CD-91F552FD8322}" name="Duration (min)" dataDxfId="125" dataCellStyle="Normal 2">
      <calculatedColumnFormula>IF(ISNUMBER(ClusterCalc_3x3SE[[#This Row],[Bin_end]]), (ClusterCalc_3x3SE[[#This Row],[Bin_end]]-ClusterCalc_3x3SE[[#This Row],[Bin_start]]) * (ClusterBinSize_sec / 60), "NA")</calculatedColumnFormula>
    </tableColumn>
    <tableColumn id="6" xr3:uid="{7255EE23-0970-434A-BFE0-3114BFFD3599}" name="Mean Firing (Hz)" dataDxfId="124" dataCellStyle="Normal 2">
      <calculatedColumnFormula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2738A9-8601-4542-AFA2-A3DDAD994506}" name="ClusterVals_3x3SE" displayName="ClusterVals_3x3SE" ref="BD115:BH117" totalsRowShown="0" headerRowDxfId="123">
  <autoFilter ref="BD115:BH117" xr:uid="{F4BEBA35-EFB3-49E3-9B15-5B6B1ABF0477}"/>
  <tableColumns count="5">
    <tableColumn id="1" xr3:uid="{00FEC7B2-EA89-9043-B413-69387E53E497}" name="Peak or Nadir"/>
    <tableColumn id="2" xr3:uid="{5852C4B3-24D2-CB44-A0F7-36F597922F06}" name="Total Duration" dataDxfId="122">
      <calculatedColumnFormula>IF(Analysis_3x3SE, SUMIF(ClusterCalc_3x3SE[Peak or Nadir], ClusterVals_3x3SE[[#This Row],[Peak or Nadir]], ClusterCalc_3x3SE[Duration (min)])/ SpontLength_min / 60, "NA")</calculatedColumnFormula>
    </tableColumn>
    <tableColumn id="3" xr3:uid="{AC099F97-99CB-3A45-A2C6-C000F0F4AB94}" name="Average Duration" dataDxfId="121">
      <calculatedColumnFormula>IF(Analysis_3x3SE, AVERAGEIF(ClusterCalc_3x3SE[Peak or Nadir], ClusterVals_3x3SE[[#This Row],[Peak or Nadir]], ClusterCalc_3x3SE[Duration (min)]), "NA")</calculatedColumnFormula>
    </tableColumn>
    <tableColumn id="4" xr3:uid="{C24CA397-951A-CD46-86FC-5A7A3409570B}" name="Average Firing Rate" dataDxfId="120">
      <calculatedColumnFormula>IF(Analysis_3x3SE, AVERAGEIF(ClusterCalc_3x3SE[Peak or Nadir], ClusterVals_3x3SE[[#This Row],[Peak or Nadir]], ClusterCalc_3x3SE[Mean Firing (Hz)]), "NA")</calculatedColumnFormula>
    </tableColumn>
    <tableColumn id="5" xr3:uid="{67E946D0-284C-734C-83B6-D39DFC5317A5}" name="Count of Peak or Nadir" dataDxfId="119">
      <calculatedColumnFormula>IF(Analysis_3x3SE, COUNTIF(ClusterCalc_3x3SE[Peak or Nadir],ClusterVals_3x3SE[[#This Row],[Peak or Nadir]])/ SpontLength_min / 60, "NA")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10184E-A87C-41B0-A89B-28981420A4E6}" name="FiringRate13" displayName="FiringRate13" ref="B111:L291" totalsRowShown="0">
  <autoFilter ref="B111:L291" xr:uid="{E3361547-89CF-1349-AE02-C5BA9ADC2346}"/>
  <tableColumns count="11">
    <tableColumn id="1" xr3:uid="{AF72E723-6CBD-4D77-AB73-4B09A81C05AE}" name="Series"/>
    <tableColumn id="2" xr3:uid="{87227933-3D6B-4472-8427-CD4213F5E2C1}" name="Point"/>
    <tableColumn id="11" xr3:uid="{6B50BB50-86DD-42A7-8783-047AF5590F00}" name="Bin Start (min)" dataDxfId="101"/>
    <tableColumn id="10" xr3:uid="{5D8C4031-EBF9-4589-817F-C0AB6F187C49}" name="Bin End (min)" dataDxfId="100"/>
    <tableColumn id="9" xr3:uid="{10CAB6C4-1185-4995-B299-E8DFE4C40499}" name="Bin Start (sec)" dataDxfId="99"/>
    <tableColumn id="7" xr3:uid="{9D2F860B-BD74-4E2A-A654-DBF3C4DC990C}" name="Bin End (sec)" dataDxfId="98"/>
    <tableColumn id="3" xr3:uid="{13AD9186-ECE8-4CE7-ABCA-030784C9F86B}" name="Event/bin" dataDxfId="97"/>
    <tableColumn id="4" xr3:uid="{DFE58E0B-942D-431E-97A8-757F44CA3687}" name="Conc events/bin" dataDxfId="96"/>
    <tableColumn id="5" xr3:uid="{B5438991-0D8E-4993-8F8B-F8101ABB16D9}" name="Freq (in Hz)" dataDxfId="95">
      <calculatedColumnFormula>IF(ISBLANK(FiringRate13[[#This Row],[Event/bin]]), " ", FiringRate13[[#This Row],[Event/bin]]/BinSize_sec)</calculatedColumnFormula>
    </tableColumn>
    <tableColumn id="6" xr3:uid="{A1B0EA09-5910-4EED-908A-9E2F6396106E}" name="Freq conc (in Hz)" dataDxfId="94">
      <calculatedColumnFormula>IF(ISBLANK(FiringRate13[[#This Row],[Conc events/bin]]), " ", FiringRate13[[#This Row],[Conc events/bin]]/BinSize_sec)</calculatedColumnFormula>
    </tableColumn>
    <tableColumn id="8" xr3:uid="{B39EC39D-0974-4AD3-812F-51AC7EB8A0C9}" name="Treatment Notes" dataCellStyle="Normal 2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A6785D-ADAC-4CB3-AB3D-66CCD01FCF71}" name="BurstIgor14" displayName="BurstIgor14" ref="A2:AO102" totalsRowShown="0" headerRowDxfId="93" tableBorderDxfId="92" headerRowCellStyle="Normal 2">
  <autoFilter ref="A2:AO102" xr:uid="{B2BD87B5-EB43-DA49-A7A5-6F2E7C6BB21B}"/>
  <tableColumns count="41">
    <tableColumn id="38" xr3:uid="{BF9A85C9-629C-4B55-A6D2-4A5B235FC2CB}" name="BurstWindow" dataDxfId="91" dataCellStyle="Normal 2"/>
    <tableColumn id="1" xr3:uid="{4D0D1E33-E9C0-43DE-B551-61C61A7C809B}" name="BurstNum_spont" dataDxfId="90" dataCellStyle="Normal 2"/>
    <tableColumn id="2" xr3:uid="{679661C9-A22F-4E77-9895-F9BB942E0083}" name="BurstNum_senktide" dataDxfId="89" dataCellStyle="Normal 2"/>
    <tableColumn id="3" xr3:uid="{1357F4A2-6AD1-4060-BCE4-1B3994758668}" name="BurstNum_temp2" dataDxfId="88" dataCellStyle="Normal 2"/>
    <tableColumn id="4" xr3:uid="{13F6ED0A-844C-4C5E-B1EA-B037C90606B0}" name="BurstNum_temp3" dataDxfId="87" dataCellStyle="Normal 2"/>
    <tableColumn id="5" xr3:uid="{B86F66D6-F708-4BDD-80B8-06C1D81FE074}" name="Mbd_spont" dataDxfId="86" dataCellStyle="Normal 2"/>
    <tableColumn id="6" xr3:uid="{746EB60D-3490-425A-A9A9-4CA21236C5EA}" name="Mbd_senktide" dataDxfId="85" dataCellStyle="Normal 2"/>
    <tableColumn id="7" xr3:uid="{D6CFC6F9-4604-46A9-97B2-35C8D079814C}" name="Mbd_temp2" dataDxfId="84" dataCellStyle="Normal 2"/>
    <tableColumn id="8" xr3:uid="{41453FF8-A1E0-4E13-9505-3322102F7571}" name="Mbd_temp4" dataDxfId="83" dataCellStyle="Normal 2"/>
    <tableColumn id="9" xr3:uid="{28B93265-B21F-46C2-919E-534D52C36937}" name="SpikesPerBurst_spont" dataDxfId="82" dataCellStyle="Normal 2"/>
    <tableColumn id="10" xr3:uid="{8EC4802E-87F7-4D46-8679-22F1FDD7DF29}" name="SpikesPerBurst_senktide" dataDxfId="81" dataCellStyle="Normal 2"/>
    <tableColumn id="11" xr3:uid="{4C832695-B132-4BA4-8F79-0C03D04B14D4}" name="SpikesPerBurst_temp2" dataDxfId="80" dataCellStyle="Normal 2"/>
    <tableColumn id="12" xr3:uid="{0F474AAA-AA1A-405E-A17B-0E7DE2478C9B}" name="SpikesPerBurst_temp3" dataDxfId="79" dataCellStyle="Normal 2"/>
    <tableColumn id="13" xr3:uid="{02971461-D42F-48B7-ABF3-D962979E1523}" name="BurstFreq_spont" dataDxfId="78" dataCellStyle="Normal 2"/>
    <tableColumn id="14" xr3:uid="{4586E1D2-2131-4061-A87B-C7AF60FEE4C9}" name="BurstFreq_senktide" dataDxfId="77" dataCellStyle="Normal 2"/>
    <tableColumn id="15" xr3:uid="{CE3F9046-AF0F-470F-BE94-2B4D2894EEFC}" name="BurstFreq_temp2" dataDxfId="76" dataCellStyle="Normal 2"/>
    <tableColumn id="16" xr3:uid="{0EBE922A-D98F-4A4B-8696-3A54B5E5EDB4}" name="BurstFreq_temp3" dataDxfId="75" dataCellStyle="Normal 2"/>
    <tableColumn id="17" xr3:uid="{49D1A7A2-088D-4EFE-B5FA-27AEC8782001}" name="SingleSpikeNum_spont" dataDxfId="74" dataCellStyle="Normal 2"/>
    <tableColumn id="18" xr3:uid="{81B0C1FC-9D72-4EBD-8A05-F2CC7D7D1019}" name="SingleSpikeNum_senktide" dataDxfId="73" dataCellStyle="Normal 2"/>
    <tableColumn id="19" xr3:uid="{233F6A42-63AC-4055-B7D6-E0DF4E83B72A}" name="SingleSpikeNum_temp2" dataDxfId="72" dataCellStyle="Normal 2"/>
    <tableColumn id="20" xr3:uid="{B5C1D873-6D7E-4A31-AB0C-B9E7E8793B5B}" name="SpingleSpikeNum_temp3" dataDxfId="71" dataCellStyle="Normal 2"/>
    <tableColumn id="21" xr3:uid="{8A68D010-7D32-4F33-A1F3-987A39F2DA52}" name="SingleSpikeFreq_spont" dataDxfId="70" dataCellStyle="Normal 2"/>
    <tableColumn id="22" xr3:uid="{65996715-21FF-4449-A581-D74CE1BB8DB0}" name="SingleSpikeFreq_senktide" dataDxfId="69" dataCellStyle="Normal 2"/>
    <tableColumn id="23" xr3:uid="{0D68523E-D818-4146-A397-72BD60DC2DDF}" name="SingleSpikeFreq_temp2" dataDxfId="68" dataCellStyle="Normal 2"/>
    <tableColumn id="24" xr3:uid="{6E2A2039-F7DB-4083-BA14-0C855FA4321A}" name="SingleSpikeFreq_temp3" dataDxfId="67" dataCellStyle="Normal 2"/>
    <tableColumn id="25" xr3:uid="{E25ACAE6-F03E-4AE0-A180-BE4FC84AFD76}" name="TotalFreq_spont" dataDxfId="66" dataCellStyle="Normal 2"/>
    <tableColumn id="26" xr3:uid="{790BCA1F-B281-419F-BC78-11AEA9E129FA}" name="TotalFreq_senktide" dataDxfId="65" dataCellStyle="Normal 2"/>
    <tableColumn id="27" xr3:uid="{4A6F1659-C0A9-4F61-97F2-72FFFE2FF404}" name="TotalFreq_temp2" dataDxfId="64" dataCellStyle="Normal 2"/>
    <tableColumn id="28" xr3:uid="{5F9CBDDB-8D68-4FFE-8D01-26C4E227D6F0}" name="TotalFreq_temp3" dataDxfId="63" dataCellStyle="Normal 2"/>
    <tableColumn id="29" xr3:uid="{0D758D11-2E49-4053-99D7-E51A66786CED}" name="InterBurst_spont" dataDxfId="62" dataCellStyle="Normal 2"/>
    <tableColumn id="30" xr3:uid="{06797BEC-216D-4C3D-B466-B40B7541414F}" name="InterBurst_senktide" dataDxfId="61" dataCellStyle="Normal 2"/>
    <tableColumn id="31" xr3:uid="{401A5294-0185-41A3-A013-B2DE9987C91C}" name="InterBurst_temp2" dataDxfId="60" dataCellStyle="Normal 2"/>
    <tableColumn id="32" xr3:uid="{961CB4A4-F668-4136-9704-9D91607BE868}" name="InterBurst_temp3" dataDxfId="59" dataCellStyle="Normal 2"/>
    <tableColumn id="33" xr3:uid="{CFB4DC9C-8AC2-4B96-8BF8-5E5B59EDDCD3}" name="IntraBurst_spont" dataDxfId="58" dataCellStyle="Normal 2"/>
    <tableColumn id="34" xr3:uid="{2B58277C-D628-4081-9C26-633599C2D0B4}" name="IntraBurst_senktide" dataDxfId="57" dataCellStyle="Normal 2"/>
    <tableColumn id="35" xr3:uid="{3AE713EF-A675-4519-9CA2-5C3ECBAB75B1}" name="IntraBurst_temp2" dataDxfId="56" dataCellStyle="Normal 2"/>
    <tableColumn id="36" xr3:uid="{AD4E8D80-4EA0-41E5-9C6D-6DD37C52B8FF}" name="IntraBurst_temp3" dataDxfId="55" dataCellStyle="Normal 2"/>
    <tableColumn id="39" xr3:uid="{17E243D2-F3E7-4660-ABD3-7435D7C1AEB7}" name="BurstsPerHour_spont" dataDxfId="54">
      <calculatedColumnFormula>IF(ISNUMBER(BurstIgor14[[#This Row],[BurstNum_spont]]), IF(ISNUMBER(SpontLength_min), BurstIgor14[[#This Row],[BurstNum_spont]]/SpontLength_min*60, "Enter Length"), "Enter Burst Vals")</calculatedColumnFormula>
    </tableColumn>
    <tableColumn id="40" xr3:uid="{0BF34119-04FE-492F-909B-752ED939056C}" name="BurstsPerHour_senktide" dataDxfId="53">
      <calculatedColumnFormula>IF(Senktide_analysis, IF(ISNUMBER(BurstIgor14[[#This Row],[BurstNum_senktide]]), IF(ISNUMBER(Senktide_length), BurstIgor14[[#This Row],[BurstNum_senktide]]/Senktide_length*60, "Enter Length"), "Enter Burst Vals"), "NA")</calculatedColumnFormula>
    </tableColumn>
    <tableColumn id="41" xr3:uid="{874806C8-FC46-4134-B96D-D1FF5528FC98}" name="BurstsPerHour_temp2" dataDxfId="52">
      <calculatedColumnFormula array="1">IF(ISNUMBER(BurstIgor14[[#This Row],[BurstNum_temp2]]), IF(ISNUMBER(Temp2_length), BurstIgor14[[#This Row],[BurstNum_temp2]]/Temp2_length*60, "Enter Length"), "Enter Burst Vals")</calculatedColumnFormula>
    </tableColumn>
    <tableColumn id="37" xr3:uid="{B2755589-AD0F-4E7B-B833-C881B2B8D0FE}" name="BurstsPerHour_temp3" dataDxfId="51">
      <calculatedColumnFormula array="1">IF(ISNUMBER(BurstIgor14[[#This Row],[BurstNum_temp3]]), IF(ISNUMBER(Temp3_length), BurstIgor14[[#This Row],[BurstNum_temp3]]/Temp3_length*60, "Enter Length"), "Enter Burst Vals")</calculatedColumnFormula>
    </tableColumn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46BFCD-E292-4AA9-B960-EFF1F893A6F8}" name="Cluster15" displayName="Cluster15" ref="W111:AG201" totalsRowShown="0">
  <autoFilter ref="W111:AG201" xr:uid="{914A54A5-87B7-DD4E-85EB-5628135EE820}"/>
  <tableColumns count="11">
    <tableColumn id="11" xr3:uid="{E65BA697-10A0-4CC8-A952-F059124981B3}" name="Bin Start (min)" dataDxfId="50"/>
    <tableColumn id="10" xr3:uid="{FFB255E4-2581-40D0-9127-FC6ACFC6C522}" name="Bin End (min)" dataDxfId="49"/>
    <tableColumn id="9" xr3:uid="{D94E733D-E6E3-40BB-9550-08D3685E861D}" name="Bin Start (sec)" dataDxfId="48"/>
    <tableColumn id="7" xr3:uid="{E39C50ED-69CD-4DCC-834B-5C3DF5BFFC6C}" name="Bin End (sec)" dataDxfId="47"/>
    <tableColumn id="4" xr3:uid="{F1EF52E4-AC6D-4AD0-B72C-EF5B4CEE272C}" name="Conc events/bin" dataDxfId="46"/>
    <tableColumn id="2" xr3:uid="{5FFF480D-BD8A-4768-9636-F6F101066803}" name="Bin_start" dataDxfId="45"/>
    <tableColumn id="1" xr3:uid="{866A8056-C82D-4132-AC9B-38972AFE98EB}" name="Bin_end" dataDxfId="44"/>
    <tableColumn id="5" xr3:uid="{FD382570-8A6C-47F2-88AF-814799E489B5}" name="2x2 - Global SD" dataDxfId="43">
      <calculatedColumnFormula>IF(ISNUMBER(Cluster15[[#This Row],[Bin_end]]), _xlfn.XLOOKUP(Cluster15[[#This Row],[Bin_end]], ClusterCalc_2x2SD16[Bin_end], ClusterCalc_2x2SD16[Peak or Nadir], "fill ClusterCalc Table",1), "no bin")</calculatedColumnFormula>
    </tableColumn>
    <tableColumn id="12" xr3:uid="{01C60679-AEA6-4B49-9D0F-57D2A25949DA}" name="3x3 - Global SD" dataDxfId="42">
      <calculatedColumnFormula>IF(ISNUMBER(Cluster15[[#This Row],[Bin_end]]), _xlfn.XLOOKUP(Cluster15[[#This Row],[Bin_end]], ClusterCalc_3x3SD18[Bin_end], ClusterCalc_3x3SD18[Peak or Nadir], "fill ClusterCalc Table",1), "no bin")</calculatedColumnFormula>
    </tableColumn>
    <tableColumn id="6" xr3:uid="{EB1D4445-C407-4168-82DC-135502BCE3DE}" name="2x2 - Global SE" dataDxfId="41">
      <calculatedColumnFormula>IF(ISNUMBER(Cluster15[[#This Row],[Bin_end]]), _xlfn.XLOOKUP(Cluster15[[#This Row],[Bin_end]], ClusterCalc_2x2SE20[Bin_end], ClusterCalc_2x2SE20[Peak or Nadir], "fill ClusterCalc Table",1), "no bin")</calculatedColumnFormula>
    </tableColumn>
    <tableColumn id="8" xr3:uid="{354B8C61-A00C-4E27-AEFB-644E4FFCF038}" name="3x3 - Global SE" dataDxfId="40" dataCellStyle="Normal 2">
      <calculatedColumnFormula>IF(ISNUMBER(Cluster15[[#This Row],[Bin_end]]), _xlfn.XLOOKUP(Cluster15[[#This Row],[Bin_end]], ClusterCalc_3x3SE22[Bin_end], ClusterCalc_3x3SE22[Peak or Nadir], "fill ClusterCalc Table",1), "no bin")</calculatedColumn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6CF051B-54C9-4243-B829-248D7CC077FE}" name="ClusterCalc_2x2SD16" displayName="ClusterCalc_2x2SD16" ref="AI120:AN136" totalsRowShown="0">
  <autoFilter ref="AI120:AN136" xr:uid="{BE128F75-5A80-1440-87BF-E6055F12B3D2}"/>
  <tableColumns count="6">
    <tableColumn id="1" xr3:uid="{65940809-6280-4A36-BC57-98A05C77BB87}" name="Epoch"/>
    <tableColumn id="2" xr3:uid="{F115A213-B53B-4586-B337-719F38507575}" name="Peak or Nadir" dataDxfId="39"/>
    <tableColumn id="3" xr3:uid="{571C65AA-0804-4CBB-BB53-C03A62B725E3}" name="Bin_start" dataDxfId="38"/>
    <tableColumn id="4" xr3:uid="{905E9444-8E66-4E77-A973-7FBFE11BB888}" name="Bin_end" dataDxfId="37"/>
    <tableColumn id="5" xr3:uid="{50E97491-0F17-4E68-8F09-EA718DC90739}" name="Duration (min)" dataDxfId="36">
      <calculatedColumnFormula>IF(ISNUMBER(ClusterCalc_2x2SD16[[#This Row],[Bin_end]]), (ClusterCalc_2x2SD16[[#This Row],[Bin_end]]-ClusterCalc_2x2SD16[[#This Row],[Bin_start]]) * (ClusterBinSize_sec / 60), "NA")</calculatedColumnFormula>
    </tableColumn>
    <tableColumn id="6" xr3:uid="{D516C137-B585-4C6B-85DA-D0C47CA30907}" name="Mean Firing (Hz)" dataDxfId="35">
      <calculatedColumnFormula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95E0F4-0F8D-4B0B-B67F-C95453CDAA6D}" name="ClusterCalc_3x3SD18" displayName="ClusterCalc_3x3SD18" ref="AP120:AU136" totalsRowShown="0">
  <autoFilter ref="AP120:AU136" xr:uid="{ACEEDFEE-FBEA-4D5E-91D9-47B719CBC3D0}"/>
  <tableColumns count="6">
    <tableColumn id="1" xr3:uid="{06A21955-4A0B-4989-BBB1-C6C0FF048A95}" name="Epoch"/>
    <tableColumn id="2" xr3:uid="{9BDB20D9-2524-4F6F-B324-E0DD24DC1A5F}" name="Peak or Nadir" dataDxfId="34" dataCellStyle="Normal 2"/>
    <tableColumn id="3" xr3:uid="{C7FF827E-08A3-4DE6-B359-F317E7AEC910}" name="Bin_start" dataDxfId="33">
      <calculatedColumnFormula>IF(ISNUMBER(AS120), AS120, "")</calculatedColumnFormula>
    </tableColumn>
    <tableColumn id="4" xr3:uid="{328A0408-DE24-4D63-9E10-8BD37A28999A}" name="Bin_end" dataDxfId="32"/>
    <tableColumn id="5" xr3:uid="{DD41532A-B32B-41DB-8B52-24D93DABC760}" name="Duration (min)" dataDxfId="31" dataCellStyle="Normal 2">
      <calculatedColumnFormula>IF(ISNUMBER(ClusterCalc_3x3SD18[[#This Row],[Bin_end]]), (ClusterCalc_3x3SD18[[#This Row],[Bin_end]]-ClusterCalc_3x3SD18[[#This Row],[Bin_start]]) * (ClusterBinSize_sec / 60), "NA")</calculatedColumnFormula>
    </tableColumn>
    <tableColumn id="6" xr3:uid="{19C57327-FB5E-416A-9C7E-D66CD6F3B1D3}" name="Mean Firing (Hz)" dataDxfId="30">
      <calculatedColumnFormula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calculatedColumnFormula>
    </tableColumn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EAEAA8-7D50-48F9-9573-D876A869897D}" name="ClusterCalc_2x2SE20" displayName="ClusterCalc_2x2SE20" ref="AW120:BB136" totalsRowShown="0">
  <autoFilter ref="AW120:BB136" xr:uid="{47C38CC1-2F7C-470E-9C3E-2FE3FC3E504A}"/>
  <tableColumns count="6">
    <tableColumn id="1" xr3:uid="{A9008330-C72D-4544-887E-2A889C454448}" name="Epoch" dataCellStyle="Normal 2"/>
    <tableColumn id="2" xr3:uid="{283B3F69-4B26-457A-A48A-269F1E878F24}" name="Peak or Nadir" dataDxfId="29" dataCellStyle="Normal 2"/>
    <tableColumn id="3" xr3:uid="{08D4FE42-3E3F-4D8E-9CE5-06819751BFB3}" name="Bin_start" dataDxfId="28" dataCellStyle="Normal 2">
      <calculatedColumnFormula>IF(ISNUMBER(AZ120), AZ120, "")</calculatedColumnFormula>
    </tableColumn>
    <tableColumn id="4" xr3:uid="{C3722A3F-BBFA-452A-AF05-203D5C6E3F6F}" name="Bin_end" dataDxfId="27" dataCellStyle="Normal 2"/>
    <tableColumn id="5" xr3:uid="{6B1FDDE7-9151-4DE1-905A-B0FFA2DCF7A4}" name="Duration (min)" dataDxfId="26" dataCellStyle="Normal 2">
      <calculatedColumnFormula>IF(ISNUMBER(ClusterCalc_2x2SE20[[#This Row],[Bin_end]]), (ClusterCalc_2x2SE20[[#This Row],[Bin_end]]-ClusterCalc_2x2SE20[[#This Row],[Bin_start]]) * (ClusterBinSize_sec / 60), "NA")</calculatedColumnFormula>
    </tableColumn>
    <tableColumn id="6" xr3:uid="{0D750F03-C734-41FC-B6EF-D7F7FF0407EF}" name="Mean Firing (Hz)" dataDxfId="25" dataCellStyle="Normal 2">
      <calculatedColumnFormula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calculatedColumnFormula>
    </tableColumn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90585B5-7D56-4D35-A045-062EC13A8796}" name="ClusterCalc_3x3SE22" displayName="ClusterCalc_3x3SE22" ref="BD120:BI136" totalsRowShown="0">
  <autoFilter ref="BD120:BI136" xr:uid="{5CD332BF-FEA1-44F4-B152-10BC2730CD34}"/>
  <tableColumns count="6">
    <tableColumn id="1" xr3:uid="{182F99D6-5219-418A-93C8-6E0F772F8289}" name="Epoch" dataCellStyle="Normal 2"/>
    <tableColumn id="2" xr3:uid="{D57E4561-BF40-4965-BFA8-607F7056F605}" name="Peak or Nadir" dataDxfId="24" dataCellStyle="Normal 2"/>
    <tableColumn id="3" xr3:uid="{F696787E-4387-4B66-88FF-E2A52FF52BD2}" name="Bin_start" dataDxfId="23" dataCellStyle="Normal 2">
      <calculatedColumnFormula>IF(ISNUMBER(BG120), BG120, "")</calculatedColumnFormula>
    </tableColumn>
    <tableColumn id="4" xr3:uid="{B3ED16F8-AF89-43DA-88EB-E6E2FB99679C}" name="Bin_end" dataDxfId="22" dataCellStyle="Normal 2"/>
    <tableColumn id="5" xr3:uid="{2BE55EAA-8323-409D-A9F9-19E7A311DF50}" name="Duration (min)" dataDxfId="21" dataCellStyle="Normal 2">
      <calculatedColumnFormula>IF(ISNUMBER(ClusterCalc_3x3SE22[[#This Row],[Bin_end]]), (ClusterCalc_3x3SE22[[#This Row],[Bin_end]]-ClusterCalc_3x3SE22[[#This Row],[Bin_start]]) * (ClusterBinSize_sec / 60), "NA")</calculatedColumnFormula>
    </tableColumn>
    <tableColumn id="6" xr3:uid="{F57D5844-D85C-4CC2-8BCD-5ED756C9B405}" name="Mean Firing (Hz)" dataDxfId="20" dataCellStyle="Normal 2">
      <calculatedColumnFormula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ABE6399-6732-43A0-85DB-ECA6D2B9B981}" name="ClusterVals_2x2SD17" displayName="ClusterVals_2x2SD17" ref="AI115:AM117" totalsRowShown="0" headerRowDxfId="19">
  <autoFilter ref="AI115:AM117" xr:uid="{93D34FCE-1069-46CB-A090-D1A1A4F9D064}"/>
  <tableColumns count="5">
    <tableColumn id="1" xr3:uid="{120C1574-051E-4980-8E9A-5D48B3EDF946}" name="Peak or Nadir"/>
    <tableColumn id="2" xr3:uid="{E954B5A6-749B-4958-B471-E2E0DCE3C368}" name="Total Duration" dataDxfId="18">
      <calculatedColumnFormula>SUMIF(ClusterCalc_2x2SD16[Peak or Nadir], ClusterVals_2x2SD17[[#This Row],[Peak or Nadir]], ClusterCalc_2x2SD16[Duration (min)])</calculatedColumnFormula>
    </tableColumn>
    <tableColumn id="3" xr3:uid="{37C8D381-81B3-4657-B310-CCA4C85DB0AC}" name="Average Duration" dataDxfId="17">
      <calculatedColumnFormula>AVERAGEIF(ClusterCalc_2x2SD16[Peak or Nadir], ClusterVals_2x2SD17[[#This Row],[Peak or Nadir]], ClusterCalc_2x2SD16[Duration (min)])</calculatedColumnFormula>
    </tableColumn>
    <tableColumn id="4" xr3:uid="{69FA1927-B494-4B62-8AAD-C653B48807A1}" name="Average Firing Rate" dataDxfId="16">
      <calculatedColumnFormula>AVERAGEIF(ClusterCalc_2x2SD16[Peak or Nadir], ClusterVals_2x2SD17[[#This Row],[Peak or Nadir]], ClusterCalc_2x2SD16[Mean Firing (Hz)])</calculatedColumnFormula>
    </tableColumn>
    <tableColumn id="5" xr3:uid="{141794D1-3CF3-4403-94DD-5D4FA3607165}" name="Count of Peak or Nadir" dataDxfId="15">
      <calculatedColumnFormula>COUNTIF(ClusterCalc_2x2SD16[Peak or Nadir],ClusterVals_2x2SD17[[#This Row],[Peak or Nadir]])</calculatedColumnFormula>
    </tableColumn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6192A8-DB4D-4A87-9420-820534F858D5}" name="ClusterVals_3x3SD19" displayName="ClusterVals_3x3SD19" ref="AP115:AT117" totalsRowShown="0" headerRowDxfId="14">
  <autoFilter ref="AP115:AT117" xr:uid="{B2A07285-8318-4431-BAA1-D819C3245759}"/>
  <tableColumns count="5">
    <tableColumn id="1" xr3:uid="{0C90A6C3-0F0F-468F-83D1-427F6257A2EA}" name="Peak or Nadir"/>
    <tableColumn id="2" xr3:uid="{B34369AD-5CC5-45DE-A4E5-EB6882BAF741}" name="Total Duration" dataDxfId="13">
      <calculatedColumnFormula>SUMIF(ClusterCalc_3x3SD18[Peak or Nadir], ClusterVals_3x3SD19[[#This Row],[Peak or Nadir]], ClusterCalc_3x3SD18[Duration (min)])</calculatedColumnFormula>
    </tableColumn>
    <tableColumn id="3" xr3:uid="{C06523AC-FA6F-4BE6-8D7B-7D0CFC797673}" name="Average Duration" dataDxfId="12">
      <calculatedColumnFormula>AVERAGEIF(ClusterCalc_3x3SD18[Peak or Nadir], ClusterVals_3x3SD19[[#This Row],[Peak or Nadir]], ClusterCalc_3x3SD18[Duration (min)])</calculatedColumnFormula>
    </tableColumn>
    <tableColumn id="4" xr3:uid="{0987A722-5EB0-4340-BF1E-CB068E571722}" name="Average Firing Rate" dataDxfId="11">
      <calculatedColumnFormula>AVERAGEIF(ClusterCalc_3x3SD18[Peak or Nadir], ClusterVals_3x3SD19[[#This Row],[Peak or Nadir]], ClusterCalc_3x3SD18[Mean Firing (Hz)])</calculatedColumnFormula>
    </tableColumn>
    <tableColumn id="5" xr3:uid="{1DA3CBA7-D8ED-4BEC-95C2-505F9BAAF773}" name="Count of Peak or Nadir" dataDxfId="10">
      <calculatedColumnFormula>COUNTIF(ClusterCalc_3x3SD18[Peak or Nadir],ClusterVals_3x3SD19[[#This Row],[Peak or Nadir]])</calculatedColumnFormula>
    </tableColumn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2FF0D3-C6C5-4552-A1F3-9AF25BAB9CC5}" name="ClusterVals_2x2SE21" displayName="ClusterVals_2x2SE21" ref="AW115:BA117" totalsRowShown="0" headerRowDxfId="9">
  <autoFilter ref="AW115:BA117" xr:uid="{9FB9980A-573C-4A9A-8571-C962876E9011}"/>
  <tableColumns count="5">
    <tableColumn id="1" xr3:uid="{9119A2F6-C27E-48B4-9C86-5BFB88590C21}" name="Peak or Nadir"/>
    <tableColumn id="2" xr3:uid="{21A719EE-CC01-4CF4-AD44-1D7502184474}" name="Total Duration" dataDxfId="8">
      <calculatedColumnFormula>SUMIF(ClusterCalc_2x2SE20[Peak or Nadir], ClusterVals_2x2SE21[[#This Row],[Peak or Nadir]], ClusterCalc_2x2SE20[Duration (min)])</calculatedColumnFormula>
    </tableColumn>
    <tableColumn id="3" xr3:uid="{CAE8BC4E-B587-4109-96F7-6FD9D4C951F8}" name="Average Duration" dataDxfId="7">
      <calculatedColumnFormula>AVERAGEIF(ClusterCalc_2x2SE20[Peak or Nadir], ClusterVals_2x2SE21[[#This Row],[Peak or Nadir]], ClusterCalc_2x2SE20[Duration (min)])</calculatedColumnFormula>
    </tableColumn>
    <tableColumn id="4" xr3:uid="{5901B6C4-3B51-4CD3-9BD2-711BDB3A79C3}" name="Average Firing Rate" dataDxfId="6">
      <calculatedColumnFormula>AVERAGEIF(ClusterCalc_2x2SE20[Peak or Nadir], ClusterVals_2x2SE21[[#This Row],[Peak or Nadir]], ClusterCalc_2x2SE20[Mean Firing (Hz)])</calculatedColumnFormula>
    </tableColumn>
    <tableColumn id="5" xr3:uid="{62C62242-231A-4257-96C0-F6A3B52F15E0}" name="Count of Peak or Nadir" dataDxfId="5">
      <calculatedColumnFormula>COUNTIF(ClusterCalc_2x2SE20[Peak or Nadir],ClusterVals_2x2SE21[[#This Row],[Peak or Nadir]])</calculatedColumnFormula>
    </tableColumn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99E524D-4FA4-41CB-A2C7-15F9CA5A2F32}" name="ClusterVals_3x3SE23" displayName="ClusterVals_3x3SE23" ref="BD115:BH117" totalsRowShown="0" headerRowDxfId="4">
  <autoFilter ref="BD115:BH117" xr:uid="{F4BEBA35-EFB3-49E3-9B15-5B6B1ABF0477}"/>
  <tableColumns count="5">
    <tableColumn id="1" xr3:uid="{6B94DDC4-FDB7-450E-8DD0-80958F406F41}" name="Peak or Nadir"/>
    <tableColumn id="2" xr3:uid="{8CC53831-337F-49A4-BEDA-2D97A4F4D917}" name="Total Duration" dataDxfId="3">
      <calculatedColumnFormula>SUMIF(ClusterCalc_3x3SE22[Peak or Nadir], ClusterVals_3x3SE23[[#This Row],[Peak or Nadir]], ClusterCalc_3x3SE22[Duration (min)])</calculatedColumnFormula>
    </tableColumn>
    <tableColumn id="3" xr3:uid="{4A60041F-4630-4767-B6D7-BDD53CC064BD}" name="Average Duration" dataDxfId="2">
      <calculatedColumnFormula>AVERAGEIF(ClusterCalc_3x3SE22[Peak or Nadir], ClusterVals_3x3SE23[[#This Row],[Peak or Nadir]], ClusterCalc_3x3SE22[Duration (min)])</calculatedColumnFormula>
    </tableColumn>
    <tableColumn id="4" xr3:uid="{B515ED13-BB3B-4F44-968F-7909CD75B900}" name="Average Firing Rate" dataDxfId="1">
      <calculatedColumnFormula>AVERAGEIF(ClusterCalc_3x3SE22[Peak or Nadir], ClusterVals_3x3SE23[[#This Row],[Peak or Nadir]], ClusterCalc_3x3SE22[Mean Firing (Hz)])</calculatedColumnFormula>
    </tableColumn>
    <tableColumn id="5" xr3:uid="{80A12B3F-254F-4208-92D9-F0D420539738}" name="Count of Peak or Nadir" dataDxfId="0">
      <calculatedColumnFormula>COUNTIF(ClusterCalc_3x3SE22[Peak or Nadir],ClusterVals_3x3SE23[[#This Row],[Peak or Nadir]])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13" Type="http://schemas.openxmlformats.org/officeDocument/2006/relationships/table" Target="../tables/table26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9.xml"/><Relationship Id="rId11" Type="http://schemas.openxmlformats.org/officeDocument/2006/relationships/table" Target="../tables/table24.xml"/><Relationship Id="rId5" Type="http://schemas.openxmlformats.org/officeDocument/2006/relationships/table" Target="../tables/table1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BE94-CCFB-4CBA-A855-5E0FEF8EC6B0}">
  <dimension ref="A1:GB6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J10" sqref="BJ10"/>
    </sheetView>
  </sheetViews>
  <sheetFormatPr baseColWidth="10" defaultColWidth="8.83203125" defaultRowHeight="15" x14ac:dyDescent="0.2"/>
  <cols>
    <col min="1" max="1" width="12.1640625" bestFit="1" customWidth="1"/>
    <col min="2" max="3" width="11" customWidth="1"/>
    <col min="4" max="4" width="10.1640625" bestFit="1" customWidth="1"/>
    <col min="5" max="5" width="9.6640625" customWidth="1"/>
    <col min="6" max="6" width="18.6640625" bestFit="1" customWidth="1"/>
    <col min="7" max="7" width="15" bestFit="1" customWidth="1"/>
    <col min="8" max="8" width="14.1640625" bestFit="1" customWidth="1"/>
    <col min="9" max="9" width="15.33203125" customWidth="1"/>
    <col min="10" max="10" width="20" bestFit="1" customWidth="1"/>
    <col min="11" max="11" width="19" bestFit="1" customWidth="1"/>
    <col min="12" max="12" width="10.6640625" customWidth="1"/>
  </cols>
  <sheetData>
    <row r="1" spans="1:184" x14ac:dyDescent="0.2">
      <c r="C1" t="b">
        <v>1</v>
      </c>
      <c r="I1" s="78"/>
      <c r="K1" s="78"/>
      <c r="L1" s="78"/>
      <c r="M1" s="77" t="s">
        <v>184</v>
      </c>
    </row>
    <row r="2" spans="1:184" x14ac:dyDescent="0.2">
      <c r="B2" s="40"/>
      <c r="C2" s="40" t="b">
        <v>0</v>
      </c>
      <c r="M2" s="79">
        <v>1E-3</v>
      </c>
    </row>
    <row r="3" spans="1:184" ht="16" x14ac:dyDescent="0.2">
      <c r="A3" t="s">
        <v>140</v>
      </c>
      <c r="B3" s="40" t="s">
        <v>141</v>
      </c>
      <c r="C3" s="40"/>
      <c r="D3" t="s">
        <v>185</v>
      </c>
      <c r="E3" t="s">
        <v>139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203</v>
      </c>
      <c r="BO3">
        <v>3</v>
      </c>
      <c r="BP3">
        <v>4</v>
      </c>
      <c r="BQ3">
        <v>5</v>
      </c>
      <c r="BR3">
        <v>6</v>
      </c>
      <c r="BS3">
        <v>7</v>
      </c>
      <c r="BT3">
        <v>8</v>
      </c>
      <c r="BU3">
        <v>9</v>
      </c>
      <c r="BV3">
        <v>10</v>
      </c>
      <c r="BW3">
        <v>11</v>
      </c>
      <c r="BX3">
        <v>12</v>
      </c>
      <c r="BY3">
        <v>13</v>
      </c>
      <c r="BZ3">
        <v>14</v>
      </c>
      <c r="CA3">
        <v>15</v>
      </c>
      <c r="CB3">
        <v>16</v>
      </c>
      <c r="CC3">
        <v>17</v>
      </c>
      <c r="CD3">
        <v>18</v>
      </c>
      <c r="CE3">
        <v>19</v>
      </c>
      <c r="CF3">
        <v>20</v>
      </c>
      <c r="CG3">
        <v>21</v>
      </c>
      <c r="CH3">
        <v>22</v>
      </c>
      <c r="CI3">
        <v>23</v>
      </c>
      <c r="CJ3">
        <v>24</v>
      </c>
      <c r="CK3">
        <v>25</v>
      </c>
      <c r="CL3">
        <v>26</v>
      </c>
      <c r="CM3">
        <v>27</v>
      </c>
      <c r="CN3">
        <v>28</v>
      </c>
      <c r="CO3">
        <v>29</v>
      </c>
      <c r="CP3">
        <v>30</v>
      </c>
      <c r="CQ3">
        <v>31</v>
      </c>
      <c r="CR3">
        <v>32</v>
      </c>
      <c r="CS3">
        <v>33</v>
      </c>
      <c r="CT3">
        <v>34</v>
      </c>
      <c r="CU3">
        <v>35</v>
      </c>
      <c r="CV3">
        <v>36</v>
      </c>
      <c r="CW3">
        <v>37</v>
      </c>
      <c r="CX3">
        <v>38</v>
      </c>
      <c r="CY3">
        <v>39</v>
      </c>
      <c r="CZ3">
        <v>40</v>
      </c>
      <c r="DA3">
        <v>41</v>
      </c>
      <c r="DB3">
        <v>42</v>
      </c>
      <c r="DC3">
        <v>43</v>
      </c>
      <c r="DD3">
        <v>44</v>
      </c>
      <c r="DE3">
        <v>45</v>
      </c>
      <c r="DF3">
        <v>46</v>
      </c>
      <c r="DG3">
        <v>47</v>
      </c>
      <c r="DH3">
        <v>48</v>
      </c>
      <c r="DI3">
        <v>49</v>
      </c>
      <c r="DJ3">
        <v>50</v>
      </c>
      <c r="DK3">
        <v>51</v>
      </c>
      <c r="DL3">
        <v>52</v>
      </c>
      <c r="DM3">
        <v>53</v>
      </c>
      <c r="DN3">
        <v>54</v>
      </c>
      <c r="DO3">
        <v>55</v>
      </c>
      <c r="DP3">
        <v>56</v>
      </c>
      <c r="DQ3">
        <v>57</v>
      </c>
      <c r="DR3">
        <v>58</v>
      </c>
      <c r="DS3">
        <v>59</v>
      </c>
      <c r="DT3">
        <v>60</v>
      </c>
      <c r="DU3">
        <v>61</v>
      </c>
      <c r="DV3">
        <v>62</v>
      </c>
      <c r="DW3">
        <v>63</v>
      </c>
      <c r="DX3">
        <v>64</v>
      </c>
      <c r="DY3">
        <v>65</v>
      </c>
      <c r="DZ3">
        <v>66</v>
      </c>
      <c r="EA3">
        <v>67</v>
      </c>
      <c r="EB3">
        <v>68</v>
      </c>
      <c r="EC3">
        <v>69</v>
      </c>
      <c r="ED3">
        <v>70</v>
      </c>
      <c r="EE3">
        <v>71</v>
      </c>
      <c r="EF3">
        <v>72</v>
      </c>
      <c r="EG3">
        <v>73</v>
      </c>
      <c r="EH3">
        <v>74</v>
      </c>
      <c r="EI3">
        <v>75</v>
      </c>
      <c r="EJ3">
        <v>76</v>
      </c>
      <c r="EK3">
        <v>77</v>
      </c>
      <c r="EL3">
        <v>78</v>
      </c>
      <c r="EM3">
        <v>79</v>
      </c>
      <c r="EN3">
        <v>80</v>
      </c>
      <c r="EO3">
        <v>81</v>
      </c>
      <c r="EP3">
        <v>82</v>
      </c>
      <c r="EQ3">
        <v>83</v>
      </c>
      <c r="ER3">
        <v>84</v>
      </c>
      <c r="ES3">
        <v>85</v>
      </c>
      <c r="ET3">
        <v>86</v>
      </c>
      <c r="EU3">
        <v>87</v>
      </c>
      <c r="EV3">
        <v>88</v>
      </c>
      <c r="EW3">
        <v>89</v>
      </c>
      <c r="EX3">
        <v>90</v>
      </c>
      <c r="EY3">
        <v>91</v>
      </c>
      <c r="EZ3">
        <v>92</v>
      </c>
      <c r="FA3">
        <v>93</v>
      </c>
      <c r="FB3">
        <v>94</v>
      </c>
      <c r="FC3">
        <v>95</v>
      </c>
      <c r="FD3">
        <v>96</v>
      </c>
      <c r="FE3">
        <v>97</v>
      </c>
      <c r="FF3">
        <v>98</v>
      </c>
      <c r="FG3">
        <v>99</v>
      </c>
      <c r="FH3">
        <v>100</v>
      </c>
      <c r="FI3">
        <v>101</v>
      </c>
      <c r="FJ3">
        <v>102</v>
      </c>
      <c r="FK3" t="s">
        <v>346</v>
      </c>
      <c r="FL3" t="s">
        <v>347</v>
      </c>
      <c r="FM3" t="s">
        <v>348</v>
      </c>
      <c r="FN3" t="s">
        <v>349</v>
      </c>
      <c r="FO3" t="s">
        <v>350</v>
      </c>
      <c r="FP3" t="s">
        <v>351</v>
      </c>
      <c r="FQ3" t="s">
        <v>352</v>
      </c>
      <c r="FR3" t="s">
        <v>353</v>
      </c>
      <c r="FS3" t="s">
        <v>354</v>
      </c>
      <c r="FT3" t="s">
        <v>346</v>
      </c>
      <c r="FU3" t="s">
        <v>347</v>
      </c>
      <c r="FV3" t="s">
        <v>348</v>
      </c>
      <c r="FW3" t="s">
        <v>349</v>
      </c>
      <c r="FX3" t="s">
        <v>350</v>
      </c>
      <c r="FY3" t="s">
        <v>351</v>
      </c>
      <c r="FZ3" t="s">
        <v>352</v>
      </c>
      <c r="GA3" t="s">
        <v>353</v>
      </c>
      <c r="GB3" t="s">
        <v>354</v>
      </c>
    </row>
    <row r="4" spans="1:184" ht="16" x14ac:dyDescent="0.2">
      <c r="A4" t="s">
        <v>199</v>
      </c>
      <c r="B4" t="s">
        <v>141</v>
      </c>
      <c r="C4" t="s">
        <v>340</v>
      </c>
      <c r="D4" s="46" t="s">
        <v>192</v>
      </c>
      <c r="E4" s="70" t="s">
        <v>193</v>
      </c>
      <c r="F4" s="46" t="s">
        <v>194</v>
      </c>
      <c r="G4" s="71" t="s">
        <v>195</v>
      </c>
      <c r="H4" s="46" t="s">
        <v>196</v>
      </c>
      <c r="I4" s="46" t="s">
        <v>197</v>
      </c>
      <c r="J4" s="71" t="s">
        <v>198</v>
      </c>
      <c r="K4" s="71" t="s">
        <v>200</v>
      </c>
      <c r="L4" s="71" t="s">
        <v>215</v>
      </c>
      <c r="M4" s="68" t="s">
        <v>202</v>
      </c>
      <c r="N4" s="69" t="s">
        <v>214</v>
      </c>
      <c r="O4" s="3" t="s">
        <v>143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  <c r="U4" s="3" t="s">
        <v>149</v>
      </c>
      <c r="V4" s="3" t="s">
        <v>150</v>
      </c>
      <c r="W4" s="3" t="s">
        <v>151</v>
      </c>
      <c r="X4" s="14" t="s">
        <v>152</v>
      </c>
      <c r="Y4" s="12" t="s">
        <v>156</v>
      </c>
      <c r="Z4" s="12" t="s">
        <v>157</v>
      </c>
      <c r="AA4" s="12" t="s">
        <v>158</v>
      </c>
      <c r="AB4" s="12" t="s">
        <v>153</v>
      </c>
      <c r="AC4" s="12" t="s">
        <v>159</v>
      </c>
      <c r="AD4" s="12" t="s">
        <v>160</v>
      </c>
      <c r="AE4" s="12" t="s">
        <v>161</v>
      </c>
      <c r="AF4" s="44" t="s">
        <v>162</v>
      </c>
      <c r="AG4" s="32" t="s">
        <v>165</v>
      </c>
      <c r="AH4" s="32" t="s">
        <v>166</v>
      </c>
      <c r="AI4" s="32" t="s">
        <v>167</v>
      </c>
      <c r="AJ4" s="32" t="s">
        <v>168</v>
      </c>
      <c r="AK4" s="32" t="s">
        <v>169</v>
      </c>
      <c r="AL4" s="32" t="s">
        <v>170</v>
      </c>
      <c r="AM4" s="32" t="s">
        <v>171</v>
      </c>
      <c r="AN4" s="47" t="s">
        <v>172</v>
      </c>
      <c r="AO4" s="38" t="s">
        <v>175</v>
      </c>
      <c r="AP4" s="38" t="s">
        <v>176</v>
      </c>
      <c r="AQ4" s="38" t="s">
        <v>177</v>
      </c>
      <c r="AR4" s="38" t="s">
        <v>178</v>
      </c>
      <c r="AS4" s="38" t="s">
        <v>179</v>
      </c>
      <c r="AT4" s="38" t="s">
        <v>180</v>
      </c>
      <c r="AU4" s="38" t="s">
        <v>181</v>
      </c>
      <c r="AV4" s="48" t="s">
        <v>182</v>
      </c>
      <c r="AW4" s="35" t="s">
        <v>206</v>
      </c>
      <c r="AX4" s="35" t="s">
        <v>207</v>
      </c>
      <c r="AY4" s="35" t="s">
        <v>208</v>
      </c>
      <c r="AZ4" s="35" t="s">
        <v>209</v>
      </c>
      <c r="BA4" s="35" t="s">
        <v>210</v>
      </c>
      <c r="BB4" s="35" t="s">
        <v>211</v>
      </c>
      <c r="BC4" s="35" t="s">
        <v>212</v>
      </c>
      <c r="BD4" s="49" t="s">
        <v>213</v>
      </c>
      <c r="BE4" s="4" t="s">
        <v>218</v>
      </c>
      <c r="BF4" s="4" t="s">
        <v>219</v>
      </c>
      <c r="BG4" s="4" t="s">
        <v>220</v>
      </c>
      <c r="BH4" s="4" t="s">
        <v>221</v>
      </c>
      <c r="BI4" s="4" t="s">
        <v>222</v>
      </c>
      <c r="BJ4" s="4" t="s">
        <v>223</v>
      </c>
      <c r="BK4" s="4" t="s">
        <v>224</v>
      </c>
      <c r="BL4" s="4" t="s">
        <v>225</v>
      </c>
      <c r="BM4" s="4" t="s">
        <v>226</v>
      </c>
      <c r="BN4" s="15" t="s">
        <v>227</v>
      </c>
      <c r="BO4" t="s">
        <v>240</v>
      </c>
      <c r="BP4" t="s">
        <v>241</v>
      </c>
      <c r="BQ4" t="s">
        <v>242</v>
      </c>
      <c r="BR4" t="s">
        <v>243</v>
      </c>
      <c r="BS4" t="s">
        <v>244</v>
      </c>
      <c r="BT4" t="s">
        <v>245</v>
      </c>
      <c r="BU4" t="s">
        <v>246</v>
      </c>
      <c r="BV4" t="s">
        <v>247</v>
      </c>
      <c r="BW4" t="s">
        <v>248</v>
      </c>
      <c r="BX4" t="s">
        <v>249</v>
      </c>
      <c r="BY4" t="s">
        <v>250</v>
      </c>
      <c r="BZ4" t="s">
        <v>251</v>
      </c>
      <c r="CA4" t="s">
        <v>252</v>
      </c>
      <c r="CB4" t="s">
        <v>253</v>
      </c>
      <c r="CC4" t="s">
        <v>254</v>
      </c>
      <c r="CD4" t="s">
        <v>255</v>
      </c>
      <c r="CE4" t="s">
        <v>256</v>
      </c>
      <c r="CF4" t="s">
        <v>257</v>
      </c>
      <c r="CG4" t="s">
        <v>258</v>
      </c>
      <c r="CH4" t="s">
        <v>259</v>
      </c>
      <c r="CI4" t="s">
        <v>260</v>
      </c>
      <c r="CJ4" t="s">
        <v>261</v>
      </c>
      <c r="CK4" t="s">
        <v>262</v>
      </c>
      <c r="CL4" t="s">
        <v>263</v>
      </c>
      <c r="CM4" t="s">
        <v>264</v>
      </c>
      <c r="CN4" t="s">
        <v>265</v>
      </c>
      <c r="CO4" t="s">
        <v>266</v>
      </c>
      <c r="CP4" t="s">
        <v>267</v>
      </c>
      <c r="CQ4" t="s">
        <v>268</v>
      </c>
      <c r="CR4" t="s">
        <v>269</v>
      </c>
      <c r="CS4" t="s">
        <v>270</v>
      </c>
      <c r="CT4" t="s">
        <v>271</v>
      </c>
      <c r="CU4" t="s">
        <v>272</v>
      </c>
      <c r="CV4" t="s">
        <v>273</v>
      </c>
      <c r="CW4" t="s">
        <v>274</v>
      </c>
      <c r="CX4" t="s">
        <v>275</v>
      </c>
      <c r="CY4" t="s">
        <v>276</v>
      </c>
      <c r="CZ4" t="s">
        <v>277</v>
      </c>
      <c r="DA4" t="s">
        <v>278</v>
      </c>
      <c r="DB4" t="s">
        <v>279</v>
      </c>
      <c r="DC4" t="s">
        <v>280</v>
      </c>
      <c r="DD4" t="s">
        <v>281</v>
      </c>
      <c r="DE4" t="s">
        <v>282</v>
      </c>
      <c r="DF4" t="s">
        <v>283</v>
      </c>
      <c r="DG4" t="s">
        <v>284</v>
      </c>
      <c r="DH4" t="s">
        <v>285</v>
      </c>
      <c r="DI4" t="s">
        <v>286</v>
      </c>
      <c r="DJ4" t="s">
        <v>287</v>
      </c>
      <c r="DK4" t="s">
        <v>288</v>
      </c>
      <c r="DL4" t="s">
        <v>289</v>
      </c>
      <c r="DM4" t="s">
        <v>290</v>
      </c>
      <c r="DN4" t="s">
        <v>291</v>
      </c>
      <c r="DO4" t="s">
        <v>292</v>
      </c>
      <c r="DP4" t="s">
        <v>293</v>
      </c>
      <c r="DQ4" t="s">
        <v>294</v>
      </c>
      <c r="DR4" t="s">
        <v>295</v>
      </c>
      <c r="DS4" t="s">
        <v>296</v>
      </c>
      <c r="DT4" t="s">
        <v>297</v>
      </c>
      <c r="DU4" t="s">
        <v>298</v>
      </c>
      <c r="DV4" t="s">
        <v>299</v>
      </c>
      <c r="DW4" t="s">
        <v>300</v>
      </c>
      <c r="DX4" t="s">
        <v>301</v>
      </c>
      <c r="DY4" t="s">
        <v>302</v>
      </c>
      <c r="DZ4" t="s">
        <v>303</v>
      </c>
      <c r="EA4" t="s">
        <v>304</v>
      </c>
      <c r="EB4" t="s">
        <v>305</v>
      </c>
      <c r="EC4" t="s">
        <v>306</v>
      </c>
      <c r="ED4" t="s">
        <v>307</v>
      </c>
      <c r="EE4" t="s">
        <v>308</v>
      </c>
      <c r="EF4" t="s">
        <v>309</v>
      </c>
      <c r="EG4" t="s">
        <v>310</v>
      </c>
      <c r="EH4" t="s">
        <v>311</v>
      </c>
      <c r="EI4" t="s">
        <v>312</v>
      </c>
      <c r="EJ4" t="s">
        <v>313</v>
      </c>
      <c r="EK4" t="s">
        <v>314</v>
      </c>
      <c r="EL4" t="s">
        <v>315</v>
      </c>
      <c r="EM4" t="s">
        <v>316</v>
      </c>
      <c r="EN4" t="s">
        <v>317</v>
      </c>
      <c r="EO4" t="s">
        <v>318</v>
      </c>
      <c r="EP4" t="s">
        <v>319</v>
      </c>
      <c r="EQ4" t="s">
        <v>320</v>
      </c>
      <c r="ER4" t="s">
        <v>321</v>
      </c>
      <c r="ES4" t="s">
        <v>322</v>
      </c>
      <c r="ET4" t="s">
        <v>323</v>
      </c>
      <c r="EU4" t="s">
        <v>324</v>
      </c>
      <c r="EV4" t="s">
        <v>325</v>
      </c>
      <c r="EW4" t="s">
        <v>326</v>
      </c>
      <c r="EX4" t="s">
        <v>327</v>
      </c>
      <c r="EY4" t="s">
        <v>328</v>
      </c>
      <c r="EZ4" t="s">
        <v>329</v>
      </c>
      <c r="FA4" t="s">
        <v>330</v>
      </c>
      <c r="FB4" t="s">
        <v>331</v>
      </c>
      <c r="FC4" t="s">
        <v>332</v>
      </c>
      <c r="FD4" t="s">
        <v>333</v>
      </c>
      <c r="FE4" t="s">
        <v>334</v>
      </c>
      <c r="FF4" t="s">
        <v>335</v>
      </c>
      <c r="FG4" t="s">
        <v>336</v>
      </c>
      <c r="FH4" t="s">
        <v>337</v>
      </c>
      <c r="FI4" t="s">
        <v>338</v>
      </c>
      <c r="FJ4" t="s">
        <v>339</v>
      </c>
      <c r="FK4" s="142" t="s">
        <v>355</v>
      </c>
      <c r="FL4" s="142" t="s">
        <v>356</v>
      </c>
      <c r="FM4" s="142" t="s">
        <v>357</v>
      </c>
      <c r="FN4" s="142" t="s">
        <v>358</v>
      </c>
      <c r="FO4" s="142" t="s">
        <v>359</v>
      </c>
      <c r="FP4" s="142" t="s">
        <v>360</v>
      </c>
      <c r="FQ4" s="142" t="s">
        <v>361</v>
      </c>
      <c r="FR4" s="142" t="s">
        <v>362</v>
      </c>
      <c r="FS4" s="142" t="s">
        <v>363</v>
      </c>
      <c r="FT4" s="142" t="s">
        <v>364</v>
      </c>
      <c r="FU4" s="142" t="s">
        <v>365</v>
      </c>
      <c r="FV4" s="142" t="s">
        <v>366</v>
      </c>
      <c r="FW4" s="142" t="s">
        <v>367</v>
      </c>
      <c r="FX4" s="142" t="s">
        <v>368</v>
      </c>
      <c r="FY4" s="142" t="s">
        <v>369</v>
      </c>
      <c r="FZ4" s="142" t="s">
        <v>370</v>
      </c>
      <c r="GA4" s="142" t="s">
        <v>371</v>
      </c>
      <c r="GB4" s="142" t="s">
        <v>372</v>
      </c>
    </row>
    <row r="5" spans="1:184" x14ac:dyDescent="0.2">
      <c r="A5" s="58"/>
      <c r="B5" s="59"/>
      <c r="C5" s="140"/>
      <c r="D5" s="86"/>
      <c r="E5" s="81"/>
      <c r="F5" s="80"/>
      <c r="G5" s="83"/>
      <c r="H5" s="82"/>
      <c r="I5" s="63">
        <f>IF(F5="Y", G5 - 4/24, G5 - 3/24) * 24</f>
        <v>-3</v>
      </c>
      <c r="J5" s="63">
        <f>IF(F5="Y", H5 - 4/24, H5 - 3/24) * 24</f>
        <v>-3</v>
      </c>
      <c r="K5" s="63" t="str" cm="1">
        <f t="array" aca="1" ref="K5" ca="1">IF(ISBLANK(CellData[[#This Row],[SheetName]]), "Enter Sheet", INDIRECT(CellData[[#This Row],[SheetName]]&amp;"!"&amp;CellData[[#Headers],[SpontLength_min]]))</f>
        <v>Enter Sheet</v>
      </c>
      <c r="L5" s="73"/>
      <c r="M5" s="64" t="str" cm="1">
        <f t="array" aca="1" ref="M5" ca="1">IF(ISBLANK($A5),"Enter Sheet",IF(ISNUMBER(INDIRECT($A5&amp;"!"&amp;M$4)),INDIRECT($A5&amp;"!"&amp;M$4),"NA"))</f>
        <v>Enter Sheet</v>
      </c>
      <c r="N5" s="67" t="str" cm="1">
        <f t="array" aca="1" ref="N5" ca="1">IF(ISBLANK($A5), "Enter Sheet", IF(INDIRECT($A5&amp;"!Senktide_Analysis"), IF(ISNUMBER(INDIRECT($A5&amp;"!"&amp;N$4)), INDIRECT($A5&amp;"!"&amp;N$4), "NA"), "NA"))</f>
        <v>Enter Sheet</v>
      </c>
      <c r="O5" s="57" t="str" cm="1">
        <f t="array" aca="1" ref="O5" ca="1">IF(ISBLANK($A5), "Enter Sheet", IF($M5 &gt; minFiringRate, IF(AND(ISNUMBER(INDIRECT($A5&amp;"!"&amp;$W$4)), 0 &lt; INDIRECT($A5&amp;"!"&amp;$W$4)), INDIRECT($A5&amp;"!"&amp;O$4), "NA"), "NA"))</f>
        <v>Enter Sheet</v>
      </c>
      <c r="P5" s="57" t="str" cm="1">
        <f t="array" aca="1" ref="P5" ca="1">IF(ISBLANK($A5), "Enter Sheet", IF($M5 &gt; minFiringRate, IF(AND(ISNUMBER(INDIRECT($A5&amp;"!"&amp;$W$4)), 0 &lt; INDIRECT($A5&amp;"!"&amp;$W$4)), INDIRECT($A5&amp;"!"&amp;P$4), "NA"), "NA"))</f>
        <v>Enter Sheet</v>
      </c>
      <c r="Q5" s="57" t="str" cm="1">
        <f t="array" aca="1" ref="Q5" ca="1">IF(ISBLANK($A5), "Enter Sheet", IF($M5 &gt; minFiringRate, IF(AND(ISNUMBER(INDIRECT($A5&amp;"!"&amp;$W$4)), 0 &lt; INDIRECT($A5&amp;"!"&amp;$W$4)), INDIRECT($A5&amp;"!"&amp;Q$4), "NA"), "NA"))</f>
        <v>Enter Sheet</v>
      </c>
      <c r="R5" s="57" t="str" cm="1">
        <f t="array" aca="1" ref="R5" ca="1">IF(ISBLANK($A5), "Enter Sheet", IF($M5 &gt; minFiringRate, IF(AND(ISNUMBER(INDIRECT($A5&amp;"!"&amp;$W$4)), 0 &lt; INDIRECT($A5&amp;"!"&amp;$W$4)), INDIRECT($A5&amp;"!"&amp;R$4), "NA"), "NA"))</f>
        <v>Enter Sheet</v>
      </c>
      <c r="S5" s="57" t="str" cm="1">
        <f t="array" aca="1" ref="S5" ca="1">IF(ISBLANK($A5), "Enter Sheet", IF($M5 &gt; minFiringRate, IF(AND(ISNUMBER(INDIRECT($A5&amp;"!"&amp;$W$4)), 0 &lt; INDIRECT($A5&amp;"!"&amp;$W$4)), INDIRECT($A5&amp;"!"&amp;S$4), "NA"), "NA"))</f>
        <v>Enter Sheet</v>
      </c>
      <c r="T5" s="57" t="str" cm="1">
        <f t="array" aca="1" ref="T5" ca="1">IF(ISBLANK($A5), "Enter Sheet", IF($M5 &gt; minFiringRate, IF(AND(ISNUMBER(INDIRECT($A5&amp;"!"&amp;$W$4)), 0 &lt; INDIRECT($A5&amp;"!"&amp;$W$4)), INDIRECT($A5&amp;"!"&amp;T$4), "NA"), "NA"))</f>
        <v>Enter Sheet</v>
      </c>
      <c r="U5" s="57" t="str" cm="1">
        <f t="array" aca="1" ref="U5" ca="1">IF(ISBLANK($A5), "Enter Sheet", IF($M5 &gt; minFiringRate, IF(AND(ISNUMBER(INDIRECT($A5&amp;"!"&amp;$W$4)), 0 &lt; INDIRECT($A5&amp;"!"&amp;$W$4)), INDIRECT($A5&amp;"!"&amp;U$4), "NA"), "NA"))</f>
        <v>Enter Sheet</v>
      </c>
      <c r="V5" s="57" t="str" cm="1">
        <f t="array" aca="1" ref="V5" ca="1">IF(ISBLANK($A5), "Enter Sheet", IF($M5 &gt; minFiringRate, IF(AND(ISNUMBER(INDIRECT($A5&amp;"!"&amp;$W$4)), 0 &lt; INDIRECT($A5&amp;"!"&amp;$W$4)), INDIRECT($A5&amp;"!"&amp;V$4), "NA"), "NA"))</f>
        <v>Enter Sheet</v>
      </c>
      <c r="W5" s="57" t="str" cm="1">
        <f t="array" aca="1" ref="W5" ca="1">IF(ISBLANK($A5), "Enter Sheet", IF(ISNUMBER($M5), IF(ISNUMBER(INDIRECT($A5&amp;"!"&amp;$W$4)), INDIRECT($A5&amp;"!"&amp;$W$4), IF($C5, 0, "NA")), "Enter Cell Values"))</f>
        <v>Enter Sheet</v>
      </c>
      <c r="X5" s="57" t="str" cm="1">
        <f t="array" aca="1" ref="X5" ca="1">IF(ISBLANK($A5), "Enter Sheet", IF($M5 &gt; minFiringRate, IF(ISNUMBER(INDIRECT($A5&amp;"!"&amp;X$4)), INDIRECT($A5&amp;"!"&amp;X$4), "NA"), "NA"))</f>
        <v>Enter Sheet</v>
      </c>
      <c r="Y5" s="65" t="str" cm="1">
        <f t="array" aca="1" ref="Y5" ca="1">IF(ISBLANK($A5), "Enter Sheet", IF($M5 &gt; minFiringRate, IF(ISNUMBER(INDIRECT($A5&amp;"!"&amp;Y$4)), INDIRECT($A5&amp;"!"&amp;Y$4), "NA"), "NA"))</f>
        <v>Enter Sheet</v>
      </c>
      <c r="Z5" s="65" t="str" cm="1">
        <f t="array" aca="1" ref="Z5" ca="1">IF(ISBLANK($A5), "Enter Sheet", IF($M5 &gt; minFiringRate, IF(ISNUMBER(INDIRECT($A5&amp;"!"&amp;Z$4)), INDIRECT($A5&amp;"!"&amp;Z$4), "NA"), "NA"))</f>
        <v>Enter Sheet</v>
      </c>
      <c r="AA5" s="65" t="str" cm="1">
        <f t="array" aca="1" ref="AA5" ca="1">IF(ISBLANK($A5), "Enter Sheet", IF($M5 &gt; minFiringRate, IF(ISNUMBER(INDIRECT($A5&amp;"!"&amp;AA$4)), INDIRECT($A5&amp;"!"&amp;AA$4), "NA"), "NA"))</f>
        <v>Enter Sheet</v>
      </c>
      <c r="AB5" s="65" t="str" cm="1">
        <f t="array" aca="1" ref="AB5" ca="1">IF(ISBLANK($A5), "Enter Sheet", IF($M5 &gt; minFiringRate, IF(ISNUMBER(INDIRECT($A5&amp;"!"&amp;AB$4)), INDIRECT($A5&amp;"!"&amp;AB$4), "NA"), "NA"))</f>
        <v>Enter Sheet</v>
      </c>
      <c r="AC5" s="65" t="str" cm="1">
        <f t="array" aca="1" ref="AC5" ca="1">IF(ISBLANK($A5), "Enter Sheet", IF($M5 &gt; minFiringRate, IF(ISNUMBER(INDIRECT($A5&amp;"!"&amp;AC$4)), INDIRECT($A5&amp;"!"&amp;AC$4), "NA"), "NA"))</f>
        <v>Enter Sheet</v>
      </c>
      <c r="AD5" s="65" t="str" cm="1">
        <f t="array" aca="1" ref="AD5" ca="1">IF(ISBLANK($A5), "Enter Sheet", IF($M5 &gt; minFiringRate, IF(ISNUMBER(INDIRECT($A5&amp;"!"&amp;AD$4)), INDIRECT($A5&amp;"!"&amp;AD$4), "NA"), "NA"))</f>
        <v>Enter Sheet</v>
      </c>
      <c r="AE5" s="65" t="str" cm="1">
        <f t="array" aca="1" ref="AE5" ca="1">IF(ISBLANK($A5), "Enter Sheet", IF($M5 &gt; minFiringRate, IF(ISNUMBER(INDIRECT($A5&amp;"!"&amp;AE$4)), INDIRECT($A5&amp;"!"&amp;AE$4), "NA"), "NA"))</f>
        <v>Enter Sheet</v>
      </c>
      <c r="AF5" s="65" t="str" cm="1">
        <f t="array" aca="1" ref="AF5" ca="1">IF(ISBLANK($A5), "Enter Sheet", IF($M5 &gt; minFiringRate, IF(ISNUMBER(INDIRECT($A5&amp;"!"&amp;AF$4)), INDIRECT($A5&amp;"!"&amp;AF$4), "NA"), "NA"))</f>
        <v>Enter Sheet</v>
      </c>
      <c r="AG5" s="64" t="str" cm="1">
        <f t="array" aca="1" ref="AG5" ca="1">IF(ISBLANK($A5), "Enter Sheet", IF($M5 &gt; minFiringRate, IF(ISNUMBER(INDIRECT($A5&amp;"!"&amp;AG$4)), INDIRECT($A5&amp;"!"&amp;AG$4), "NA"), "NA"))</f>
        <v>Enter Sheet</v>
      </c>
      <c r="AH5" s="64" t="str" cm="1">
        <f t="array" aca="1" ref="AH5" ca="1">IF(ISBLANK($A5), "Enter Sheet", IF($M5 &gt; minFiringRate, IF(ISNUMBER(INDIRECT($A5&amp;"!"&amp;AH$4)), INDIRECT($A5&amp;"!"&amp;AH$4), "NA"), "NA"))</f>
        <v>Enter Sheet</v>
      </c>
      <c r="AI5" s="64" t="str" cm="1">
        <f t="array" aca="1" ref="AI5" ca="1">IF(ISBLANK($A5), "Enter Sheet", IF($M5 &gt; minFiringRate, IF(ISNUMBER(INDIRECT($A5&amp;"!"&amp;AI$4)), INDIRECT($A5&amp;"!"&amp;AI$4), "NA"), "NA"))</f>
        <v>Enter Sheet</v>
      </c>
      <c r="AJ5" s="64" t="str" cm="1">
        <f t="array" aca="1" ref="AJ5" ca="1">IF(ISBLANK($A5), "Enter Sheet", IF($M5 &gt; minFiringRate, IF(ISNUMBER(INDIRECT($A5&amp;"!"&amp;AJ$4)), INDIRECT($A5&amp;"!"&amp;AJ$4), "NA"), "NA"))</f>
        <v>Enter Sheet</v>
      </c>
      <c r="AK5" s="64" t="str" cm="1">
        <f t="array" aca="1" ref="AK5" ca="1">IF(ISBLANK($A5), "Enter Sheet", IF($M5 &gt; minFiringRate, IF(ISNUMBER(INDIRECT($A5&amp;"!"&amp;AK$4)), INDIRECT($A5&amp;"!"&amp;AK$4), "NA"), "NA"))</f>
        <v>Enter Sheet</v>
      </c>
      <c r="AL5" s="64" t="str" cm="1">
        <f t="array" aca="1" ref="AL5" ca="1">IF(ISBLANK($A5), "Enter Sheet", IF($M5 &gt; minFiringRate, IF(ISNUMBER(INDIRECT($A5&amp;"!"&amp;AL$4)), INDIRECT($A5&amp;"!"&amp;AL$4), "NA"), "NA"))</f>
        <v>Enter Sheet</v>
      </c>
      <c r="AM5" s="64" t="str" cm="1">
        <f t="array" aca="1" ref="AM5" ca="1">IF(ISBLANK($A5), "Enter Sheet", IF($M5 &gt; minFiringRate, IF(ISNUMBER(INDIRECT($A5&amp;"!"&amp;AM$4)), INDIRECT($A5&amp;"!"&amp;AM$4), "NA"), "NA"))</f>
        <v>Enter Sheet</v>
      </c>
      <c r="AN5" s="64" t="str" cm="1">
        <f t="array" aca="1" ref="AN5" ca="1">IF(ISBLANK($A5), "Enter Sheet", IF($M5 &gt; minFiringRate, IF(ISNUMBER(INDIRECT($A5&amp;"!"&amp;AN$4)), INDIRECT($A5&amp;"!"&amp;AN$4), "NA"), "NA"))</f>
        <v>Enter Sheet</v>
      </c>
      <c r="AO5" s="66" t="str" cm="1">
        <f t="array" aca="1" ref="AO5" ca="1">IF(ISBLANK($A5), "Enter Sheet", IF($M5 &gt; minFiringRate, IF(ISNUMBER(INDIRECT($A5&amp;"!"&amp;AO$4)), INDIRECT($A5&amp;"!"&amp;AO$4), "NA"), "NA"))</f>
        <v>Enter Sheet</v>
      </c>
      <c r="AP5" s="66" t="str" cm="1">
        <f t="array" aca="1" ref="AP5" ca="1">IF(ISBLANK($A5), "Enter Sheet", IF($M5 &gt; minFiringRate, IF(ISNUMBER(INDIRECT($A5&amp;"!"&amp;AP$4)), INDIRECT($A5&amp;"!"&amp;AP$4), "NA"), "NA"))</f>
        <v>Enter Sheet</v>
      </c>
      <c r="AQ5" s="66" t="str" cm="1">
        <f t="array" aca="1" ref="AQ5" ca="1">IF(ISBLANK($A5), "Enter Sheet", IF($M5 &gt; minFiringRate, IF(ISNUMBER(INDIRECT($A5&amp;"!"&amp;AQ$4)), INDIRECT($A5&amp;"!"&amp;AQ$4), "NA"), "NA"))</f>
        <v>Enter Sheet</v>
      </c>
      <c r="AR5" s="66" t="str" cm="1">
        <f t="array" aca="1" ref="AR5" ca="1">IF(ISBLANK($A5), "Enter Sheet", IF($M5 &gt; minFiringRate, IF(ISNUMBER(INDIRECT($A5&amp;"!"&amp;AR$4)), INDIRECT($A5&amp;"!"&amp;AR$4), "NA"), "NA"))</f>
        <v>Enter Sheet</v>
      </c>
      <c r="AS5" s="66" t="str" cm="1">
        <f t="array" aca="1" ref="AS5" ca="1">IF(ISBLANK($A5), "Enter Sheet", IF($M5 &gt; minFiringRate, IF(ISNUMBER(INDIRECT($A5&amp;"!"&amp;AS$4)), INDIRECT($A5&amp;"!"&amp;AS$4), "NA"), "NA"))</f>
        <v>Enter Sheet</v>
      </c>
      <c r="AT5" s="66" t="str" cm="1">
        <f t="array" aca="1" ref="AT5" ca="1">IF(ISBLANK($A5), "Enter Sheet", IF($M5 &gt; minFiringRate, IF(ISNUMBER(INDIRECT($A5&amp;"!"&amp;AT$4)), INDIRECT($A5&amp;"!"&amp;AT$4), "NA"), "NA"))</f>
        <v>Enter Sheet</v>
      </c>
      <c r="AU5" s="66" t="str" cm="1">
        <f t="array" aca="1" ref="AU5" ca="1">IF(ISBLANK($A5), "Enter Sheet", IF($M5 &gt; minFiringRate, IF(ISNUMBER(INDIRECT($A5&amp;"!"&amp;AU$4)), INDIRECT($A5&amp;"!"&amp;AU$4), "NA"), "NA"))</f>
        <v>Enter Sheet</v>
      </c>
      <c r="AV5" s="66" t="str" cm="1">
        <f t="array" aca="1" ref="AV5" ca="1">IF(ISBLANK($A5), "Enter Sheet", IF($M5 &gt; minFiringRate, IF(ISNUMBER(INDIRECT($A5&amp;"!"&amp;AV$4)), INDIRECT($A5&amp;"!"&amp;AV$4), "NA"), "NA"))</f>
        <v>Enter Sheet</v>
      </c>
      <c r="AW5" s="63" t="str" cm="1">
        <f t="array" aca="1" ref="AW5" ca="1">IF(ISBLANK($A5), "Enter Sheet", IF($M5 &gt; minFiringRate, IF(ISNUMBER(INDIRECT($A5&amp;"!"&amp;AW$4)), INDIRECT($A5&amp;"!"&amp;AW$4), "NA"), "NA"))</f>
        <v>Enter Sheet</v>
      </c>
      <c r="AX5" s="63" t="str" cm="1">
        <f t="array" aca="1" ref="AX5" ca="1">IF(ISBLANK($A5), "Enter Sheet", IF($M5 &gt; minFiringRate, IF(ISNUMBER(INDIRECT($A5&amp;"!"&amp;AX$4)), INDIRECT($A5&amp;"!"&amp;AX$4), "NA"), "NA"))</f>
        <v>Enter Sheet</v>
      </c>
      <c r="AY5" s="63" t="str" cm="1">
        <f t="array" aca="1" ref="AY5" ca="1">IF(ISBLANK($A5), "Enter Sheet", IF($M5 &gt; minFiringRate, IF(ISNUMBER(INDIRECT($A5&amp;"!"&amp;AY$4)), INDIRECT($A5&amp;"!"&amp;AY$4), "NA"), "NA"))</f>
        <v>Enter Sheet</v>
      </c>
      <c r="AZ5" s="63" t="str" cm="1">
        <f t="array" aca="1" ref="AZ5" ca="1">IF(ISBLANK($A5), "Enter Sheet", IF($M5 &gt; minFiringRate, IF(ISNUMBER(INDIRECT($A5&amp;"!"&amp;AZ$4)), INDIRECT($A5&amp;"!"&amp;AZ$4), "NA"), "NA"))</f>
        <v>Enter Sheet</v>
      </c>
      <c r="BA5" s="63" t="str" cm="1">
        <f t="array" aca="1" ref="BA5" ca="1">IF(ISBLANK($A5), "Enter Sheet", IF($M5 &gt; minFiringRate, IF(ISNUMBER(INDIRECT($A5&amp;"!"&amp;BA$4)), INDIRECT($A5&amp;"!"&amp;BA$4), "NA"), "NA"))</f>
        <v>Enter Sheet</v>
      </c>
      <c r="BB5" s="63" t="str" cm="1">
        <f t="array" aca="1" ref="BB5" ca="1">IF(ISBLANK($A5), "Enter Sheet", IF($M5 &gt; minFiringRate, IF(ISNUMBER(INDIRECT($A5&amp;"!"&amp;BB$4)), INDIRECT($A5&amp;"!"&amp;BB$4), "NA"), "NA"))</f>
        <v>Enter Sheet</v>
      </c>
      <c r="BC5" s="63" t="str" cm="1">
        <f t="array" aca="1" ref="BC5" ca="1">IF(ISBLANK($A5), "Enter Sheet", IF($M5 &gt; minFiringRate, IF(ISNUMBER(INDIRECT($A5&amp;"!"&amp;BC$4)), INDIRECT($A5&amp;"!"&amp;BC$4), "NA"), "NA"))</f>
        <v>Enter Sheet</v>
      </c>
      <c r="BD5" s="63" t="str" cm="1">
        <f t="array" aca="1" ref="BD5" ca="1">IF(ISBLANK($A5), "Enter Sheet", IF($M5 &gt; minFiringRate, IF(ISNUMBER(INDIRECT($A5&amp;"!"&amp;BD$4)), INDIRECT($A5&amp;"!"&amp;BD$4), "NA"), "NA"))</f>
        <v>Enter Sheet</v>
      </c>
      <c r="BE5" s="67" t="str" cm="1">
        <f t="array" aca="1" ref="BE5" ca="1">IF(ISBLANK($A5), "Enter Sheet", IF(INDIRECT($A5&amp;"!Senktide_Analysis"), IF($N5 &gt; minFiringRate, IF(ISNUMBER(INDIRECT($A5&amp;"!"&amp;BE$4)), INDIRECT($A5&amp;"!"&amp;BE$4), "NA"), "NA"), "NA"))</f>
        <v>Enter Sheet</v>
      </c>
      <c r="BF5" s="67" t="str" cm="1">
        <f t="array" aca="1" ref="BF5" ca="1">IF(ISBLANK($A5), "Enter Sheet", IF(INDIRECT($A5&amp;"!Senktide_Analysis"), IF($N5 &gt; minFiringRate, IF(ISNUMBER(INDIRECT($A5&amp;"!"&amp;BF$4)), INDIRECT($A5&amp;"!"&amp;BF$4), "NA"), "NA"), "NA"))</f>
        <v>Enter Sheet</v>
      </c>
      <c r="BG5" s="67" t="str" cm="1">
        <f t="array" aca="1" ref="BG5" ca="1">IF(ISBLANK($A5), "Enter Sheet", IF(INDIRECT($A5&amp;"!Senktide_Analysis"), IF($N5 &gt; minFiringRate, IF(ISNUMBER(INDIRECT($A5&amp;"!"&amp;BG$4)), INDIRECT($A5&amp;"!"&amp;BG$4), "NA"), "NA"), "NA"))</f>
        <v>Enter Sheet</v>
      </c>
      <c r="BH5" s="67" t="str" cm="1">
        <f t="array" aca="1" ref="BH5" ca="1">IF(ISBLANK($A5), "Enter Sheet", IF(INDIRECT($A5&amp;"!Senktide_Analysis"), IF($N5 &gt; minFiringRate, IF(ISNUMBER(INDIRECT($A5&amp;"!"&amp;BH$4)), INDIRECT($A5&amp;"!"&amp;BH$4), "NA"), "NA"), "NA"))</f>
        <v>Enter Sheet</v>
      </c>
      <c r="BI5" s="67" t="str" cm="1">
        <f t="array" aca="1" ref="BI5" ca="1">IF(ISBLANK($A5), "Enter Sheet", IF(INDIRECT($A5&amp;"!Senktide_Analysis"), IF($N5 &gt; minFiringRate, IF(ISNUMBER(INDIRECT($A5&amp;"!"&amp;BI$4)), INDIRECT($A5&amp;"!"&amp;BI$4), "NA"), "NA"), "NA"))</f>
        <v>Enter Sheet</v>
      </c>
      <c r="BJ5" s="67" t="str" cm="1">
        <f t="array" aca="1" ref="BJ5" ca="1">IF(ISBLANK($A5), "Enter Sheet", IF(INDIRECT($A5&amp;"!Senktide_Analysis"), IF($N5 &gt; minFiringRate, IF(ISNUMBER(INDIRECT($A5&amp;"!"&amp;BJ$4)), INDIRECT($A5&amp;"!"&amp;BJ$4), "NA"), "NA"), "NA"))</f>
        <v>Enter Sheet</v>
      </c>
      <c r="BK5" s="67" t="str" cm="1">
        <f t="array" aca="1" ref="BK5" ca="1">IF(ISBLANK($A5), "Enter Sheet", IF(INDIRECT($A5&amp;"!Senktide_Analysis"), IF($N5 &gt; minFiringRate, IF(ISNUMBER(INDIRECT($A5&amp;"!"&amp;BK$4)), INDIRECT($A5&amp;"!"&amp;BK$4), "NA"), "NA"), "NA"))</f>
        <v>Enter Sheet</v>
      </c>
      <c r="BL5" s="67" t="str" cm="1">
        <f t="array" aca="1" ref="BL5" ca="1">IF(ISBLANK($A5), "Enter Sheet", IF(INDIRECT($A5&amp;"!Senktide_Analysis"), IF($N5 &gt; minFiringRate, IF(ISNUMBER(INDIRECT($A5&amp;"!"&amp;BL$4)), INDIRECT($A5&amp;"!"&amp;BL$4), "NA"), "NA"), "NA"))</f>
        <v>Enter Sheet</v>
      </c>
      <c r="BM5" s="67" t="str" cm="1">
        <f t="array" aca="1" ref="BM5" ca="1">IF(ISBLANK($A5), "Enter Sheet", IF(INDIRECT($A5&amp;"!Senktide_Analysis"), IF($N5 &gt; minFiringRate, IF(ISNUMBER(INDIRECT($A5&amp;"!"&amp;BM$4)), INDIRECT($A5&amp;"!"&amp;BM$4), "NA"), "NA"), "NA"))</f>
        <v>Enter Sheet</v>
      </c>
      <c r="BN5" s="67" t="str" cm="1">
        <f t="array" aca="1" ref="BN5" ca="1">IF(ISBLANK($A5), "Enter Sheet", IF(INDIRECT($A5&amp;"!Senktide_Analysis"), IF($N5 &gt; minFiringRate, IF(ISNUMBER(INDIRECT($A5&amp;"!"&amp;BN$4)), INDIRECT($A5&amp;"!"&amp;BN$4), "NA"), "NA"), "NA"))</f>
        <v>Enter Sheet</v>
      </c>
      <c r="BO5" s="137" t="str" cm="1">
        <f t="array" aca="1" ref="BO5" ca="1">IF(ISBLANK($A5), "Enter Sheet", IF($M5 &gt; minFiringRate, IF(SUM(INDIRECT($A5 &amp; "!AL3:AL102")) &gt; 0, INDIRECT($A5&amp;"!AL"&amp;BO$3), "NA"), "NA"))</f>
        <v>Enter Sheet</v>
      </c>
      <c r="BP5" s="137" t="str" cm="1">
        <f t="array" aca="1" ref="BP5" ca="1">IF(ISBLANK($A5), "Enter Sheet", IF($M5 &gt; minFiringRate, IF(SUM(INDIRECT($A5 &amp; "!AL3:AL102")) &gt; 0, INDIRECT($A5&amp;"!AL"&amp;BP$3), "NA"), "NA"))</f>
        <v>Enter Sheet</v>
      </c>
      <c r="BQ5" s="137" t="str" cm="1">
        <f t="array" aca="1" ref="BQ5" ca="1">IF(ISBLANK($A5), "Enter Sheet", IF($M5 &gt; minFiringRate, IF(SUM(INDIRECT($A5 &amp; "!AL3:AL102")) &gt; 0, INDIRECT($A5&amp;"!AL"&amp;BQ$3), "NA"), "NA"))</f>
        <v>Enter Sheet</v>
      </c>
      <c r="BR5" s="137" t="str" cm="1">
        <f t="array" aca="1" ref="BR5" ca="1">IF(ISBLANK($A5), "Enter Sheet", IF($M5 &gt; minFiringRate, IF(SUM(INDIRECT($A5 &amp; "!AL3:AL102")) &gt; 0, INDIRECT($A5&amp;"!AL"&amp;BR$3), "NA"), "NA"))</f>
        <v>Enter Sheet</v>
      </c>
      <c r="BS5" s="137" t="str" cm="1">
        <f t="array" aca="1" ref="BS5" ca="1">IF(ISBLANK($A5), "Enter Sheet", IF($M5 &gt; minFiringRate, IF(SUM(INDIRECT($A5 &amp; "!AL3:AL102")) &gt; 0, INDIRECT($A5&amp;"!AL"&amp;BS$3), "NA"), "NA"))</f>
        <v>Enter Sheet</v>
      </c>
      <c r="BT5" s="137" t="str" cm="1">
        <f t="array" aca="1" ref="BT5" ca="1">IF(ISBLANK($A5), "Enter Sheet", IF($M5 &gt; minFiringRate, IF(SUM(INDIRECT($A5 &amp; "!AL3:AL102")) &gt; 0, INDIRECT($A5&amp;"!AL"&amp;BT$3), "NA"), "NA"))</f>
        <v>Enter Sheet</v>
      </c>
      <c r="BU5" s="137" t="str" cm="1">
        <f t="array" aca="1" ref="BU5" ca="1">IF(ISBLANK($A5), "Enter Sheet", IF($M5 &gt; minFiringRate, IF(SUM(INDIRECT($A5 &amp; "!AL3:AL102")) &gt; 0, INDIRECT($A5&amp;"!AL"&amp;BU$3), "NA"), "NA"))</f>
        <v>Enter Sheet</v>
      </c>
      <c r="BV5" s="137" t="str" cm="1">
        <f t="array" aca="1" ref="BV5" ca="1">IF(ISBLANK($A5), "Enter Sheet", IF($M5 &gt; minFiringRate, IF(SUM(INDIRECT($A5 &amp; "!AL3:AL102")) &gt; 0, INDIRECT($A5&amp;"!AL"&amp;BV$3), "NA"), "NA"))</f>
        <v>Enter Sheet</v>
      </c>
      <c r="BW5" s="137" t="str" cm="1">
        <f t="array" aca="1" ref="BW5" ca="1">IF(ISBLANK($A5), "Enter Sheet", IF($M5 &gt; minFiringRate, IF(SUM(INDIRECT($A5 &amp; "!AL3:AL102")) &gt; 0, INDIRECT($A5&amp;"!AL"&amp;BW$3), "NA"), "NA"))</f>
        <v>Enter Sheet</v>
      </c>
      <c r="BX5" s="137" t="str" cm="1">
        <f t="array" aca="1" ref="BX5" ca="1">IF(ISBLANK($A5), "Enter Sheet", IF($M5 &gt; minFiringRate, IF(SUM(INDIRECT($A5 &amp; "!AL3:AL102")) &gt; 0, INDIRECT($A5&amp;"!AL"&amp;BX$3), "NA"), "NA"))</f>
        <v>Enter Sheet</v>
      </c>
      <c r="BY5" s="137" t="str" cm="1">
        <f t="array" aca="1" ref="BY5" ca="1">IF(ISBLANK($A5), "Enter Sheet", IF($M5 &gt; minFiringRate, IF(SUM(INDIRECT($A5 &amp; "!AL3:AL102")) &gt; 0, INDIRECT($A5&amp;"!AL"&amp;BY$3), "NA"), "NA"))</f>
        <v>Enter Sheet</v>
      </c>
      <c r="BZ5" s="137" t="str" cm="1">
        <f t="array" aca="1" ref="BZ5" ca="1">IF(ISBLANK($A5), "Enter Sheet", IF($M5 &gt; minFiringRate, IF(SUM(INDIRECT($A5 &amp; "!AL3:AL102")) &gt; 0, INDIRECT($A5&amp;"!AL"&amp;BZ$3), "NA"), "NA"))</f>
        <v>Enter Sheet</v>
      </c>
      <c r="CA5" s="137" t="str" cm="1">
        <f t="array" aca="1" ref="CA5" ca="1">IF(ISBLANK($A5), "Enter Sheet", IF($M5 &gt; minFiringRate, IF(SUM(INDIRECT($A5 &amp; "!AL3:AL102")) &gt; 0, INDIRECT($A5&amp;"!AL"&amp;CA$3), "NA"), "NA"))</f>
        <v>Enter Sheet</v>
      </c>
      <c r="CB5" s="137" t="str" cm="1">
        <f t="array" aca="1" ref="CB5" ca="1">IF(ISBLANK($A5), "Enter Sheet", IF($M5 &gt; minFiringRate, IF(SUM(INDIRECT($A5 &amp; "!AL3:AL102")) &gt; 0, INDIRECT($A5&amp;"!AL"&amp;CB$3), "NA"), "NA"))</f>
        <v>Enter Sheet</v>
      </c>
      <c r="CC5" s="137" t="str" cm="1">
        <f t="array" aca="1" ref="CC5" ca="1">IF(ISBLANK($A5), "Enter Sheet", IF($M5 &gt; minFiringRate, IF(SUM(INDIRECT($A5 &amp; "!AL3:AL102")) &gt; 0, INDIRECT($A5&amp;"!AL"&amp;CC$3), "NA"), "NA"))</f>
        <v>Enter Sheet</v>
      </c>
      <c r="CD5" s="137" t="str" cm="1">
        <f t="array" aca="1" ref="CD5" ca="1">IF(ISBLANK($A5), "Enter Sheet", IF($M5 &gt; minFiringRate, IF(SUM(INDIRECT($A5 &amp; "!AL3:AL102")) &gt; 0, INDIRECT($A5&amp;"!AL"&amp;CD$3), "NA"), "NA"))</f>
        <v>Enter Sheet</v>
      </c>
      <c r="CE5" s="137" t="str" cm="1">
        <f t="array" aca="1" ref="CE5" ca="1">IF(ISBLANK($A5), "Enter Sheet", IF($M5 &gt; minFiringRate, IF(SUM(INDIRECT($A5 &amp; "!AL3:AL102")) &gt; 0, INDIRECT($A5&amp;"!AL"&amp;CE$3), "NA"), "NA"))</f>
        <v>Enter Sheet</v>
      </c>
      <c r="CF5" s="137" t="str" cm="1">
        <f t="array" aca="1" ref="CF5" ca="1">IF(ISBLANK($A5), "Enter Sheet", IF($M5 &gt; minFiringRate, IF(SUM(INDIRECT($A5 &amp; "!AL3:AL102")) &gt; 0, INDIRECT($A5&amp;"!AL"&amp;CF$3), "NA"), "NA"))</f>
        <v>Enter Sheet</v>
      </c>
      <c r="CG5" s="137" t="str" cm="1">
        <f t="array" aca="1" ref="CG5" ca="1">IF(ISBLANK($A5), "Enter Sheet", IF($M5 &gt; minFiringRate, IF(SUM(INDIRECT($A5 &amp; "!AL3:AL102")) &gt; 0, INDIRECT($A5&amp;"!AL"&amp;CG$3), "NA"), "NA"))</f>
        <v>Enter Sheet</v>
      </c>
      <c r="CH5" s="137" t="str" cm="1">
        <f t="array" aca="1" ref="CH5" ca="1">IF(ISBLANK($A5), "Enter Sheet", IF($M5 &gt; minFiringRate, IF(SUM(INDIRECT($A5 &amp; "!AL3:AL102")) &gt; 0, INDIRECT($A5&amp;"!AL"&amp;CH$3), "NA"), "NA"))</f>
        <v>Enter Sheet</v>
      </c>
      <c r="CI5" s="137" t="str" cm="1">
        <f t="array" aca="1" ref="CI5" ca="1">IF(ISBLANK($A5), "Enter Sheet", IF($M5 &gt; minFiringRate, IF(SUM(INDIRECT($A5 &amp; "!AL3:AL102")) &gt; 0, INDIRECT($A5&amp;"!AL"&amp;CI$3), "NA"), "NA"))</f>
        <v>Enter Sheet</v>
      </c>
      <c r="CJ5" s="137" t="str" cm="1">
        <f t="array" aca="1" ref="CJ5" ca="1">IF(ISBLANK($A5), "Enter Sheet", IF($M5 &gt; minFiringRate, IF(SUM(INDIRECT($A5 &amp; "!AL3:AL102")) &gt; 0, INDIRECT($A5&amp;"!AL"&amp;CJ$3), "NA"), "NA"))</f>
        <v>Enter Sheet</v>
      </c>
      <c r="CK5" s="137" t="str" cm="1">
        <f t="array" aca="1" ref="CK5" ca="1">IF(ISBLANK($A5), "Enter Sheet", IF($M5 &gt; minFiringRate, IF(SUM(INDIRECT($A5 &amp; "!AL3:AL102")) &gt; 0, INDIRECT($A5&amp;"!AL"&amp;CK$3), "NA"), "NA"))</f>
        <v>Enter Sheet</v>
      </c>
      <c r="CL5" s="137" t="str" cm="1">
        <f t="array" aca="1" ref="CL5" ca="1">IF(ISBLANK($A5), "Enter Sheet", IF($M5 &gt; minFiringRate, IF(SUM(INDIRECT($A5 &amp; "!AL3:AL102")) &gt; 0, INDIRECT($A5&amp;"!AL"&amp;CL$3), "NA"), "NA"))</f>
        <v>Enter Sheet</v>
      </c>
      <c r="CM5" s="137" t="str" cm="1">
        <f t="array" aca="1" ref="CM5" ca="1">IF(ISBLANK($A5), "Enter Sheet", IF($M5 &gt; minFiringRate, IF(SUM(INDIRECT($A5 &amp; "!AL3:AL102")) &gt; 0, INDIRECT($A5&amp;"!AL"&amp;CM$3), "NA"), "NA"))</f>
        <v>Enter Sheet</v>
      </c>
      <c r="CN5" s="137" t="str" cm="1">
        <f t="array" aca="1" ref="CN5" ca="1">IF(ISBLANK($A5), "Enter Sheet", IF($M5 &gt; minFiringRate, IF(SUM(INDIRECT($A5 &amp; "!AL3:AL102")) &gt; 0, INDIRECT($A5&amp;"!AL"&amp;CN$3), "NA"), "NA"))</f>
        <v>Enter Sheet</v>
      </c>
      <c r="CO5" s="137" t="str" cm="1">
        <f t="array" aca="1" ref="CO5" ca="1">IF(ISBLANK($A5), "Enter Sheet", IF($M5 &gt; minFiringRate, IF(SUM(INDIRECT($A5 &amp; "!AL3:AL102")) &gt; 0, INDIRECT($A5&amp;"!AL"&amp;CO$3), "NA"), "NA"))</f>
        <v>Enter Sheet</v>
      </c>
      <c r="CP5" s="137" t="str" cm="1">
        <f t="array" aca="1" ref="CP5" ca="1">IF(ISBLANK($A5), "Enter Sheet", IF($M5 &gt; minFiringRate, IF(SUM(INDIRECT($A5 &amp; "!AL3:AL102")) &gt; 0, INDIRECT($A5&amp;"!AL"&amp;CP$3), "NA"), "NA"))</f>
        <v>Enter Sheet</v>
      </c>
      <c r="CQ5" s="137" t="str" cm="1">
        <f t="array" aca="1" ref="CQ5" ca="1">IF(ISBLANK($A5), "Enter Sheet", IF($M5 &gt; minFiringRate, IF(SUM(INDIRECT($A5 &amp; "!AL3:AL102")) &gt; 0, INDIRECT($A5&amp;"!AL"&amp;CQ$3), "NA"), "NA"))</f>
        <v>Enter Sheet</v>
      </c>
      <c r="CR5" s="137" t="str" cm="1">
        <f t="array" aca="1" ref="CR5" ca="1">IF(ISBLANK($A5), "Enter Sheet", IF($M5 &gt; minFiringRate, IF(SUM(INDIRECT($A5 &amp; "!AL3:AL102")) &gt; 0, INDIRECT($A5&amp;"!AL"&amp;CR$3), "NA"), "NA"))</f>
        <v>Enter Sheet</v>
      </c>
      <c r="CS5" s="137" t="str" cm="1">
        <f t="array" aca="1" ref="CS5" ca="1">IF(ISBLANK($A5), "Enter Sheet", IF($M5 &gt; minFiringRate, IF(SUM(INDIRECT($A5 &amp; "!AL3:AL102")) &gt; 0, INDIRECT($A5&amp;"!AL"&amp;CS$3), "NA"), "NA"))</f>
        <v>Enter Sheet</v>
      </c>
      <c r="CT5" s="137" t="str" cm="1">
        <f t="array" aca="1" ref="CT5" ca="1">IF(ISBLANK($A5), "Enter Sheet", IF($M5 &gt; minFiringRate, IF(SUM(INDIRECT($A5 &amp; "!AL3:AL102")) &gt; 0, INDIRECT($A5&amp;"!AL"&amp;CT$3), "NA"), "NA"))</f>
        <v>Enter Sheet</v>
      </c>
      <c r="CU5" s="137" t="str" cm="1">
        <f t="array" aca="1" ref="CU5" ca="1">IF(ISBLANK($A5), "Enter Sheet", IF($M5 &gt; minFiringRate, IF(SUM(INDIRECT($A5 &amp; "!AL3:AL102")) &gt; 0, INDIRECT($A5&amp;"!AL"&amp;CU$3), "NA"), "NA"))</f>
        <v>Enter Sheet</v>
      </c>
      <c r="CV5" s="137" t="str" cm="1">
        <f t="array" aca="1" ref="CV5" ca="1">IF(ISBLANK($A5), "Enter Sheet", IF($M5 &gt; minFiringRate, IF(SUM(INDIRECT($A5 &amp; "!AL3:AL102")) &gt; 0, INDIRECT($A5&amp;"!AL"&amp;CV$3), "NA"), "NA"))</f>
        <v>Enter Sheet</v>
      </c>
      <c r="CW5" s="137" t="str" cm="1">
        <f t="array" aca="1" ref="CW5" ca="1">IF(ISBLANK($A5), "Enter Sheet", IF($M5 &gt; minFiringRate, IF(SUM(INDIRECT($A5 &amp; "!AL3:AL102")) &gt; 0, INDIRECT($A5&amp;"!AL"&amp;CW$3), "NA"), "NA"))</f>
        <v>Enter Sheet</v>
      </c>
      <c r="CX5" s="137" t="str" cm="1">
        <f t="array" aca="1" ref="CX5" ca="1">IF(ISBLANK($A5), "Enter Sheet", IF($M5 &gt; minFiringRate, IF(SUM(INDIRECT($A5 &amp; "!AL3:AL102")) &gt; 0, INDIRECT($A5&amp;"!AL"&amp;CX$3), "NA"), "NA"))</f>
        <v>Enter Sheet</v>
      </c>
      <c r="CY5" s="137" t="str" cm="1">
        <f t="array" aca="1" ref="CY5" ca="1">IF(ISBLANK($A5), "Enter Sheet", IF($M5 &gt; minFiringRate, IF(SUM(INDIRECT($A5 &amp; "!AL3:AL102")) &gt; 0, INDIRECT($A5&amp;"!AL"&amp;CY$3), "NA"), "NA"))</f>
        <v>Enter Sheet</v>
      </c>
      <c r="CZ5" s="137" t="str" cm="1">
        <f t="array" aca="1" ref="CZ5" ca="1">IF(ISBLANK($A5), "Enter Sheet", IF($M5 &gt; minFiringRate, IF(SUM(INDIRECT($A5 &amp; "!AL3:AL102")) &gt; 0, INDIRECT($A5&amp;"!AL"&amp;CZ$3), "NA"), "NA"))</f>
        <v>Enter Sheet</v>
      </c>
      <c r="DA5" s="137" t="str" cm="1">
        <f t="array" aca="1" ref="DA5" ca="1">IF(ISBLANK($A5), "Enter Sheet", IF($M5 &gt; minFiringRate, IF(SUM(INDIRECT($A5 &amp; "!AL3:AL102")) &gt; 0, INDIRECT($A5&amp;"!AL"&amp;DA$3), "NA"), "NA"))</f>
        <v>Enter Sheet</v>
      </c>
      <c r="DB5" s="137" t="str" cm="1">
        <f t="array" aca="1" ref="DB5" ca="1">IF(ISBLANK($A5), "Enter Sheet", IF($M5 &gt; minFiringRate, IF(SUM(INDIRECT($A5 &amp; "!AL3:AL102")) &gt; 0, INDIRECT($A5&amp;"!AL"&amp;DB$3), "NA"), "NA"))</f>
        <v>Enter Sheet</v>
      </c>
      <c r="DC5" s="137" t="str" cm="1">
        <f t="array" aca="1" ref="DC5" ca="1">IF(ISBLANK($A5), "Enter Sheet", IF($M5 &gt; minFiringRate, IF(SUM(INDIRECT($A5 &amp; "!AL3:AL102")) &gt; 0, INDIRECT($A5&amp;"!AL"&amp;DC$3), "NA"), "NA"))</f>
        <v>Enter Sheet</v>
      </c>
      <c r="DD5" s="137" t="str" cm="1">
        <f t="array" aca="1" ref="DD5" ca="1">IF(ISBLANK($A5), "Enter Sheet", IF($M5 &gt; minFiringRate, IF(SUM(INDIRECT($A5 &amp; "!AL3:AL102")) &gt; 0, INDIRECT($A5&amp;"!AL"&amp;DD$3), "NA"), "NA"))</f>
        <v>Enter Sheet</v>
      </c>
      <c r="DE5" s="137" t="str" cm="1">
        <f t="array" aca="1" ref="DE5" ca="1">IF(ISBLANK($A5), "Enter Sheet", IF($M5 &gt; minFiringRate, IF(SUM(INDIRECT($A5 &amp; "!AL3:AL102")) &gt; 0, INDIRECT($A5&amp;"!AL"&amp;DE$3), "NA"), "NA"))</f>
        <v>Enter Sheet</v>
      </c>
      <c r="DF5" s="137" t="str" cm="1">
        <f t="array" aca="1" ref="DF5" ca="1">IF(ISBLANK($A5), "Enter Sheet", IF($M5 &gt; minFiringRate, IF(SUM(INDIRECT($A5 &amp; "!AL3:AL102")) &gt; 0, INDIRECT($A5&amp;"!AL"&amp;DF$3), "NA"), "NA"))</f>
        <v>Enter Sheet</v>
      </c>
      <c r="DG5" s="137" t="str" cm="1">
        <f t="array" aca="1" ref="DG5" ca="1">IF(ISBLANK($A5), "Enter Sheet", IF($M5 &gt; minFiringRate, IF(SUM(INDIRECT($A5 &amp; "!AL3:AL102")) &gt; 0, INDIRECT($A5&amp;"!AL"&amp;DG$3), "NA"), "NA"))</f>
        <v>Enter Sheet</v>
      </c>
      <c r="DH5" s="137" t="str" cm="1">
        <f t="array" aca="1" ref="DH5" ca="1">IF(ISBLANK($A5), "Enter Sheet", IF($M5 &gt; minFiringRate, IF(SUM(INDIRECT($A5 &amp; "!AL3:AL102")) &gt; 0, INDIRECT($A5&amp;"!AL"&amp;DH$3), "NA"), "NA"))</f>
        <v>Enter Sheet</v>
      </c>
      <c r="DI5" s="137" t="str" cm="1">
        <f t="array" aca="1" ref="DI5" ca="1">IF(ISBLANK($A5), "Enter Sheet", IF($M5 &gt; minFiringRate, IF(SUM(INDIRECT($A5 &amp; "!AL3:AL102")) &gt; 0, INDIRECT($A5&amp;"!AL"&amp;DI$3), "NA"), "NA"))</f>
        <v>Enter Sheet</v>
      </c>
      <c r="DJ5" s="137" t="str" cm="1">
        <f t="array" aca="1" ref="DJ5" ca="1">IF(ISBLANK($A5), "Enter Sheet", IF($M5 &gt; minFiringRate, IF(SUM(INDIRECT($A5 &amp; "!AL3:AL102")) &gt; 0, INDIRECT($A5&amp;"!AL"&amp;DJ$3), "NA"), "NA"))</f>
        <v>Enter Sheet</v>
      </c>
      <c r="DK5" s="137" t="str" cm="1">
        <f t="array" aca="1" ref="DK5" ca="1">IF(ISBLANK($A5), "Enter Sheet", IF($M5 &gt; minFiringRate, IF(SUM(INDIRECT($A5 &amp; "!AL3:AL102")) &gt; 0, INDIRECT($A5&amp;"!AL"&amp;DK$3), "NA"), "NA"))</f>
        <v>Enter Sheet</v>
      </c>
      <c r="DL5" s="137" t="str" cm="1">
        <f t="array" aca="1" ref="DL5" ca="1">IF(ISBLANK($A5), "Enter Sheet", IF($M5 &gt; minFiringRate, IF(SUM(INDIRECT($A5 &amp; "!AL3:AL102")) &gt; 0, INDIRECT($A5&amp;"!AL"&amp;DL$3), "NA"), "NA"))</f>
        <v>Enter Sheet</v>
      </c>
      <c r="DM5" s="137" t="str" cm="1">
        <f t="array" aca="1" ref="DM5" ca="1">IF(ISBLANK($A5), "Enter Sheet", IF($M5 &gt; minFiringRate, IF(SUM(INDIRECT($A5 &amp; "!AL3:AL102")) &gt; 0, INDIRECT($A5&amp;"!AL"&amp;DM$3), "NA"), "NA"))</f>
        <v>Enter Sheet</v>
      </c>
      <c r="DN5" s="137" t="str" cm="1">
        <f t="array" aca="1" ref="DN5" ca="1">IF(ISBLANK($A5), "Enter Sheet", IF($M5 &gt; minFiringRate, IF(SUM(INDIRECT($A5 &amp; "!AL3:AL102")) &gt; 0, INDIRECT($A5&amp;"!AL"&amp;DN$3), "NA"), "NA"))</f>
        <v>Enter Sheet</v>
      </c>
      <c r="DO5" s="137" t="str" cm="1">
        <f t="array" aca="1" ref="DO5" ca="1">IF(ISBLANK($A5), "Enter Sheet", IF($M5 &gt; minFiringRate, IF(SUM(INDIRECT($A5 &amp; "!AL3:AL102")) &gt; 0, INDIRECT($A5&amp;"!AL"&amp;DO$3), "NA"), "NA"))</f>
        <v>Enter Sheet</v>
      </c>
      <c r="DP5" s="137" t="str" cm="1">
        <f t="array" aca="1" ref="DP5" ca="1">IF(ISBLANK($A5), "Enter Sheet", IF($M5 &gt; minFiringRate, IF(SUM(INDIRECT($A5 &amp; "!AL3:AL102")) &gt; 0, INDIRECT($A5&amp;"!AL"&amp;DP$3), "NA"), "NA"))</f>
        <v>Enter Sheet</v>
      </c>
      <c r="DQ5" s="137" t="str" cm="1">
        <f t="array" aca="1" ref="DQ5" ca="1">IF(ISBLANK($A5), "Enter Sheet", IF($M5 &gt; minFiringRate, IF(SUM(INDIRECT($A5 &amp; "!AL3:AL102")) &gt; 0, INDIRECT($A5&amp;"!AL"&amp;DQ$3), "NA"), "NA"))</f>
        <v>Enter Sheet</v>
      </c>
      <c r="DR5" s="137" t="str" cm="1">
        <f t="array" aca="1" ref="DR5" ca="1">IF(ISBLANK($A5), "Enter Sheet", IF($M5 &gt; minFiringRate, IF(SUM(INDIRECT($A5 &amp; "!AL3:AL102")) &gt; 0, INDIRECT($A5&amp;"!AL"&amp;DR$3), "NA"), "NA"))</f>
        <v>Enter Sheet</v>
      </c>
      <c r="DS5" s="137" t="str" cm="1">
        <f t="array" aca="1" ref="DS5" ca="1">IF(ISBLANK($A5), "Enter Sheet", IF($M5 &gt; minFiringRate, IF(SUM(INDIRECT($A5 &amp; "!AL3:AL102")) &gt; 0, INDIRECT($A5&amp;"!AL"&amp;DS$3), "NA"), "NA"))</f>
        <v>Enter Sheet</v>
      </c>
      <c r="DT5" s="137" t="str" cm="1">
        <f t="array" aca="1" ref="DT5" ca="1">IF(ISBLANK($A5), "Enter Sheet", IF($M5 &gt; minFiringRate, IF(SUM(INDIRECT($A5 &amp; "!AL3:AL102")) &gt; 0, INDIRECT($A5&amp;"!AL"&amp;DT$3), "NA"), "NA"))</f>
        <v>Enter Sheet</v>
      </c>
      <c r="DU5" s="137" t="str" cm="1">
        <f t="array" aca="1" ref="DU5" ca="1">IF(ISBLANK($A5), "Enter Sheet", IF($M5 &gt; minFiringRate, IF(SUM(INDIRECT($A5 &amp; "!AL3:AL102")) &gt; 0, INDIRECT($A5&amp;"!AL"&amp;DU$3), "NA"), "NA"))</f>
        <v>Enter Sheet</v>
      </c>
      <c r="DV5" s="137" t="str" cm="1">
        <f t="array" aca="1" ref="DV5" ca="1">IF(ISBLANK($A5), "Enter Sheet", IF($M5 &gt; minFiringRate, IF(SUM(INDIRECT($A5 &amp; "!AL3:AL102")) &gt; 0, INDIRECT($A5&amp;"!AL"&amp;DV$3), "NA"), "NA"))</f>
        <v>Enter Sheet</v>
      </c>
      <c r="DW5" s="137" t="str" cm="1">
        <f t="array" aca="1" ref="DW5" ca="1">IF(ISBLANK($A5), "Enter Sheet", IF($M5 &gt; minFiringRate, IF(SUM(INDIRECT($A5 &amp; "!AL3:AL102")) &gt; 0, INDIRECT($A5&amp;"!AL"&amp;DW$3), "NA"), "NA"))</f>
        <v>Enter Sheet</v>
      </c>
      <c r="DX5" s="137" t="str" cm="1">
        <f t="array" aca="1" ref="DX5" ca="1">IF(ISBLANK($A5), "Enter Sheet", IF($M5 &gt; minFiringRate, IF(SUM(INDIRECT($A5 &amp; "!AL3:AL102")) &gt; 0, INDIRECT($A5&amp;"!AL"&amp;DX$3), "NA"), "NA"))</f>
        <v>Enter Sheet</v>
      </c>
      <c r="DY5" s="137" t="str" cm="1">
        <f t="array" aca="1" ref="DY5" ca="1">IF(ISBLANK($A5), "Enter Sheet", IF($M5 &gt; minFiringRate, IF(SUM(INDIRECT($A5 &amp; "!AL3:AL102")) &gt; 0, INDIRECT($A5&amp;"!AL"&amp;DY$3), "NA"), "NA"))</f>
        <v>Enter Sheet</v>
      </c>
      <c r="DZ5" s="137" t="str" cm="1">
        <f t="array" aca="1" ref="DZ5" ca="1">IF(ISBLANK($A5), "Enter Sheet", IF($M5 &gt; minFiringRate, IF(SUM(INDIRECT($A5 &amp; "!AL3:AL102")) &gt; 0, INDIRECT($A5&amp;"!AL"&amp;DZ$3), "NA"), "NA"))</f>
        <v>Enter Sheet</v>
      </c>
      <c r="EA5" s="137" t="str" cm="1">
        <f t="array" aca="1" ref="EA5" ca="1">IF(ISBLANK($A5), "Enter Sheet", IF($M5 &gt; minFiringRate, IF(SUM(INDIRECT($A5 &amp; "!AL3:AL102")) &gt; 0, INDIRECT($A5&amp;"!AL"&amp;EA$3), "NA"), "NA"))</f>
        <v>Enter Sheet</v>
      </c>
      <c r="EB5" s="137" t="str" cm="1">
        <f t="array" aca="1" ref="EB5" ca="1">IF(ISBLANK($A5), "Enter Sheet", IF($M5 &gt; minFiringRate, IF(SUM(INDIRECT($A5 &amp; "!AL3:AL102")) &gt; 0, INDIRECT($A5&amp;"!AL"&amp;EB$3), "NA"), "NA"))</f>
        <v>Enter Sheet</v>
      </c>
      <c r="EC5" s="137" t="str" cm="1">
        <f t="array" aca="1" ref="EC5" ca="1">IF(ISBLANK($A5), "Enter Sheet", IF($M5 &gt; minFiringRate, IF(SUM(INDIRECT($A5 &amp; "!AL3:AL102")) &gt; 0, INDIRECT($A5&amp;"!AL"&amp;EC$3), "NA"), "NA"))</f>
        <v>Enter Sheet</v>
      </c>
      <c r="ED5" s="137" t="str" cm="1">
        <f t="array" aca="1" ref="ED5" ca="1">IF(ISBLANK($A5), "Enter Sheet", IF($M5 &gt; minFiringRate, IF(SUM(INDIRECT($A5 &amp; "!AL3:AL102")) &gt; 0, INDIRECT($A5&amp;"!AL"&amp;ED$3), "NA"), "NA"))</f>
        <v>Enter Sheet</v>
      </c>
      <c r="EE5" s="137" t="str" cm="1">
        <f t="array" aca="1" ref="EE5" ca="1">IF(ISBLANK($A5), "Enter Sheet", IF($M5 &gt; minFiringRate, IF(SUM(INDIRECT($A5 &amp; "!AL3:AL102")) &gt; 0, INDIRECT($A5&amp;"!AL"&amp;EE$3), "NA"), "NA"))</f>
        <v>Enter Sheet</v>
      </c>
      <c r="EF5" s="137" t="str" cm="1">
        <f t="array" aca="1" ref="EF5" ca="1">IF(ISBLANK($A5), "Enter Sheet", IF($M5 &gt; minFiringRate, IF(SUM(INDIRECT($A5 &amp; "!AL3:AL102")) &gt; 0, INDIRECT($A5&amp;"!AL"&amp;EF$3), "NA"), "NA"))</f>
        <v>Enter Sheet</v>
      </c>
      <c r="EG5" s="137" t="str" cm="1">
        <f t="array" aca="1" ref="EG5" ca="1">IF(ISBLANK($A5), "Enter Sheet", IF($M5 &gt; minFiringRate, IF(SUM(INDIRECT($A5 &amp; "!AL3:AL102")) &gt; 0, INDIRECT($A5&amp;"!AL"&amp;EG$3), "NA"), "NA"))</f>
        <v>Enter Sheet</v>
      </c>
      <c r="EH5" s="137" t="str" cm="1">
        <f t="array" aca="1" ref="EH5" ca="1">IF(ISBLANK($A5), "Enter Sheet", IF($M5 &gt; minFiringRate, IF(SUM(INDIRECT($A5 &amp; "!AL3:AL102")) &gt; 0, INDIRECT($A5&amp;"!AL"&amp;EH$3), "NA"), "NA"))</f>
        <v>Enter Sheet</v>
      </c>
      <c r="EI5" s="137" t="str" cm="1">
        <f t="array" aca="1" ref="EI5" ca="1">IF(ISBLANK($A5), "Enter Sheet", IF($M5 &gt; minFiringRate, IF(SUM(INDIRECT($A5 &amp; "!AL3:AL102")) &gt; 0, INDIRECT($A5&amp;"!AL"&amp;EI$3), "NA"), "NA"))</f>
        <v>Enter Sheet</v>
      </c>
      <c r="EJ5" s="137" t="str" cm="1">
        <f t="array" aca="1" ref="EJ5" ca="1">IF(ISBLANK($A5), "Enter Sheet", IF($M5 &gt; minFiringRate, IF(SUM(INDIRECT($A5 &amp; "!AL3:AL102")) &gt; 0, INDIRECT($A5&amp;"!AL"&amp;EJ$3), "NA"), "NA"))</f>
        <v>Enter Sheet</v>
      </c>
      <c r="EK5" s="137" t="str" cm="1">
        <f t="array" aca="1" ref="EK5" ca="1">IF(ISBLANK($A5), "Enter Sheet", IF($M5 &gt; minFiringRate, IF(SUM(INDIRECT($A5 &amp; "!AL3:AL102")) &gt; 0, INDIRECT($A5&amp;"!AL"&amp;EK$3), "NA"), "NA"))</f>
        <v>Enter Sheet</v>
      </c>
      <c r="EL5" s="137" t="str" cm="1">
        <f t="array" aca="1" ref="EL5" ca="1">IF(ISBLANK($A5), "Enter Sheet", IF($M5 &gt; minFiringRate, IF(SUM(INDIRECT($A5 &amp; "!AL3:AL102")) &gt; 0, INDIRECT($A5&amp;"!AL"&amp;EL$3), "NA"), "NA"))</f>
        <v>Enter Sheet</v>
      </c>
      <c r="EM5" s="137" t="str" cm="1">
        <f t="array" aca="1" ref="EM5" ca="1">IF(ISBLANK($A5), "Enter Sheet", IF($M5 &gt; minFiringRate, IF(SUM(INDIRECT($A5 &amp; "!AL3:AL102")) &gt; 0, INDIRECT($A5&amp;"!AL"&amp;EM$3), "NA"), "NA"))</f>
        <v>Enter Sheet</v>
      </c>
      <c r="EN5" s="137" t="str" cm="1">
        <f t="array" aca="1" ref="EN5" ca="1">IF(ISBLANK($A5), "Enter Sheet", IF($M5 &gt; minFiringRate, IF(SUM(INDIRECT($A5 &amp; "!AL3:AL102")) &gt; 0, INDIRECT($A5&amp;"!AL"&amp;EN$3), "NA"), "NA"))</f>
        <v>Enter Sheet</v>
      </c>
      <c r="EO5" s="137" t="str" cm="1">
        <f t="array" aca="1" ref="EO5" ca="1">IF(ISBLANK($A5), "Enter Sheet", IF($M5 &gt; minFiringRate, IF(SUM(INDIRECT($A5 &amp; "!AL3:AL102")) &gt; 0, INDIRECT($A5&amp;"!AL"&amp;EO$3), "NA"), "NA"))</f>
        <v>Enter Sheet</v>
      </c>
      <c r="EP5" s="137" t="str" cm="1">
        <f t="array" aca="1" ref="EP5" ca="1">IF(ISBLANK($A5), "Enter Sheet", IF($M5 &gt; minFiringRate, IF(SUM(INDIRECT($A5 &amp; "!AL3:AL102")) &gt; 0, INDIRECT($A5&amp;"!AL"&amp;EP$3), "NA"), "NA"))</f>
        <v>Enter Sheet</v>
      </c>
      <c r="EQ5" s="137" t="str" cm="1">
        <f t="array" aca="1" ref="EQ5" ca="1">IF(ISBLANK($A5), "Enter Sheet", IF($M5 &gt; minFiringRate, IF(SUM(INDIRECT($A5 &amp; "!AL3:AL102")) &gt; 0, INDIRECT($A5&amp;"!AL"&amp;EQ$3), "NA"), "NA"))</f>
        <v>Enter Sheet</v>
      </c>
      <c r="ER5" s="137" t="str" cm="1">
        <f t="array" aca="1" ref="ER5" ca="1">IF(ISBLANK($A5), "Enter Sheet", IF($M5 &gt; minFiringRate, IF(SUM(INDIRECT($A5 &amp; "!AL3:AL102")) &gt; 0, INDIRECT($A5&amp;"!AL"&amp;ER$3), "NA"), "NA"))</f>
        <v>Enter Sheet</v>
      </c>
      <c r="ES5" s="137" t="str" cm="1">
        <f t="array" aca="1" ref="ES5" ca="1">IF(ISBLANK($A5), "Enter Sheet", IF($M5 &gt; minFiringRate, IF(SUM(INDIRECT($A5 &amp; "!AL3:AL102")) &gt; 0, INDIRECT($A5&amp;"!AL"&amp;ES$3), "NA"), "NA"))</f>
        <v>Enter Sheet</v>
      </c>
      <c r="ET5" s="137" t="str" cm="1">
        <f t="array" aca="1" ref="ET5" ca="1">IF(ISBLANK($A5), "Enter Sheet", IF($M5 &gt; minFiringRate, IF(SUM(INDIRECT($A5 &amp; "!AL3:AL102")) &gt; 0, INDIRECT($A5&amp;"!AL"&amp;ET$3), "NA"), "NA"))</f>
        <v>Enter Sheet</v>
      </c>
      <c r="EU5" s="137" t="str" cm="1">
        <f t="array" aca="1" ref="EU5" ca="1">IF(ISBLANK($A5), "Enter Sheet", IF($M5 &gt; minFiringRate, IF(SUM(INDIRECT($A5 &amp; "!AL3:AL102")) &gt; 0, INDIRECT($A5&amp;"!AL"&amp;EU$3), "NA"), "NA"))</f>
        <v>Enter Sheet</v>
      </c>
      <c r="EV5" s="137" t="str" cm="1">
        <f t="array" aca="1" ref="EV5" ca="1">IF(ISBLANK($A5), "Enter Sheet", IF($M5 &gt; minFiringRate, IF(SUM(INDIRECT($A5 &amp; "!AL3:AL102")) &gt; 0, INDIRECT($A5&amp;"!AL"&amp;EV$3), "NA"), "NA"))</f>
        <v>Enter Sheet</v>
      </c>
      <c r="EW5" s="137" t="str" cm="1">
        <f t="array" aca="1" ref="EW5" ca="1">IF(ISBLANK($A5), "Enter Sheet", IF($M5 &gt; minFiringRate, IF(SUM(INDIRECT($A5 &amp; "!AL3:AL102")) &gt; 0, INDIRECT($A5&amp;"!AL"&amp;EW$3), "NA"), "NA"))</f>
        <v>Enter Sheet</v>
      </c>
      <c r="EX5" s="137" t="str" cm="1">
        <f t="array" aca="1" ref="EX5" ca="1">IF(ISBLANK($A5), "Enter Sheet", IF($M5 &gt; minFiringRate, IF(SUM(INDIRECT($A5 &amp; "!AL3:AL102")) &gt; 0, INDIRECT($A5&amp;"!AL"&amp;EX$3), "NA"), "NA"))</f>
        <v>Enter Sheet</v>
      </c>
      <c r="EY5" s="137" t="str" cm="1">
        <f t="array" aca="1" ref="EY5" ca="1">IF(ISBLANK($A5), "Enter Sheet", IF($M5 &gt; minFiringRate, IF(SUM(INDIRECT($A5 &amp; "!AL3:AL102")) &gt; 0, INDIRECT($A5&amp;"!AL"&amp;EY$3), "NA"), "NA"))</f>
        <v>Enter Sheet</v>
      </c>
      <c r="EZ5" s="137" t="str" cm="1">
        <f t="array" aca="1" ref="EZ5" ca="1">IF(ISBLANK($A5), "Enter Sheet", IF($M5 &gt; minFiringRate, IF(SUM(INDIRECT($A5 &amp; "!AL3:AL102")) &gt; 0, INDIRECT($A5&amp;"!AL"&amp;EZ$3), "NA"), "NA"))</f>
        <v>Enter Sheet</v>
      </c>
      <c r="FA5" s="137" t="str" cm="1">
        <f t="array" aca="1" ref="FA5" ca="1">IF(ISBLANK($A5), "Enter Sheet", IF($M5 &gt; minFiringRate, IF(SUM(INDIRECT($A5 &amp; "!AL3:AL102")) &gt; 0, INDIRECT($A5&amp;"!AL"&amp;FA$3), "NA"), "NA"))</f>
        <v>Enter Sheet</v>
      </c>
      <c r="FB5" s="137" t="str" cm="1">
        <f t="array" aca="1" ref="FB5" ca="1">IF(ISBLANK($A5), "Enter Sheet", IF($M5 &gt; minFiringRate, IF(SUM(INDIRECT($A5 &amp; "!AL3:AL102")) &gt; 0, INDIRECT($A5&amp;"!AL"&amp;FB$3), "NA"), "NA"))</f>
        <v>Enter Sheet</v>
      </c>
      <c r="FC5" s="137" t="str" cm="1">
        <f t="array" aca="1" ref="FC5" ca="1">IF(ISBLANK($A5), "Enter Sheet", IF($M5 &gt; minFiringRate, IF(SUM(INDIRECT($A5 &amp; "!AL3:AL102")) &gt; 0, INDIRECT($A5&amp;"!AL"&amp;FC$3), "NA"), "NA"))</f>
        <v>Enter Sheet</v>
      </c>
      <c r="FD5" s="137" t="str" cm="1">
        <f t="array" aca="1" ref="FD5" ca="1">IF(ISBLANK($A5), "Enter Sheet", IF($M5 &gt; minFiringRate, IF(SUM(INDIRECT($A5 &amp; "!AL3:AL102")) &gt; 0, INDIRECT($A5&amp;"!AL"&amp;FD$3), "NA"), "NA"))</f>
        <v>Enter Sheet</v>
      </c>
      <c r="FE5" s="137" t="str" cm="1">
        <f t="array" aca="1" ref="FE5" ca="1">IF(ISBLANK($A5), "Enter Sheet", IF($M5 &gt; minFiringRate, IF(SUM(INDIRECT($A5 &amp; "!AL3:AL102")) &gt; 0, INDIRECT($A5&amp;"!AL"&amp;FE$3), "NA"), "NA"))</f>
        <v>Enter Sheet</v>
      </c>
      <c r="FF5" s="137" t="str" cm="1">
        <f t="array" aca="1" ref="FF5" ca="1">IF(ISBLANK($A5), "Enter Sheet", IF($M5 &gt; minFiringRate, IF(SUM(INDIRECT($A5 &amp; "!AL3:AL102")) &gt; 0, INDIRECT($A5&amp;"!AL"&amp;FF$3), "NA"), "NA"))</f>
        <v>Enter Sheet</v>
      </c>
      <c r="FG5" s="137" t="str" cm="1">
        <f t="array" aca="1" ref="FG5" ca="1">IF(ISBLANK($A5), "Enter Sheet", IF($M5 &gt; minFiringRate, IF(SUM(INDIRECT($A5 &amp; "!AL3:AL102")) &gt; 0, INDIRECT($A5&amp;"!AL"&amp;FG$3), "NA"), "NA"))</f>
        <v>Enter Sheet</v>
      </c>
      <c r="FH5" s="137" t="str" cm="1">
        <f t="array" aca="1" ref="FH5" ca="1">IF(ISBLANK($A5), "Enter Sheet", IF($M5 &gt; minFiringRate, IF(SUM(INDIRECT($A5 &amp; "!AL3:AL102")) &gt; 0, INDIRECT($A5&amp;"!AL"&amp;FH$3), "NA"), "NA"))</f>
        <v>Enter Sheet</v>
      </c>
      <c r="FI5" s="137" t="str" cm="1">
        <f t="array" aca="1" ref="FI5" ca="1">IF(ISBLANK($A5), "Enter Sheet", IF($M5 &gt; minFiringRate, IF(SUM(INDIRECT($A5 &amp; "!AL3:AL102")) &gt; 0, INDIRECT($A5&amp;"!AL"&amp;FI$3), "NA"), "NA"))</f>
        <v>Enter Sheet</v>
      </c>
      <c r="FJ5" s="137" t="str" cm="1">
        <f t="array" aca="1" ref="FJ5" ca="1">IF(ISBLANK($A5), "Enter Sheet", IF($M5 &gt; minFiringRate, IF(SUM(INDIRECT($A5 &amp; "!AL3:AL102")) &gt; 0, INDIRECT($A5&amp;"!AL"&amp;FJ$3), "NA"), "NA"))</f>
        <v>Enter Sheet</v>
      </c>
      <c r="FK5" s="143" t="str" cm="1">
        <f t="array" aca="1" ref="FK5" ca="1">IF(ISBLANK($A5), "Enter Sheet Name", IF(0 &lt; _xlfn.XLOOKUP(SelectedBW_1, INDIRECT($A5 &amp; "!A3:A102"), INDIRECT($A5 &amp; "!" &amp; $FS$3 &amp; "3:" &amp; $FS$3 &amp; "102")),_xlfn.XLOOKUP(SelectedBW_1, INDIRECT($A5 &amp; "!A3:A102"), INDIRECT($A5 &amp; "!" &amp; FK$3 &amp; "3:" &amp; FK$3 &amp; "102")), "NA"))</f>
        <v>Enter Sheet Name</v>
      </c>
      <c r="FL5" s="143" t="str" cm="1">
        <f t="array" aca="1" ref="FL5" ca="1">IF(ISBLANK($A5), "Enter Sheet Name", IF(0 &lt; _xlfn.XLOOKUP(SelectedBW_1, INDIRECT($A5 &amp; "!A3:A102"), INDIRECT($A5 &amp; "!" &amp; $FS$3 &amp; "3:" &amp; $FS$3 &amp; "102")),_xlfn.XLOOKUP(SelectedBW_1, INDIRECT($A5 &amp; "!A3:A102"), INDIRECT($A5 &amp; "!" &amp; FL$3 &amp; "3:" &amp; FL$3 &amp; "102")), "NA"))</f>
        <v>Enter Sheet Name</v>
      </c>
      <c r="FM5" s="143" t="str" cm="1">
        <f t="array" aca="1" ref="FM5" ca="1">IF(ISBLANK($A5), "Enter Sheet Name", IF(0 &lt; _xlfn.XLOOKUP(SelectedBW_1, INDIRECT($A5 &amp; "!A3:A102"), INDIRECT($A5 &amp; "!" &amp; $FS$3 &amp; "3:" &amp; $FS$3 &amp; "102")),_xlfn.XLOOKUP(SelectedBW_1, INDIRECT($A5 &amp; "!A3:A102"), INDIRECT($A5 &amp; "!" &amp; FM$3 &amp; "3:" &amp; FM$3 &amp; "102")), "NA"))</f>
        <v>Enter Sheet Name</v>
      </c>
      <c r="FN5" s="143" t="str" cm="1">
        <f t="array" aca="1" ref="FN5" ca="1">IF(ISBLANK($A5), "Enter Sheet Name", IF(0 &lt; _xlfn.XLOOKUP(SelectedBW_1, INDIRECT($A5 &amp; "!A3:A102"), INDIRECT($A5 &amp; "!" &amp; $FS$3 &amp; "3:" &amp; $FS$3 &amp; "102")),_xlfn.XLOOKUP(SelectedBW_1, INDIRECT($A5 &amp; "!A3:A102"), INDIRECT($A5 &amp; "!" &amp; FN$3 &amp; "3:" &amp; FN$3 &amp; "102")), "NA"))</f>
        <v>Enter Sheet Name</v>
      </c>
      <c r="FO5" s="143" t="str" cm="1">
        <f t="array" aca="1" ref="FO5" ca="1">IF(ISBLANK($A5), "Enter Sheet Name", IF(0 &lt; _xlfn.XLOOKUP(SelectedBW_1, INDIRECT($A5 &amp; "!A3:A102"), INDIRECT($A5 &amp; "!" &amp; $FS$3 &amp; "3:" &amp; $FS$3 &amp; "102")),_xlfn.XLOOKUP(SelectedBW_1, INDIRECT($A5 &amp; "!A3:A102"), INDIRECT($A5 &amp; "!" &amp; FO$3 &amp; "3:" &amp; FO$3 &amp; "102")), "NA"))</f>
        <v>Enter Sheet Name</v>
      </c>
      <c r="FP5" s="143" t="str" cm="1">
        <f t="array" aca="1" ref="FP5" ca="1">IF(ISBLANK($A5), "Enter Sheet Name", IF(0 &lt; _xlfn.XLOOKUP(SelectedBW_1, INDIRECT($A5 &amp; "!A3:A102"), INDIRECT($A5 &amp; "!" &amp; $FS$3 &amp; "3:" &amp; $FS$3 &amp; "102")),_xlfn.XLOOKUP(SelectedBW_1, INDIRECT($A5 &amp; "!A3:A102"), INDIRECT($A5 &amp; "!" &amp; FP$3 &amp; "3:" &amp; FP$3 &amp; "102")), "NA"))</f>
        <v>Enter Sheet Name</v>
      </c>
      <c r="FQ5" s="143" t="str" cm="1">
        <f t="array" aca="1" ref="FQ5" ca="1">IF(ISBLANK($A5), "Enter Sheet Name", IF(0 &lt; _xlfn.XLOOKUP(SelectedBW_1, INDIRECT($A5 &amp; "!A3:A102"), INDIRECT($A5 &amp; "!" &amp; $FS$3 &amp; "3:" &amp; $FS$3 &amp; "102")),_xlfn.XLOOKUP(SelectedBW_1, INDIRECT($A5 &amp; "!A3:A102"), INDIRECT($A5 &amp; "!" &amp; FQ$3 &amp; "3:" &amp; FQ$3 &amp; "102")), "NA"))</f>
        <v>Enter Sheet Name</v>
      </c>
      <c r="FR5" s="143" t="str" cm="1">
        <f t="array" aca="1" ref="FR5" ca="1">IF(ISBLANK($A5), "Enter Sheet Name", IF(0 &lt; _xlfn.XLOOKUP(SelectedBW_1, INDIRECT($A5 &amp; "!A3:A102"), INDIRECT($A5 &amp; "!" &amp; $FS$3 &amp; "3:" &amp; $FS$3 &amp; "102")),_xlfn.XLOOKUP(SelectedBW_1, INDIRECT($A5 &amp; "!A3:A102"), INDIRECT($A5 &amp; "!" &amp; FR$3 &amp; "3:" &amp; FR$3 &amp; "102")), "NA"))</f>
        <v>Enter Sheet Name</v>
      </c>
      <c r="FS5" s="143" t="str" cm="1">
        <f t="array" aca="1" ref="FS5" ca="1">IF(ISBLANK($A5), "Enter Sheet", IF(ISNUMBER($M5), IF(ISNUMBER(_xlfn.XLOOKUP(SelectedBW_1, INDIRECT($A5 &amp; "!A3:A102"), INDIRECT($A5 &amp; "!" &amp; $FS$3 &amp; "3:" &amp; $FS$3 &amp; "102"))), _xlfn.XLOOKUP(SelectedBW_1, INDIRECT($A5 &amp; "!A3:A102"), INDIRECT($A5 &amp; "!" &amp; $FS$3 &amp; "3:" &amp; $FS$3 &amp; "102")), IF($C5, 0, "NA")), "Enter Cell Values"))</f>
        <v>Enter Sheet</v>
      </c>
      <c r="FT5" s="144" t="str" cm="1">
        <f t="array" aca="1" ref="FT5" ca="1">IF(ISBLANK($A5), "Enter Sheet Name", IF(0 &lt; _xlfn.XLOOKUP(SelectedBW_2, INDIRECT($A5 &amp; "!A3:A102"), INDIRECT($A5 &amp; "!" &amp; $GB$3 &amp; "3:" &amp; $GB$3 &amp; "102")),_xlfn.XLOOKUP(SelectedBW_2, INDIRECT($A5 &amp; "!A3:A102"), INDIRECT($A5 &amp; "!" &amp; FT$3 &amp; "3:" &amp; FT$3 &amp; "102")), "NA"))</f>
        <v>Enter Sheet Name</v>
      </c>
      <c r="FU5" s="144" t="str" cm="1">
        <f t="array" aca="1" ref="FU5" ca="1">IF(ISBLANK($A5), "Enter Sheet Name", IF(0 &lt; _xlfn.XLOOKUP(SelectedBW_2, INDIRECT($A5 &amp; "!A3:A102"), INDIRECT($A5 &amp; "!" &amp; $GB$3 &amp; "3:" &amp; $GB$3 &amp; "102")),_xlfn.XLOOKUP(SelectedBW_2, INDIRECT($A5 &amp; "!A3:A102"), INDIRECT($A5 &amp; "!" &amp; FU$3 &amp; "3:" &amp; FU$3 &amp; "102")), "NA"))</f>
        <v>Enter Sheet Name</v>
      </c>
      <c r="FV5" s="144" t="str" cm="1">
        <f t="array" aca="1" ref="FV5" ca="1">IF(ISBLANK($A5), "Enter Sheet Name", IF(0 &lt; _xlfn.XLOOKUP(SelectedBW_2, INDIRECT($A5 &amp; "!A3:A102"), INDIRECT($A5 &amp; "!" &amp; $GB$3 &amp; "3:" &amp; $GB$3 &amp; "102")),_xlfn.XLOOKUP(SelectedBW_2, INDIRECT($A5 &amp; "!A3:A102"), INDIRECT($A5 &amp; "!" &amp; FV$3 &amp; "3:" &amp; FV$3 &amp; "102")), "NA"))</f>
        <v>Enter Sheet Name</v>
      </c>
      <c r="FW5" s="144" t="str" cm="1">
        <f t="array" aca="1" ref="FW5" ca="1">IF(ISBLANK($A5), "Enter Sheet Name", IF(0 &lt; _xlfn.XLOOKUP(SelectedBW_2, INDIRECT($A5 &amp; "!A3:A102"), INDIRECT($A5 &amp; "!" &amp; $GB$3 &amp; "3:" &amp; $GB$3 &amp; "102")),_xlfn.XLOOKUP(SelectedBW_2, INDIRECT($A5 &amp; "!A3:A102"), INDIRECT($A5 &amp; "!" &amp; FW$3 &amp; "3:" &amp; FW$3 &amp; "102")), "NA"))</f>
        <v>Enter Sheet Name</v>
      </c>
      <c r="FX5" s="144" t="str" cm="1">
        <f t="array" aca="1" ref="FX5" ca="1">IF(ISBLANK($A5), "Enter Sheet Name", IF(0 &lt; _xlfn.XLOOKUP(SelectedBW_2, INDIRECT($A5 &amp; "!A3:A102"), INDIRECT($A5 &amp; "!" &amp; $GB$3 &amp; "3:" &amp; $GB$3 &amp; "102")),_xlfn.XLOOKUP(SelectedBW_2, INDIRECT($A5 &amp; "!A3:A102"), INDIRECT($A5 &amp; "!" &amp; FX$3 &amp; "3:" &amp; FX$3 &amp; "102")), "NA"))</f>
        <v>Enter Sheet Name</v>
      </c>
      <c r="FY5" s="144" t="str" cm="1">
        <f t="array" aca="1" ref="FY5" ca="1">IF(ISBLANK($A5), "Enter Sheet Name", IF(0 &lt; _xlfn.XLOOKUP(SelectedBW_2, INDIRECT($A5 &amp; "!A3:A102"), INDIRECT($A5 &amp; "!" &amp; $GB$3 &amp; "3:" &amp; $GB$3 &amp; "102")),_xlfn.XLOOKUP(SelectedBW_2, INDIRECT($A5 &amp; "!A3:A102"), INDIRECT($A5 &amp; "!" &amp; FY$3 &amp; "3:" &amp; FY$3 &amp; "102")), "NA"))</f>
        <v>Enter Sheet Name</v>
      </c>
      <c r="FZ5" s="144" t="str" cm="1">
        <f t="array" aca="1" ref="FZ5" ca="1">IF(ISBLANK($A5), "Enter Sheet Name", IF(0 &lt; _xlfn.XLOOKUP(SelectedBW_2, INDIRECT($A5 &amp; "!A3:A102"), INDIRECT($A5 &amp; "!" &amp; $GB$3 &amp; "3:" &amp; $GB$3 &amp; "102")),_xlfn.XLOOKUP(SelectedBW_2, INDIRECT($A5 &amp; "!A3:A102"), INDIRECT($A5 &amp; "!" &amp; FZ$3 &amp; "3:" &amp; FZ$3 &amp; "102")), "NA"))</f>
        <v>Enter Sheet Name</v>
      </c>
      <c r="GA5" s="144" t="str" cm="1">
        <f t="array" aca="1" ref="GA5" ca="1">IF(ISBLANK($A5), "Enter Sheet Name", IF(0 &lt; _xlfn.XLOOKUP(SelectedBW_2, INDIRECT($A5 &amp; "!A3:A102"), INDIRECT($A5 &amp; "!" &amp; $GB$3 &amp; "3:" &amp; $GB$3 &amp; "102")),_xlfn.XLOOKUP(SelectedBW_2, INDIRECT($A5 &amp; "!A3:A102"), INDIRECT($A5 &amp; "!" &amp; GA$3 &amp; "3:" &amp; GA$3 &amp; "102")), "NA"))</f>
        <v>Enter Sheet Name</v>
      </c>
      <c r="GB5" s="144" t="str" cm="1">
        <f t="array" aca="1" ref="GB5" ca="1">IF(ISBLANK($A5), "Enter Sheet", IF(ISNUMBER($M5), IF(ISNUMBER(_xlfn.XLOOKUP(SelectedBW_2, INDIRECT($A5 &amp; "!A3:A102"), INDIRECT($A5 &amp; "!" &amp; $GB$3 &amp; "3:" &amp; $GB$3 &amp; "102"))), _xlfn.XLOOKUP(SelectedBW_2, INDIRECT($A5 &amp; "!A3:A102"), INDIRECT($A5 &amp; "!" &amp; $GB$3 &amp; "3:" &amp; $GB$3 &amp; "102")), IF($C5, 0, "NA")), "Enter Cell Values"))</f>
        <v>Enter Sheet</v>
      </c>
    </row>
    <row r="6" spans="1:184" x14ac:dyDescent="0.2">
      <c r="A6" s="58"/>
      <c r="B6" s="59"/>
      <c r="C6" s="151"/>
      <c r="D6" s="152"/>
      <c r="E6" s="60"/>
      <c r="F6" s="61"/>
      <c r="G6" s="62"/>
      <c r="H6" s="61"/>
      <c r="I6" s="63">
        <f>IF(F6="Y", G6 - 4/24, G6 - 3/24) * 24</f>
        <v>-3</v>
      </c>
      <c r="J6" s="63">
        <f>IF(F6="Y", H6 - 4/24, H6 - 3/24) * 24</f>
        <v>-3</v>
      </c>
      <c r="K6" s="63" t="str" cm="1">
        <f t="array" aca="1" ref="K6" ca="1">IF(ISBLANK(CellData[[#This Row],[SheetName]]), "Enter Sheet", INDIRECT(CellData[[#This Row],[SheetName]]&amp;"!"&amp;CellData[[#Headers],[SpontLength_min]]))</f>
        <v>Enter Sheet</v>
      </c>
      <c r="L6" s="73"/>
      <c r="M6" s="64" t="str" cm="1">
        <f t="array" aca="1" ref="M6" ca="1">IF(ISBLANK($A6),"Enter Sheet",IF(ISNUMBER(INDIRECT($A6&amp;"!"&amp;M$4)),INDIRECT($A6&amp;"!"&amp;M$4),"NA"))</f>
        <v>Enter Sheet</v>
      </c>
      <c r="N6" s="85" t="str" cm="1">
        <f t="array" aca="1" ref="N6" ca="1">IF(ISBLANK($A6), "Enter Sheet", IF(INDIRECT($A6&amp;"!Senktide_Analysis"), IF(ISNUMBER(INDIRECT($A6&amp;"!"&amp;N$4)), INDIRECT($A6&amp;"!"&amp;N$4), "NA"), "NA"))</f>
        <v>Enter Sheet</v>
      </c>
      <c r="O6" s="57" t="str" cm="1">
        <f t="array" aca="1" ref="O6" ca="1">IF(ISBLANK($A6), "Enter Sheet", IF($M6 &gt; minFiringRate, IF(AND(ISNUMBER(INDIRECT($A6&amp;"!"&amp;$W$4)), 0 &lt; INDIRECT($A6&amp;"!"&amp;$W$4)), INDIRECT($A6&amp;"!"&amp;O$4), "NA"), "NA"))</f>
        <v>Enter Sheet</v>
      </c>
      <c r="P6" s="57" t="str" cm="1">
        <f t="array" aca="1" ref="P6" ca="1">IF(ISBLANK($A6), "Enter Sheet", IF($M6 &gt; minFiringRate, IF(AND(ISNUMBER(INDIRECT($A6&amp;"!"&amp;$W$4)), 0 &lt; INDIRECT($A6&amp;"!"&amp;$W$4)), INDIRECT($A6&amp;"!"&amp;P$4), "NA"), "NA"))</f>
        <v>Enter Sheet</v>
      </c>
      <c r="Q6" s="57" t="str" cm="1">
        <f t="array" aca="1" ref="Q6" ca="1">IF(ISBLANK($A6), "Enter Sheet", IF($M6 &gt; minFiringRate, IF(AND(ISNUMBER(INDIRECT($A6&amp;"!"&amp;$W$4)), 0 &lt; INDIRECT($A6&amp;"!"&amp;$W$4)), INDIRECT($A6&amp;"!"&amp;Q$4), "NA"), "NA"))</f>
        <v>Enter Sheet</v>
      </c>
      <c r="R6" s="57" t="str" cm="1">
        <f t="array" aca="1" ref="R6" ca="1">IF(ISBLANK($A6), "Enter Sheet", IF($M6 &gt; minFiringRate, IF(AND(ISNUMBER(INDIRECT($A6&amp;"!"&amp;$W$4)), 0 &lt; INDIRECT($A6&amp;"!"&amp;$W$4)), INDIRECT($A6&amp;"!"&amp;R$4), "NA"), "NA"))</f>
        <v>Enter Sheet</v>
      </c>
      <c r="S6" s="57" t="str" cm="1">
        <f t="array" aca="1" ref="S6" ca="1">IF(ISBLANK($A6), "Enter Sheet", IF($M6 &gt; minFiringRate, IF(AND(ISNUMBER(INDIRECT($A6&amp;"!"&amp;$W$4)), 0 &lt; INDIRECT($A6&amp;"!"&amp;$W$4)), INDIRECT($A6&amp;"!"&amp;S$4), "NA"), "NA"))</f>
        <v>Enter Sheet</v>
      </c>
      <c r="T6" s="57" t="str" cm="1">
        <f t="array" aca="1" ref="T6" ca="1">IF(ISBLANK($A6), "Enter Sheet", IF($M6 &gt; minFiringRate, IF(AND(ISNUMBER(INDIRECT($A6&amp;"!"&amp;$W$4)), 0 &lt; INDIRECT($A6&amp;"!"&amp;$W$4)), INDIRECT($A6&amp;"!"&amp;T$4), "NA"), "NA"))</f>
        <v>Enter Sheet</v>
      </c>
      <c r="U6" s="57" t="str" cm="1">
        <f t="array" aca="1" ref="U6" ca="1">IF(ISBLANK($A6), "Enter Sheet", IF($M6 &gt; minFiringRate, IF(AND(ISNUMBER(INDIRECT($A6&amp;"!"&amp;$W$4)), 0 &lt; INDIRECT($A6&amp;"!"&amp;$W$4)), INDIRECT($A6&amp;"!"&amp;U$4), "NA"), "NA"))</f>
        <v>Enter Sheet</v>
      </c>
      <c r="V6" s="57" t="str" cm="1">
        <f t="array" aca="1" ref="V6" ca="1">IF(ISBLANK($A6), "Enter Sheet", IF($M6 &gt; minFiringRate, IF(AND(ISNUMBER(INDIRECT($A6&amp;"!"&amp;$W$4)), 0 &lt; INDIRECT($A6&amp;"!"&amp;$W$4)), INDIRECT($A6&amp;"!"&amp;V$4), "NA"), "NA"))</f>
        <v>Enter Sheet</v>
      </c>
      <c r="W6" s="150" t="str" cm="1">
        <f t="array" aca="1" ref="W6" ca="1">IF(ISBLANK($A6), "Enter Sheet", IF(ISNUMBER($M6), IF(ISNUMBER(INDIRECT($A6&amp;"!"&amp;$W$4)), INDIRECT($A6&amp;"!"&amp;$W$4), IF($C6, 0, "NA")), "Enter Cell Values"))</f>
        <v>Enter Sheet</v>
      </c>
      <c r="X6" s="57" t="str" cm="1">
        <f t="array" aca="1" ref="X6" ca="1">IF(ISBLANK($A6), "Enter Sheet", IF($M6 &gt; minFiringRate, IF(ISNUMBER(INDIRECT($A6&amp;"!"&amp;X$4)), INDIRECT($A6&amp;"!"&amp;X$4), "NA"), "NA"))</f>
        <v>Enter Sheet</v>
      </c>
      <c r="Y6" s="65" t="str" cm="1">
        <f t="array" aca="1" ref="Y6" ca="1">IF(ISBLANK($A6), "Enter Sheet", IF($M6 &gt; minFiringRate, IF(ISNUMBER(INDIRECT($A6&amp;"!"&amp;Y$4)), INDIRECT($A6&amp;"!"&amp;Y$4), "NA"), "NA"))</f>
        <v>Enter Sheet</v>
      </c>
      <c r="Z6" s="65" t="str" cm="1">
        <f t="array" aca="1" ref="Z6" ca="1">IF(ISBLANK($A6), "Enter Sheet", IF($M6 &gt; minFiringRate, IF(ISNUMBER(INDIRECT($A6&amp;"!"&amp;Z$4)), INDIRECT($A6&amp;"!"&amp;Z$4), "NA"), "NA"))</f>
        <v>Enter Sheet</v>
      </c>
      <c r="AA6" s="65" t="str" cm="1">
        <f t="array" aca="1" ref="AA6" ca="1">IF(ISBLANK($A6), "Enter Sheet", IF($M6 &gt; minFiringRate, IF(ISNUMBER(INDIRECT($A6&amp;"!"&amp;AA$4)), INDIRECT($A6&amp;"!"&amp;AA$4), "NA"), "NA"))</f>
        <v>Enter Sheet</v>
      </c>
      <c r="AB6" s="65" t="str" cm="1">
        <f t="array" aca="1" ref="AB6" ca="1">IF(ISBLANK($A6), "Enter Sheet", IF($M6 &gt; minFiringRate, IF(ISNUMBER(INDIRECT($A6&amp;"!"&amp;AB$4)), INDIRECT($A6&amp;"!"&amp;AB$4), "NA"), "NA"))</f>
        <v>Enter Sheet</v>
      </c>
      <c r="AC6" s="65" t="str" cm="1">
        <f t="array" aca="1" ref="AC6" ca="1">IF(ISBLANK($A6), "Enter Sheet", IF($M6 &gt; minFiringRate, IF(ISNUMBER(INDIRECT($A6&amp;"!"&amp;AC$4)), INDIRECT($A6&amp;"!"&amp;AC$4), "NA"), "NA"))</f>
        <v>Enter Sheet</v>
      </c>
      <c r="AD6" s="65" t="str" cm="1">
        <f t="array" aca="1" ref="AD6" ca="1">IF(ISBLANK($A6), "Enter Sheet", IF($M6 &gt; minFiringRate, IF(ISNUMBER(INDIRECT($A6&amp;"!"&amp;AD$4)), INDIRECT($A6&amp;"!"&amp;AD$4), "NA"), "NA"))</f>
        <v>Enter Sheet</v>
      </c>
      <c r="AE6" s="65" t="str" cm="1">
        <f t="array" aca="1" ref="AE6" ca="1">IF(ISBLANK($A6), "Enter Sheet", IF($M6 &gt; minFiringRate, IF(ISNUMBER(INDIRECT($A6&amp;"!"&amp;AE$4)), INDIRECT($A6&amp;"!"&amp;AE$4), "NA"), "NA"))</f>
        <v>Enter Sheet</v>
      </c>
      <c r="AF6" s="65" t="str" cm="1">
        <f t="array" aca="1" ref="AF6" ca="1">IF(ISBLANK($A6), "Enter Sheet", IF($M6 &gt; minFiringRate, IF(ISNUMBER(INDIRECT($A6&amp;"!"&amp;AF$4)), INDIRECT($A6&amp;"!"&amp;AF$4), "NA"), "NA"))</f>
        <v>Enter Sheet</v>
      </c>
      <c r="AG6" s="64" t="str" cm="1">
        <f t="array" aca="1" ref="AG6" ca="1">IF(ISBLANK($A6), "Enter Sheet", IF($M6 &gt; minFiringRate, IF(ISNUMBER(INDIRECT($A6&amp;"!"&amp;AG$4)), INDIRECT($A6&amp;"!"&amp;AG$4), "NA"), "NA"))</f>
        <v>Enter Sheet</v>
      </c>
      <c r="AH6" s="64" t="str" cm="1">
        <f t="array" aca="1" ref="AH6" ca="1">IF(ISBLANK($A6), "Enter Sheet", IF($M6 &gt; minFiringRate, IF(ISNUMBER(INDIRECT($A6&amp;"!"&amp;AH$4)), INDIRECT($A6&amp;"!"&amp;AH$4), "NA"), "NA"))</f>
        <v>Enter Sheet</v>
      </c>
      <c r="AI6" s="64" t="str" cm="1">
        <f t="array" aca="1" ref="AI6" ca="1">IF(ISBLANK($A6), "Enter Sheet", IF($M6 &gt; minFiringRate, IF(ISNUMBER(INDIRECT($A6&amp;"!"&amp;AI$4)), INDIRECT($A6&amp;"!"&amp;AI$4), "NA"), "NA"))</f>
        <v>Enter Sheet</v>
      </c>
      <c r="AJ6" s="64" t="str" cm="1">
        <f t="array" aca="1" ref="AJ6" ca="1">IF(ISBLANK($A6), "Enter Sheet", IF($M6 &gt; minFiringRate, IF(ISNUMBER(INDIRECT($A6&amp;"!"&amp;AJ$4)), INDIRECT($A6&amp;"!"&amp;AJ$4), "NA"), "NA"))</f>
        <v>Enter Sheet</v>
      </c>
      <c r="AK6" s="64" t="str" cm="1">
        <f t="array" aca="1" ref="AK6" ca="1">IF(ISBLANK($A6), "Enter Sheet", IF($M6 &gt; minFiringRate, IF(ISNUMBER(INDIRECT($A6&amp;"!"&amp;AK$4)), INDIRECT($A6&amp;"!"&amp;AK$4), "NA"), "NA"))</f>
        <v>Enter Sheet</v>
      </c>
      <c r="AL6" s="64" t="str" cm="1">
        <f t="array" aca="1" ref="AL6" ca="1">IF(ISBLANK($A6), "Enter Sheet", IF($M6 &gt; minFiringRate, IF(ISNUMBER(INDIRECT($A6&amp;"!"&amp;AL$4)), INDIRECT($A6&amp;"!"&amp;AL$4), "NA"), "NA"))</f>
        <v>Enter Sheet</v>
      </c>
      <c r="AM6" s="64" t="str" cm="1">
        <f t="array" aca="1" ref="AM6" ca="1">IF(ISBLANK($A6), "Enter Sheet", IF($M6 &gt; minFiringRate, IF(ISNUMBER(INDIRECT($A6&amp;"!"&amp;AM$4)), INDIRECT($A6&amp;"!"&amp;AM$4), "NA"), "NA"))</f>
        <v>Enter Sheet</v>
      </c>
      <c r="AN6" s="64" t="str" cm="1">
        <f t="array" aca="1" ref="AN6" ca="1">IF(ISBLANK($A6), "Enter Sheet", IF($M6 &gt; minFiringRate, IF(ISNUMBER(INDIRECT($A6&amp;"!"&amp;AN$4)), INDIRECT($A6&amp;"!"&amp;AN$4), "NA"), "NA"))</f>
        <v>Enter Sheet</v>
      </c>
      <c r="AO6" s="66" t="str" cm="1">
        <f t="array" aca="1" ref="AO6" ca="1">IF(ISBLANK($A6), "Enter Sheet", IF($M6 &gt; minFiringRate, IF(ISNUMBER(INDIRECT($A6&amp;"!"&amp;AO$4)), INDIRECT($A6&amp;"!"&amp;AO$4), "NA"), "NA"))</f>
        <v>Enter Sheet</v>
      </c>
      <c r="AP6" s="66" t="str" cm="1">
        <f t="array" aca="1" ref="AP6" ca="1">IF(ISBLANK($A6), "Enter Sheet", IF($M6 &gt; minFiringRate, IF(ISNUMBER(INDIRECT($A6&amp;"!"&amp;AP$4)), INDIRECT($A6&amp;"!"&amp;AP$4), "NA"), "NA"))</f>
        <v>Enter Sheet</v>
      </c>
      <c r="AQ6" s="66" t="str" cm="1">
        <f t="array" aca="1" ref="AQ6" ca="1">IF(ISBLANK($A6), "Enter Sheet", IF($M6 &gt; minFiringRate, IF(ISNUMBER(INDIRECT($A6&amp;"!"&amp;AQ$4)), INDIRECT($A6&amp;"!"&amp;AQ$4), "NA"), "NA"))</f>
        <v>Enter Sheet</v>
      </c>
      <c r="AR6" s="66" t="str" cm="1">
        <f t="array" aca="1" ref="AR6" ca="1">IF(ISBLANK($A6), "Enter Sheet", IF($M6 &gt; minFiringRate, IF(ISNUMBER(INDIRECT($A6&amp;"!"&amp;AR$4)), INDIRECT($A6&amp;"!"&amp;AR$4), "NA"), "NA"))</f>
        <v>Enter Sheet</v>
      </c>
      <c r="AS6" s="66" t="str" cm="1">
        <f t="array" aca="1" ref="AS6" ca="1">IF(ISBLANK($A6), "Enter Sheet", IF($M6 &gt; minFiringRate, IF(ISNUMBER(INDIRECT($A6&amp;"!"&amp;AS$4)), INDIRECT($A6&amp;"!"&amp;AS$4), "NA"), "NA"))</f>
        <v>Enter Sheet</v>
      </c>
      <c r="AT6" s="66" t="str" cm="1">
        <f t="array" aca="1" ref="AT6" ca="1">IF(ISBLANK($A6), "Enter Sheet", IF($M6 &gt; minFiringRate, IF(ISNUMBER(INDIRECT($A6&amp;"!"&amp;AT$4)), INDIRECT($A6&amp;"!"&amp;AT$4), "NA"), "NA"))</f>
        <v>Enter Sheet</v>
      </c>
      <c r="AU6" s="66" t="str" cm="1">
        <f t="array" aca="1" ref="AU6" ca="1">IF(ISBLANK($A6), "Enter Sheet", IF($M6 &gt; minFiringRate, IF(ISNUMBER(INDIRECT($A6&amp;"!"&amp;AU$4)), INDIRECT($A6&amp;"!"&amp;AU$4), "NA"), "NA"))</f>
        <v>Enter Sheet</v>
      </c>
      <c r="AV6" s="66" t="str" cm="1">
        <f t="array" aca="1" ref="AV6" ca="1">IF(ISBLANK($A6), "Enter Sheet", IF($M6 &gt; minFiringRate, IF(ISNUMBER(INDIRECT($A6&amp;"!"&amp;AV$4)), INDIRECT($A6&amp;"!"&amp;AV$4), "NA"), "NA"))</f>
        <v>Enter Sheet</v>
      </c>
      <c r="AW6" s="63" t="str" cm="1">
        <f t="array" aca="1" ref="AW6" ca="1">IF(ISBLANK($A6), "Enter Sheet", IF($M6 &gt; minFiringRate, IF(ISNUMBER(INDIRECT($A6&amp;"!"&amp;AW$4)), INDIRECT($A6&amp;"!"&amp;AW$4), "NA"), "NA"))</f>
        <v>Enter Sheet</v>
      </c>
      <c r="AX6" s="63" t="str" cm="1">
        <f t="array" aca="1" ref="AX6" ca="1">IF(ISBLANK($A6), "Enter Sheet", IF($M6 &gt; minFiringRate, IF(ISNUMBER(INDIRECT($A6&amp;"!"&amp;AX$4)), INDIRECT($A6&amp;"!"&amp;AX$4), "NA"), "NA"))</f>
        <v>Enter Sheet</v>
      </c>
      <c r="AY6" s="63" t="str" cm="1">
        <f t="array" aca="1" ref="AY6" ca="1">IF(ISBLANK($A6), "Enter Sheet", IF($M6 &gt; minFiringRate, IF(ISNUMBER(INDIRECT($A6&amp;"!"&amp;AY$4)), INDIRECT($A6&amp;"!"&amp;AY$4), "NA"), "NA"))</f>
        <v>Enter Sheet</v>
      </c>
      <c r="AZ6" s="63" t="str" cm="1">
        <f t="array" aca="1" ref="AZ6" ca="1">IF(ISBLANK($A6), "Enter Sheet", IF($M6 &gt; minFiringRate, IF(ISNUMBER(INDIRECT($A6&amp;"!"&amp;AZ$4)), INDIRECT($A6&amp;"!"&amp;AZ$4), "NA"), "NA"))</f>
        <v>Enter Sheet</v>
      </c>
      <c r="BA6" s="63" t="str" cm="1">
        <f t="array" aca="1" ref="BA6" ca="1">IF(ISBLANK($A6), "Enter Sheet", IF($M6 &gt; minFiringRate, IF(ISNUMBER(INDIRECT($A6&amp;"!"&amp;BA$4)), INDIRECT($A6&amp;"!"&amp;BA$4), "NA"), "NA"))</f>
        <v>Enter Sheet</v>
      </c>
      <c r="BB6" s="63" t="str" cm="1">
        <f t="array" aca="1" ref="BB6" ca="1">IF(ISBLANK($A6), "Enter Sheet", IF($M6 &gt; minFiringRate, IF(ISNUMBER(INDIRECT($A6&amp;"!"&amp;BB$4)), INDIRECT($A6&amp;"!"&amp;BB$4), "NA"), "NA"))</f>
        <v>Enter Sheet</v>
      </c>
      <c r="BC6" s="63" t="str" cm="1">
        <f t="array" aca="1" ref="BC6" ca="1">IF(ISBLANK($A6), "Enter Sheet", IF($M6 &gt; minFiringRate, IF(ISNUMBER(INDIRECT($A6&amp;"!"&amp;BC$4)), INDIRECT($A6&amp;"!"&amp;BC$4), "NA"), "NA"))</f>
        <v>Enter Sheet</v>
      </c>
      <c r="BD6" s="63" t="str" cm="1">
        <f t="array" aca="1" ref="BD6" ca="1">IF(ISBLANK($A6), "Enter Sheet", IF($M6 &gt; minFiringRate, IF(ISNUMBER(INDIRECT($A6&amp;"!"&amp;BD$4)), INDIRECT($A6&amp;"!"&amp;BD$4), "NA"), "NA"))</f>
        <v>Enter Sheet</v>
      </c>
      <c r="BE6" s="135" t="str" cm="1">
        <f t="array" aca="1" ref="BE6" ca="1">IF(ISBLANK($A6), "Enter Sheet", IF(INDIRECT($A6&amp;"!Senktide_Analysis"), IF($N6 &gt; minFiringRate, IF(ISNUMBER(INDIRECT($A6&amp;"!"&amp;BE$4)), INDIRECT($A6&amp;"!"&amp;BE$4), "NA"), "NA"), "NA"))</f>
        <v>Enter Sheet</v>
      </c>
      <c r="BF6" s="136" t="str" cm="1">
        <f t="array" aca="1" ref="BF6" ca="1">IF(ISBLANK($A6), "Enter Sheet", IF(INDIRECT($A6&amp;"!Senktide_Analysis"), IF($N6 &gt; minFiringRate, IF(ISNUMBER(INDIRECT($A6&amp;"!"&amp;BF$4)), INDIRECT($A6&amp;"!"&amp;BF$4), "NA"), "NA"), "NA"))</f>
        <v>Enter Sheet</v>
      </c>
      <c r="BG6" s="136" t="str" cm="1">
        <f t="array" aca="1" ref="BG6" ca="1">IF(ISBLANK($A6), "Enter Sheet", IF(INDIRECT($A6&amp;"!Senktide_Analysis"), IF($N6 &gt; minFiringRate, IF(ISNUMBER(INDIRECT($A6&amp;"!"&amp;BG$4)), INDIRECT($A6&amp;"!"&amp;BG$4), "NA"), "NA"), "NA"))</f>
        <v>Enter Sheet</v>
      </c>
      <c r="BH6" s="136" t="str" cm="1">
        <f t="array" aca="1" ref="BH6" ca="1">IF(ISBLANK($A6), "Enter Sheet", IF(INDIRECT($A6&amp;"!Senktide_Analysis"), IF($N6 &gt; minFiringRate, IF(ISNUMBER(INDIRECT($A6&amp;"!"&amp;BH$4)), INDIRECT($A6&amp;"!"&amp;BH$4), "NA"), "NA"), "NA"))</f>
        <v>Enter Sheet</v>
      </c>
      <c r="BI6" s="136" t="str" cm="1">
        <f t="array" aca="1" ref="BI6" ca="1">IF(ISBLANK($A6), "Enter Sheet", IF(INDIRECT($A6&amp;"!Senktide_Analysis"), IF($N6 &gt; minFiringRate, IF(ISNUMBER(INDIRECT($A6&amp;"!"&amp;BI$4)), INDIRECT($A6&amp;"!"&amp;BI$4), "NA"), "NA"), "NA"))</f>
        <v>Enter Sheet</v>
      </c>
      <c r="BJ6" s="136" t="str" cm="1">
        <f t="array" aca="1" ref="BJ6" ca="1">IF(ISBLANK($A6), "Enter Sheet", IF(INDIRECT($A6&amp;"!Senktide_Analysis"), IF($N6 &gt; minFiringRate, IF(ISNUMBER(INDIRECT($A6&amp;"!"&amp;BJ$4)), INDIRECT($A6&amp;"!"&amp;BJ$4), "NA"), "NA"), "NA"))</f>
        <v>Enter Sheet</v>
      </c>
      <c r="BK6" s="136" t="str" cm="1">
        <f t="array" aca="1" ref="BK6" ca="1">IF(ISBLANK($A6), "Enter Sheet", IF(INDIRECT($A6&amp;"!Senktide_Analysis"), IF($N6 &gt; minFiringRate, IF(ISNUMBER(INDIRECT($A6&amp;"!"&amp;BK$4)), INDIRECT($A6&amp;"!"&amp;BK$4), "NA"), "NA"), "NA"))</f>
        <v>Enter Sheet</v>
      </c>
      <c r="BL6" s="136" t="str" cm="1">
        <f t="array" aca="1" ref="BL6" ca="1">IF(ISBLANK($A6), "Enter Sheet", IF(INDIRECT($A6&amp;"!Senktide_Analysis"), IF($N6 &gt; minFiringRate, IF(ISNUMBER(INDIRECT($A6&amp;"!"&amp;BL$4)), INDIRECT($A6&amp;"!"&amp;BL$4), "NA"), "NA"), "NA"))</f>
        <v>Enter Sheet</v>
      </c>
      <c r="BM6" s="136" t="str" cm="1">
        <f t="array" aca="1" ref="BM6" ca="1">IF(ISBLANK($A6), "Enter Sheet", IF(INDIRECT($A6&amp;"!Senktide_Analysis"), IF($N6 &gt; minFiringRate, IF(ISNUMBER(INDIRECT($A6&amp;"!"&amp;BM$4)), INDIRECT($A6&amp;"!"&amp;BM$4), "NA"), "NA"), "NA"))</f>
        <v>Enter Sheet</v>
      </c>
      <c r="BN6" s="136" t="str" cm="1">
        <f t="array" aca="1" ref="BN6" ca="1">IF(ISBLANK($A6), "Enter Sheet", IF(INDIRECT($A6&amp;"!Senktide_Analysis"), IF($N6 &gt; minFiringRate, IF(ISNUMBER(INDIRECT($A6&amp;"!"&amp;BN$4)), INDIRECT($A6&amp;"!"&amp;BN$4), "NA"), "NA"), "NA"))</f>
        <v>Enter Sheet</v>
      </c>
      <c r="BO6" s="138" t="str" cm="1">
        <f t="array" aca="1" ref="BO6" ca="1">IF(ISBLANK($A6), "Enter Sheet", IF($M6 &gt; minFiringRate, IF(SUM(INDIRECT($A6 &amp; "!AL3:AL102")) &gt; 0, INDIRECT($A6&amp;"!AL"&amp;BO$3), "NA"), "NA"))</f>
        <v>Enter Sheet</v>
      </c>
      <c r="BP6" s="138" t="str" cm="1">
        <f t="array" aca="1" ref="BP6" ca="1">IF(ISBLANK($A6), "Enter Sheet", IF($M6 &gt; minFiringRate, IF(SUM(INDIRECT($A6 &amp; "!AL3:AL102")) &gt; 0, INDIRECT($A6&amp;"!AL"&amp;BP$3), "NA"), "NA"))</f>
        <v>Enter Sheet</v>
      </c>
      <c r="BQ6" s="138" t="str" cm="1">
        <f t="array" aca="1" ref="BQ6" ca="1">IF(ISBLANK($A6), "Enter Sheet", IF($M6 &gt; minFiringRate, IF(SUM(INDIRECT($A6 &amp; "!AL3:AL102")) &gt; 0, INDIRECT($A6&amp;"!AL"&amp;BQ$3), "NA"), "NA"))</f>
        <v>Enter Sheet</v>
      </c>
      <c r="BR6" s="161" t="str" cm="1">
        <f t="array" aca="1" ref="BR6" ca="1">IF(ISBLANK($A6), "Enter Sheet", IF($M6 &gt; minFiringRate, IF(SUM(INDIRECT($A6 &amp; "!AL3:AL102")) &gt; 0, INDIRECT($A6&amp;"!AL"&amp;BR$3), "NA"), "NA"))</f>
        <v>Enter Sheet</v>
      </c>
      <c r="BS6" s="161" t="str" cm="1">
        <f t="array" aca="1" ref="BS6" ca="1">IF(ISBLANK($A6), "Enter Sheet", IF($M6 &gt; minFiringRate, IF(SUM(INDIRECT($A6 &amp; "!AL3:AL102")) &gt; 0, INDIRECT($A6&amp;"!AL"&amp;BS$3), "NA"), "NA"))</f>
        <v>Enter Sheet</v>
      </c>
      <c r="BT6" s="161" t="str" cm="1">
        <f t="array" aca="1" ref="BT6" ca="1">IF(ISBLANK($A6), "Enter Sheet", IF($M6 &gt; minFiringRate, IF(SUM(INDIRECT($A6 &amp; "!AL3:AL102")) &gt; 0, INDIRECT($A6&amp;"!AL"&amp;BT$3), "NA"), "NA"))</f>
        <v>Enter Sheet</v>
      </c>
      <c r="BU6" s="161" t="str" cm="1">
        <f t="array" aca="1" ref="BU6" ca="1">IF(ISBLANK($A6), "Enter Sheet", IF($M6 &gt; minFiringRate, IF(SUM(INDIRECT($A6 &amp; "!AL3:AL102")) &gt; 0, INDIRECT($A6&amp;"!AL"&amp;BU$3), "NA"), "NA"))</f>
        <v>Enter Sheet</v>
      </c>
      <c r="BV6" s="161" t="str" cm="1">
        <f t="array" aca="1" ref="BV6" ca="1">IF(ISBLANK($A6), "Enter Sheet", IF($M6 &gt; minFiringRate, IF(SUM(INDIRECT($A6 &amp; "!AL3:AL102")) &gt; 0, INDIRECT($A6&amp;"!AL"&amp;BV$3), "NA"), "NA"))</f>
        <v>Enter Sheet</v>
      </c>
      <c r="BW6" s="161" t="str" cm="1">
        <f t="array" aca="1" ref="BW6" ca="1">IF(ISBLANK($A6), "Enter Sheet", IF($M6 &gt; minFiringRate, IF(SUM(INDIRECT($A6 &amp; "!AL3:AL102")) &gt; 0, INDIRECT($A6&amp;"!AL"&amp;BW$3), "NA"), "NA"))</f>
        <v>Enter Sheet</v>
      </c>
      <c r="BX6" s="161" t="str" cm="1">
        <f t="array" aca="1" ref="BX6" ca="1">IF(ISBLANK($A6), "Enter Sheet", IF($M6 &gt; minFiringRate, IF(SUM(INDIRECT($A6 &amp; "!AL3:AL102")) &gt; 0, INDIRECT($A6&amp;"!AL"&amp;BX$3), "NA"), "NA"))</f>
        <v>Enter Sheet</v>
      </c>
      <c r="BY6" s="161" t="str" cm="1">
        <f t="array" aca="1" ref="BY6" ca="1">IF(ISBLANK($A6), "Enter Sheet", IF($M6 &gt; minFiringRate, IF(SUM(INDIRECT($A6 &amp; "!AL3:AL102")) &gt; 0, INDIRECT($A6&amp;"!AL"&amp;BY$3), "NA"), "NA"))</f>
        <v>Enter Sheet</v>
      </c>
      <c r="BZ6" s="161" t="str" cm="1">
        <f t="array" aca="1" ref="BZ6" ca="1">IF(ISBLANK($A6), "Enter Sheet", IF($M6 &gt; minFiringRate, IF(SUM(INDIRECT($A6 &amp; "!AL3:AL102")) &gt; 0, INDIRECT($A6&amp;"!AL"&amp;BZ$3), "NA"), "NA"))</f>
        <v>Enter Sheet</v>
      </c>
      <c r="CA6" s="161" t="str" cm="1">
        <f t="array" aca="1" ref="CA6" ca="1">IF(ISBLANK($A6), "Enter Sheet", IF($M6 &gt; minFiringRate, IF(SUM(INDIRECT($A6 &amp; "!AL3:AL102")) &gt; 0, INDIRECT($A6&amp;"!AL"&amp;CA$3), "NA"), "NA"))</f>
        <v>Enter Sheet</v>
      </c>
      <c r="CB6" s="161" t="str" cm="1">
        <f t="array" aca="1" ref="CB6" ca="1">IF(ISBLANK($A6), "Enter Sheet", IF($M6 &gt; minFiringRate, IF(SUM(INDIRECT($A6 &amp; "!AL3:AL102")) &gt; 0, INDIRECT($A6&amp;"!AL"&amp;CB$3), "NA"), "NA"))</f>
        <v>Enter Sheet</v>
      </c>
      <c r="CC6" s="161" t="str" cm="1">
        <f t="array" aca="1" ref="CC6" ca="1">IF(ISBLANK($A6), "Enter Sheet", IF($M6 &gt; minFiringRate, IF(SUM(INDIRECT($A6 &amp; "!AL3:AL102")) &gt; 0, INDIRECT($A6&amp;"!AL"&amp;CC$3), "NA"), "NA"))</f>
        <v>Enter Sheet</v>
      </c>
      <c r="CD6" s="161" t="str" cm="1">
        <f t="array" aca="1" ref="CD6" ca="1">IF(ISBLANK($A6), "Enter Sheet", IF($M6 &gt; minFiringRate, IF(SUM(INDIRECT($A6 &amp; "!AL3:AL102")) &gt; 0, INDIRECT($A6&amp;"!AL"&amp;CD$3), "NA"), "NA"))</f>
        <v>Enter Sheet</v>
      </c>
      <c r="CE6" s="161" t="str" cm="1">
        <f t="array" aca="1" ref="CE6" ca="1">IF(ISBLANK($A6), "Enter Sheet", IF($M6 &gt; minFiringRate, IF(SUM(INDIRECT($A6 &amp; "!AL3:AL102")) &gt; 0, INDIRECT($A6&amp;"!AL"&amp;CE$3), "NA"), "NA"))</f>
        <v>Enter Sheet</v>
      </c>
      <c r="CF6" s="161" t="str" cm="1">
        <f t="array" aca="1" ref="CF6" ca="1">IF(ISBLANK($A6), "Enter Sheet", IF($M6 &gt; minFiringRate, IF(SUM(INDIRECT($A6 &amp; "!AL3:AL102")) &gt; 0, INDIRECT($A6&amp;"!AL"&amp;CF$3), "NA"), "NA"))</f>
        <v>Enter Sheet</v>
      </c>
      <c r="CG6" s="161" t="str" cm="1">
        <f t="array" aca="1" ref="CG6" ca="1">IF(ISBLANK($A6), "Enter Sheet", IF($M6 &gt; minFiringRate, IF(SUM(INDIRECT($A6 &amp; "!AL3:AL102")) &gt; 0, INDIRECT($A6&amp;"!AL"&amp;CG$3), "NA"), "NA"))</f>
        <v>Enter Sheet</v>
      </c>
      <c r="CH6" s="161" t="str" cm="1">
        <f t="array" aca="1" ref="CH6" ca="1">IF(ISBLANK($A6), "Enter Sheet", IF($M6 &gt; minFiringRate, IF(SUM(INDIRECT($A6 &amp; "!AL3:AL102")) &gt; 0, INDIRECT($A6&amp;"!AL"&amp;CH$3), "NA"), "NA"))</f>
        <v>Enter Sheet</v>
      </c>
      <c r="CI6" s="161" t="str" cm="1">
        <f t="array" aca="1" ref="CI6" ca="1">IF(ISBLANK($A6), "Enter Sheet", IF($M6 &gt; minFiringRate, IF(SUM(INDIRECT($A6 &amp; "!AL3:AL102")) &gt; 0, INDIRECT($A6&amp;"!AL"&amp;CI$3), "NA"), "NA"))</f>
        <v>Enter Sheet</v>
      </c>
      <c r="CJ6" s="161" t="str" cm="1">
        <f t="array" aca="1" ref="CJ6" ca="1">IF(ISBLANK($A6), "Enter Sheet", IF($M6 &gt; minFiringRate, IF(SUM(INDIRECT($A6 &amp; "!AL3:AL102")) &gt; 0, INDIRECT($A6&amp;"!AL"&amp;CJ$3), "NA"), "NA"))</f>
        <v>Enter Sheet</v>
      </c>
      <c r="CK6" s="161" t="str" cm="1">
        <f t="array" aca="1" ref="CK6" ca="1">IF(ISBLANK($A6), "Enter Sheet", IF($M6 &gt; minFiringRate, IF(SUM(INDIRECT($A6 &amp; "!AL3:AL102")) &gt; 0, INDIRECT($A6&amp;"!AL"&amp;CK$3), "NA"), "NA"))</f>
        <v>Enter Sheet</v>
      </c>
      <c r="CL6" s="161" t="str" cm="1">
        <f t="array" aca="1" ref="CL6" ca="1">IF(ISBLANK($A6), "Enter Sheet", IF($M6 &gt; minFiringRate, IF(SUM(INDIRECT($A6 &amp; "!AL3:AL102")) &gt; 0, INDIRECT($A6&amp;"!AL"&amp;CL$3), "NA"), "NA"))</f>
        <v>Enter Sheet</v>
      </c>
      <c r="CM6" s="161" t="str" cm="1">
        <f t="array" aca="1" ref="CM6" ca="1">IF(ISBLANK($A6), "Enter Sheet", IF($M6 &gt; minFiringRate, IF(SUM(INDIRECT($A6 &amp; "!AL3:AL102")) &gt; 0, INDIRECT($A6&amp;"!AL"&amp;CM$3), "NA"), "NA"))</f>
        <v>Enter Sheet</v>
      </c>
      <c r="CN6" s="161" t="str" cm="1">
        <f t="array" aca="1" ref="CN6" ca="1">IF(ISBLANK($A6), "Enter Sheet", IF($M6 &gt; minFiringRate, IF(SUM(INDIRECT($A6 &amp; "!AL3:AL102")) &gt; 0, INDIRECT($A6&amp;"!AL"&amp;CN$3), "NA"), "NA"))</f>
        <v>Enter Sheet</v>
      </c>
      <c r="CO6" s="161" t="str" cm="1">
        <f t="array" aca="1" ref="CO6" ca="1">IF(ISBLANK($A6), "Enter Sheet", IF($M6 &gt; minFiringRate, IF(SUM(INDIRECT($A6 &amp; "!AL3:AL102")) &gt; 0, INDIRECT($A6&amp;"!AL"&amp;CO$3), "NA"), "NA"))</f>
        <v>Enter Sheet</v>
      </c>
      <c r="CP6" s="161" t="str" cm="1">
        <f t="array" aca="1" ref="CP6" ca="1">IF(ISBLANK($A6), "Enter Sheet", IF($M6 &gt; minFiringRate, IF(SUM(INDIRECT($A6 &amp; "!AL3:AL102")) &gt; 0, INDIRECT($A6&amp;"!AL"&amp;CP$3), "NA"), "NA"))</f>
        <v>Enter Sheet</v>
      </c>
      <c r="CQ6" s="161" t="str" cm="1">
        <f t="array" aca="1" ref="CQ6" ca="1">IF(ISBLANK($A6), "Enter Sheet", IF($M6 &gt; minFiringRate, IF(SUM(INDIRECT($A6 &amp; "!AL3:AL102")) &gt; 0, INDIRECT($A6&amp;"!AL"&amp;CQ$3), "NA"), "NA"))</f>
        <v>Enter Sheet</v>
      </c>
      <c r="CR6" s="161" t="str" cm="1">
        <f t="array" aca="1" ref="CR6" ca="1">IF(ISBLANK($A6), "Enter Sheet", IF($M6 &gt; minFiringRate, IF(SUM(INDIRECT($A6 &amp; "!AL3:AL102")) &gt; 0, INDIRECT($A6&amp;"!AL"&amp;CR$3), "NA"), "NA"))</f>
        <v>Enter Sheet</v>
      </c>
      <c r="CS6" s="161" t="str" cm="1">
        <f t="array" aca="1" ref="CS6" ca="1">IF(ISBLANK($A6), "Enter Sheet", IF($M6 &gt; minFiringRate, IF(SUM(INDIRECT($A6 &amp; "!AL3:AL102")) &gt; 0, INDIRECT($A6&amp;"!AL"&amp;CS$3), "NA"), "NA"))</f>
        <v>Enter Sheet</v>
      </c>
      <c r="CT6" s="161" t="str" cm="1">
        <f t="array" aca="1" ref="CT6" ca="1">IF(ISBLANK($A6), "Enter Sheet", IF($M6 &gt; minFiringRate, IF(SUM(INDIRECT($A6 &amp; "!AL3:AL102")) &gt; 0, INDIRECT($A6&amp;"!AL"&amp;CT$3), "NA"), "NA"))</f>
        <v>Enter Sheet</v>
      </c>
      <c r="CU6" s="161" t="str" cm="1">
        <f t="array" aca="1" ref="CU6" ca="1">IF(ISBLANK($A6), "Enter Sheet", IF($M6 &gt; minFiringRate, IF(SUM(INDIRECT($A6 &amp; "!AL3:AL102")) &gt; 0, INDIRECT($A6&amp;"!AL"&amp;CU$3), "NA"), "NA"))</f>
        <v>Enter Sheet</v>
      </c>
      <c r="CV6" s="161" t="str" cm="1">
        <f t="array" aca="1" ref="CV6" ca="1">IF(ISBLANK($A6), "Enter Sheet", IF($M6 &gt; minFiringRate, IF(SUM(INDIRECT($A6 &amp; "!AL3:AL102")) &gt; 0, INDIRECT($A6&amp;"!AL"&amp;CV$3), "NA"), "NA"))</f>
        <v>Enter Sheet</v>
      </c>
      <c r="CW6" s="161" t="str" cm="1">
        <f t="array" aca="1" ref="CW6" ca="1">IF(ISBLANK($A6), "Enter Sheet", IF($M6 &gt; minFiringRate, IF(SUM(INDIRECT($A6 &amp; "!AL3:AL102")) &gt; 0, INDIRECT($A6&amp;"!AL"&amp;CW$3), "NA"), "NA"))</f>
        <v>Enter Sheet</v>
      </c>
      <c r="CX6" s="161" t="str" cm="1">
        <f t="array" aca="1" ref="CX6" ca="1">IF(ISBLANK($A6), "Enter Sheet", IF($M6 &gt; minFiringRate, IF(SUM(INDIRECT($A6 &amp; "!AL3:AL102")) &gt; 0, INDIRECT($A6&amp;"!AL"&amp;CX$3), "NA"), "NA"))</f>
        <v>Enter Sheet</v>
      </c>
      <c r="CY6" s="161" t="str" cm="1">
        <f t="array" aca="1" ref="CY6" ca="1">IF(ISBLANK($A6), "Enter Sheet", IF($M6 &gt; minFiringRate, IF(SUM(INDIRECT($A6 &amp; "!AL3:AL102")) &gt; 0, INDIRECT($A6&amp;"!AL"&amp;CY$3), "NA"), "NA"))</f>
        <v>Enter Sheet</v>
      </c>
      <c r="CZ6" s="161" t="str" cm="1">
        <f t="array" aca="1" ref="CZ6" ca="1">IF(ISBLANK($A6), "Enter Sheet", IF($M6 &gt; minFiringRate, IF(SUM(INDIRECT($A6 &amp; "!AL3:AL102")) &gt; 0, INDIRECT($A6&amp;"!AL"&amp;CZ$3), "NA"), "NA"))</f>
        <v>Enter Sheet</v>
      </c>
      <c r="DA6" s="161" t="str" cm="1">
        <f t="array" aca="1" ref="DA6" ca="1">IF(ISBLANK($A6), "Enter Sheet", IF($M6 &gt; minFiringRate, IF(SUM(INDIRECT($A6 &amp; "!AL3:AL102")) &gt; 0, INDIRECT($A6&amp;"!AL"&amp;DA$3), "NA"), "NA"))</f>
        <v>Enter Sheet</v>
      </c>
      <c r="DB6" s="161" t="str" cm="1">
        <f t="array" aca="1" ref="DB6" ca="1">IF(ISBLANK($A6), "Enter Sheet", IF($M6 &gt; minFiringRate, IF(SUM(INDIRECT($A6 &amp; "!AL3:AL102")) &gt; 0, INDIRECT($A6&amp;"!AL"&amp;DB$3), "NA"), "NA"))</f>
        <v>Enter Sheet</v>
      </c>
      <c r="DC6" s="161" t="str" cm="1">
        <f t="array" aca="1" ref="DC6" ca="1">IF(ISBLANK($A6), "Enter Sheet", IF($M6 &gt; minFiringRate, IF(SUM(INDIRECT($A6 &amp; "!AL3:AL102")) &gt; 0, INDIRECT($A6&amp;"!AL"&amp;DC$3), "NA"), "NA"))</f>
        <v>Enter Sheet</v>
      </c>
      <c r="DD6" s="161" t="str" cm="1">
        <f t="array" aca="1" ref="DD6" ca="1">IF(ISBLANK($A6), "Enter Sheet", IF($M6 &gt; minFiringRate, IF(SUM(INDIRECT($A6 &amp; "!AL3:AL102")) &gt; 0, INDIRECT($A6&amp;"!AL"&amp;DD$3), "NA"), "NA"))</f>
        <v>Enter Sheet</v>
      </c>
      <c r="DE6" s="161" t="str" cm="1">
        <f t="array" aca="1" ref="DE6" ca="1">IF(ISBLANK($A6), "Enter Sheet", IF($M6 &gt; minFiringRate, IF(SUM(INDIRECT($A6 &amp; "!AL3:AL102")) &gt; 0, INDIRECT($A6&amp;"!AL"&amp;DE$3), "NA"), "NA"))</f>
        <v>Enter Sheet</v>
      </c>
      <c r="DF6" s="161" t="str" cm="1">
        <f t="array" aca="1" ref="DF6" ca="1">IF(ISBLANK($A6), "Enter Sheet", IF($M6 &gt; minFiringRate, IF(SUM(INDIRECT($A6 &amp; "!AL3:AL102")) &gt; 0, INDIRECT($A6&amp;"!AL"&amp;DF$3), "NA"), "NA"))</f>
        <v>Enter Sheet</v>
      </c>
      <c r="DG6" s="161" t="str" cm="1">
        <f t="array" aca="1" ref="DG6" ca="1">IF(ISBLANK($A6), "Enter Sheet", IF($M6 &gt; minFiringRate, IF(SUM(INDIRECT($A6 &amp; "!AL3:AL102")) &gt; 0, INDIRECT($A6&amp;"!AL"&amp;DG$3), "NA"), "NA"))</f>
        <v>Enter Sheet</v>
      </c>
      <c r="DH6" s="161" t="str" cm="1">
        <f t="array" aca="1" ref="DH6" ca="1">IF(ISBLANK($A6), "Enter Sheet", IF($M6 &gt; minFiringRate, IF(SUM(INDIRECT($A6 &amp; "!AL3:AL102")) &gt; 0, INDIRECT($A6&amp;"!AL"&amp;DH$3), "NA"), "NA"))</f>
        <v>Enter Sheet</v>
      </c>
      <c r="DI6" s="161" t="str" cm="1">
        <f t="array" aca="1" ref="DI6" ca="1">IF(ISBLANK($A6), "Enter Sheet", IF($M6 &gt; minFiringRate, IF(SUM(INDIRECT($A6 &amp; "!AL3:AL102")) &gt; 0, INDIRECT($A6&amp;"!AL"&amp;DI$3), "NA"), "NA"))</f>
        <v>Enter Sheet</v>
      </c>
      <c r="DJ6" s="161" t="str" cm="1">
        <f t="array" aca="1" ref="DJ6" ca="1">IF(ISBLANK($A6), "Enter Sheet", IF($M6 &gt; minFiringRate, IF(SUM(INDIRECT($A6 &amp; "!AL3:AL102")) &gt; 0, INDIRECT($A6&amp;"!AL"&amp;DJ$3), "NA"), "NA"))</f>
        <v>Enter Sheet</v>
      </c>
      <c r="DK6" s="161" t="str" cm="1">
        <f t="array" aca="1" ref="DK6" ca="1">IF(ISBLANK($A6), "Enter Sheet", IF($M6 &gt; minFiringRate, IF(SUM(INDIRECT($A6 &amp; "!AL3:AL102")) &gt; 0, INDIRECT($A6&amp;"!AL"&amp;DK$3), "NA"), "NA"))</f>
        <v>Enter Sheet</v>
      </c>
      <c r="DL6" s="161" t="str" cm="1">
        <f t="array" aca="1" ref="DL6" ca="1">IF(ISBLANK($A6), "Enter Sheet", IF($M6 &gt; minFiringRate, IF(SUM(INDIRECT($A6 &amp; "!AL3:AL102")) &gt; 0, INDIRECT($A6&amp;"!AL"&amp;DL$3), "NA"), "NA"))</f>
        <v>Enter Sheet</v>
      </c>
      <c r="DM6" s="161" t="str" cm="1">
        <f t="array" aca="1" ref="DM6" ca="1">IF(ISBLANK($A6), "Enter Sheet", IF($M6 &gt; minFiringRate, IF(SUM(INDIRECT($A6 &amp; "!AL3:AL102")) &gt; 0, INDIRECT($A6&amp;"!AL"&amp;DM$3), "NA"), "NA"))</f>
        <v>Enter Sheet</v>
      </c>
      <c r="DN6" s="161" t="str" cm="1">
        <f t="array" aca="1" ref="DN6" ca="1">IF(ISBLANK($A6), "Enter Sheet", IF($M6 &gt; minFiringRate, IF(SUM(INDIRECT($A6 &amp; "!AL3:AL102")) &gt; 0, INDIRECT($A6&amp;"!AL"&amp;DN$3), "NA"), "NA"))</f>
        <v>Enter Sheet</v>
      </c>
      <c r="DO6" s="161" t="str" cm="1">
        <f t="array" aca="1" ref="DO6" ca="1">IF(ISBLANK($A6), "Enter Sheet", IF($M6 &gt; minFiringRate, IF(SUM(INDIRECT($A6 &amp; "!AL3:AL102")) &gt; 0, INDIRECT($A6&amp;"!AL"&amp;DO$3), "NA"), "NA"))</f>
        <v>Enter Sheet</v>
      </c>
      <c r="DP6" s="161" t="str" cm="1">
        <f t="array" aca="1" ref="DP6" ca="1">IF(ISBLANK($A6), "Enter Sheet", IF($M6 &gt; minFiringRate, IF(SUM(INDIRECT($A6 &amp; "!AL3:AL102")) &gt; 0, INDIRECT($A6&amp;"!AL"&amp;DP$3), "NA"), "NA"))</f>
        <v>Enter Sheet</v>
      </c>
      <c r="DQ6" s="161" t="str" cm="1">
        <f t="array" aca="1" ref="DQ6" ca="1">IF(ISBLANK($A6), "Enter Sheet", IF($M6 &gt; minFiringRate, IF(SUM(INDIRECT($A6 &amp; "!AL3:AL102")) &gt; 0, INDIRECT($A6&amp;"!AL"&amp;DQ$3), "NA"), "NA"))</f>
        <v>Enter Sheet</v>
      </c>
      <c r="DR6" s="161" t="str" cm="1">
        <f t="array" aca="1" ref="DR6" ca="1">IF(ISBLANK($A6), "Enter Sheet", IF($M6 &gt; minFiringRate, IF(SUM(INDIRECT($A6 &amp; "!AL3:AL102")) &gt; 0, INDIRECT($A6&amp;"!AL"&amp;DR$3), "NA"), "NA"))</f>
        <v>Enter Sheet</v>
      </c>
      <c r="DS6" s="161" t="str" cm="1">
        <f t="array" aca="1" ref="DS6" ca="1">IF(ISBLANK($A6), "Enter Sheet", IF($M6 &gt; minFiringRate, IF(SUM(INDIRECT($A6 &amp; "!AL3:AL102")) &gt; 0, INDIRECT($A6&amp;"!AL"&amp;DS$3), "NA"), "NA"))</f>
        <v>Enter Sheet</v>
      </c>
      <c r="DT6" s="161" t="str" cm="1">
        <f t="array" aca="1" ref="DT6" ca="1">IF(ISBLANK($A6), "Enter Sheet", IF($M6 &gt; minFiringRate, IF(SUM(INDIRECT($A6 &amp; "!AL3:AL102")) &gt; 0, INDIRECT($A6&amp;"!AL"&amp;DT$3), "NA"), "NA"))</f>
        <v>Enter Sheet</v>
      </c>
      <c r="DU6" s="161" t="str" cm="1">
        <f t="array" aca="1" ref="DU6" ca="1">IF(ISBLANK($A6), "Enter Sheet", IF($M6 &gt; minFiringRate, IF(SUM(INDIRECT($A6 &amp; "!AL3:AL102")) &gt; 0, INDIRECT($A6&amp;"!AL"&amp;DU$3), "NA"), "NA"))</f>
        <v>Enter Sheet</v>
      </c>
      <c r="DV6" s="161" t="str" cm="1">
        <f t="array" aca="1" ref="DV6" ca="1">IF(ISBLANK($A6), "Enter Sheet", IF($M6 &gt; minFiringRate, IF(SUM(INDIRECT($A6 &amp; "!AL3:AL102")) &gt; 0, INDIRECT($A6&amp;"!AL"&amp;DV$3), "NA"), "NA"))</f>
        <v>Enter Sheet</v>
      </c>
      <c r="DW6" s="161" t="str" cm="1">
        <f t="array" aca="1" ref="DW6" ca="1">IF(ISBLANK($A6), "Enter Sheet", IF($M6 &gt; minFiringRate, IF(SUM(INDIRECT($A6 &amp; "!AL3:AL102")) &gt; 0, INDIRECT($A6&amp;"!AL"&amp;DW$3), "NA"), "NA"))</f>
        <v>Enter Sheet</v>
      </c>
      <c r="DX6" s="161" t="str" cm="1">
        <f t="array" aca="1" ref="DX6" ca="1">IF(ISBLANK($A6), "Enter Sheet", IF($M6 &gt; minFiringRate, IF(SUM(INDIRECT($A6 &amp; "!AL3:AL102")) &gt; 0, INDIRECT($A6&amp;"!AL"&amp;DX$3), "NA"), "NA"))</f>
        <v>Enter Sheet</v>
      </c>
      <c r="DY6" s="161" t="str" cm="1">
        <f t="array" aca="1" ref="DY6" ca="1">IF(ISBLANK($A6), "Enter Sheet", IF($M6 &gt; minFiringRate, IF(SUM(INDIRECT($A6 &amp; "!AL3:AL102")) &gt; 0, INDIRECT($A6&amp;"!AL"&amp;DY$3), "NA"), "NA"))</f>
        <v>Enter Sheet</v>
      </c>
      <c r="DZ6" s="161" t="str" cm="1">
        <f t="array" aca="1" ref="DZ6" ca="1">IF(ISBLANK($A6), "Enter Sheet", IF($M6 &gt; minFiringRate, IF(SUM(INDIRECT($A6 &amp; "!AL3:AL102")) &gt; 0, INDIRECT($A6&amp;"!AL"&amp;DZ$3), "NA"), "NA"))</f>
        <v>Enter Sheet</v>
      </c>
      <c r="EA6" s="161" t="str" cm="1">
        <f t="array" aca="1" ref="EA6" ca="1">IF(ISBLANK($A6), "Enter Sheet", IF($M6 &gt; minFiringRate, IF(SUM(INDIRECT($A6 &amp; "!AL3:AL102")) &gt; 0, INDIRECT($A6&amp;"!AL"&amp;EA$3), "NA"), "NA"))</f>
        <v>Enter Sheet</v>
      </c>
      <c r="EB6" s="161" t="str" cm="1">
        <f t="array" aca="1" ref="EB6" ca="1">IF(ISBLANK($A6), "Enter Sheet", IF($M6 &gt; minFiringRate, IF(SUM(INDIRECT($A6 &amp; "!AL3:AL102")) &gt; 0, INDIRECT($A6&amp;"!AL"&amp;EB$3), "NA"), "NA"))</f>
        <v>Enter Sheet</v>
      </c>
      <c r="EC6" s="161" t="str" cm="1">
        <f t="array" aca="1" ref="EC6" ca="1">IF(ISBLANK($A6), "Enter Sheet", IF($M6 &gt; minFiringRate, IF(SUM(INDIRECT($A6 &amp; "!AL3:AL102")) &gt; 0, INDIRECT($A6&amp;"!AL"&amp;EC$3), "NA"), "NA"))</f>
        <v>Enter Sheet</v>
      </c>
      <c r="ED6" s="161" t="str" cm="1">
        <f t="array" aca="1" ref="ED6" ca="1">IF(ISBLANK($A6), "Enter Sheet", IF($M6 &gt; minFiringRate, IF(SUM(INDIRECT($A6 &amp; "!AL3:AL102")) &gt; 0, INDIRECT($A6&amp;"!AL"&amp;ED$3), "NA"), "NA"))</f>
        <v>Enter Sheet</v>
      </c>
      <c r="EE6" s="161" t="str" cm="1">
        <f t="array" aca="1" ref="EE6" ca="1">IF(ISBLANK($A6), "Enter Sheet", IF($M6 &gt; minFiringRate, IF(SUM(INDIRECT($A6 &amp; "!AL3:AL102")) &gt; 0, INDIRECT($A6&amp;"!AL"&amp;EE$3), "NA"), "NA"))</f>
        <v>Enter Sheet</v>
      </c>
      <c r="EF6" s="161" t="str" cm="1">
        <f t="array" aca="1" ref="EF6" ca="1">IF(ISBLANK($A6), "Enter Sheet", IF($M6 &gt; minFiringRate, IF(SUM(INDIRECT($A6 &amp; "!AL3:AL102")) &gt; 0, INDIRECT($A6&amp;"!AL"&amp;EF$3), "NA"), "NA"))</f>
        <v>Enter Sheet</v>
      </c>
      <c r="EG6" s="161" t="str" cm="1">
        <f t="array" aca="1" ref="EG6" ca="1">IF(ISBLANK($A6), "Enter Sheet", IF($M6 &gt; minFiringRate, IF(SUM(INDIRECT($A6 &amp; "!AL3:AL102")) &gt; 0, INDIRECT($A6&amp;"!AL"&amp;EG$3), "NA"), "NA"))</f>
        <v>Enter Sheet</v>
      </c>
      <c r="EH6" s="161" t="str" cm="1">
        <f t="array" aca="1" ref="EH6" ca="1">IF(ISBLANK($A6), "Enter Sheet", IF($M6 &gt; minFiringRate, IF(SUM(INDIRECT($A6 &amp; "!AL3:AL102")) &gt; 0, INDIRECT($A6&amp;"!AL"&amp;EH$3), "NA"), "NA"))</f>
        <v>Enter Sheet</v>
      </c>
      <c r="EI6" s="161" t="str" cm="1">
        <f t="array" aca="1" ref="EI6" ca="1">IF(ISBLANK($A6), "Enter Sheet", IF($M6 &gt; minFiringRate, IF(SUM(INDIRECT($A6 &amp; "!AL3:AL102")) &gt; 0, INDIRECT($A6&amp;"!AL"&amp;EI$3), "NA"), "NA"))</f>
        <v>Enter Sheet</v>
      </c>
      <c r="EJ6" s="161" t="str" cm="1">
        <f t="array" aca="1" ref="EJ6" ca="1">IF(ISBLANK($A6), "Enter Sheet", IF($M6 &gt; minFiringRate, IF(SUM(INDIRECT($A6 &amp; "!AL3:AL102")) &gt; 0, INDIRECT($A6&amp;"!AL"&amp;EJ$3), "NA"), "NA"))</f>
        <v>Enter Sheet</v>
      </c>
      <c r="EK6" s="161" t="str" cm="1">
        <f t="array" aca="1" ref="EK6" ca="1">IF(ISBLANK($A6), "Enter Sheet", IF($M6 &gt; minFiringRate, IF(SUM(INDIRECT($A6 &amp; "!AL3:AL102")) &gt; 0, INDIRECT($A6&amp;"!AL"&amp;EK$3), "NA"), "NA"))</f>
        <v>Enter Sheet</v>
      </c>
      <c r="EL6" s="161" t="str" cm="1">
        <f t="array" aca="1" ref="EL6" ca="1">IF(ISBLANK($A6), "Enter Sheet", IF($M6 &gt; minFiringRate, IF(SUM(INDIRECT($A6 &amp; "!AL3:AL102")) &gt; 0, INDIRECT($A6&amp;"!AL"&amp;EL$3), "NA"), "NA"))</f>
        <v>Enter Sheet</v>
      </c>
      <c r="EM6" s="161" t="str" cm="1">
        <f t="array" aca="1" ref="EM6" ca="1">IF(ISBLANK($A6), "Enter Sheet", IF($M6 &gt; minFiringRate, IF(SUM(INDIRECT($A6 &amp; "!AL3:AL102")) &gt; 0, INDIRECT($A6&amp;"!AL"&amp;EM$3), "NA"), "NA"))</f>
        <v>Enter Sheet</v>
      </c>
      <c r="EN6" s="161" t="str" cm="1">
        <f t="array" aca="1" ref="EN6" ca="1">IF(ISBLANK($A6), "Enter Sheet", IF($M6 &gt; minFiringRate, IF(SUM(INDIRECT($A6 &amp; "!AL3:AL102")) &gt; 0, INDIRECT($A6&amp;"!AL"&amp;EN$3), "NA"), "NA"))</f>
        <v>Enter Sheet</v>
      </c>
      <c r="EO6" s="161" t="str" cm="1">
        <f t="array" aca="1" ref="EO6" ca="1">IF(ISBLANK($A6), "Enter Sheet", IF($M6 &gt; minFiringRate, IF(SUM(INDIRECT($A6 &amp; "!AL3:AL102")) &gt; 0, INDIRECT($A6&amp;"!AL"&amp;EO$3), "NA"), "NA"))</f>
        <v>Enter Sheet</v>
      </c>
      <c r="EP6" s="161" t="str" cm="1">
        <f t="array" aca="1" ref="EP6" ca="1">IF(ISBLANK($A6), "Enter Sheet", IF($M6 &gt; minFiringRate, IF(SUM(INDIRECT($A6 &amp; "!AL3:AL102")) &gt; 0, INDIRECT($A6&amp;"!AL"&amp;EP$3), "NA"), "NA"))</f>
        <v>Enter Sheet</v>
      </c>
      <c r="EQ6" s="161" t="str" cm="1">
        <f t="array" aca="1" ref="EQ6" ca="1">IF(ISBLANK($A6), "Enter Sheet", IF($M6 &gt; minFiringRate, IF(SUM(INDIRECT($A6 &amp; "!AL3:AL102")) &gt; 0, INDIRECT($A6&amp;"!AL"&amp;EQ$3), "NA"), "NA"))</f>
        <v>Enter Sheet</v>
      </c>
      <c r="ER6" s="161" t="str" cm="1">
        <f t="array" aca="1" ref="ER6" ca="1">IF(ISBLANK($A6), "Enter Sheet", IF($M6 &gt; minFiringRate, IF(SUM(INDIRECT($A6 &amp; "!AL3:AL102")) &gt; 0, INDIRECT($A6&amp;"!AL"&amp;ER$3), "NA"), "NA"))</f>
        <v>Enter Sheet</v>
      </c>
      <c r="ES6" s="161" t="str" cm="1">
        <f t="array" aca="1" ref="ES6" ca="1">IF(ISBLANK($A6), "Enter Sheet", IF($M6 &gt; minFiringRate, IF(SUM(INDIRECT($A6 &amp; "!AL3:AL102")) &gt; 0, INDIRECT($A6&amp;"!AL"&amp;ES$3), "NA"), "NA"))</f>
        <v>Enter Sheet</v>
      </c>
      <c r="ET6" s="161" t="str" cm="1">
        <f t="array" aca="1" ref="ET6" ca="1">IF(ISBLANK($A6), "Enter Sheet", IF($M6 &gt; minFiringRate, IF(SUM(INDIRECT($A6 &amp; "!AL3:AL102")) &gt; 0, INDIRECT($A6&amp;"!AL"&amp;ET$3), "NA"), "NA"))</f>
        <v>Enter Sheet</v>
      </c>
      <c r="EU6" s="161" t="str" cm="1">
        <f t="array" aca="1" ref="EU6" ca="1">IF(ISBLANK($A6), "Enter Sheet", IF($M6 &gt; minFiringRate, IF(SUM(INDIRECT($A6 &amp; "!AL3:AL102")) &gt; 0, INDIRECT($A6&amp;"!AL"&amp;EU$3), "NA"), "NA"))</f>
        <v>Enter Sheet</v>
      </c>
      <c r="EV6" s="161" t="str" cm="1">
        <f t="array" aca="1" ref="EV6" ca="1">IF(ISBLANK($A6), "Enter Sheet", IF($M6 &gt; minFiringRate, IF(SUM(INDIRECT($A6 &amp; "!AL3:AL102")) &gt; 0, INDIRECT($A6&amp;"!AL"&amp;EV$3), "NA"), "NA"))</f>
        <v>Enter Sheet</v>
      </c>
      <c r="EW6" s="161" t="str" cm="1">
        <f t="array" aca="1" ref="EW6" ca="1">IF(ISBLANK($A6), "Enter Sheet", IF($M6 &gt; minFiringRate, IF(SUM(INDIRECT($A6 &amp; "!AL3:AL102")) &gt; 0, INDIRECT($A6&amp;"!AL"&amp;EW$3), "NA"), "NA"))</f>
        <v>Enter Sheet</v>
      </c>
      <c r="EX6" s="161" t="str" cm="1">
        <f t="array" aca="1" ref="EX6" ca="1">IF(ISBLANK($A6), "Enter Sheet", IF($M6 &gt; minFiringRate, IF(SUM(INDIRECT($A6 &amp; "!AL3:AL102")) &gt; 0, INDIRECT($A6&amp;"!AL"&amp;EX$3), "NA"), "NA"))</f>
        <v>Enter Sheet</v>
      </c>
      <c r="EY6" s="161" t="str" cm="1">
        <f t="array" aca="1" ref="EY6" ca="1">IF(ISBLANK($A6), "Enter Sheet", IF($M6 &gt; minFiringRate, IF(SUM(INDIRECT($A6 &amp; "!AL3:AL102")) &gt; 0, INDIRECT($A6&amp;"!AL"&amp;EY$3), "NA"), "NA"))</f>
        <v>Enter Sheet</v>
      </c>
      <c r="EZ6" s="161" t="str" cm="1">
        <f t="array" aca="1" ref="EZ6" ca="1">IF(ISBLANK($A6), "Enter Sheet", IF($M6 &gt; minFiringRate, IF(SUM(INDIRECT($A6 &amp; "!AL3:AL102")) &gt; 0, INDIRECT($A6&amp;"!AL"&amp;EZ$3), "NA"), "NA"))</f>
        <v>Enter Sheet</v>
      </c>
      <c r="FA6" s="161" t="str" cm="1">
        <f t="array" aca="1" ref="FA6" ca="1">IF(ISBLANK($A6), "Enter Sheet", IF($M6 &gt; minFiringRate, IF(SUM(INDIRECT($A6 &amp; "!AL3:AL102")) &gt; 0, INDIRECT($A6&amp;"!AL"&amp;FA$3), "NA"), "NA"))</f>
        <v>Enter Sheet</v>
      </c>
      <c r="FB6" s="161" t="str" cm="1">
        <f t="array" aca="1" ref="FB6" ca="1">IF(ISBLANK($A6), "Enter Sheet", IF($M6 &gt; minFiringRate, IF(SUM(INDIRECT($A6 &amp; "!AL3:AL102")) &gt; 0, INDIRECT($A6&amp;"!AL"&amp;FB$3), "NA"), "NA"))</f>
        <v>Enter Sheet</v>
      </c>
      <c r="FC6" s="161" t="str" cm="1">
        <f t="array" aca="1" ref="FC6" ca="1">IF(ISBLANK($A6), "Enter Sheet", IF($M6 &gt; minFiringRate, IF(SUM(INDIRECT($A6 &amp; "!AL3:AL102")) &gt; 0, INDIRECT($A6&amp;"!AL"&amp;FC$3), "NA"), "NA"))</f>
        <v>Enter Sheet</v>
      </c>
      <c r="FD6" s="161" t="str" cm="1">
        <f t="array" aca="1" ref="FD6" ca="1">IF(ISBLANK($A6), "Enter Sheet", IF($M6 &gt; minFiringRate, IF(SUM(INDIRECT($A6 &amp; "!AL3:AL102")) &gt; 0, INDIRECT($A6&amp;"!AL"&amp;FD$3), "NA"), "NA"))</f>
        <v>Enter Sheet</v>
      </c>
      <c r="FE6" s="161" t="str" cm="1">
        <f t="array" aca="1" ref="FE6" ca="1">IF(ISBLANK($A6), "Enter Sheet", IF($M6 &gt; minFiringRate, IF(SUM(INDIRECT($A6 &amp; "!AL3:AL102")) &gt; 0, INDIRECT($A6&amp;"!AL"&amp;FE$3), "NA"), "NA"))</f>
        <v>Enter Sheet</v>
      </c>
      <c r="FF6" s="161" t="str" cm="1">
        <f t="array" aca="1" ref="FF6" ca="1">IF(ISBLANK($A6), "Enter Sheet", IF($M6 &gt; minFiringRate, IF(SUM(INDIRECT($A6 &amp; "!AL3:AL102")) &gt; 0, INDIRECT($A6&amp;"!AL"&amp;FF$3), "NA"), "NA"))</f>
        <v>Enter Sheet</v>
      </c>
      <c r="FG6" s="161" t="str" cm="1">
        <f t="array" aca="1" ref="FG6" ca="1">IF(ISBLANK($A6), "Enter Sheet", IF($M6 &gt; minFiringRate, IF(SUM(INDIRECT($A6 &amp; "!AL3:AL102")) &gt; 0, INDIRECT($A6&amp;"!AL"&amp;FG$3), "NA"), "NA"))</f>
        <v>Enter Sheet</v>
      </c>
      <c r="FH6" s="161" t="str" cm="1">
        <f t="array" aca="1" ref="FH6" ca="1">IF(ISBLANK($A6), "Enter Sheet", IF($M6 &gt; minFiringRate, IF(SUM(INDIRECT($A6 &amp; "!AL3:AL102")) &gt; 0, INDIRECT($A6&amp;"!AL"&amp;FH$3), "NA"), "NA"))</f>
        <v>Enter Sheet</v>
      </c>
      <c r="FI6" s="161" t="str" cm="1">
        <f t="array" aca="1" ref="FI6" ca="1">IF(ISBLANK($A6), "Enter Sheet", IF($M6 &gt; minFiringRate, IF(SUM(INDIRECT($A6 &amp; "!AL3:AL102")) &gt; 0, INDIRECT($A6&amp;"!AL"&amp;FI$3), "NA"), "NA"))</f>
        <v>Enter Sheet</v>
      </c>
      <c r="FJ6" s="161" t="str" cm="1">
        <f t="array" aca="1" ref="FJ6" ca="1">IF(ISBLANK($A6), "Enter Sheet", IF($M6 &gt; minFiringRate, IF(SUM(INDIRECT($A6 &amp; "!AL3:AL102")) &gt; 0, INDIRECT($A6&amp;"!AL"&amp;FJ$3), "NA"), "NA"))</f>
        <v>Enter Sheet</v>
      </c>
      <c r="FK6" s="153" t="str" cm="1">
        <f t="array" aca="1" ref="FK6" ca="1">IF(ISBLANK($A6), "Enter Sheet Name", IF(0 &lt; _xlfn.XLOOKUP(SelectedBW_1, INDIRECT($A6 &amp; "!A3:A102"), INDIRECT($A6 &amp; "!" &amp; $FS$3 &amp; "3:" &amp; $FS$3 &amp; "102")),_xlfn.XLOOKUP(SelectedBW_1, INDIRECT($A6 &amp; "!A3:A102"), INDIRECT($A6 &amp; "!" &amp; FK$3 &amp; "3:" &amp; FK$3 &amp; "102")), "NA"))</f>
        <v>Enter Sheet Name</v>
      </c>
      <c r="FL6" s="153" t="str" cm="1">
        <f t="array" aca="1" ref="FL6" ca="1">IF(ISBLANK($A6), "Enter Sheet Name", IF(0 &lt; _xlfn.XLOOKUP(SelectedBW_1, INDIRECT($A6 &amp; "!A3:A102"), INDIRECT($A6 &amp; "!" &amp; $FS$3 &amp; "3:" &amp; $FS$3 &amp; "102")),_xlfn.XLOOKUP(SelectedBW_1, INDIRECT($A6 &amp; "!A3:A102"), INDIRECT($A6 &amp; "!" &amp; FL$3 &amp; "3:" &amp; FL$3 &amp; "102")), "NA"))</f>
        <v>Enter Sheet Name</v>
      </c>
      <c r="FM6" s="153" t="str" cm="1">
        <f t="array" aca="1" ref="FM6" ca="1">IF(ISBLANK($A6), "Enter Sheet Name", IF(0 &lt; _xlfn.XLOOKUP(SelectedBW_1, INDIRECT($A6 &amp; "!A3:A102"), INDIRECT($A6 &amp; "!" &amp; $FS$3 &amp; "3:" &amp; $FS$3 &amp; "102")),_xlfn.XLOOKUP(SelectedBW_1, INDIRECT($A6 &amp; "!A3:A102"), INDIRECT($A6 &amp; "!" &amp; FM$3 &amp; "3:" &amp; FM$3 &amp; "102")), "NA"))</f>
        <v>Enter Sheet Name</v>
      </c>
      <c r="FN6" s="153" t="str" cm="1">
        <f t="array" aca="1" ref="FN6" ca="1">IF(ISBLANK($A6), "Enter Sheet Name", IF(0 &lt; _xlfn.XLOOKUP(SelectedBW_1, INDIRECT($A6 &amp; "!A3:A102"), INDIRECT($A6 &amp; "!" &amp; $FS$3 &amp; "3:" &amp; $FS$3 &amp; "102")),_xlfn.XLOOKUP(SelectedBW_1, INDIRECT($A6 &amp; "!A3:A102"), INDIRECT($A6 &amp; "!" &amp; FN$3 &amp; "3:" &amp; FN$3 &amp; "102")), "NA"))</f>
        <v>Enter Sheet Name</v>
      </c>
      <c r="FO6" s="153" t="str" cm="1">
        <f t="array" aca="1" ref="FO6" ca="1">IF(ISBLANK($A6), "Enter Sheet Name", IF(0 &lt; _xlfn.XLOOKUP(SelectedBW_1, INDIRECT($A6 &amp; "!A3:A102"), INDIRECT($A6 &amp; "!" &amp; $FS$3 &amp; "3:" &amp; $FS$3 &amp; "102")),_xlfn.XLOOKUP(SelectedBW_1, INDIRECT($A6 &amp; "!A3:A102"), INDIRECT($A6 &amp; "!" &amp; FO$3 &amp; "3:" &amp; FO$3 &amp; "102")), "NA"))</f>
        <v>Enter Sheet Name</v>
      </c>
      <c r="FP6" s="153" t="str" cm="1">
        <f t="array" aca="1" ref="FP6" ca="1">IF(ISBLANK($A6), "Enter Sheet Name", IF(0 &lt; _xlfn.XLOOKUP(SelectedBW_1, INDIRECT($A6 &amp; "!A3:A102"), INDIRECT($A6 &amp; "!" &amp; $FS$3 &amp; "3:" &amp; $FS$3 &amp; "102")),_xlfn.XLOOKUP(SelectedBW_1, INDIRECT($A6 &amp; "!A3:A102"), INDIRECT($A6 &amp; "!" &amp; FP$3 &amp; "3:" &amp; FP$3 &amp; "102")), "NA"))</f>
        <v>Enter Sheet Name</v>
      </c>
      <c r="FQ6" s="153" t="str" cm="1">
        <f t="array" aca="1" ref="FQ6" ca="1">IF(ISBLANK($A6), "Enter Sheet Name", IF(0 &lt; _xlfn.XLOOKUP(SelectedBW_1, INDIRECT($A6 &amp; "!A3:A102"), INDIRECT($A6 &amp; "!" &amp; $FS$3 &amp; "3:" &amp; $FS$3 &amp; "102")),_xlfn.XLOOKUP(SelectedBW_1, INDIRECT($A6 &amp; "!A3:A102"), INDIRECT($A6 &amp; "!" &amp; FQ$3 &amp; "3:" &amp; FQ$3 &amp; "102")), "NA"))</f>
        <v>Enter Sheet Name</v>
      </c>
      <c r="FR6" s="153" t="str" cm="1">
        <f t="array" aca="1" ref="FR6" ca="1">IF(ISBLANK($A6), "Enter Sheet Name", IF(0 &lt; _xlfn.XLOOKUP(SelectedBW_1, INDIRECT($A6 &amp; "!A3:A102"), INDIRECT($A6 &amp; "!" &amp; $FS$3 &amp; "3:" &amp; $FS$3 &amp; "102")),_xlfn.XLOOKUP(SelectedBW_1, INDIRECT($A6 &amp; "!A3:A102"), INDIRECT($A6 &amp; "!" &amp; FR$3 &amp; "3:" &amp; FR$3 &amp; "102")), "NA"))</f>
        <v>Enter Sheet Name</v>
      </c>
      <c r="FS6" s="153" t="str" cm="1">
        <f t="array" aca="1" ref="FS6" ca="1">IF(ISBLANK($A6), "Enter Sheet", IF(ISNUMBER($M6), IF(ISNUMBER(_xlfn.XLOOKUP(SelectedBW_1, INDIRECT($A6 &amp; "!A3:A102"), INDIRECT($A6 &amp; "!" &amp; $FS$3 &amp; "3:" &amp; $FS$3 &amp; "102"))), _xlfn.XLOOKUP(SelectedBW_1, INDIRECT($A6 &amp; "!A3:A102"), INDIRECT($A6 &amp; "!" &amp; $FS$3 &amp; "3:" &amp; $FS$3 &amp; "102")), IF($C6, 0, "NA")), "Enter Cell Values"))</f>
        <v>Enter Sheet</v>
      </c>
      <c r="FT6" s="154" t="str" cm="1">
        <f t="array" aca="1" ref="FT6" ca="1">IF(ISBLANK($A6), "Enter Sheet Name", IF(0 &lt; _xlfn.XLOOKUP(SelectedBW_2, INDIRECT($A6 &amp; "!A3:A102"), INDIRECT($A6 &amp; "!" &amp; $GB$3 &amp; "3:" &amp; $GB$3 &amp; "102")),_xlfn.XLOOKUP(SelectedBW_2, INDIRECT($A6 &amp; "!A3:A102"), INDIRECT($A6 &amp; "!" &amp; FT$3 &amp; "3:" &amp; FT$3 &amp; "102")), "NA"))</f>
        <v>Enter Sheet Name</v>
      </c>
      <c r="FU6" s="154" t="str" cm="1">
        <f t="array" aca="1" ref="FU6" ca="1">IF(ISBLANK($A6), "Enter Sheet Name", IF(0 &lt; _xlfn.XLOOKUP(SelectedBW_2, INDIRECT($A6 &amp; "!A3:A102"), INDIRECT($A6 &amp; "!" &amp; $GB$3 &amp; "3:" &amp; $GB$3 &amp; "102")),_xlfn.XLOOKUP(SelectedBW_2, INDIRECT($A6 &amp; "!A3:A102"), INDIRECT($A6 &amp; "!" &amp; FU$3 &amp; "3:" &amp; FU$3 &amp; "102")), "NA"))</f>
        <v>Enter Sheet Name</v>
      </c>
      <c r="FV6" s="154" t="str" cm="1">
        <f t="array" aca="1" ref="FV6" ca="1">IF(ISBLANK($A6), "Enter Sheet Name", IF(0 &lt; _xlfn.XLOOKUP(SelectedBW_2, INDIRECT($A6 &amp; "!A3:A102"), INDIRECT($A6 &amp; "!" &amp; $GB$3 &amp; "3:" &amp; $GB$3 &amp; "102")),_xlfn.XLOOKUP(SelectedBW_2, INDIRECT($A6 &amp; "!A3:A102"), INDIRECT($A6 &amp; "!" &amp; FV$3 &amp; "3:" &amp; FV$3 &amp; "102")), "NA"))</f>
        <v>Enter Sheet Name</v>
      </c>
      <c r="FW6" s="154" t="str" cm="1">
        <f t="array" aca="1" ref="FW6" ca="1">IF(ISBLANK($A6), "Enter Sheet Name", IF(0 &lt; _xlfn.XLOOKUP(SelectedBW_2, INDIRECT($A6 &amp; "!A3:A102"), INDIRECT($A6 &amp; "!" &amp; $GB$3 &amp; "3:" &amp; $GB$3 &amp; "102")),_xlfn.XLOOKUP(SelectedBW_2, INDIRECT($A6 &amp; "!A3:A102"), INDIRECT($A6 &amp; "!" &amp; FW$3 &amp; "3:" &amp; FW$3 &amp; "102")), "NA"))</f>
        <v>Enter Sheet Name</v>
      </c>
      <c r="FX6" s="154" t="str" cm="1">
        <f t="array" aca="1" ref="FX6" ca="1">IF(ISBLANK($A6), "Enter Sheet Name", IF(0 &lt; _xlfn.XLOOKUP(SelectedBW_2, INDIRECT($A6 &amp; "!A3:A102"), INDIRECT($A6 &amp; "!" &amp; $GB$3 &amp; "3:" &amp; $GB$3 &amp; "102")),_xlfn.XLOOKUP(SelectedBW_2, INDIRECT($A6 &amp; "!A3:A102"), INDIRECT($A6 &amp; "!" &amp; FX$3 &amp; "3:" &amp; FX$3 &amp; "102")), "NA"))</f>
        <v>Enter Sheet Name</v>
      </c>
      <c r="FY6" s="154" t="str" cm="1">
        <f t="array" aca="1" ref="FY6" ca="1">IF(ISBLANK($A6), "Enter Sheet Name", IF(0 &lt; _xlfn.XLOOKUP(SelectedBW_2, INDIRECT($A6 &amp; "!A3:A102"), INDIRECT($A6 &amp; "!" &amp; $GB$3 &amp; "3:" &amp; $GB$3 &amp; "102")),_xlfn.XLOOKUP(SelectedBW_2, INDIRECT($A6 &amp; "!A3:A102"), INDIRECT($A6 &amp; "!" &amp; FY$3 &amp; "3:" &amp; FY$3 &amp; "102")), "NA"))</f>
        <v>Enter Sheet Name</v>
      </c>
      <c r="FZ6" s="154" t="str" cm="1">
        <f t="array" aca="1" ref="FZ6" ca="1">IF(ISBLANK($A6), "Enter Sheet Name", IF(0 &lt; _xlfn.XLOOKUP(SelectedBW_2, INDIRECT($A6 &amp; "!A3:A102"), INDIRECT($A6 &amp; "!" &amp; $GB$3 &amp; "3:" &amp; $GB$3 &amp; "102")),_xlfn.XLOOKUP(SelectedBW_2, INDIRECT($A6 &amp; "!A3:A102"), INDIRECT($A6 &amp; "!" &amp; FZ$3 &amp; "3:" &amp; FZ$3 &amp; "102")), "NA"))</f>
        <v>Enter Sheet Name</v>
      </c>
      <c r="GA6" s="154" t="str" cm="1">
        <f t="array" aca="1" ref="GA6" ca="1">IF(ISBLANK($A6), "Enter Sheet Name", IF(0 &lt; _xlfn.XLOOKUP(SelectedBW_2, INDIRECT($A6 &amp; "!A3:A102"), INDIRECT($A6 &amp; "!" &amp; $GB$3 &amp; "3:" &amp; $GB$3 &amp; "102")),_xlfn.XLOOKUP(SelectedBW_2, INDIRECT($A6 &amp; "!A3:A102"), INDIRECT($A6 &amp; "!" &amp; GA$3 &amp; "3:" &amp; GA$3 &amp; "102")), "NA"))</f>
        <v>Enter Sheet Name</v>
      </c>
      <c r="GB6" s="154" t="str" cm="1">
        <f t="array" aca="1" ref="GB6" ca="1">IF(ISBLANK($A6), "Enter Sheet", IF(ISNUMBER($M6), IF(ISNUMBER(_xlfn.XLOOKUP(SelectedBW_2, INDIRECT($A6 &amp; "!A3:A102"), INDIRECT($A6 &amp; "!" &amp; $GB$3 &amp; "3:" &amp; $GB$3 &amp; "102"))), _xlfn.XLOOKUP(SelectedBW_2, INDIRECT($A6 &amp; "!A3:A102"), INDIRECT($A6 &amp; "!" &amp; $GB$3 &amp; "3:" &amp; $GB$3 &amp; "102")), IF($C6, 0, "NA")), "Enter Cell Values"))</f>
        <v>Enter Sheet</v>
      </c>
    </row>
  </sheetData>
  <phoneticPr fontId="13" type="noConversion"/>
  <dataValidations count="1">
    <dataValidation type="list" allowBlank="1" showInputMessage="1" showErrorMessage="1" sqref="C5:C6" xr:uid="{3C71FA7E-17DD-2B48-A096-09DADCA2BAED}">
      <formula1>TrueFalse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7156-0FE9-3241-8751-FD360281C108}">
  <dimension ref="A1:GD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4" sqref="A14"/>
    </sheetView>
  </sheetViews>
  <sheetFormatPr baseColWidth="10" defaultColWidth="8.83203125" defaultRowHeight="15" x14ac:dyDescent="0.2"/>
  <cols>
    <col min="1" max="1" width="12.1640625" bestFit="1" customWidth="1"/>
    <col min="2" max="2" width="11" customWidth="1"/>
    <col min="3" max="3" width="19" bestFit="1" customWidth="1"/>
    <col min="5" max="5" width="10.1640625" bestFit="1" customWidth="1"/>
  </cols>
  <sheetData>
    <row r="1" spans="1:186" x14ac:dyDescent="0.2">
      <c r="B1" s="162" t="s">
        <v>556</v>
      </c>
      <c r="C1" s="162"/>
      <c r="D1" s="162"/>
      <c r="E1" s="162"/>
      <c r="F1" s="162"/>
    </row>
    <row r="2" spans="1:186" x14ac:dyDescent="0.2">
      <c r="A2" s="149"/>
      <c r="B2" s="162"/>
      <c r="C2" s="162"/>
      <c r="D2" s="162"/>
      <c r="E2" s="162"/>
      <c r="F2" s="162"/>
    </row>
    <row r="3" spans="1:186" ht="16" x14ac:dyDescent="0.2">
      <c r="A3" t="s">
        <v>140</v>
      </c>
      <c r="B3" s="40" t="s">
        <v>141</v>
      </c>
      <c r="E3" t="s">
        <v>185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  <c r="AL3">
        <v>32</v>
      </c>
      <c r="AM3">
        <v>33</v>
      </c>
      <c r="AN3">
        <v>34</v>
      </c>
      <c r="AO3">
        <v>35</v>
      </c>
      <c r="AP3">
        <v>36</v>
      </c>
      <c r="AQ3">
        <v>37</v>
      </c>
      <c r="AR3">
        <v>38</v>
      </c>
      <c r="AS3">
        <v>39</v>
      </c>
      <c r="AT3">
        <v>40</v>
      </c>
      <c r="AU3">
        <v>41</v>
      </c>
      <c r="AV3">
        <v>42</v>
      </c>
      <c r="AW3">
        <v>43</v>
      </c>
      <c r="AX3">
        <v>44</v>
      </c>
      <c r="AY3">
        <v>45</v>
      </c>
      <c r="AZ3">
        <v>46</v>
      </c>
      <c r="BA3">
        <v>47</v>
      </c>
      <c r="BB3">
        <v>48</v>
      </c>
      <c r="BC3">
        <v>49</v>
      </c>
      <c r="BD3">
        <v>50</v>
      </c>
      <c r="BE3">
        <v>51</v>
      </c>
      <c r="BF3">
        <v>52</v>
      </c>
      <c r="BG3">
        <v>53</v>
      </c>
      <c r="BH3">
        <v>54</v>
      </c>
      <c r="BI3">
        <v>55</v>
      </c>
      <c r="BJ3">
        <v>56</v>
      </c>
      <c r="BK3">
        <v>57</v>
      </c>
      <c r="BL3">
        <v>58</v>
      </c>
      <c r="BM3">
        <v>59</v>
      </c>
      <c r="BN3">
        <v>60</v>
      </c>
      <c r="BO3">
        <v>61</v>
      </c>
      <c r="BP3">
        <v>62</v>
      </c>
      <c r="BQ3">
        <v>63</v>
      </c>
      <c r="BR3">
        <v>64</v>
      </c>
      <c r="BS3">
        <v>65</v>
      </c>
      <c r="BT3">
        <v>66</v>
      </c>
      <c r="BU3">
        <v>67</v>
      </c>
      <c r="BV3">
        <v>68</v>
      </c>
      <c r="BW3">
        <v>69</v>
      </c>
      <c r="BX3">
        <v>70</v>
      </c>
      <c r="BY3">
        <v>71</v>
      </c>
      <c r="BZ3">
        <v>72</v>
      </c>
      <c r="CA3">
        <v>73</v>
      </c>
      <c r="CB3">
        <v>74</v>
      </c>
      <c r="CC3">
        <v>75</v>
      </c>
      <c r="CD3">
        <v>76</v>
      </c>
      <c r="CE3">
        <v>77</v>
      </c>
      <c r="CF3">
        <v>78</v>
      </c>
      <c r="CG3">
        <v>79</v>
      </c>
      <c r="CH3">
        <v>80</v>
      </c>
      <c r="CI3">
        <v>81</v>
      </c>
      <c r="CJ3">
        <v>82</v>
      </c>
      <c r="CK3">
        <v>83</v>
      </c>
      <c r="CL3">
        <v>84</v>
      </c>
      <c r="CM3">
        <v>85</v>
      </c>
      <c r="CN3">
        <v>86</v>
      </c>
      <c r="CO3">
        <v>87</v>
      </c>
      <c r="CP3">
        <v>88</v>
      </c>
      <c r="CQ3">
        <v>89</v>
      </c>
      <c r="CR3">
        <v>90</v>
      </c>
      <c r="CS3">
        <v>91</v>
      </c>
      <c r="CT3">
        <v>92</v>
      </c>
      <c r="CU3">
        <v>93</v>
      </c>
      <c r="CV3">
        <v>94</v>
      </c>
      <c r="CW3">
        <v>95</v>
      </c>
      <c r="CX3">
        <v>96</v>
      </c>
      <c r="CY3">
        <v>97</v>
      </c>
      <c r="CZ3">
        <v>98</v>
      </c>
      <c r="DA3">
        <v>99</v>
      </c>
      <c r="DB3">
        <v>100</v>
      </c>
      <c r="DC3">
        <v>101</v>
      </c>
      <c r="DD3">
        <v>102</v>
      </c>
      <c r="DE3">
        <v>103</v>
      </c>
      <c r="DF3">
        <v>104</v>
      </c>
      <c r="DG3">
        <v>105</v>
      </c>
      <c r="DH3">
        <v>106</v>
      </c>
      <c r="DI3">
        <v>107</v>
      </c>
      <c r="DJ3">
        <v>108</v>
      </c>
      <c r="DK3">
        <v>109</v>
      </c>
      <c r="DL3">
        <v>110</v>
      </c>
      <c r="DM3">
        <v>111</v>
      </c>
      <c r="DN3">
        <v>112</v>
      </c>
      <c r="DO3">
        <v>113</v>
      </c>
      <c r="DP3">
        <v>114</v>
      </c>
      <c r="DQ3">
        <v>115</v>
      </c>
      <c r="DR3">
        <v>116</v>
      </c>
      <c r="DS3">
        <v>117</v>
      </c>
      <c r="DT3">
        <v>118</v>
      </c>
      <c r="DU3">
        <v>119</v>
      </c>
      <c r="DV3">
        <v>120</v>
      </c>
      <c r="DW3">
        <v>121</v>
      </c>
      <c r="DX3">
        <v>122</v>
      </c>
      <c r="DY3">
        <v>123</v>
      </c>
      <c r="DZ3">
        <v>124</v>
      </c>
      <c r="EA3">
        <v>125</v>
      </c>
      <c r="EB3">
        <v>126</v>
      </c>
      <c r="EC3">
        <v>127</v>
      </c>
      <c r="ED3">
        <v>128</v>
      </c>
      <c r="EE3">
        <v>129</v>
      </c>
      <c r="EF3">
        <v>130</v>
      </c>
      <c r="EG3">
        <v>131</v>
      </c>
      <c r="EH3">
        <v>132</v>
      </c>
      <c r="EI3">
        <v>133</v>
      </c>
      <c r="EJ3">
        <v>134</v>
      </c>
      <c r="EK3">
        <v>135</v>
      </c>
      <c r="EL3">
        <v>136</v>
      </c>
      <c r="EM3">
        <v>137</v>
      </c>
      <c r="EN3">
        <v>138</v>
      </c>
      <c r="EO3">
        <v>139</v>
      </c>
      <c r="EP3">
        <v>140</v>
      </c>
      <c r="EQ3">
        <v>141</v>
      </c>
      <c r="ER3">
        <v>142</v>
      </c>
      <c r="ES3">
        <v>143</v>
      </c>
      <c r="ET3">
        <v>144</v>
      </c>
      <c r="EU3">
        <v>145</v>
      </c>
      <c r="EV3">
        <v>146</v>
      </c>
      <c r="EW3">
        <v>147</v>
      </c>
      <c r="EX3">
        <v>148</v>
      </c>
      <c r="EY3">
        <v>149</v>
      </c>
      <c r="EZ3">
        <v>150</v>
      </c>
      <c r="FA3">
        <v>151</v>
      </c>
      <c r="FB3">
        <v>152</v>
      </c>
      <c r="FC3">
        <v>153</v>
      </c>
      <c r="FD3">
        <v>154</v>
      </c>
      <c r="FE3">
        <v>155</v>
      </c>
      <c r="FF3">
        <v>156</v>
      </c>
      <c r="FG3">
        <v>157</v>
      </c>
      <c r="FH3">
        <v>158</v>
      </c>
      <c r="FI3">
        <v>159</v>
      </c>
      <c r="FJ3">
        <v>160</v>
      </c>
      <c r="FK3">
        <v>161</v>
      </c>
      <c r="FL3">
        <v>162</v>
      </c>
      <c r="FM3">
        <v>163</v>
      </c>
      <c r="FN3">
        <v>164</v>
      </c>
      <c r="FO3">
        <v>165</v>
      </c>
      <c r="FP3">
        <v>166</v>
      </c>
      <c r="FQ3">
        <v>167</v>
      </c>
      <c r="FR3">
        <v>168</v>
      </c>
      <c r="FS3">
        <v>169</v>
      </c>
      <c r="FT3">
        <v>170</v>
      </c>
      <c r="FU3">
        <v>171</v>
      </c>
      <c r="FV3">
        <v>172</v>
      </c>
      <c r="FW3">
        <v>173</v>
      </c>
      <c r="FX3">
        <v>174</v>
      </c>
      <c r="FY3">
        <v>175</v>
      </c>
      <c r="FZ3">
        <v>176</v>
      </c>
      <c r="GA3">
        <v>177</v>
      </c>
      <c r="GB3">
        <v>178</v>
      </c>
      <c r="GC3">
        <v>179</v>
      </c>
      <c r="GD3">
        <v>180</v>
      </c>
    </row>
    <row r="4" spans="1:186" x14ac:dyDescent="0.2">
      <c r="A4" t="s">
        <v>199</v>
      </c>
      <c r="B4" t="s">
        <v>141</v>
      </c>
      <c r="C4" s="46" t="s">
        <v>373</v>
      </c>
      <c r="D4" s="46" t="s">
        <v>374</v>
      </c>
      <c r="E4" s="46" t="s">
        <v>192</v>
      </c>
      <c r="F4" s="41" t="s">
        <v>375</v>
      </c>
      <c r="G4" s="41" t="s">
        <v>376</v>
      </c>
      <c r="H4" s="41" t="s">
        <v>377</v>
      </c>
      <c r="I4" s="41" t="s">
        <v>378</v>
      </c>
      <c r="J4" s="41" t="s">
        <v>379</v>
      </c>
      <c r="K4" s="41" t="s">
        <v>380</v>
      </c>
      <c r="L4" s="41" t="s">
        <v>381</v>
      </c>
      <c r="M4" s="41" t="s">
        <v>382</v>
      </c>
      <c r="N4" s="41" t="s">
        <v>383</v>
      </c>
      <c r="O4" s="41" t="s">
        <v>384</v>
      </c>
      <c r="P4" s="41" t="s">
        <v>385</v>
      </c>
      <c r="Q4" s="41" t="s">
        <v>386</v>
      </c>
      <c r="R4" s="41" t="s">
        <v>387</v>
      </c>
      <c r="S4" s="41" t="s">
        <v>388</v>
      </c>
      <c r="T4" s="41" t="s">
        <v>389</v>
      </c>
      <c r="U4" s="41" t="s">
        <v>390</v>
      </c>
      <c r="V4" s="41" t="s">
        <v>391</v>
      </c>
      <c r="W4" s="41" t="s">
        <v>392</v>
      </c>
      <c r="X4" s="41" t="s">
        <v>393</v>
      </c>
      <c r="Y4" s="41" t="s">
        <v>394</v>
      </c>
      <c r="Z4" s="41" t="s">
        <v>395</v>
      </c>
      <c r="AA4" s="41" t="s">
        <v>396</v>
      </c>
      <c r="AB4" s="41" t="s">
        <v>397</v>
      </c>
      <c r="AC4" s="41" t="s">
        <v>398</v>
      </c>
      <c r="AD4" s="41" t="s">
        <v>399</v>
      </c>
      <c r="AE4" s="41" t="s">
        <v>400</v>
      </c>
      <c r="AF4" s="41" t="s">
        <v>401</v>
      </c>
      <c r="AG4" s="41" t="s">
        <v>402</v>
      </c>
      <c r="AH4" s="41" t="s">
        <v>403</v>
      </c>
      <c r="AI4" s="41" t="s">
        <v>404</v>
      </c>
      <c r="AJ4" s="41" t="s">
        <v>405</v>
      </c>
      <c r="AK4" s="41" t="s">
        <v>406</v>
      </c>
      <c r="AL4" s="41" t="s">
        <v>407</v>
      </c>
      <c r="AM4" s="41" t="s">
        <v>408</v>
      </c>
      <c r="AN4" s="41" t="s">
        <v>409</v>
      </c>
      <c r="AO4" s="41" t="s">
        <v>410</v>
      </c>
      <c r="AP4" s="41" t="s">
        <v>411</v>
      </c>
      <c r="AQ4" s="41" t="s">
        <v>412</v>
      </c>
      <c r="AR4" s="41" t="s">
        <v>413</v>
      </c>
      <c r="AS4" s="41" t="s">
        <v>414</v>
      </c>
      <c r="AT4" s="41" t="s">
        <v>415</v>
      </c>
      <c r="AU4" s="41" t="s">
        <v>416</v>
      </c>
      <c r="AV4" s="41" t="s">
        <v>417</v>
      </c>
      <c r="AW4" s="41" t="s">
        <v>418</v>
      </c>
      <c r="AX4" s="41" t="s">
        <v>419</v>
      </c>
      <c r="AY4" s="41" t="s">
        <v>420</v>
      </c>
      <c r="AZ4" s="41" t="s">
        <v>421</v>
      </c>
      <c r="BA4" s="41" t="s">
        <v>422</v>
      </c>
      <c r="BB4" s="41" t="s">
        <v>423</v>
      </c>
      <c r="BC4" s="41" t="s">
        <v>424</v>
      </c>
      <c r="BD4" s="41" t="s">
        <v>425</v>
      </c>
      <c r="BE4" s="41" t="s">
        <v>426</v>
      </c>
      <c r="BF4" s="41" t="s">
        <v>427</v>
      </c>
      <c r="BG4" s="41" t="s">
        <v>428</v>
      </c>
      <c r="BH4" s="41" t="s">
        <v>429</v>
      </c>
      <c r="BI4" s="41" t="s">
        <v>430</v>
      </c>
      <c r="BJ4" s="41" t="s">
        <v>431</v>
      </c>
      <c r="BK4" s="41" t="s">
        <v>432</v>
      </c>
      <c r="BL4" s="41" t="s">
        <v>433</v>
      </c>
      <c r="BM4" s="41" t="s">
        <v>434</v>
      </c>
      <c r="BN4" s="41" t="s">
        <v>435</v>
      </c>
      <c r="BO4" s="41" t="s">
        <v>436</v>
      </c>
      <c r="BP4" s="41" t="s">
        <v>437</v>
      </c>
      <c r="BQ4" s="41" t="s">
        <v>438</v>
      </c>
      <c r="BR4" s="41" t="s">
        <v>439</v>
      </c>
      <c r="BS4" s="41" t="s">
        <v>440</v>
      </c>
      <c r="BT4" s="41" t="s">
        <v>441</v>
      </c>
      <c r="BU4" s="41" t="s">
        <v>442</v>
      </c>
      <c r="BV4" s="41" t="s">
        <v>443</v>
      </c>
      <c r="BW4" s="41" t="s">
        <v>444</v>
      </c>
      <c r="BX4" s="41" t="s">
        <v>445</v>
      </c>
      <c r="BY4" s="41" t="s">
        <v>446</v>
      </c>
      <c r="BZ4" s="41" t="s">
        <v>447</v>
      </c>
      <c r="CA4" s="41" t="s">
        <v>448</v>
      </c>
      <c r="CB4" s="41" t="s">
        <v>449</v>
      </c>
      <c r="CC4" s="41" t="s">
        <v>450</v>
      </c>
      <c r="CD4" s="41" t="s">
        <v>451</v>
      </c>
      <c r="CE4" s="41" t="s">
        <v>452</v>
      </c>
      <c r="CF4" s="41" t="s">
        <v>453</v>
      </c>
      <c r="CG4" s="41" t="s">
        <v>454</v>
      </c>
      <c r="CH4" s="41" t="s">
        <v>455</v>
      </c>
      <c r="CI4" s="41" t="s">
        <v>456</v>
      </c>
      <c r="CJ4" s="41" t="s">
        <v>457</v>
      </c>
      <c r="CK4" s="41" t="s">
        <v>458</v>
      </c>
      <c r="CL4" s="41" t="s">
        <v>459</v>
      </c>
      <c r="CM4" s="41" t="s">
        <v>460</v>
      </c>
      <c r="CN4" s="41" t="s">
        <v>461</v>
      </c>
      <c r="CO4" s="41" t="s">
        <v>462</v>
      </c>
      <c r="CP4" s="41" t="s">
        <v>463</v>
      </c>
      <c r="CQ4" s="41" t="s">
        <v>464</v>
      </c>
      <c r="CR4" s="41" t="s">
        <v>465</v>
      </c>
      <c r="CS4" s="41" t="s">
        <v>466</v>
      </c>
      <c r="CT4" s="41" t="s">
        <v>467</v>
      </c>
      <c r="CU4" s="41" t="s">
        <v>468</v>
      </c>
      <c r="CV4" s="41" t="s">
        <v>469</v>
      </c>
      <c r="CW4" s="41" t="s">
        <v>470</v>
      </c>
      <c r="CX4" s="41" t="s">
        <v>471</v>
      </c>
      <c r="CY4" s="41" t="s">
        <v>472</v>
      </c>
      <c r="CZ4" s="41" t="s">
        <v>473</v>
      </c>
      <c r="DA4" s="41" t="s">
        <v>474</v>
      </c>
      <c r="DB4" s="41" t="s">
        <v>475</v>
      </c>
      <c r="DC4" s="41" t="s">
        <v>476</v>
      </c>
      <c r="DD4" s="41" t="s">
        <v>477</v>
      </c>
      <c r="DE4" s="41" t="s">
        <v>478</v>
      </c>
      <c r="DF4" s="41" t="s">
        <v>479</v>
      </c>
      <c r="DG4" s="41" t="s">
        <v>480</v>
      </c>
      <c r="DH4" s="41" t="s">
        <v>481</v>
      </c>
      <c r="DI4" s="41" t="s">
        <v>482</v>
      </c>
      <c r="DJ4" s="41" t="s">
        <v>483</v>
      </c>
      <c r="DK4" s="41" t="s">
        <v>484</v>
      </c>
      <c r="DL4" s="41" t="s">
        <v>485</v>
      </c>
      <c r="DM4" s="41" t="s">
        <v>486</v>
      </c>
      <c r="DN4" s="41" t="s">
        <v>487</v>
      </c>
      <c r="DO4" s="41" t="s">
        <v>488</v>
      </c>
      <c r="DP4" s="41" t="s">
        <v>489</v>
      </c>
      <c r="DQ4" s="41" t="s">
        <v>490</v>
      </c>
      <c r="DR4" s="41" t="s">
        <v>491</v>
      </c>
      <c r="DS4" s="41" t="s">
        <v>492</v>
      </c>
      <c r="DT4" s="41" t="s">
        <v>493</v>
      </c>
      <c r="DU4" s="41" t="s">
        <v>494</v>
      </c>
      <c r="DV4" s="41" t="s">
        <v>495</v>
      </c>
      <c r="DW4" s="41" t="s">
        <v>496</v>
      </c>
      <c r="DX4" s="41" t="s">
        <v>497</v>
      </c>
      <c r="DY4" s="41" t="s">
        <v>498</v>
      </c>
      <c r="DZ4" s="41" t="s">
        <v>499</v>
      </c>
      <c r="EA4" s="41" t="s">
        <v>500</v>
      </c>
      <c r="EB4" s="41" t="s">
        <v>501</v>
      </c>
      <c r="EC4" s="41" t="s">
        <v>502</v>
      </c>
      <c r="ED4" s="41" t="s">
        <v>503</v>
      </c>
      <c r="EE4" s="41" t="s">
        <v>504</v>
      </c>
      <c r="EF4" s="41" t="s">
        <v>505</v>
      </c>
      <c r="EG4" s="41" t="s">
        <v>506</v>
      </c>
      <c r="EH4" s="41" t="s">
        <v>507</v>
      </c>
      <c r="EI4" s="41" t="s">
        <v>508</v>
      </c>
      <c r="EJ4" s="41" t="s">
        <v>509</v>
      </c>
      <c r="EK4" s="41" t="s">
        <v>510</v>
      </c>
      <c r="EL4" s="41" t="s">
        <v>511</v>
      </c>
      <c r="EM4" s="41" t="s">
        <v>512</v>
      </c>
      <c r="EN4" s="41" t="s">
        <v>513</v>
      </c>
      <c r="EO4" s="41" t="s">
        <v>514</v>
      </c>
      <c r="EP4" s="41" t="s">
        <v>515</v>
      </c>
      <c r="EQ4" s="41" t="s">
        <v>516</v>
      </c>
      <c r="ER4" s="41" t="s">
        <v>517</v>
      </c>
      <c r="ES4" s="41" t="s">
        <v>518</v>
      </c>
      <c r="ET4" s="41" t="s">
        <v>519</v>
      </c>
      <c r="EU4" s="41" t="s">
        <v>520</v>
      </c>
      <c r="EV4" s="41" t="s">
        <v>521</v>
      </c>
      <c r="EW4" s="41" t="s">
        <v>522</v>
      </c>
      <c r="EX4" s="41" t="s">
        <v>523</v>
      </c>
      <c r="EY4" s="41" t="s">
        <v>524</v>
      </c>
      <c r="EZ4" s="41" t="s">
        <v>525</v>
      </c>
      <c r="FA4" s="41" t="s">
        <v>526</v>
      </c>
      <c r="FB4" s="41" t="s">
        <v>527</v>
      </c>
      <c r="FC4" s="41" t="s">
        <v>528</v>
      </c>
      <c r="FD4" s="41" t="s">
        <v>529</v>
      </c>
      <c r="FE4" s="41" t="s">
        <v>530</v>
      </c>
      <c r="FF4" s="41" t="s">
        <v>531</v>
      </c>
      <c r="FG4" s="41" t="s">
        <v>532</v>
      </c>
      <c r="FH4" s="41" t="s">
        <v>533</v>
      </c>
      <c r="FI4" s="41" t="s">
        <v>534</v>
      </c>
      <c r="FJ4" s="41" t="s">
        <v>535</v>
      </c>
      <c r="FK4" s="41" t="s">
        <v>536</v>
      </c>
      <c r="FL4" s="41" t="s">
        <v>537</v>
      </c>
      <c r="FM4" s="41" t="s">
        <v>538</v>
      </c>
      <c r="FN4" s="41" t="s">
        <v>539</v>
      </c>
      <c r="FO4" s="41" t="s">
        <v>540</v>
      </c>
      <c r="FP4" s="41" t="s">
        <v>541</v>
      </c>
      <c r="FQ4" s="41" t="s">
        <v>542</v>
      </c>
      <c r="FR4" s="41" t="s">
        <v>543</v>
      </c>
      <c r="FS4" s="41" t="s">
        <v>544</v>
      </c>
      <c r="FT4" s="41" t="s">
        <v>545</v>
      </c>
      <c r="FU4" s="41" t="s">
        <v>546</v>
      </c>
      <c r="FV4" s="41" t="s">
        <v>547</v>
      </c>
      <c r="FW4" s="41" t="s">
        <v>548</v>
      </c>
      <c r="FX4" s="41" t="s">
        <v>549</v>
      </c>
      <c r="FY4" s="41" t="s">
        <v>550</v>
      </c>
      <c r="FZ4" s="41" t="s">
        <v>551</v>
      </c>
      <c r="GA4" s="41" t="s">
        <v>552</v>
      </c>
      <c r="GB4" s="41" t="s">
        <v>553</v>
      </c>
      <c r="GC4" s="41" t="s">
        <v>554</v>
      </c>
      <c r="GD4" s="41" t="s">
        <v>555</v>
      </c>
    </row>
    <row r="5" spans="1:186" ht="16" x14ac:dyDescent="0.2">
      <c r="A5" s="146" t="str">
        <f>IF(ISBLANK(CellData[[#This Row],[SheetName]]), "", CellData[[#This Row],[SheetName]])</f>
        <v/>
      </c>
      <c r="B5" s="147" t="str">
        <f>IF(ISBLANK(CellData[[#This Row],[Comments]]), "", CellData[[#This Row],[Comments]])</f>
        <v/>
      </c>
      <c r="C5" s="63" t="str" cm="1">
        <f t="array" aca="1" ref="C5" ca="1">IF(CellData436[[#This Row],[SheetName]] = "", "Enter Sheet", INDIRECT(CellData436[[#This Row],[SheetName]]&amp;"!"&amp;CellData436[[#Headers],[StartTime_spont]]))</f>
        <v>Enter Sheet</v>
      </c>
      <c r="D5" s="63" t="str" cm="1">
        <f t="array" aca="1" ref="D5" ca="1">IF(CellData436[[#This Row],[SheetName]] = "", "Enter Sheet", INDIRECT(CellData436[[#This Row],[SheetName]]&amp;"!"&amp;CellData436[[#Headers],[EndTime_spont]]))</f>
        <v>Enter Sheet</v>
      </c>
      <c r="E5" s="148" t="str">
        <f>IF(ISBLANK(CellData[[#This Row],[CellID]]), "", CellData[[#This Row],[CellID]])</f>
        <v/>
      </c>
      <c r="F5" s="145" t="str" cm="1">
        <f t="array" aca="1" ref="F5" ca="1">IF($A5 = "", "Enter Sheet Name", IF(($C5 + F$3) &lt; $D5, _xlfn.XLOOKUP(($C5 + F$3), INDIRECT($A5 &amp; "!D112:D291"), INDIRECT($A5 &amp; "!K112:K291")), "NA"))</f>
        <v>Enter Sheet Name</v>
      </c>
      <c r="G5" s="145" t="str" cm="1">
        <f t="array" aca="1" ref="G5" ca="1">IF($A5 = "", "Enter Sheet Name", IF(($C5 + G$3) &lt; $D5, _xlfn.XLOOKUP(($C5 + G$3), INDIRECT($A5 &amp; "!D112:D291"), INDIRECT($A5 &amp; "!K112:K291")), "NA"))</f>
        <v>Enter Sheet Name</v>
      </c>
      <c r="H5" s="145" t="str" cm="1">
        <f t="array" aca="1" ref="H5" ca="1">IF($A5 = "", "Enter Sheet Name", IF(($C5 + H$3) &lt; $D5, _xlfn.XLOOKUP(($C5 + H$3), INDIRECT($A5 &amp; "!D112:D291"), INDIRECT($A5 &amp; "!K112:K291")), "NA"))</f>
        <v>Enter Sheet Name</v>
      </c>
      <c r="I5" s="145" t="str" cm="1">
        <f t="array" aca="1" ref="I5" ca="1">IF($A5 = "", "Enter Sheet Name", IF(($C5 + I$3) &lt; $D5, _xlfn.XLOOKUP(($C5 + I$3), INDIRECT($A5 &amp; "!D112:D291"), INDIRECT($A5 &amp; "!K112:K291")), "NA"))</f>
        <v>Enter Sheet Name</v>
      </c>
      <c r="J5" s="145" t="str" cm="1">
        <f t="array" aca="1" ref="J5" ca="1">IF($A5 = "", "Enter Sheet Name", IF(($C5 + J$3) &lt; $D5, _xlfn.XLOOKUP(($C5 + J$3), INDIRECT($A5 &amp; "!D112:D291"), INDIRECT($A5 &amp; "!K112:K291")), "NA"))</f>
        <v>Enter Sheet Name</v>
      </c>
      <c r="K5" s="145" t="str" cm="1">
        <f t="array" aca="1" ref="K5" ca="1">IF($A5 = "", "Enter Sheet Name", IF(($C5 + K$3) &lt; $D5, _xlfn.XLOOKUP(($C5 + K$3), INDIRECT($A5 &amp; "!D112:D291"), INDIRECT($A5 &amp; "!K112:K291")), "NA"))</f>
        <v>Enter Sheet Name</v>
      </c>
      <c r="L5" s="145" t="str" cm="1">
        <f t="array" aca="1" ref="L5" ca="1">IF($A5 = "", "Enter Sheet Name", IF(($C5 + L$3) &lt; $D5, _xlfn.XLOOKUP(($C5 + L$3), INDIRECT($A5 &amp; "!D112:D291"), INDIRECT($A5 &amp; "!K112:K291")), "NA"))</f>
        <v>Enter Sheet Name</v>
      </c>
      <c r="M5" s="145" t="str" cm="1">
        <f t="array" aca="1" ref="M5" ca="1">IF($A5 = "", "Enter Sheet Name", IF(($C5 + M$3) &lt; $D5, _xlfn.XLOOKUP(($C5 + M$3), INDIRECT($A5 &amp; "!D112:D291"), INDIRECT($A5 &amp; "!K112:K291")), "NA"))</f>
        <v>Enter Sheet Name</v>
      </c>
      <c r="N5" s="145" t="str" cm="1">
        <f t="array" aca="1" ref="N5" ca="1">IF($A5 = "", "Enter Sheet Name", IF(($C5 + N$3) &lt; $D5, _xlfn.XLOOKUP(($C5 + N$3), INDIRECT($A5 &amp; "!D112:D291"), INDIRECT($A5 &amp; "!K112:K291")), "NA"))</f>
        <v>Enter Sheet Name</v>
      </c>
      <c r="O5" s="145" t="str" cm="1">
        <f t="array" aca="1" ref="O5" ca="1">IF($A5 = "", "Enter Sheet Name", IF(($C5 + O$3) &lt; $D5, _xlfn.XLOOKUP(($C5 + O$3), INDIRECT($A5 &amp; "!D112:D291"), INDIRECT($A5 &amp; "!K112:K291")), "NA"))</f>
        <v>Enter Sheet Name</v>
      </c>
      <c r="P5" s="145" t="str" cm="1">
        <f t="array" aca="1" ref="P5" ca="1">IF($A5 = "", "Enter Sheet Name", IF(($C5 + P$3) &lt; $D5, _xlfn.XLOOKUP(($C5 + P$3), INDIRECT($A5 &amp; "!D112:D291"), INDIRECT($A5 &amp; "!K112:K291")), "NA"))</f>
        <v>Enter Sheet Name</v>
      </c>
      <c r="Q5" s="145" t="str" cm="1">
        <f t="array" aca="1" ref="Q5" ca="1">IF($A5 = "", "Enter Sheet Name", IF(($C5 + Q$3) &lt; $D5, _xlfn.XLOOKUP(($C5 + Q$3), INDIRECT($A5 &amp; "!D112:D291"), INDIRECT($A5 &amp; "!K112:K291")), "NA"))</f>
        <v>Enter Sheet Name</v>
      </c>
      <c r="R5" s="145" t="str" cm="1">
        <f t="array" aca="1" ref="R5" ca="1">IF($A5 = "", "Enter Sheet Name", IF(($C5 + R$3) &lt; $D5, _xlfn.XLOOKUP(($C5 + R$3), INDIRECT($A5 &amp; "!D112:D291"), INDIRECT($A5 &amp; "!K112:K291")), "NA"))</f>
        <v>Enter Sheet Name</v>
      </c>
      <c r="S5" s="145" t="str" cm="1">
        <f t="array" aca="1" ref="S5" ca="1">IF($A5 = "", "Enter Sheet Name", IF(($C5 + S$3) &lt; $D5, _xlfn.XLOOKUP(($C5 + S$3), INDIRECT($A5 &amp; "!D112:D291"), INDIRECT($A5 &amp; "!K112:K291")), "NA"))</f>
        <v>Enter Sheet Name</v>
      </c>
      <c r="T5" s="145" t="str" cm="1">
        <f t="array" aca="1" ref="T5" ca="1">IF($A5 = "", "Enter Sheet Name", IF(($C5 + T$3) &lt; $D5, _xlfn.XLOOKUP(($C5 + T$3), INDIRECT($A5 &amp; "!D112:D291"), INDIRECT($A5 &amp; "!K112:K291")), "NA"))</f>
        <v>Enter Sheet Name</v>
      </c>
      <c r="U5" s="145" t="str" cm="1">
        <f t="array" aca="1" ref="U5" ca="1">IF($A5 = "", "Enter Sheet Name", IF(($C5 + U$3) &lt; $D5, _xlfn.XLOOKUP(($C5 + U$3), INDIRECT($A5 &amp; "!D112:D291"), INDIRECT($A5 &amp; "!K112:K291")), "NA"))</f>
        <v>Enter Sheet Name</v>
      </c>
      <c r="V5" s="145" t="str" cm="1">
        <f t="array" aca="1" ref="V5" ca="1">IF($A5 = "", "Enter Sheet Name", IF(($C5 + V$3) &lt; $D5, _xlfn.XLOOKUP(($C5 + V$3), INDIRECT($A5 &amp; "!D112:D291"), INDIRECT($A5 &amp; "!K112:K291")), "NA"))</f>
        <v>Enter Sheet Name</v>
      </c>
      <c r="W5" s="145" t="str" cm="1">
        <f t="array" aca="1" ref="W5" ca="1">IF($A5 = "", "Enter Sheet Name", IF(($C5 + W$3) &lt; $D5, _xlfn.XLOOKUP(($C5 + W$3), INDIRECT($A5 &amp; "!D112:D291"), INDIRECT($A5 &amp; "!K112:K291")), "NA"))</f>
        <v>Enter Sheet Name</v>
      </c>
      <c r="X5" s="145" t="str" cm="1">
        <f t="array" aca="1" ref="X5" ca="1">IF($A5 = "", "Enter Sheet Name", IF(($C5 + X$3) &lt; $D5, _xlfn.XLOOKUP(($C5 + X$3), INDIRECT($A5 &amp; "!D112:D291"), INDIRECT($A5 &amp; "!K112:K291")), "NA"))</f>
        <v>Enter Sheet Name</v>
      </c>
      <c r="Y5" s="145" t="str" cm="1">
        <f t="array" aca="1" ref="Y5" ca="1">IF($A5 = "", "Enter Sheet Name", IF(($C5 + Y$3) &lt; $D5, _xlfn.XLOOKUP(($C5 + Y$3), INDIRECT($A5 &amp; "!D112:D291"), INDIRECT($A5 &amp; "!K112:K291")), "NA"))</f>
        <v>Enter Sheet Name</v>
      </c>
      <c r="Z5" s="145" t="str" cm="1">
        <f t="array" aca="1" ref="Z5" ca="1">IF($A5 = "", "Enter Sheet Name", IF(($C5 + Z$3) &lt; $D5, _xlfn.XLOOKUP(($C5 + Z$3), INDIRECT($A5 &amp; "!D112:D291"), INDIRECT($A5 &amp; "!K112:K291")), "NA"))</f>
        <v>Enter Sheet Name</v>
      </c>
      <c r="AA5" s="145" t="str" cm="1">
        <f t="array" aca="1" ref="AA5" ca="1">IF($A5 = "", "Enter Sheet Name", IF(($C5 + AA$3) &lt; $D5, _xlfn.XLOOKUP(($C5 + AA$3), INDIRECT($A5 &amp; "!D112:D291"), INDIRECT($A5 &amp; "!K112:K291")), "NA"))</f>
        <v>Enter Sheet Name</v>
      </c>
      <c r="AB5" s="145" t="str" cm="1">
        <f t="array" aca="1" ref="AB5" ca="1">IF($A5 = "", "Enter Sheet Name", IF(($C5 + AB$3) &lt; $D5, _xlfn.XLOOKUP(($C5 + AB$3), INDIRECT($A5 &amp; "!D112:D291"), INDIRECT($A5 &amp; "!K112:K291")), "NA"))</f>
        <v>Enter Sheet Name</v>
      </c>
      <c r="AC5" s="145" t="str" cm="1">
        <f t="array" aca="1" ref="AC5" ca="1">IF($A5 = "", "Enter Sheet Name", IF(($C5 + AC$3) &lt; $D5, _xlfn.XLOOKUP(($C5 + AC$3), INDIRECT($A5 &amp; "!D112:D291"), INDIRECT($A5 &amp; "!K112:K291")), "NA"))</f>
        <v>Enter Sheet Name</v>
      </c>
      <c r="AD5" s="145" t="str" cm="1">
        <f t="array" aca="1" ref="AD5" ca="1">IF($A5 = "", "Enter Sheet Name", IF(($C5 + AD$3) &lt; $D5, _xlfn.XLOOKUP(($C5 + AD$3), INDIRECT($A5 &amp; "!D112:D291"), INDIRECT($A5 &amp; "!K112:K291")), "NA"))</f>
        <v>Enter Sheet Name</v>
      </c>
      <c r="AE5" s="145" t="str" cm="1">
        <f t="array" aca="1" ref="AE5" ca="1">IF($A5 = "", "Enter Sheet Name", IF(($C5 + AE$3) &lt; $D5, _xlfn.XLOOKUP(($C5 + AE$3), INDIRECT($A5 &amp; "!D112:D291"), INDIRECT($A5 &amp; "!K112:K291")), "NA"))</f>
        <v>Enter Sheet Name</v>
      </c>
      <c r="AF5" s="145" t="str" cm="1">
        <f t="array" aca="1" ref="AF5" ca="1">IF($A5 = "", "Enter Sheet Name", IF(($C5 + AF$3) &lt; $D5, _xlfn.XLOOKUP(($C5 + AF$3), INDIRECT($A5 &amp; "!D112:D291"), INDIRECT($A5 &amp; "!K112:K291")), "NA"))</f>
        <v>Enter Sheet Name</v>
      </c>
      <c r="AG5" s="145" t="str" cm="1">
        <f t="array" aca="1" ref="AG5" ca="1">IF($A5 = "", "Enter Sheet Name", IF(($C5 + AG$3) &lt; $D5, _xlfn.XLOOKUP(($C5 + AG$3), INDIRECT($A5 &amp; "!D112:D291"), INDIRECT($A5 &amp; "!K112:K291")), "NA"))</f>
        <v>Enter Sheet Name</v>
      </c>
      <c r="AH5" s="145" t="str" cm="1">
        <f t="array" aca="1" ref="AH5" ca="1">IF($A5 = "", "Enter Sheet Name", IF(($C5 + AH$3) &lt; $D5, _xlfn.XLOOKUP(($C5 + AH$3), INDIRECT($A5 &amp; "!D112:D291"), INDIRECT($A5 &amp; "!K112:K291")), "NA"))</f>
        <v>Enter Sheet Name</v>
      </c>
      <c r="AI5" s="145" t="str" cm="1">
        <f t="array" aca="1" ref="AI5" ca="1">IF($A5 = "", "Enter Sheet Name", IF(($C5 + AI$3) &lt; $D5, _xlfn.XLOOKUP(($C5 + AI$3), INDIRECT($A5 &amp; "!D112:D291"), INDIRECT($A5 &amp; "!K112:K291")), "NA"))</f>
        <v>Enter Sheet Name</v>
      </c>
      <c r="AJ5" s="145" t="str" cm="1">
        <f t="array" aca="1" ref="AJ5" ca="1">IF($A5 = "", "Enter Sheet Name", IF(($C5 + AJ$3) &lt; $D5, _xlfn.XLOOKUP(($C5 + AJ$3), INDIRECT($A5 &amp; "!D112:D291"), INDIRECT($A5 &amp; "!K112:K291")), "NA"))</f>
        <v>Enter Sheet Name</v>
      </c>
      <c r="AK5" s="145" t="str" cm="1">
        <f t="array" aca="1" ref="AK5" ca="1">IF($A5 = "", "Enter Sheet Name", IF(($C5 + AK$3) &lt; $D5, _xlfn.XLOOKUP(($C5 + AK$3), INDIRECT($A5 &amp; "!D112:D291"), INDIRECT($A5 &amp; "!K112:K291")), "NA"))</f>
        <v>Enter Sheet Name</v>
      </c>
      <c r="AL5" s="145" t="str" cm="1">
        <f t="array" aca="1" ref="AL5" ca="1">IF($A5 = "", "Enter Sheet Name", IF(($C5 + AL$3) &lt; $D5, _xlfn.XLOOKUP(($C5 + AL$3), INDIRECT($A5 &amp; "!D112:D291"), INDIRECT($A5 &amp; "!K112:K291")), "NA"))</f>
        <v>Enter Sheet Name</v>
      </c>
      <c r="AM5" s="145" t="str" cm="1">
        <f t="array" aca="1" ref="AM5" ca="1">IF($A5 = "", "Enter Sheet Name", IF(($C5 + AM$3) &lt; $D5, _xlfn.XLOOKUP(($C5 + AM$3), INDIRECT($A5 &amp; "!D112:D291"), INDIRECT($A5 &amp; "!K112:K291")), "NA"))</f>
        <v>Enter Sheet Name</v>
      </c>
      <c r="AN5" s="145" t="str" cm="1">
        <f t="array" aca="1" ref="AN5" ca="1">IF($A5 = "", "Enter Sheet Name", IF(($C5 + AN$3) &lt; $D5, _xlfn.XLOOKUP(($C5 + AN$3), INDIRECT($A5 &amp; "!D112:D291"), INDIRECT($A5 &amp; "!K112:K291")), "NA"))</f>
        <v>Enter Sheet Name</v>
      </c>
      <c r="AO5" s="145" t="str" cm="1">
        <f t="array" aca="1" ref="AO5" ca="1">IF($A5 = "", "Enter Sheet Name", IF(($C5 + AO$3) &lt; $D5, _xlfn.XLOOKUP(($C5 + AO$3), INDIRECT($A5 &amp; "!D112:D291"), INDIRECT($A5 &amp; "!K112:K291")), "NA"))</f>
        <v>Enter Sheet Name</v>
      </c>
      <c r="AP5" s="145" t="str" cm="1">
        <f t="array" aca="1" ref="AP5" ca="1">IF($A5 = "", "Enter Sheet Name", IF(($C5 + AP$3) &lt; $D5, _xlfn.XLOOKUP(($C5 + AP$3), INDIRECT($A5 &amp; "!D112:D291"), INDIRECT($A5 &amp; "!K112:K291")), "NA"))</f>
        <v>Enter Sheet Name</v>
      </c>
      <c r="AQ5" s="145" t="str" cm="1">
        <f t="array" aca="1" ref="AQ5" ca="1">IF($A5 = "", "Enter Sheet Name", IF(($C5 + AQ$3) &lt; $D5, _xlfn.XLOOKUP(($C5 + AQ$3), INDIRECT($A5 &amp; "!D112:D291"), INDIRECT($A5 &amp; "!K112:K291")), "NA"))</f>
        <v>Enter Sheet Name</v>
      </c>
      <c r="AR5" s="145" t="str" cm="1">
        <f t="array" aca="1" ref="AR5" ca="1">IF($A5 = "", "Enter Sheet Name", IF(($C5 + AR$3) &lt; $D5, _xlfn.XLOOKUP(($C5 + AR$3), INDIRECT($A5 &amp; "!D112:D291"), INDIRECT($A5 &amp; "!K112:K291")), "NA"))</f>
        <v>Enter Sheet Name</v>
      </c>
      <c r="AS5" s="145" t="str" cm="1">
        <f t="array" aca="1" ref="AS5" ca="1">IF($A5 = "", "Enter Sheet Name", IF(($C5 + AS$3) &lt; $D5, _xlfn.XLOOKUP(($C5 + AS$3), INDIRECT($A5 &amp; "!D112:D291"), INDIRECT($A5 &amp; "!K112:K291")), "NA"))</f>
        <v>Enter Sheet Name</v>
      </c>
      <c r="AT5" s="145" t="str" cm="1">
        <f t="array" aca="1" ref="AT5" ca="1">IF($A5 = "", "Enter Sheet Name", IF(($C5 + AT$3) &lt; $D5, _xlfn.XLOOKUP(($C5 + AT$3), INDIRECT($A5 &amp; "!D112:D291"), INDIRECT($A5 &amp; "!K112:K291")), "NA"))</f>
        <v>Enter Sheet Name</v>
      </c>
      <c r="AU5" s="145" t="str" cm="1">
        <f t="array" aca="1" ref="AU5" ca="1">IF($A5 = "", "Enter Sheet Name", IF(($C5 + AU$3) &lt; $D5, _xlfn.XLOOKUP(($C5 + AU$3), INDIRECT($A5 &amp; "!D112:D291"), INDIRECT($A5 &amp; "!K112:K291")), "NA"))</f>
        <v>Enter Sheet Name</v>
      </c>
      <c r="AV5" s="145" t="str" cm="1">
        <f t="array" aca="1" ref="AV5" ca="1">IF($A5 = "", "Enter Sheet Name", IF(($C5 + AV$3) &lt; $D5, _xlfn.XLOOKUP(($C5 + AV$3), INDIRECT($A5 &amp; "!D112:D291"), INDIRECT($A5 &amp; "!K112:K291")), "NA"))</f>
        <v>Enter Sheet Name</v>
      </c>
      <c r="AW5" s="145" t="str" cm="1">
        <f t="array" aca="1" ref="AW5" ca="1">IF($A5 = "", "Enter Sheet Name", IF(($C5 + AW$3) &lt; $D5, _xlfn.XLOOKUP(($C5 + AW$3), INDIRECT($A5 &amp; "!D112:D291"), INDIRECT($A5 &amp; "!K112:K291")), "NA"))</f>
        <v>Enter Sheet Name</v>
      </c>
      <c r="AX5" s="145" t="str" cm="1">
        <f t="array" aca="1" ref="AX5" ca="1">IF($A5 = "", "Enter Sheet Name", IF(($C5 + AX$3) &lt; $D5, _xlfn.XLOOKUP(($C5 + AX$3), INDIRECT($A5 &amp; "!D112:D291"), INDIRECT($A5 &amp; "!K112:K291")), "NA"))</f>
        <v>Enter Sheet Name</v>
      </c>
      <c r="AY5" s="145" t="str" cm="1">
        <f t="array" aca="1" ref="AY5" ca="1">IF($A5 = "", "Enter Sheet Name", IF(($C5 + AY$3) &lt; $D5, _xlfn.XLOOKUP(($C5 + AY$3), INDIRECT($A5 &amp; "!D112:D291"), INDIRECT($A5 &amp; "!K112:K291")), "NA"))</f>
        <v>Enter Sheet Name</v>
      </c>
      <c r="AZ5" s="145" t="str" cm="1">
        <f t="array" aca="1" ref="AZ5" ca="1">IF($A5 = "", "Enter Sheet Name", IF(($C5 + AZ$3) &lt; $D5, _xlfn.XLOOKUP(($C5 + AZ$3), INDIRECT($A5 &amp; "!D112:D291"), INDIRECT($A5 &amp; "!K112:K291")), "NA"))</f>
        <v>Enter Sheet Name</v>
      </c>
      <c r="BA5" s="145" t="str" cm="1">
        <f t="array" aca="1" ref="BA5" ca="1">IF($A5 = "", "Enter Sheet Name", IF(($C5 + BA$3) &lt; $D5, _xlfn.XLOOKUP(($C5 + BA$3), INDIRECT($A5 &amp; "!D112:D291"), INDIRECT($A5 &amp; "!K112:K291")), "NA"))</f>
        <v>Enter Sheet Name</v>
      </c>
      <c r="BB5" s="145" t="str" cm="1">
        <f t="array" aca="1" ref="BB5" ca="1">IF($A5 = "", "Enter Sheet Name", IF(($C5 + BB$3) &lt; $D5, _xlfn.XLOOKUP(($C5 + BB$3), INDIRECT($A5 &amp; "!D112:D291"), INDIRECT($A5 &amp; "!K112:K291")), "NA"))</f>
        <v>Enter Sheet Name</v>
      </c>
      <c r="BC5" s="145" t="str" cm="1">
        <f t="array" aca="1" ref="BC5" ca="1">IF($A5 = "", "Enter Sheet Name", IF(($C5 + BC$3) &lt; $D5, _xlfn.XLOOKUP(($C5 + BC$3), INDIRECT($A5 &amp; "!D112:D291"), INDIRECT($A5 &amp; "!K112:K291")), "NA"))</f>
        <v>Enter Sheet Name</v>
      </c>
      <c r="BD5" s="145" t="str" cm="1">
        <f t="array" aca="1" ref="BD5" ca="1">IF($A5 = "", "Enter Sheet Name", IF(($C5 + BD$3) &lt; $D5, _xlfn.XLOOKUP(($C5 + BD$3), INDIRECT($A5 &amp; "!D112:D291"), INDIRECT($A5 &amp; "!K112:K291")), "NA"))</f>
        <v>Enter Sheet Name</v>
      </c>
      <c r="BE5" s="145" t="str" cm="1">
        <f t="array" aca="1" ref="BE5" ca="1">IF($A5 = "", "Enter Sheet Name", IF(($C5 + BE$3) &lt; $D5, _xlfn.XLOOKUP(($C5 + BE$3), INDIRECT($A5 &amp; "!D112:D291"), INDIRECT($A5 &amp; "!K112:K291")), "NA"))</f>
        <v>Enter Sheet Name</v>
      </c>
      <c r="BF5" s="145" t="str" cm="1">
        <f t="array" aca="1" ref="BF5" ca="1">IF($A5 = "", "Enter Sheet Name", IF(($C5 + BF$3) &lt; $D5, _xlfn.XLOOKUP(($C5 + BF$3), INDIRECT($A5 &amp; "!D112:D291"), INDIRECT($A5 &amp; "!K112:K291")), "NA"))</f>
        <v>Enter Sheet Name</v>
      </c>
      <c r="BG5" s="145" t="str" cm="1">
        <f t="array" aca="1" ref="BG5" ca="1">IF($A5 = "", "Enter Sheet Name", IF(($C5 + BG$3) &lt; $D5, _xlfn.XLOOKUP(($C5 + BG$3), INDIRECT($A5 &amp; "!D112:D291"), INDIRECT($A5 &amp; "!K112:K291")), "NA"))</f>
        <v>Enter Sheet Name</v>
      </c>
      <c r="BH5" s="145" t="str" cm="1">
        <f t="array" aca="1" ref="BH5" ca="1">IF($A5 = "", "Enter Sheet Name", IF(($C5 + BH$3) &lt; $D5, _xlfn.XLOOKUP(($C5 + BH$3), INDIRECT($A5 &amp; "!D112:D291"), INDIRECT($A5 &amp; "!K112:K291")), "NA"))</f>
        <v>Enter Sheet Name</v>
      </c>
      <c r="BI5" s="145" t="str" cm="1">
        <f t="array" aca="1" ref="BI5" ca="1">IF($A5 = "", "Enter Sheet Name", IF(($C5 + BI$3) &lt; $D5, _xlfn.XLOOKUP(($C5 + BI$3), INDIRECT($A5 &amp; "!D112:D291"), INDIRECT($A5 &amp; "!K112:K291")), "NA"))</f>
        <v>Enter Sheet Name</v>
      </c>
      <c r="BJ5" s="145" t="str" cm="1">
        <f t="array" aca="1" ref="BJ5" ca="1">IF($A5 = "", "Enter Sheet Name", IF(($C5 + BJ$3) &lt; $D5, _xlfn.XLOOKUP(($C5 + BJ$3), INDIRECT($A5 &amp; "!D112:D291"), INDIRECT($A5 &amp; "!K112:K291")), "NA"))</f>
        <v>Enter Sheet Name</v>
      </c>
      <c r="BK5" s="145" t="str" cm="1">
        <f t="array" aca="1" ref="BK5" ca="1">IF($A5 = "", "Enter Sheet Name", IF(($C5 + BK$3) &lt; $D5, _xlfn.XLOOKUP(($C5 + BK$3), INDIRECT($A5 &amp; "!D112:D291"), INDIRECT($A5 &amp; "!K112:K291")), "NA"))</f>
        <v>Enter Sheet Name</v>
      </c>
      <c r="BL5" s="145" t="str" cm="1">
        <f t="array" aca="1" ref="BL5" ca="1">IF($A5 = "", "Enter Sheet Name", IF(($C5 + BL$3) &lt; $D5, _xlfn.XLOOKUP(($C5 + BL$3), INDIRECT($A5 &amp; "!D112:D291"), INDIRECT($A5 &amp; "!K112:K291")), "NA"))</f>
        <v>Enter Sheet Name</v>
      </c>
      <c r="BM5" s="145" t="str" cm="1">
        <f t="array" aca="1" ref="BM5" ca="1">IF($A5 = "", "Enter Sheet Name", IF(($C5 + BM$3) &lt; $D5, _xlfn.XLOOKUP(($C5 + BM$3), INDIRECT($A5 &amp; "!D112:D291"), INDIRECT($A5 &amp; "!K112:K291")), "NA"))</f>
        <v>Enter Sheet Name</v>
      </c>
      <c r="BN5" s="145" t="str" cm="1">
        <f t="array" aca="1" ref="BN5" ca="1">IF($A5 = "", "Enter Sheet Name", IF(($C5 + BN$3) &lt; $D5, _xlfn.XLOOKUP(($C5 + BN$3), INDIRECT($A5 &amp; "!D112:D291"), INDIRECT($A5 &amp; "!K112:K291")), "NA"))</f>
        <v>Enter Sheet Name</v>
      </c>
      <c r="BO5" s="145" t="str" cm="1">
        <f t="array" aca="1" ref="BO5" ca="1">IF($A5 = "", "Enter Sheet Name", IF(($C5 + BO$3) &lt; $D5, _xlfn.XLOOKUP(($C5 + BO$3), INDIRECT($A5 &amp; "!D112:D291"), INDIRECT($A5 &amp; "!K112:K291")), "NA"))</f>
        <v>Enter Sheet Name</v>
      </c>
      <c r="BP5" s="145" t="str" cm="1">
        <f t="array" aca="1" ref="BP5" ca="1">IF($A5 = "", "Enter Sheet Name", IF(($C5 + BP$3) &lt; $D5, _xlfn.XLOOKUP(($C5 + BP$3), INDIRECT($A5 &amp; "!D112:D291"), INDIRECT($A5 &amp; "!K112:K291")), "NA"))</f>
        <v>Enter Sheet Name</v>
      </c>
      <c r="BQ5" s="145" t="str" cm="1">
        <f t="array" aca="1" ref="BQ5" ca="1">IF($A5 = "", "Enter Sheet Name", IF(($C5 + BQ$3) &lt; $D5, _xlfn.XLOOKUP(($C5 + BQ$3), INDIRECT($A5 &amp; "!D112:D291"), INDIRECT($A5 &amp; "!K112:K291")), "NA"))</f>
        <v>Enter Sheet Name</v>
      </c>
      <c r="BR5" s="145" t="str" cm="1">
        <f t="array" aca="1" ref="BR5" ca="1">IF($A5 = "", "Enter Sheet Name", IF(($C5 + BR$3) &lt; $D5, _xlfn.XLOOKUP(($C5 + BR$3), INDIRECT($A5 &amp; "!D112:D291"), INDIRECT($A5 &amp; "!K112:K291")), "NA"))</f>
        <v>Enter Sheet Name</v>
      </c>
      <c r="BS5" s="145" t="str" cm="1">
        <f t="array" aca="1" ref="BS5" ca="1">IF($A5 = "", "Enter Sheet Name", IF(($C5 + BS$3) &lt; $D5, _xlfn.XLOOKUP(($C5 + BS$3), INDIRECT($A5 &amp; "!D112:D291"), INDIRECT($A5 &amp; "!K112:K291")), "NA"))</f>
        <v>Enter Sheet Name</v>
      </c>
      <c r="BT5" s="145" t="str" cm="1">
        <f t="array" aca="1" ref="BT5" ca="1">IF($A5 = "", "Enter Sheet Name", IF(($C5 + BT$3) &lt; $D5, _xlfn.XLOOKUP(($C5 + BT$3), INDIRECT($A5 &amp; "!D112:D291"), INDIRECT($A5 &amp; "!K112:K291")), "NA"))</f>
        <v>Enter Sheet Name</v>
      </c>
      <c r="BU5" s="145" t="str" cm="1">
        <f t="array" aca="1" ref="BU5" ca="1">IF($A5 = "", "Enter Sheet Name", IF(($C5 + BU$3) &lt; $D5, _xlfn.XLOOKUP(($C5 + BU$3), INDIRECT($A5 &amp; "!D112:D291"), INDIRECT($A5 &amp; "!K112:K291")), "NA"))</f>
        <v>Enter Sheet Name</v>
      </c>
      <c r="BV5" s="145" t="str" cm="1">
        <f t="array" aca="1" ref="BV5" ca="1">IF($A5 = "", "Enter Sheet Name", IF(($C5 + BV$3) &lt; $D5, _xlfn.XLOOKUP(($C5 + BV$3), INDIRECT($A5 &amp; "!D112:D291"), INDIRECT($A5 &amp; "!K112:K291")), "NA"))</f>
        <v>Enter Sheet Name</v>
      </c>
      <c r="BW5" s="145" t="str" cm="1">
        <f t="array" aca="1" ref="BW5" ca="1">IF($A5 = "", "Enter Sheet Name", IF(($C5 + BW$3) &lt; $D5, _xlfn.XLOOKUP(($C5 + BW$3), INDIRECT($A5 &amp; "!D112:D291"), INDIRECT($A5 &amp; "!K112:K291")), "NA"))</f>
        <v>Enter Sheet Name</v>
      </c>
      <c r="BX5" s="145" t="str" cm="1">
        <f t="array" aca="1" ref="BX5" ca="1">IF($A5 = "", "Enter Sheet Name", IF(($C5 + BX$3) &lt; $D5, _xlfn.XLOOKUP(($C5 + BX$3), INDIRECT($A5 &amp; "!D112:D291"), INDIRECT($A5 &amp; "!K112:K291")), "NA"))</f>
        <v>Enter Sheet Name</v>
      </c>
      <c r="BY5" s="145" t="str" cm="1">
        <f t="array" aca="1" ref="BY5" ca="1">IF($A5 = "", "Enter Sheet Name", IF(($C5 + BY$3) &lt; $D5, _xlfn.XLOOKUP(($C5 + BY$3), INDIRECT($A5 &amp; "!D112:D291"), INDIRECT($A5 &amp; "!K112:K291")), "NA"))</f>
        <v>Enter Sheet Name</v>
      </c>
      <c r="BZ5" s="145" t="str" cm="1">
        <f t="array" aca="1" ref="BZ5" ca="1">IF($A5 = "", "Enter Sheet Name", IF(($C5 + BZ$3) &lt; $D5, _xlfn.XLOOKUP(($C5 + BZ$3), INDIRECT($A5 &amp; "!D112:D291"), INDIRECT($A5 &amp; "!K112:K291")), "NA"))</f>
        <v>Enter Sheet Name</v>
      </c>
      <c r="CA5" s="145" t="str" cm="1">
        <f t="array" aca="1" ref="CA5" ca="1">IF($A5 = "", "Enter Sheet Name", IF(($C5 + CA$3) &lt; $D5, _xlfn.XLOOKUP(($C5 + CA$3), INDIRECT($A5 &amp; "!D112:D291"), INDIRECT($A5 &amp; "!K112:K291")), "NA"))</f>
        <v>Enter Sheet Name</v>
      </c>
      <c r="CB5" s="145" t="str" cm="1">
        <f t="array" aca="1" ref="CB5" ca="1">IF($A5 = "", "Enter Sheet Name", IF(($C5 + CB$3) &lt; $D5, _xlfn.XLOOKUP(($C5 + CB$3), INDIRECT($A5 &amp; "!D112:D291"), INDIRECT($A5 &amp; "!K112:K291")), "NA"))</f>
        <v>Enter Sheet Name</v>
      </c>
      <c r="CC5" s="145" t="str" cm="1">
        <f t="array" aca="1" ref="CC5" ca="1">IF($A5 = "", "Enter Sheet Name", IF(($C5 + CC$3) &lt; $D5, _xlfn.XLOOKUP(($C5 + CC$3), INDIRECT($A5 &amp; "!D112:D291"), INDIRECT($A5 &amp; "!K112:K291")), "NA"))</f>
        <v>Enter Sheet Name</v>
      </c>
      <c r="CD5" s="145" t="str" cm="1">
        <f t="array" aca="1" ref="CD5" ca="1">IF($A5 = "", "Enter Sheet Name", IF(($C5 + CD$3) &lt; $D5, _xlfn.XLOOKUP(($C5 + CD$3), INDIRECT($A5 &amp; "!D112:D291"), INDIRECT($A5 &amp; "!K112:K291")), "NA"))</f>
        <v>Enter Sheet Name</v>
      </c>
      <c r="CE5" s="145" t="str" cm="1">
        <f t="array" aca="1" ref="CE5" ca="1">IF($A5 = "", "Enter Sheet Name", IF(($C5 + CE$3) &lt; $D5, _xlfn.XLOOKUP(($C5 + CE$3), INDIRECT($A5 &amp; "!D112:D291"), INDIRECT($A5 &amp; "!K112:K291")), "NA"))</f>
        <v>Enter Sheet Name</v>
      </c>
      <c r="CF5" s="145" t="str" cm="1">
        <f t="array" aca="1" ref="CF5" ca="1">IF($A5 = "", "Enter Sheet Name", IF(($C5 + CF$3) &lt; $D5, _xlfn.XLOOKUP(($C5 + CF$3), INDIRECT($A5 &amp; "!D112:D291"), INDIRECT($A5 &amp; "!K112:K291")), "NA"))</f>
        <v>Enter Sheet Name</v>
      </c>
      <c r="CG5" s="145" t="str" cm="1">
        <f t="array" aca="1" ref="CG5" ca="1">IF($A5 = "", "Enter Sheet Name", IF(($C5 + CG$3) &lt; $D5, _xlfn.XLOOKUP(($C5 + CG$3), INDIRECT($A5 &amp; "!D112:D291"), INDIRECT($A5 &amp; "!K112:K291")), "NA"))</f>
        <v>Enter Sheet Name</v>
      </c>
      <c r="CH5" s="145" t="str" cm="1">
        <f t="array" aca="1" ref="CH5" ca="1">IF($A5 = "", "Enter Sheet Name", IF(($C5 + CH$3) &lt; $D5, _xlfn.XLOOKUP(($C5 + CH$3), INDIRECT($A5 &amp; "!D112:D291"), INDIRECT($A5 &amp; "!K112:K291")), "NA"))</f>
        <v>Enter Sheet Name</v>
      </c>
      <c r="CI5" s="145" t="str" cm="1">
        <f t="array" aca="1" ref="CI5" ca="1">IF($A5 = "", "Enter Sheet Name", IF(($C5 + CI$3) &lt; $D5, _xlfn.XLOOKUP(($C5 + CI$3), INDIRECT($A5 &amp; "!D112:D291"), INDIRECT($A5 &amp; "!K112:K291")), "NA"))</f>
        <v>Enter Sheet Name</v>
      </c>
      <c r="CJ5" s="145" t="str" cm="1">
        <f t="array" aca="1" ref="CJ5" ca="1">IF($A5 = "", "Enter Sheet Name", IF(($C5 + CJ$3) &lt; $D5, _xlfn.XLOOKUP(($C5 + CJ$3), INDIRECT($A5 &amp; "!D112:D291"), INDIRECT($A5 &amp; "!K112:K291")), "NA"))</f>
        <v>Enter Sheet Name</v>
      </c>
      <c r="CK5" s="145" t="str" cm="1">
        <f t="array" aca="1" ref="CK5" ca="1">IF($A5 = "", "Enter Sheet Name", IF(($C5 + CK$3) &lt; $D5, _xlfn.XLOOKUP(($C5 + CK$3), INDIRECT($A5 &amp; "!D112:D291"), INDIRECT($A5 &amp; "!K112:K291")), "NA"))</f>
        <v>Enter Sheet Name</v>
      </c>
      <c r="CL5" s="145" t="str" cm="1">
        <f t="array" aca="1" ref="CL5" ca="1">IF($A5 = "", "Enter Sheet Name", IF(($C5 + CL$3) &lt; $D5, _xlfn.XLOOKUP(($C5 + CL$3), INDIRECT($A5 &amp; "!D112:D291"), INDIRECT($A5 &amp; "!K112:K291")), "NA"))</f>
        <v>Enter Sheet Name</v>
      </c>
      <c r="CM5" s="145" t="str" cm="1">
        <f t="array" aca="1" ref="CM5" ca="1">IF($A5 = "", "Enter Sheet Name", IF(($C5 + CM$3) &lt; $D5, _xlfn.XLOOKUP(($C5 + CM$3), INDIRECT($A5 &amp; "!D112:D291"), INDIRECT($A5 &amp; "!K112:K291")), "NA"))</f>
        <v>Enter Sheet Name</v>
      </c>
      <c r="CN5" s="145" t="str" cm="1">
        <f t="array" aca="1" ref="CN5" ca="1">IF($A5 = "", "Enter Sheet Name", IF(($C5 + CN$3) &lt; $D5, _xlfn.XLOOKUP(($C5 + CN$3), INDIRECT($A5 &amp; "!D112:D291"), INDIRECT($A5 &amp; "!K112:K291")), "NA"))</f>
        <v>Enter Sheet Name</v>
      </c>
      <c r="CO5" s="145" t="str" cm="1">
        <f t="array" aca="1" ref="CO5" ca="1">IF($A5 = "", "Enter Sheet Name", IF(($C5 + CO$3) &lt; $D5, _xlfn.XLOOKUP(($C5 + CO$3), INDIRECT($A5 &amp; "!D112:D291"), INDIRECT($A5 &amp; "!K112:K291")), "NA"))</f>
        <v>Enter Sheet Name</v>
      </c>
      <c r="CP5" s="145" t="str" cm="1">
        <f t="array" aca="1" ref="CP5" ca="1">IF($A5 = "", "Enter Sheet Name", IF(($C5 + CP$3) &lt; $D5, _xlfn.XLOOKUP(($C5 + CP$3), INDIRECT($A5 &amp; "!D112:D291"), INDIRECT($A5 &amp; "!K112:K291")), "NA"))</f>
        <v>Enter Sheet Name</v>
      </c>
      <c r="CQ5" s="145" t="str" cm="1">
        <f t="array" aca="1" ref="CQ5" ca="1">IF($A5 = "", "Enter Sheet Name", IF(($C5 + CQ$3) &lt; $D5, _xlfn.XLOOKUP(($C5 + CQ$3), INDIRECT($A5 &amp; "!D112:D291"), INDIRECT($A5 &amp; "!K112:K291")), "NA"))</f>
        <v>Enter Sheet Name</v>
      </c>
      <c r="CR5" s="145" t="str" cm="1">
        <f t="array" aca="1" ref="CR5" ca="1">IF($A5 = "", "Enter Sheet Name", IF(($C5 + CR$3) &lt; $D5, _xlfn.XLOOKUP(($C5 + CR$3), INDIRECT($A5 &amp; "!D112:D291"), INDIRECT($A5 &amp; "!K112:K291")), "NA"))</f>
        <v>Enter Sheet Name</v>
      </c>
      <c r="CS5" s="145" t="str" cm="1">
        <f t="array" aca="1" ref="CS5" ca="1">IF($A5 = "", "Enter Sheet Name", IF(($C5 + CS$3) &lt; $D5, _xlfn.XLOOKUP(($C5 + CS$3), INDIRECT($A5 &amp; "!D112:D291"), INDIRECT($A5 &amp; "!K112:K291")), "NA"))</f>
        <v>Enter Sheet Name</v>
      </c>
      <c r="CT5" s="145" t="str" cm="1">
        <f t="array" aca="1" ref="CT5" ca="1">IF($A5 = "", "Enter Sheet Name", IF(($C5 + CT$3) &lt; $D5, _xlfn.XLOOKUP(($C5 + CT$3), INDIRECT($A5 &amp; "!D112:D291"), INDIRECT($A5 &amp; "!K112:K291")), "NA"))</f>
        <v>Enter Sheet Name</v>
      </c>
      <c r="CU5" s="145" t="str" cm="1">
        <f t="array" aca="1" ref="CU5" ca="1">IF($A5 = "", "Enter Sheet Name", IF(($C5 + CU$3) &lt; $D5, _xlfn.XLOOKUP(($C5 + CU$3), INDIRECT($A5 &amp; "!D112:D291"), INDIRECT($A5 &amp; "!K112:K291")), "NA"))</f>
        <v>Enter Sheet Name</v>
      </c>
      <c r="CV5" s="145" t="str" cm="1">
        <f t="array" aca="1" ref="CV5" ca="1">IF($A5 = "", "Enter Sheet Name", IF(($C5 + CV$3) &lt; $D5, _xlfn.XLOOKUP(($C5 + CV$3), INDIRECT($A5 &amp; "!D112:D291"), INDIRECT($A5 &amp; "!K112:K291")), "NA"))</f>
        <v>Enter Sheet Name</v>
      </c>
      <c r="CW5" s="145" t="str" cm="1">
        <f t="array" aca="1" ref="CW5" ca="1">IF($A5 = "", "Enter Sheet Name", IF(($C5 + CW$3) &lt; $D5, _xlfn.XLOOKUP(($C5 + CW$3), INDIRECT($A5 &amp; "!D112:D291"), INDIRECT($A5 &amp; "!K112:K291")), "NA"))</f>
        <v>Enter Sheet Name</v>
      </c>
      <c r="CX5" s="145" t="str" cm="1">
        <f t="array" aca="1" ref="CX5" ca="1">IF($A5 = "", "Enter Sheet Name", IF(($C5 + CX$3) &lt; $D5, _xlfn.XLOOKUP(($C5 + CX$3), INDIRECT($A5 &amp; "!D112:D291"), INDIRECT($A5 &amp; "!K112:K291")), "NA"))</f>
        <v>Enter Sheet Name</v>
      </c>
      <c r="CY5" s="145" t="str" cm="1">
        <f t="array" aca="1" ref="CY5" ca="1">IF($A5 = "", "Enter Sheet Name", IF(($C5 + CY$3) &lt; $D5, _xlfn.XLOOKUP(($C5 + CY$3), INDIRECT($A5 &amp; "!D112:D291"), INDIRECT($A5 &amp; "!K112:K291")), "NA"))</f>
        <v>Enter Sheet Name</v>
      </c>
      <c r="CZ5" s="145" t="str" cm="1">
        <f t="array" aca="1" ref="CZ5" ca="1">IF($A5 = "", "Enter Sheet Name", IF(($C5 + CZ$3) &lt; $D5, _xlfn.XLOOKUP(($C5 + CZ$3), INDIRECT($A5 &amp; "!D112:D291"), INDIRECT($A5 &amp; "!K112:K291")), "NA"))</f>
        <v>Enter Sheet Name</v>
      </c>
      <c r="DA5" s="145" t="str" cm="1">
        <f t="array" aca="1" ref="DA5" ca="1">IF($A5 = "", "Enter Sheet Name", IF(($C5 + DA$3) &lt; $D5, _xlfn.XLOOKUP(($C5 + DA$3), INDIRECT($A5 &amp; "!D112:D291"), INDIRECT($A5 &amp; "!K112:K291")), "NA"))</f>
        <v>Enter Sheet Name</v>
      </c>
      <c r="DB5" s="145" t="str" cm="1">
        <f t="array" aca="1" ref="DB5" ca="1">IF($A5 = "", "Enter Sheet Name", IF(($C5 + DB$3) &lt; $D5, _xlfn.XLOOKUP(($C5 + DB$3), INDIRECT($A5 &amp; "!D112:D291"), INDIRECT($A5 &amp; "!K112:K291")), "NA"))</f>
        <v>Enter Sheet Name</v>
      </c>
      <c r="DC5" s="145" t="str" cm="1">
        <f t="array" aca="1" ref="DC5" ca="1">IF($A5 = "", "Enter Sheet Name", IF(($C5 + DC$3) &lt; $D5, _xlfn.XLOOKUP(($C5 + DC$3), INDIRECT($A5 &amp; "!D112:D291"), INDIRECT($A5 &amp; "!K112:K291")), "NA"))</f>
        <v>Enter Sheet Name</v>
      </c>
      <c r="DD5" s="145" t="str" cm="1">
        <f t="array" aca="1" ref="DD5" ca="1">IF($A5 = "", "Enter Sheet Name", IF(($C5 + DD$3) &lt; $D5, _xlfn.XLOOKUP(($C5 + DD$3), INDIRECT($A5 &amp; "!D112:D291"), INDIRECT($A5 &amp; "!K112:K291")), "NA"))</f>
        <v>Enter Sheet Name</v>
      </c>
      <c r="DE5" s="145" t="str" cm="1">
        <f t="array" aca="1" ref="DE5" ca="1">IF($A5 = "", "Enter Sheet Name", IF(($C5 + DE$3) &lt; $D5, _xlfn.XLOOKUP(($C5 + DE$3), INDIRECT($A5 &amp; "!D112:D291"), INDIRECT($A5 &amp; "!K112:K291")), "NA"))</f>
        <v>Enter Sheet Name</v>
      </c>
      <c r="DF5" s="145" t="str" cm="1">
        <f t="array" aca="1" ref="DF5" ca="1">IF($A5 = "", "Enter Sheet Name", IF(($C5 + DF$3) &lt; $D5, _xlfn.XLOOKUP(($C5 + DF$3), INDIRECT($A5 &amp; "!D112:D291"), INDIRECT($A5 &amp; "!K112:K291")), "NA"))</f>
        <v>Enter Sheet Name</v>
      </c>
      <c r="DG5" s="145" t="str" cm="1">
        <f t="array" aca="1" ref="DG5" ca="1">IF($A5 = "", "Enter Sheet Name", IF(($C5 + DG$3) &lt; $D5, _xlfn.XLOOKUP(($C5 + DG$3), INDIRECT($A5 &amp; "!D112:D291"), INDIRECT($A5 &amp; "!K112:K291")), "NA"))</f>
        <v>Enter Sheet Name</v>
      </c>
      <c r="DH5" s="145" t="str" cm="1">
        <f t="array" aca="1" ref="DH5" ca="1">IF($A5 = "", "Enter Sheet Name", IF(($C5 + DH$3) &lt; $D5, _xlfn.XLOOKUP(($C5 + DH$3), INDIRECT($A5 &amp; "!D112:D291"), INDIRECT($A5 &amp; "!K112:K291")), "NA"))</f>
        <v>Enter Sheet Name</v>
      </c>
      <c r="DI5" s="145" t="str" cm="1">
        <f t="array" aca="1" ref="DI5" ca="1">IF($A5 = "", "Enter Sheet Name", IF(($C5 + DI$3) &lt; $D5, _xlfn.XLOOKUP(($C5 + DI$3), INDIRECT($A5 &amp; "!D112:D291"), INDIRECT($A5 &amp; "!K112:K291")), "NA"))</f>
        <v>Enter Sheet Name</v>
      </c>
      <c r="DJ5" s="145" t="str" cm="1">
        <f t="array" aca="1" ref="DJ5" ca="1">IF($A5 = "", "Enter Sheet Name", IF(($C5 + DJ$3) &lt; $D5, _xlfn.XLOOKUP(($C5 + DJ$3), INDIRECT($A5 &amp; "!D112:D291"), INDIRECT($A5 &amp; "!K112:K291")), "NA"))</f>
        <v>Enter Sheet Name</v>
      </c>
      <c r="DK5" s="145" t="str" cm="1">
        <f t="array" aca="1" ref="DK5" ca="1">IF($A5 = "", "Enter Sheet Name", IF(($C5 + DK$3) &lt; $D5, _xlfn.XLOOKUP(($C5 + DK$3), INDIRECT($A5 &amp; "!D112:D291"), INDIRECT($A5 &amp; "!K112:K291")), "NA"))</f>
        <v>Enter Sheet Name</v>
      </c>
      <c r="DL5" s="145" t="str" cm="1">
        <f t="array" aca="1" ref="DL5" ca="1">IF($A5 = "", "Enter Sheet Name", IF(($C5 + DL$3) &lt; $D5, _xlfn.XLOOKUP(($C5 + DL$3), INDIRECT($A5 &amp; "!D112:D291"), INDIRECT($A5 &amp; "!K112:K291")), "NA"))</f>
        <v>Enter Sheet Name</v>
      </c>
      <c r="DM5" s="145" t="str" cm="1">
        <f t="array" aca="1" ref="DM5" ca="1">IF($A5 = "", "Enter Sheet Name", IF(($C5 + DM$3) &lt; $D5, _xlfn.XLOOKUP(($C5 + DM$3), INDIRECT($A5 &amp; "!D112:D291"), INDIRECT($A5 &amp; "!K112:K291")), "NA"))</f>
        <v>Enter Sheet Name</v>
      </c>
      <c r="DN5" s="145" t="str" cm="1">
        <f t="array" aca="1" ref="DN5" ca="1">IF($A5 = "", "Enter Sheet Name", IF(($C5 + DN$3) &lt; $D5, _xlfn.XLOOKUP(($C5 + DN$3), INDIRECT($A5 &amp; "!D112:D291"), INDIRECT($A5 &amp; "!K112:K291")), "NA"))</f>
        <v>Enter Sheet Name</v>
      </c>
      <c r="DO5" s="145" t="str" cm="1">
        <f t="array" aca="1" ref="DO5" ca="1">IF($A5 = "", "Enter Sheet Name", IF(($C5 + DO$3) &lt; $D5, _xlfn.XLOOKUP(($C5 + DO$3), INDIRECT($A5 &amp; "!D112:D291"), INDIRECT($A5 &amp; "!K112:K291")), "NA"))</f>
        <v>Enter Sheet Name</v>
      </c>
      <c r="DP5" s="145" t="str" cm="1">
        <f t="array" aca="1" ref="DP5" ca="1">IF($A5 = "", "Enter Sheet Name", IF(($C5 + DP$3) &lt; $D5, _xlfn.XLOOKUP(($C5 + DP$3), INDIRECT($A5 &amp; "!D112:D291"), INDIRECT($A5 &amp; "!K112:K291")), "NA"))</f>
        <v>Enter Sheet Name</v>
      </c>
      <c r="DQ5" s="145" t="str" cm="1">
        <f t="array" aca="1" ref="DQ5" ca="1">IF($A5 = "", "Enter Sheet Name", IF(($C5 + DQ$3) &lt; $D5, _xlfn.XLOOKUP(($C5 + DQ$3), INDIRECT($A5 &amp; "!D112:D291"), INDIRECT($A5 &amp; "!K112:K291")), "NA"))</f>
        <v>Enter Sheet Name</v>
      </c>
      <c r="DR5" s="145" t="str" cm="1">
        <f t="array" aca="1" ref="DR5" ca="1">IF($A5 = "", "Enter Sheet Name", IF(($C5 + DR$3) &lt; $D5, _xlfn.XLOOKUP(($C5 + DR$3), INDIRECT($A5 &amp; "!D112:D291"), INDIRECT($A5 &amp; "!K112:K291")), "NA"))</f>
        <v>Enter Sheet Name</v>
      </c>
      <c r="DS5" s="145" t="str" cm="1">
        <f t="array" aca="1" ref="DS5" ca="1">IF($A5 = "", "Enter Sheet Name", IF(($C5 + DS$3) &lt; $D5, _xlfn.XLOOKUP(($C5 + DS$3), INDIRECT($A5 &amp; "!D112:D291"), INDIRECT($A5 &amp; "!K112:K291")), "NA"))</f>
        <v>Enter Sheet Name</v>
      </c>
      <c r="DT5" s="145" t="str" cm="1">
        <f t="array" aca="1" ref="DT5" ca="1">IF($A5 = "", "Enter Sheet Name", IF(($C5 + DT$3) &lt; $D5, _xlfn.XLOOKUP(($C5 + DT$3), INDIRECT($A5 &amp; "!D112:D291"), INDIRECT($A5 &amp; "!K112:K291")), "NA"))</f>
        <v>Enter Sheet Name</v>
      </c>
      <c r="DU5" s="145" t="str" cm="1">
        <f t="array" aca="1" ref="DU5" ca="1">IF($A5 = "", "Enter Sheet Name", IF(($C5 + DU$3) &lt; $D5, _xlfn.XLOOKUP(($C5 + DU$3), INDIRECT($A5 &amp; "!D112:D291"), INDIRECT($A5 &amp; "!K112:K291")), "NA"))</f>
        <v>Enter Sheet Name</v>
      </c>
      <c r="DV5" s="145" t="str" cm="1">
        <f t="array" aca="1" ref="DV5" ca="1">IF($A5 = "", "Enter Sheet Name", IF(($C5 + DV$3) &lt; $D5, _xlfn.XLOOKUP(($C5 + DV$3), INDIRECT($A5 &amp; "!D112:D291"), INDIRECT($A5 &amp; "!K112:K291")), "NA"))</f>
        <v>Enter Sheet Name</v>
      </c>
      <c r="DW5" s="145" t="str" cm="1">
        <f t="array" aca="1" ref="DW5" ca="1">IF($A5 = "", "Enter Sheet Name", IF(($C5 + DW$3) &lt; $D5, _xlfn.XLOOKUP(($C5 + DW$3), INDIRECT($A5 &amp; "!D112:D291"), INDIRECT($A5 &amp; "!K112:K291")), "NA"))</f>
        <v>Enter Sheet Name</v>
      </c>
      <c r="DX5" s="145" t="str" cm="1">
        <f t="array" aca="1" ref="DX5" ca="1">IF($A5 = "", "Enter Sheet Name", IF(($C5 + DX$3) &lt; $D5, _xlfn.XLOOKUP(($C5 + DX$3), INDIRECT($A5 &amp; "!D112:D291"), INDIRECT($A5 &amp; "!K112:K291")), "NA"))</f>
        <v>Enter Sheet Name</v>
      </c>
      <c r="DY5" s="145" t="str" cm="1">
        <f t="array" aca="1" ref="DY5" ca="1">IF($A5 = "", "Enter Sheet Name", IF(($C5 + DY$3) &lt; $D5, _xlfn.XLOOKUP(($C5 + DY$3), INDIRECT($A5 &amp; "!D112:D291"), INDIRECT($A5 &amp; "!K112:K291")), "NA"))</f>
        <v>Enter Sheet Name</v>
      </c>
      <c r="DZ5" s="145" t="str" cm="1">
        <f t="array" aca="1" ref="DZ5" ca="1">IF($A5 = "", "Enter Sheet Name", IF(($C5 + DZ$3) &lt; $D5, _xlfn.XLOOKUP(($C5 + DZ$3), INDIRECT($A5 &amp; "!D112:D291"), INDIRECT($A5 &amp; "!K112:K291")), "NA"))</f>
        <v>Enter Sheet Name</v>
      </c>
      <c r="EA5" s="145" t="str" cm="1">
        <f t="array" aca="1" ref="EA5" ca="1">IF($A5 = "", "Enter Sheet Name", IF(($C5 + EA$3) &lt; $D5, _xlfn.XLOOKUP(($C5 + EA$3), INDIRECT($A5 &amp; "!D112:D291"), INDIRECT($A5 &amp; "!K112:K291")), "NA"))</f>
        <v>Enter Sheet Name</v>
      </c>
      <c r="EB5" s="145" t="str" cm="1">
        <f t="array" aca="1" ref="EB5" ca="1">IF($A5 = "", "Enter Sheet Name", IF(($C5 + EB$3) &lt; $D5, _xlfn.XLOOKUP(($C5 + EB$3), INDIRECT($A5 &amp; "!D112:D291"), INDIRECT($A5 &amp; "!K112:K291")), "NA"))</f>
        <v>Enter Sheet Name</v>
      </c>
      <c r="EC5" s="145" t="str" cm="1">
        <f t="array" aca="1" ref="EC5" ca="1">IF($A5 = "", "Enter Sheet Name", IF(($C5 + EC$3) &lt; $D5, _xlfn.XLOOKUP(($C5 + EC$3), INDIRECT($A5 &amp; "!D112:D291"), INDIRECT($A5 &amp; "!K112:K291")), "NA"))</f>
        <v>Enter Sheet Name</v>
      </c>
      <c r="ED5" s="145" t="str" cm="1">
        <f t="array" aca="1" ref="ED5" ca="1">IF($A5 = "", "Enter Sheet Name", IF(($C5 + ED$3) &lt; $D5, _xlfn.XLOOKUP(($C5 + ED$3), INDIRECT($A5 &amp; "!D112:D291"), INDIRECT($A5 &amp; "!K112:K291")), "NA"))</f>
        <v>Enter Sheet Name</v>
      </c>
      <c r="EE5" s="145" t="str" cm="1">
        <f t="array" aca="1" ref="EE5" ca="1">IF($A5 = "", "Enter Sheet Name", IF(($C5 + EE$3) &lt; $D5, _xlfn.XLOOKUP(($C5 + EE$3), INDIRECT($A5 &amp; "!D112:D291"), INDIRECT($A5 &amp; "!K112:K291")), "NA"))</f>
        <v>Enter Sheet Name</v>
      </c>
      <c r="EF5" s="145" t="str" cm="1">
        <f t="array" aca="1" ref="EF5" ca="1">IF($A5 = "", "Enter Sheet Name", IF(($C5 + EF$3) &lt; $D5, _xlfn.XLOOKUP(($C5 + EF$3), INDIRECT($A5 &amp; "!D112:D291"), INDIRECT($A5 &amp; "!K112:K291")), "NA"))</f>
        <v>Enter Sheet Name</v>
      </c>
      <c r="EG5" s="145" t="str" cm="1">
        <f t="array" aca="1" ref="EG5" ca="1">IF($A5 = "", "Enter Sheet Name", IF(($C5 + EG$3) &lt; $D5, _xlfn.XLOOKUP(($C5 + EG$3), INDIRECT($A5 &amp; "!D112:D291"), INDIRECT($A5 &amp; "!K112:K291")), "NA"))</f>
        <v>Enter Sheet Name</v>
      </c>
      <c r="EH5" s="145" t="str" cm="1">
        <f t="array" aca="1" ref="EH5" ca="1">IF($A5 = "", "Enter Sheet Name", IF(($C5 + EH$3) &lt; $D5, _xlfn.XLOOKUP(($C5 + EH$3), INDIRECT($A5 &amp; "!D112:D291"), INDIRECT($A5 &amp; "!K112:K291")), "NA"))</f>
        <v>Enter Sheet Name</v>
      </c>
      <c r="EI5" s="145" t="str" cm="1">
        <f t="array" aca="1" ref="EI5" ca="1">IF($A5 = "", "Enter Sheet Name", IF(($C5 + EI$3) &lt; $D5, _xlfn.XLOOKUP(($C5 + EI$3), INDIRECT($A5 &amp; "!D112:D291"), INDIRECT($A5 &amp; "!K112:K291")), "NA"))</f>
        <v>Enter Sheet Name</v>
      </c>
      <c r="EJ5" s="145" t="str" cm="1">
        <f t="array" aca="1" ref="EJ5" ca="1">IF($A5 = "", "Enter Sheet Name", IF(($C5 + EJ$3) &lt; $D5, _xlfn.XLOOKUP(($C5 + EJ$3), INDIRECT($A5 &amp; "!D112:D291"), INDIRECT($A5 &amp; "!K112:K291")), "NA"))</f>
        <v>Enter Sheet Name</v>
      </c>
      <c r="EK5" s="145" t="str" cm="1">
        <f t="array" aca="1" ref="EK5" ca="1">IF($A5 = "", "Enter Sheet Name", IF(($C5 + EK$3) &lt; $D5, _xlfn.XLOOKUP(($C5 + EK$3), INDIRECT($A5 &amp; "!D112:D291"), INDIRECT($A5 &amp; "!K112:K291")), "NA"))</f>
        <v>Enter Sheet Name</v>
      </c>
      <c r="EL5" s="145" t="str" cm="1">
        <f t="array" aca="1" ref="EL5" ca="1">IF($A5 = "", "Enter Sheet Name", IF(($C5 + EL$3) &lt; $D5, _xlfn.XLOOKUP(($C5 + EL$3), INDIRECT($A5 &amp; "!D112:D291"), INDIRECT($A5 &amp; "!K112:K291")), "NA"))</f>
        <v>Enter Sheet Name</v>
      </c>
      <c r="EM5" s="145" t="str" cm="1">
        <f t="array" aca="1" ref="EM5" ca="1">IF($A5 = "", "Enter Sheet Name", IF(($C5 + EM$3) &lt; $D5, _xlfn.XLOOKUP(($C5 + EM$3), INDIRECT($A5 &amp; "!D112:D291"), INDIRECT($A5 &amp; "!K112:K291")), "NA"))</f>
        <v>Enter Sheet Name</v>
      </c>
      <c r="EN5" s="145" t="str" cm="1">
        <f t="array" aca="1" ref="EN5" ca="1">IF($A5 = "", "Enter Sheet Name", IF(($C5 + EN$3) &lt; $D5, _xlfn.XLOOKUP(($C5 + EN$3), INDIRECT($A5 &amp; "!D112:D291"), INDIRECT($A5 &amp; "!K112:K291")), "NA"))</f>
        <v>Enter Sheet Name</v>
      </c>
      <c r="EO5" s="145" t="str" cm="1">
        <f t="array" aca="1" ref="EO5" ca="1">IF($A5 = "", "Enter Sheet Name", IF(($C5 + EO$3) &lt; $D5, _xlfn.XLOOKUP(($C5 + EO$3), INDIRECT($A5 &amp; "!D112:D291"), INDIRECT($A5 &amp; "!K112:K291")), "NA"))</f>
        <v>Enter Sheet Name</v>
      </c>
      <c r="EP5" s="145" t="str" cm="1">
        <f t="array" aca="1" ref="EP5" ca="1">IF($A5 = "", "Enter Sheet Name", IF(($C5 + EP$3) &lt; $D5, _xlfn.XLOOKUP(($C5 + EP$3), INDIRECT($A5 &amp; "!D112:D291"), INDIRECT($A5 &amp; "!K112:K291")), "NA"))</f>
        <v>Enter Sheet Name</v>
      </c>
      <c r="EQ5" s="145" t="str" cm="1">
        <f t="array" aca="1" ref="EQ5" ca="1">IF($A5 = "", "Enter Sheet Name", IF(($C5 + EQ$3) &lt; $D5, _xlfn.XLOOKUP(($C5 + EQ$3), INDIRECT($A5 &amp; "!D112:D291"), INDIRECT($A5 &amp; "!K112:K291")), "NA"))</f>
        <v>Enter Sheet Name</v>
      </c>
      <c r="ER5" s="145" t="str" cm="1">
        <f t="array" aca="1" ref="ER5" ca="1">IF($A5 = "", "Enter Sheet Name", IF(($C5 + ER$3) &lt; $D5, _xlfn.XLOOKUP(($C5 + ER$3), INDIRECT($A5 &amp; "!D112:D291"), INDIRECT($A5 &amp; "!K112:K291")), "NA"))</f>
        <v>Enter Sheet Name</v>
      </c>
      <c r="ES5" s="145" t="str" cm="1">
        <f t="array" aca="1" ref="ES5" ca="1">IF($A5 = "", "Enter Sheet Name", IF(($C5 + ES$3) &lt; $D5, _xlfn.XLOOKUP(($C5 + ES$3), INDIRECT($A5 &amp; "!D112:D291"), INDIRECT($A5 &amp; "!K112:K291")), "NA"))</f>
        <v>Enter Sheet Name</v>
      </c>
      <c r="ET5" s="145" t="str" cm="1">
        <f t="array" aca="1" ref="ET5" ca="1">IF($A5 = "", "Enter Sheet Name", IF(($C5 + ET$3) &lt; $D5, _xlfn.XLOOKUP(($C5 + ET$3), INDIRECT($A5 &amp; "!D112:D291"), INDIRECT($A5 &amp; "!K112:K291")), "NA"))</f>
        <v>Enter Sheet Name</v>
      </c>
      <c r="EU5" s="145" t="str" cm="1">
        <f t="array" aca="1" ref="EU5" ca="1">IF($A5 = "", "Enter Sheet Name", IF(($C5 + EU$3) &lt; $D5, _xlfn.XLOOKUP(($C5 + EU$3), INDIRECT($A5 &amp; "!D112:D291"), INDIRECT($A5 &amp; "!K112:K291")), "NA"))</f>
        <v>Enter Sheet Name</v>
      </c>
      <c r="EV5" s="145" t="str" cm="1">
        <f t="array" aca="1" ref="EV5" ca="1">IF($A5 = "", "Enter Sheet Name", IF(($C5 + EV$3) &lt; $D5, _xlfn.XLOOKUP(($C5 + EV$3), INDIRECT($A5 &amp; "!D112:D291"), INDIRECT($A5 &amp; "!K112:K291")), "NA"))</f>
        <v>Enter Sheet Name</v>
      </c>
      <c r="EW5" s="145" t="str" cm="1">
        <f t="array" aca="1" ref="EW5" ca="1">IF($A5 = "", "Enter Sheet Name", IF(($C5 + EW$3) &lt; $D5, _xlfn.XLOOKUP(($C5 + EW$3), INDIRECT($A5 &amp; "!D112:D291"), INDIRECT($A5 &amp; "!K112:K291")), "NA"))</f>
        <v>Enter Sheet Name</v>
      </c>
      <c r="EX5" s="145" t="str" cm="1">
        <f t="array" aca="1" ref="EX5" ca="1">IF($A5 = "", "Enter Sheet Name", IF(($C5 + EX$3) &lt; $D5, _xlfn.XLOOKUP(($C5 + EX$3), INDIRECT($A5 &amp; "!D112:D291"), INDIRECT($A5 &amp; "!K112:K291")), "NA"))</f>
        <v>Enter Sheet Name</v>
      </c>
      <c r="EY5" s="145" t="str" cm="1">
        <f t="array" aca="1" ref="EY5" ca="1">IF($A5 = "", "Enter Sheet Name", IF(($C5 + EY$3) &lt; $D5, _xlfn.XLOOKUP(($C5 + EY$3), INDIRECT($A5 &amp; "!D112:D291"), INDIRECT($A5 &amp; "!K112:K291")), "NA"))</f>
        <v>Enter Sheet Name</v>
      </c>
      <c r="EZ5" s="145" t="str" cm="1">
        <f t="array" aca="1" ref="EZ5" ca="1">IF($A5 = "", "Enter Sheet Name", IF(($C5 + EZ$3) &lt; $D5, _xlfn.XLOOKUP(($C5 + EZ$3), INDIRECT($A5 &amp; "!D112:D291"), INDIRECT($A5 &amp; "!K112:K291")), "NA"))</f>
        <v>Enter Sheet Name</v>
      </c>
      <c r="FA5" s="145" t="str" cm="1">
        <f t="array" aca="1" ref="FA5" ca="1">IF($A5 = "", "Enter Sheet Name", IF(($C5 + FA$3) &lt; $D5, _xlfn.XLOOKUP(($C5 + FA$3), INDIRECT($A5 &amp; "!D112:D291"), INDIRECT($A5 &amp; "!K112:K291")), "NA"))</f>
        <v>Enter Sheet Name</v>
      </c>
      <c r="FB5" s="145" t="str" cm="1">
        <f t="array" aca="1" ref="FB5" ca="1">IF($A5 = "", "Enter Sheet Name", IF(($C5 + FB$3) &lt; $D5, _xlfn.XLOOKUP(($C5 + FB$3), INDIRECT($A5 &amp; "!D112:D291"), INDIRECT($A5 &amp; "!K112:K291")), "NA"))</f>
        <v>Enter Sheet Name</v>
      </c>
      <c r="FC5" s="145" t="str" cm="1">
        <f t="array" aca="1" ref="FC5" ca="1">IF($A5 = "", "Enter Sheet Name", IF(($C5 + FC$3) &lt; $D5, _xlfn.XLOOKUP(($C5 + FC$3), INDIRECT($A5 &amp; "!D112:D291"), INDIRECT($A5 &amp; "!K112:K291")), "NA"))</f>
        <v>Enter Sheet Name</v>
      </c>
      <c r="FD5" s="145" t="str" cm="1">
        <f t="array" aca="1" ref="FD5" ca="1">IF($A5 = "", "Enter Sheet Name", IF(($C5 + FD$3) &lt; $D5, _xlfn.XLOOKUP(($C5 + FD$3), INDIRECT($A5 &amp; "!D112:D291"), INDIRECT($A5 &amp; "!K112:K291")), "NA"))</f>
        <v>Enter Sheet Name</v>
      </c>
      <c r="FE5" s="145" t="str" cm="1">
        <f t="array" aca="1" ref="FE5" ca="1">IF($A5 = "", "Enter Sheet Name", IF(($C5 + FE$3) &lt; $D5, _xlfn.XLOOKUP(($C5 + FE$3), INDIRECT($A5 &amp; "!D112:D291"), INDIRECT($A5 &amp; "!K112:K291")), "NA"))</f>
        <v>Enter Sheet Name</v>
      </c>
      <c r="FF5" s="145" t="str" cm="1">
        <f t="array" aca="1" ref="FF5" ca="1">IF($A5 = "", "Enter Sheet Name", IF(($C5 + FF$3) &lt; $D5, _xlfn.XLOOKUP(($C5 + FF$3), INDIRECT($A5 &amp; "!D112:D291"), INDIRECT($A5 &amp; "!K112:K291")), "NA"))</f>
        <v>Enter Sheet Name</v>
      </c>
      <c r="FG5" s="145" t="str" cm="1">
        <f t="array" aca="1" ref="FG5" ca="1">IF($A5 = "", "Enter Sheet Name", IF(($C5 + FG$3) &lt; $D5, _xlfn.XLOOKUP(($C5 + FG$3), INDIRECT($A5 &amp; "!D112:D291"), INDIRECT($A5 &amp; "!K112:K291")), "NA"))</f>
        <v>Enter Sheet Name</v>
      </c>
      <c r="FH5" s="145" t="str" cm="1">
        <f t="array" aca="1" ref="FH5" ca="1">IF($A5 = "", "Enter Sheet Name", IF(($C5 + FH$3) &lt; $D5, _xlfn.XLOOKUP(($C5 + FH$3), INDIRECT($A5 &amp; "!D112:D291"), INDIRECT($A5 &amp; "!K112:K291")), "NA"))</f>
        <v>Enter Sheet Name</v>
      </c>
      <c r="FI5" s="145" t="str" cm="1">
        <f t="array" aca="1" ref="FI5" ca="1">IF($A5 = "", "Enter Sheet Name", IF(($C5 + FI$3) &lt; $D5, _xlfn.XLOOKUP(($C5 + FI$3), INDIRECT($A5 &amp; "!D112:D291"), INDIRECT($A5 &amp; "!K112:K291")), "NA"))</f>
        <v>Enter Sheet Name</v>
      </c>
      <c r="FJ5" s="145" t="str" cm="1">
        <f t="array" aca="1" ref="FJ5" ca="1">IF($A5 = "", "Enter Sheet Name", IF(($C5 + FJ$3) &lt; $D5, _xlfn.XLOOKUP(($C5 + FJ$3), INDIRECT($A5 &amp; "!D112:D291"), INDIRECT($A5 &amp; "!K112:K291")), "NA"))</f>
        <v>Enter Sheet Name</v>
      </c>
      <c r="FK5" s="145" t="str" cm="1">
        <f t="array" aca="1" ref="FK5" ca="1">IF($A5 = "", "Enter Sheet Name", IF(($C5 + FK$3) &lt; $D5, _xlfn.XLOOKUP(($C5 + FK$3), INDIRECT($A5 &amp; "!D112:D291"), INDIRECT($A5 &amp; "!K112:K291")), "NA"))</f>
        <v>Enter Sheet Name</v>
      </c>
      <c r="FL5" s="145" t="str" cm="1">
        <f t="array" aca="1" ref="FL5" ca="1">IF($A5 = "", "Enter Sheet Name", IF(($C5 + FL$3) &lt; $D5, _xlfn.XLOOKUP(($C5 + FL$3), INDIRECT($A5 &amp; "!D112:D291"), INDIRECT($A5 &amp; "!K112:K291")), "NA"))</f>
        <v>Enter Sheet Name</v>
      </c>
      <c r="FM5" s="145" t="str" cm="1">
        <f t="array" aca="1" ref="FM5" ca="1">IF($A5 = "", "Enter Sheet Name", IF(($C5 + FM$3) &lt; $D5, _xlfn.XLOOKUP(($C5 + FM$3), INDIRECT($A5 &amp; "!D112:D291"), INDIRECT($A5 &amp; "!K112:K291")), "NA"))</f>
        <v>Enter Sheet Name</v>
      </c>
      <c r="FN5" s="145" t="str" cm="1">
        <f t="array" aca="1" ref="FN5" ca="1">IF($A5 = "", "Enter Sheet Name", IF(($C5 + FN$3) &lt; $D5, _xlfn.XLOOKUP(($C5 + FN$3), INDIRECT($A5 &amp; "!D112:D291"), INDIRECT($A5 &amp; "!K112:K291")), "NA"))</f>
        <v>Enter Sheet Name</v>
      </c>
      <c r="FO5" s="145" t="str" cm="1">
        <f t="array" aca="1" ref="FO5" ca="1">IF($A5 = "", "Enter Sheet Name", IF(($C5 + FO$3) &lt; $D5, _xlfn.XLOOKUP(($C5 + FO$3), INDIRECT($A5 &amp; "!D112:D291"), INDIRECT($A5 &amp; "!K112:K291")), "NA"))</f>
        <v>Enter Sheet Name</v>
      </c>
      <c r="FP5" s="145" t="str" cm="1">
        <f t="array" aca="1" ref="FP5" ca="1">IF($A5 = "", "Enter Sheet Name", IF(($C5 + FP$3) &lt; $D5, _xlfn.XLOOKUP(($C5 + FP$3), INDIRECT($A5 &amp; "!D112:D291"), INDIRECT($A5 &amp; "!K112:K291")), "NA"))</f>
        <v>Enter Sheet Name</v>
      </c>
      <c r="FQ5" s="145" t="str" cm="1">
        <f t="array" aca="1" ref="FQ5" ca="1">IF($A5 = "", "Enter Sheet Name", IF(($C5 + FQ$3) &lt; $D5, _xlfn.XLOOKUP(($C5 + FQ$3), INDIRECT($A5 &amp; "!D112:D291"), INDIRECT($A5 &amp; "!K112:K291")), "NA"))</f>
        <v>Enter Sheet Name</v>
      </c>
      <c r="FR5" s="145" t="str" cm="1">
        <f t="array" aca="1" ref="FR5" ca="1">IF($A5 = "", "Enter Sheet Name", IF(($C5 + FR$3) &lt; $D5, _xlfn.XLOOKUP(($C5 + FR$3), INDIRECT($A5 &amp; "!D112:D291"), INDIRECT($A5 &amp; "!K112:K291")), "NA"))</f>
        <v>Enter Sheet Name</v>
      </c>
      <c r="FS5" s="145" t="str" cm="1">
        <f t="array" aca="1" ref="FS5" ca="1">IF($A5 = "", "Enter Sheet Name", IF(($C5 + FS$3) &lt; $D5, _xlfn.XLOOKUP(($C5 + FS$3), INDIRECT($A5 &amp; "!D112:D291"), INDIRECT($A5 &amp; "!K112:K291")), "NA"))</f>
        <v>Enter Sheet Name</v>
      </c>
      <c r="FT5" s="145" t="str" cm="1">
        <f t="array" aca="1" ref="FT5" ca="1">IF($A5 = "", "Enter Sheet Name", IF(($C5 + FT$3) &lt; $D5, _xlfn.XLOOKUP(($C5 + FT$3), INDIRECT($A5 &amp; "!D112:D291"), INDIRECT($A5 &amp; "!K112:K291")), "NA"))</f>
        <v>Enter Sheet Name</v>
      </c>
      <c r="FU5" s="145" t="str" cm="1">
        <f t="array" aca="1" ref="FU5" ca="1">IF($A5 = "", "Enter Sheet Name", IF(($C5 + FU$3) &lt; $D5, _xlfn.XLOOKUP(($C5 + FU$3), INDIRECT($A5 &amp; "!D112:D291"), INDIRECT($A5 &amp; "!K112:K291")), "NA"))</f>
        <v>Enter Sheet Name</v>
      </c>
      <c r="FV5" s="145" t="str" cm="1">
        <f t="array" aca="1" ref="FV5" ca="1">IF($A5 = "", "Enter Sheet Name", IF(($C5 + FV$3) &lt; $D5, _xlfn.XLOOKUP(($C5 + FV$3), INDIRECT($A5 &amp; "!D112:D291"), INDIRECT($A5 &amp; "!K112:K291")), "NA"))</f>
        <v>Enter Sheet Name</v>
      </c>
      <c r="FW5" s="145" t="str" cm="1">
        <f t="array" aca="1" ref="FW5" ca="1">IF($A5 = "", "Enter Sheet Name", IF(($C5 + FW$3) &lt; $D5, _xlfn.XLOOKUP(($C5 + FW$3), INDIRECT($A5 &amp; "!D112:D291"), INDIRECT($A5 &amp; "!K112:K291")), "NA"))</f>
        <v>Enter Sheet Name</v>
      </c>
      <c r="FX5" s="145" t="str" cm="1">
        <f t="array" aca="1" ref="FX5" ca="1">IF($A5 = "", "Enter Sheet Name", IF(($C5 + FX$3) &lt; $D5, _xlfn.XLOOKUP(($C5 + FX$3), INDIRECT($A5 &amp; "!D112:D291"), INDIRECT($A5 &amp; "!K112:K291")), "NA"))</f>
        <v>Enter Sheet Name</v>
      </c>
      <c r="FY5" s="145" t="str" cm="1">
        <f t="array" aca="1" ref="FY5" ca="1">IF($A5 = "", "Enter Sheet Name", IF(($C5 + FY$3) &lt; $D5, _xlfn.XLOOKUP(($C5 + FY$3), INDIRECT($A5 &amp; "!D112:D291"), INDIRECT($A5 &amp; "!K112:K291")), "NA"))</f>
        <v>Enter Sheet Name</v>
      </c>
      <c r="FZ5" s="145" t="str" cm="1">
        <f t="array" aca="1" ref="FZ5" ca="1">IF($A5 = "", "Enter Sheet Name", IF(($C5 + FZ$3) &lt; $D5, _xlfn.XLOOKUP(($C5 + FZ$3), INDIRECT($A5 &amp; "!D112:D291"), INDIRECT($A5 &amp; "!K112:K291")), "NA"))</f>
        <v>Enter Sheet Name</v>
      </c>
      <c r="GA5" s="145" t="str" cm="1">
        <f t="array" aca="1" ref="GA5" ca="1">IF($A5 = "", "Enter Sheet Name", IF(($C5 + GA$3) &lt; $D5, _xlfn.XLOOKUP(($C5 + GA$3), INDIRECT($A5 &amp; "!D112:D291"), INDIRECT($A5 &amp; "!K112:K291")), "NA"))</f>
        <v>Enter Sheet Name</v>
      </c>
      <c r="GB5" s="145" t="str" cm="1">
        <f t="array" aca="1" ref="GB5" ca="1">IF($A5 = "", "Enter Sheet Name", IF(($C5 + GB$3) &lt; $D5, _xlfn.XLOOKUP(($C5 + GB$3), INDIRECT($A5 &amp; "!D112:D291"), INDIRECT($A5 &amp; "!K112:K291")), "NA"))</f>
        <v>Enter Sheet Name</v>
      </c>
      <c r="GC5" s="145" t="str" cm="1">
        <f t="array" aca="1" ref="GC5" ca="1">IF($A5 = "", "Enter Sheet Name", IF(($C5 + GC$3) &lt; $D5, _xlfn.XLOOKUP(($C5 + GC$3), INDIRECT($A5 &amp; "!D112:D291"), INDIRECT($A5 &amp; "!K112:K291")), "NA"))</f>
        <v>Enter Sheet Name</v>
      </c>
      <c r="GD5" s="145" t="str" cm="1">
        <f t="array" aca="1" ref="GD5" ca="1">IF($A5 = "", "Enter Sheet Name", IF(($C5 + GD$3) &lt; $D5, _xlfn.XLOOKUP(($C5 + GD$3), INDIRECT($A5 &amp; "!D112:D291"), INDIRECT($A5 &amp; "!K112:K291")), "NA"))</f>
        <v>Enter Sheet Name</v>
      </c>
    </row>
    <row r="6" spans="1:186" ht="32" x14ac:dyDescent="0.2">
      <c r="A6" s="146" t="str">
        <f>IF(ISBLANK(CellData[[#This Row],[SheetName]]), "", CellData[[#This Row],[SheetName]])</f>
        <v/>
      </c>
      <c r="B6" s="155" t="str">
        <f>IF(ISBLANK(CellData[[#This Row],[Comments]]), "", CellData[[#This Row],[Comments]])</f>
        <v/>
      </c>
      <c r="C6" s="156" t="str" cm="1">
        <f t="array" aca="1" ref="C6" ca="1">IF(CellData436[[#This Row],[SheetName]] = "", "Enter Sheet", INDIRECT(CellData436[[#This Row],[SheetName]]&amp;"!"&amp;CellData436[[#Headers],[StartTime_spont]]))</f>
        <v>Enter Sheet</v>
      </c>
      <c r="D6" s="157" t="str" cm="1">
        <f t="array" aca="1" ref="D6" ca="1">IF(CellData436[[#This Row],[SheetName]] = "", "Enter Sheet", INDIRECT(CellData436[[#This Row],[SheetName]]&amp;"!"&amp;CellData436[[#Headers],[EndTime_spont]]))</f>
        <v>Enter Sheet</v>
      </c>
      <c r="E6" s="158" t="str">
        <f>IF(ISBLANK(CellData[[#This Row],[CellID]]), "", CellData[[#This Row],[CellID]])</f>
        <v/>
      </c>
      <c r="F6" s="159" t="str" cm="1">
        <f t="array" aca="1" ref="F6" ca="1">IF($A6 = "", "Enter Sheet Name", IF(($C6 + F$3) &lt; $D6, _xlfn.XLOOKUP(($C6 + F$3), INDIRECT($A6 &amp; "!D112:D291"), INDIRECT($A6 &amp; "!K112:K291")), "NA"))</f>
        <v>Enter Sheet Name</v>
      </c>
      <c r="G6" s="84" t="str" cm="1">
        <f t="array" aca="1" ref="G6" ca="1">IF($A6 = "", "Enter Sheet Name", IF(($C6 + G$3) &lt; $D6, _xlfn.XLOOKUP(($C6 + G$3), INDIRECT($A6 &amp; "!D112:D291"), INDIRECT($A6 &amp; "!K112:K291")), "NA"))</f>
        <v>Enter Sheet Name</v>
      </c>
      <c r="H6" s="84" t="str" cm="1">
        <f t="array" aca="1" ref="H6" ca="1">IF($A6 = "", "Enter Sheet Name", IF(($C6 + H$3) &lt; $D6, _xlfn.XLOOKUP(($C6 + H$3), INDIRECT($A6 &amp; "!D112:D291"), INDIRECT($A6 &amp; "!K112:K291")), "NA"))</f>
        <v>Enter Sheet Name</v>
      </c>
      <c r="I6" s="41" t="str" cm="1">
        <f t="array" aca="1" ref="I6" ca="1">IF($A6 = "", "Enter Sheet Name", IF(($C6 + I$3) &lt; $D6, _xlfn.XLOOKUP(($C6 + I$3), INDIRECT($A6 &amp; "!D112:D291"), INDIRECT($A6 &amp; "!K112:K291")), "NA"))</f>
        <v>Enter Sheet Name</v>
      </c>
      <c r="J6" s="41" t="str" cm="1">
        <f t="array" aca="1" ref="J6" ca="1">IF($A6 = "", "Enter Sheet Name", IF(($C6 + J$3) &lt; $D6, _xlfn.XLOOKUP(($C6 + J$3), INDIRECT($A6 &amp; "!D112:D291"), INDIRECT($A6 &amp; "!K112:K291")), "NA"))</f>
        <v>Enter Sheet Name</v>
      </c>
      <c r="K6" s="41" t="str" cm="1">
        <f t="array" aca="1" ref="K6" ca="1">IF($A6 = "", "Enter Sheet Name", IF(($C6 + K$3) &lt; $D6, _xlfn.XLOOKUP(($C6 + K$3), INDIRECT($A6 &amp; "!D112:D291"), INDIRECT($A6 &amp; "!K112:K291")), "NA"))</f>
        <v>Enter Sheet Name</v>
      </c>
      <c r="L6" s="41" t="str" cm="1">
        <f t="array" aca="1" ref="L6" ca="1">IF($A6 = "", "Enter Sheet Name", IF(($C6 + L$3) &lt; $D6, _xlfn.XLOOKUP(($C6 + L$3), INDIRECT($A6 &amp; "!D112:D291"), INDIRECT($A6 &amp; "!K112:K291")), "NA"))</f>
        <v>Enter Sheet Name</v>
      </c>
      <c r="M6" s="41" t="str" cm="1">
        <f t="array" aca="1" ref="M6" ca="1">IF($A6 = "", "Enter Sheet Name", IF(($C6 + M$3) &lt; $D6, _xlfn.XLOOKUP(($C6 + M$3), INDIRECT($A6 &amp; "!D112:D291"), INDIRECT($A6 &amp; "!K112:K291")), "NA"))</f>
        <v>Enter Sheet Name</v>
      </c>
      <c r="N6" s="41" t="str" cm="1">
        <f t="array" aca="1" ref="N6" ca="1">IF($A6 = "", "Enter Sheet Name", IF(($C6 + N$3) &lt; $D6, _xlfn.XLOOKUP(($C6 + N$3), INDIRECT($A6 &amp; "!D112:D291"), INDIRECT($A6 &amp; "!K112:K291")), "NA"))</f>
        <v>Enter Sheet Name</v>
      </c>
      <c r="O6" s="41" t="str" cm="1">
        <f t="array" aca="1" ref="O6" ca="1">IF($A6 = "", "Enter Sheet Name", IF(($C6 + O$3) &lt; $D6, _xlfn.XLOOKUP(($C6 + O$3), INDIRECT($A6 &amp; "!D112:D291"), INDIRECT($A6 &amp; "!K112:K291")), "NA"))</f>
        <v>Enter Sheet Name</v>
      </c>
      <c r="P6" s="41" t="str" cm="1">
        <f t="array" aca="1" ref="P6" ca="1">IF($A6 = "", "Enter Sheet Name", IF(($C6 + P$3) &lt; $D6, _xlfn.XLOOKUP(($C6 + P$3), INDIRECT($A6 &amp; "!D112:D291"), INDIRECT($A6 &amp; "!K112:K291")), "NA"))</f>
        <v>Enter Sheet Name</v>
      </c>
      <c r="Q6" s="41" t="str" cm="1">
        <f t="array" aca="1" ref="Q6" ca="1">IF($A6 = "", "Enter Sheet Name", IF(($C6 + Q$3) &lt; $D6, _xlfn.XLOOKUP(($C6 + Q$3), INDIRECT($A6 &amp; "!D112:D291"), INDIRECT($A6 &amp; "!K112:K291")), "NA"))</f>
        <v>Enter Sheet Name</v>
      </c>
      <c r="R6" s="41" t="str" cm="1">
        <f t="array" aca="1" ref="R6" ca="1">IF($A6 = "", "Enter Sheet Name", IF(($C6 + R$3) &lt; $D6, _xlfn.XLOOKUP(($C6 + R$3), INDIRECT($A6 &amp; "!D112:D291"), INDIRECT($A6 &amp; "!K112:K291")), "NA"))</f>
        <v>Enter Sheet Name</v>
      </c>
      <c r="S6" s="41" t="str" cm="1">
        <f t="array" aca="1" ref="S6" ca="1">IF($A6 = "", "Enter Sheet Name", IF(($C6 + S$3) &lt; $D6, _xlfn.XLOOKUP(($C6 + S$3), INDIRECT($A6 &amp; "!D112:D291"), INDIRECT($A6 &amp; "!K112:K291")), "NA"))</f>
        <v>Enter Sheet Name</v>
      </c>
      <c r="T6" s="41" t="str" cm="1">
        <f t="array" aca="1" ref="T6" ca="1">IF($A6 = "", "Enter Sheet Name", IF(($C6 + T$3) &lt; $D6, _xlfn.XLOOKUP(($C6 + T$3), INDIRECT($A6 &amp; "!D112:D291"), INDIRECT($A6 &amp; "!K112:K291")), "NA"))</f>
        <v>Enter Sheet Name</v>
      </c>
      <c r="U6" s="41" t="str" cm="1">
        <f t="array" aca="1" ref="U6" ca="1">IF($A6 = "", "Enter Sheet Name", IF(($C6 + U$3) &lt; $D6, _xlfn.XLOOKUP(($C6 + U$3), INDIRECT($A6 &amp; "!D112:D291"), INDIRECT($A6 &amp; "!K112:K291")), "NA"))</f>
        <v>Enter Sheet Name</v>
      </c>
      <c r="V6" s="41" t="str" cm="1">
        <f t="array" aca="1" ref="V6" ca="1">IF($A6 = "", "Enter Sheet Name", IF(($C6 + V$3) &lt; $D6, _xlfn.XLOOKUP(($C6 + V$3), INDIRECT($A6 &amp; "!D112:D291"), INDIRECT($A6 &amp; "!K112:K291")), "NA"))</f>
        <v>Enter Sheet Name</v>
      </c>
      <c r="W6" s="41" t="str" cm="1">
        <f t="array" aca="1" ref="W6" ca="1">IF($A6 = "", "Enter Sheet Name", IF(($C6 + W$3) &lt; $D6, _xlfn.XLOOKUP(($C6 + W$3), INDIRECT($A6 &amp; "!D112:D291"), INDIRECT($A6 &amp; "!K112:K291")), "NA"))</f>
        <v>Enter Sheet Name</v>
      </c>
      <c r="X6" s="41" t="str" cm="1">
        <f t="array" aca="1" ref="X6" ca="1">IF($A6 = "", "Enter Sheet Name", IF(($C6 + X$3) &lt; $D6, _xlfn.XLOOKUP(($C6 + X$3), INDIRECT($A6 &amp; "!D112:D291"), INDIRECT($A6 &amp; "!K112:K291")), "NA"))</f>
        <v>Enter Sheet Name</v>
      </c>
      <c r="Y6" s="41" t="str" cm="1">
        <f t="array" aca="1" ref="Y6" ca="1">IF($A6 = "", "Enter Sheet Name", IF(($C6 + Y$3) &lt; $D6, _xlfn.XLOOKUP(($C6 + Y$3), INDIRECT($A6 &amp; "!D112:D291"), INDIRECT($A6 &amp; "!K112:K291")), "NA"))</f>
        <v>Enter Sheet Name</v>
      </c>
      <c r="Z6" s="41" t="str" cm="1">
        <f t="array" aca="1" ref="Z6" ca="1">IF($A6 = "", "Enter Sheet Name", IF(($C6 + Z$3) &lt; $D6, _xlfn.XLOOKUP(($C6 + Z$3), INDIRECT($A6 &amp; "!D112:D291"), INDIRECT($A6 &amp; "!K112:K291")), "NA"))</f>
        <v>Enter Sheet Name</v>
      </c>
      <c r="AA6" s="41" t="str" cm="1">
        <f t="array" aca="1" ref="AA6" ca="1">IF($A6 = "", "Enter Sheet Name", IF(($C6 + AA$3) &lt; $D6, _xlfn.XLOOKUP(($C6 + AA$3), INDIRECT($A6 &amp; "!D112:D291"), INDIRECT($A6 &amp; "!K112:K291")), "NA"))</f>
        <v>Enter Sheet Name</v>
      </c>
      <c r="AB6" s="41" t="str" cm="1">
        <f t="array" aca="1" ref="AB6" ca="1">IF($A6 = "", "Enter Sheet Name", IF(($C6 + AB$3) &lt; $D6, _xlfn.XLOOKUP(($C6 + AB$3), INDIRECT($A6 &amp; "!D112:D291"), INDIRECT($A6 &amp; "!K112:K291")), "NA"))</f>
        <v>Enter Sheet Name</v>
      </c>
      <c r="AC6" s="41" t="str" cm="1">
        <f t="array" aca="1" ref="AC6" ca="1">IF($A6 = "", "Enter Sheet Name", IF(($C6 + AC$3) &lt; $D6, _xlfn.XLOOKUP(($C6 + AC$3), INDIRECT($A6 &amp; "!D112:D291"), INDIRECT($A6 &amp; "!K112:K291")), "NA"))</f>
        <v>Enter Sheet Name</v>
      </c>
      <c r="AD6" s="41" t="str" cm="1">
        <f t="array" aca="1" ref="AD6" ca="1">IF($A6 = "", "Enter Sheet Name", IF(($C6 + AD$3) &lt; $D6, _xlfn.XLOOKUP(($C6 + AD$3), INDIRECT($A6 &amp; "!D112:D291"), INDIRECT($A6 &amp; "!K112:K291")), "NA"))</f>
        <v>Enter Sheet Name</v>
      </c>
      <c r="AE6" s="41" t="str" cm="1">
        <f t="array" aca="1" ref="AE6" ca="1">IF($A6 = "", "Enter Sheet Name", IF(($C6 + AE$3) &lt; $D6, _xlfn.XLOOKUP(($C6 + AE$3), INDIRECT($A6 &amp; "!D112:D291"), INDIRECT($A6 &amp; "!K112:K291")), "NA"))</f>
        <v>Enter Sheet Name</v>
      </c>
      <c r="AF6" s="41" t="str" cm="1">
        <f t="array" aca="1" ref="AF6" ca="1">IF($A6 = "", "Enter Sheet Name", IF(($C6 + AF$3) &lt; $D6, _xlfn.XLOOKUP(($C6 + AF$3), INDIRECT($A6 &amp; "!D112:D291"), INDIRECT($A6 &amp; "!K112:K291")), "NA"))</f>
        <v>Enter Sheet Name</v>
      </c>
      <c r="AG6" s="41" t="str" cm="1">
        <f t="array" aca="1" ref="AG6" ca="1">IF($A6 = "", "Enter Sheet Name", IF(($C6 + AG$3) &lt; $D6, _xlfn.XLOOKUP(($C6 + AG$3), INDIRECT($A6 &amp; "!D112:D291"), INDIRECT($A6 &amp; "!K112:K291")), "NA"))</f>
        <v>Enter Sheet Name</v>
      </c>
      <c r="AH6" s="41" t="str" cm="1">
        <f t="array" aca="1" ref="AH6" ca="1">IF($A6 = "", "Enter Sheet Name", IF(($C6 + AH$3) &lt; $D6, _xlfn.XLOOKUP(($C6 + AH$3), INDIRECT($A6 &amp; "!D112:D291"), INDIRECT($A6 &amp; "!K112:K291")), "NA"))</f>
        <v>Enter Sheet Name</v>
      </c>
      <c r="AI6" s="41" t="str" cm="1">
        <f t="array" aca="1" ref="AI6" ca="1">IF($A6 = "", "Enter Sheet Name", IF(($C6 + AI$3) &lt; $D6, _xlfn.XLOOKUP(($C6 + AI$3), INDIRECT($A6 &amp; "!D112:D291"), INDIRECT($A6 &amp; "!K112:K291")), "NA"))</f>
        <v>Enter Sheet Name</v>
      </c>
      <c r="AJ6" s="41" t="str" cm="1">
        <f t="array" aca="1" ref="AJ6" ca="1">IF($A6 = "", "Enter Sheet Name", IF(($C6 + AJ$3) &lt; $D6, _xlfn.XLOOKUP(($C6 + AJ$3), INDIRECT($A6 &amp; "!D112:D291"), INDIRECT($A6 &amp; "!K112:K291")), "NA"))</f>
        <v>Enter Sheet Name</v>
      </c>
      <c r="AK6" s="41" t="str" cm="1">
        <f t="array" aca="1" ref="AK6" ca="1">IF($A6 = "", "Enter Sheet Name", IF(($C6 + AK$3) &lt; $D6, _xlfn.XLOOKUP(($C6 + AK$3), INDIRECT($A6 &amp; "!D112:D291"), INDIRECT($A6 &amp; "!K112:K291")), "NA"))</f>
        <v>Enter Sheet Name</v>
      </c>
      <c r="AL6" s="41" t="str" cm="1">
        <f t="array" aca="1" ref="AL6" ca="1">IF($A6 = "", "Enter Sheet Name", IF(($C6 + AL$3) &lt; $D6, _xlfn.XLOOKUP(($C6 + AL$3), INDIRECT($A6 &amp; "!D112:D291"), INDIRECT($A6 &amp; "!K112:K291")), "NA"))</f>
        <v>Enter Sheet Name</v>
      </c>
      <c r="AM6" s="41" t="str" cm="1">
        <f t="array" aca="1" ref="AM6" ca="1">IF($A6 = "", "Enter Sheet Name", IF(($C6 + AM$3) &lt; $D6, _xlfn.XLOOKUP(($C6 + AM$3), INDIRECT($A6 &amp; "!D112:D291"), INDIRECT($A6 &amp; "!K112:K291")), "NA"))</f>
        <v>Enter Sheet Name</v>
      </c>
      <c r="AN6" s="41" t="str" cm="1">
        <f t="array" aca="1" ref="AN6" ca="1">IF($A6 = "", "Enter Sheet Name", IF(($C6 + AN$3) &lt; $D6, _xlfn.XLOOKUP(($C6 + AN$3), INDIRECT($A6 &amp; "!D112:D291"), INDIRECT($A6 &amp; "!K112:K291")), "NA"))</f>
        <v>Enter Sheet Name</v>
      </c>
      <c r="AO6" s="41" t="str" cm="1">
        <f t="array" aca="1" ref="AO6" ca="1">IF($A6 = "", "Enter Sheet Name", IF(($C6 + AO$3) &lt; $D6, _xlfn.XLOOKUP(($C6 + AO$3), INDIRECT($A6 &amp; "!D112:D291"), INDIRECT($A6 &amp; "!K112:K291")), "NA"))</f>
        <v>Enter Sheet Name</v>
      </c>
      <c r="AP6" s="41" t="str" cm="1">
        <f t="array" aca="1" ref="AP6" ca="1">IF($A6 = "", "Enter Sheet Name", IF(($C6 + AP$3) &lt; $D6, _xlfn.XLOOKUP(($C6 + AP$3), INDIRECT($A6 &amp; "!D112:D291"), INDIRECT($A6 &amp; "!K112:K291")), "NA"))</f>
        <v>Enter Sheet Name</v>
      </c>
      <c r="AQ6" s="41" t="str" cm="1">
        <f t="array" aca="1" ref="AQ6" ca="1">IF($A6 = "", "Enter Sheet Name", IF(($C6 + AQ$3) &lt; $D6, _xlfn.XLOOKUP(($C6 + AQ$3), INDIRECT($A6 &amp; "!D112:D291"), INDIRECT($A6 &amp; "!K112:K291")), "NA"))</f>
        <v>Enter Sheet Name</v>
      </c>
      <c r="AR6" s="41" t="str" cm="1">
        <f t="array" aca="1" ref="AR6" ca="1">IF($A6 = "", "Enter Sheet Name", IF(($C6 + AR$3) &lt; $D6, _xlfn.XLOOKUP(($C6 + AR$3), INDIRECT($A6 &amp; "!D112:D291"), INDIRECT($A6 &amp; "!K112:K291")), "NA"))</f>
        <v>Enter Sheet Name</v>
      </c>
      <c r="AS6" s="41" t="str" cm="1">
        <f t="array" aca="1" ref="AS6" ca="1">IF($A6 = "", "Enter Sheet Name", IF(($C6 + AS$3) &lt; $D6, _xlfn.XLOOKUP(($C6 + AS$3), INDIRECT($A6 &amp; "!D112:D291"), INDIRECT($A6 &amp; "!K112:K291")), "NA"))</f>
        <v>Enter Sheet Name</v>
      </c>
      <c r="AT6" s="41" t="str" cm="1">
        <f t="array" aca="1" ref="AT6" ca="1">IF($A6 = "", "Enter Sheet Name", IF(($C6 + AT$3) &lt; $D6, _xlfn.XLOOKUP(($C6 + AT$3), INDIRECT($A6 &amp; "!D112:D291"), INDIRECT($A6 &amp; "!K112:K291")), "NA"))</f>
        <v>Enter Sheet Name</v>
      </c>
      <c r="AU6" s="41" t="str" cm="1">
        <f t="array" aca="1" ref="AU6" ca="1">IF($A6 = "", "Enter Sheet Name", IF(($C6 + AU$3) &lt; $D6, _xlfn.XLOOKUP(($C6 + AU$3), INDIRECT($A6 &amp; "!D112:D291"), INDIRECT($A6 &amp; "!K112:K291")), "NA"))</f>
        <v>Enter Sheet Name</v>
      </c>
      <c r="AV6" s="41" t="str" cm="1">
        <f t="array" aca="1" ref="AV6" ca="1">IF($A6 = "", "Enter Sheet Name", IF(($C6 + AV$3) &lt; $D6, _xlfn.XLOOKUP(($C6 + AV$3), INDIRECT($A6 &amp; "!D112:D291"), INDIRECT($A6 &amp; "!K112:K291")), "NA"))</f>
        <v>Enter Sheet Name</v>
      </c>
      <c r="AW6" s="41" t="str" cm="1">
        <f t="array" aca="1" ref="AW6" ca="1">IF($A6 = "", "Enter Sheet Name", IF(($C6 + AW$3) &lt; $D6, _xlfn.XLOOKUP(($C6 + AW$3), INDIRECT($A6 &amp; "!D112:D291"), INDIRECT($A6 &amp; "!K112:K291")), "NA"))</f>
        <v>Enter Sheet Name</v>
      </c>
      <c r="AX6" s="41" t="str" cm="1">
        <f t="array" aca="1" ref="AX6" ca="1">IF($A6 = "", "Enter Sheet Name", IF(($C6 + AX$3) &lt; $D6, _xlfn.XLOOKUP(($C6 + AX$3), INDIRECT($A6 &amp; "!D112:D291"), INDIRECT($A6 &amp; "!K112:K291")), "NA"))</f>
        <v>Enter Sheet Name</v>
      </c>
      <c r="AY6" s="41" t="str" cm="1">
        <f t="array" aca="1" ref="AY6" ca="1">IF($A6 = "", "Enter Sheet Name", IF(($C6 + AY$3) &lt; $D6, _xlfn.XLOOKUP(($C6 + AY$3), INDIRECT($A6 &amp; "!D112:D291"), INDIRECT($A6 &amp; "!K112:K291")), "NA"))</f>
        <v>Enter Sheet Name</v>
      </c>
      <c r="AZ6" s="41" t="str" cm="1">
        <f t="array" aca="1" ref="AZ6" ca="1">IF($A6 = "", "Enter Sheet Name", IF(($C6 + AZ$3) &lt; $D6, _xlfn.XLOOKUP(($C6 + AZ$3), INDIRECT($A6 &amp; "!D112:D291"), INDIRECT($A6 &amp; "!K112:K291")), "NA"))</f>
        <v>Enter Sheet Name</v>
      </c>
      <c r="BA6" s="41" t="str" cm="1">
        <f t="array" aca="1" ref="BA6" ca="1">IF($A6 = "", "Enter Sheet Name", IF(($C6 + BA$3) &lt; $D6, _xlfn.XLOOKUP(($C6 + BA$3), INDIRECT($A6 &amp; "!D112:D291"), INDIRECT($A6 &amp; "!K112:K291")), "NA"))</f>
        <v>Enter Sheet Name</v>
      </c>
      <c r="BB6" s="41" t="str" cm="1">
        <f t="array" aca="1" ref="BB6" ca="1">IF($A6 = "", "Enter Sheet Name", IF(($C6 + BB$3) &lt; $D6, _xlfn.XLOOKUP(($C6 + BB$3), INDIRECT($A6 &amp; "!D112:D291"), INDIRECT($A6 &amp; "!K112:K291")), "NA"))</f>
        <v>Enter Sheet Name</v>
      </c>
      <c r="BC6" s="41" t="str" cm="1">
        <f t="array" aca="1" ref="BC6" ca="1">IF($A6 = "", "Enter Sheet Name", IF(($C6 + BC$3) &lt; $D6, _xlfn.XLOOKUP(($C6 + BC$3), INDIRECT($A6 &amp; "!D112:D291"), INDIRECT($A6 &amp; "!K112:K291")), "NA"))</f>
        <v>Enter Sheet Name</v>
      </c>
      <c r="BD6" s="41" t="str" cm="1">
        <f t="array" aca="1" ref="BD6" ca="1">IF($A6 = "", "Enter Sheet Name", IF(($C6 + BD$3) &lt; $D6, _xlfn.XLOOKUP(($C6 + BD$3), INDIRECT($A6 &amp; "!D112:D291"), INDIRECT($A6 &amp; "!K112:K291")), "NA"))</f>
        <v>Enter Sheet Name</v>
      </c>
      <c r="BE6" s="41" t="str" cm="1">
        <f t="array" aca="1" ref="BE6" ca="1">IF($A6 = "", "Enter Sheet Name", IF(($C6 + BE$3) &lt; $D6, _xlfn.XLOOKUP(($C6 + BE$3), INDIRECT($A6 &amp; "!D112:D291"), INDIRECT($A6 &amp; "!K112:K291")), "NA"))</f>
        <v>Enter Sheet Name</v>
      </c>
      <c r="BF6" s="41" t="str" cm="1">
        <f t="array" aca="1" ref="BF6" ca="1">IF($A6 = "", "Enter Sheet Name", IF(($C6 + BF$3) &lt; $D6, _xlfn.XLOOKUP(($C6 + BF$3), INDIRECT($A6 &amp; "!D112:D291"), INDIRECT($A6 &amp; "!K112:K291")), "NA"))</f>
        <v>Enter Sheet Name</v>
      </c>
      <c r="BG6" s="41" t="str" cm="1">
        <f t="array" aca="1" ref="BG6" ca="1">IF($A6 = "", "Enter Sheet Name", IF(($C6 + BG$3) &lt; $D6, _xlfn.XLOOKUP(($C6 + BG$3), INDIRECT($A6 &amp; "!D112:D291"), INDIRECT($A6 &amp; "!K112:K291")), "NA"))</f>
        <v>Enter Sheet Name</v>
      </c>
      <c r="BH6" s="41" t="str" cm="1">
        <f t="array" aca="1" ref="BH6" ca="1">IF($A6 = "", "Enter Sheet Name", IF(($C6 + BH$3) &lt; $D6, _xlfn.XLOOKUP(($C6 + BH$3), INDIRECT($A6 &amp; "!D112:D291"), INDIRECT($A6 &amp; "!K112:K291")), "NA"))</f>
        <v>Enter Sheet Name</v>
      </c>
      <c r="BI6" s="41" t="str" cm="1">
        <f t="array" aca="1" ref="BI6" ca="1">IF($A6 = "", "Enter Sheet Name", IF(($C6 + BI$3) &lt; $D6, _xlfn.XLOOKUP(($C6 + BI$3), INDIRECT($A6 &amp; "!D112:D291"), INDIRECT($A6 &amp; "!K112:K291")), "NA"))</f>
        <v>Enter Sheet Name</v>
      </c>
      <c r="BJ6" s="41" t="str" cm="1">
        <f t="array" aca="1" ref="BJ6" ca="1">IF($A6 = "", "Enter Sheet Name", IF(($C6 + BJ$3) &lt; $D6, _xlfn.XLOOKUP(($C6 + BJ$3), INDIRECT($A6 &amp; "!D112:D291"), INDIRECT($A6 &amp; "!K112:K291")), "NA"))</f>
        <v>Enter Sheet Name</v>
      </c>
      <c r="BK6" s="41" t="str" cm="1">
        <f t="array" aca="1" ref="BK6" ca="1">IF($A6 = "", "Enter Sheet Name", IF(($C6 + BK$3) &lt; $D6, _xlfn.XLOOKUP(($C6 + BK$3), INDIRECT($A6 &amp; "!D112:D291"), INDIRECT($A6 &amp; "!K112:K291")), "NA"))</f>
        <v>Enter Sheet Name</v>
      </c>
      <c r="BL6" s="41" t="str" cm="1">
        <f t="array" aca="1" ref="BL6" ca="1">IF($A6 = "", "Enter Sheet Name", IF(($C6 + BL$3) &lt; $D6, _xlfn.XLOOKUP(($C6 + BL$3), INDIRECT($A6 &amp; "!D112:D291"), INDIRECT($A6 &amp; "!K112:K291")), "NA"))</f>
        <v>Enter Sheet Name</v>
      </c>
      <c r="BM6" s="41" t="str" cm="1">
        <f t="array" aca="1" ref="BM6" ca="1">IF($A6 = "", "Enter Sheet Name", IF(($C6 + BM$3) &lt; $D6, _xlfn.XLOOKUP(($C6 + BM$3), INDIRECT($A6 &amp; "!D112:D291"), INDIRECT($A6 &amp; "!K112:K291")), "NA"))</f>
        <v>Enter Sheet Name</v>
      </c>
      <c r="BN6" s="41" t="str" cm="1">
        <f t="array" aca="1" ref="BN6" ca="1">IF($A6 = "", "Enter Sheet Name", IF(($C6 + BN$3) &lt; $D6, _xlfn.XLOOKUP(($C6 + BN$3), INDIRECT($A6 &amp; "!D112:D291"), INDIRECT($A6 &amp; "!K112:K291")), "NA"))</f>
        <v>Enter Sheet Name</v>
      </c>
      <c r="BO6" s="41" t="str" cm="1">
        <f t="array" aca="1" ref="BO6" ca="1">IF($A6 = "", "Enter Sheet Name", IF(($C6 + BO$3) &lt; $D6, _xlfn.XLOOKUP(($C6 + BO$3), INDIRECT($A6 &amp; "!D112:D291"), INDIRECT($A6 &amp; "!K112:K291")), "NA"))</f>
        <v>Enter Sheet Name</v>
      </c>
      <c r="BP6" s="41" t="str" cm="1">
        <f t="array" aca="1" ref="BP6" ca="1">IF($A6 = "", "Enter Sheet Name", IF(($C6 + BP$3) &lt; $D6, _xlfn.XLOOKUP(($C6 + BP$3), INDIRECT($A6 &amp; "!D112:D291"), INDIRECT($A6 &amp; "!K112:K291")), "NA"))</f>
        <v>Enter Sheet Name</v>
      </c>
      <c r="BQ6" s="41" t="str" cm="1">
        <f t="array" aca="1" ref="BQ6" ca="1">IF($A6 = "", "Enter Sheet Name", IF(($C6 + BQ$3) &lt; $D6, _xlfn.XLOOKUP(($C6 + BQ$3), INDIRECT($A6 &amp; "!D112:D291"), INDIRECT($A6 &amp; "!K112:K291")), "NA"))</f>
        <v>Enter Sheet Name</v>
      </c>
      <c r="BR6" s="41" t="str" cm="1">
        <f t="array" aca="1" ref="BR6" ca="1">IF($A6 = "", "Enter Sheet Name", IF(($C6 + BR$3) &lt; $D6, _xlfn.XLOOKUP(($C6 + BR$3), INDIRECT($A6 &amp; "!D112:D291"), INDIRECT($A6 &amp; "!K112:K291")), "NA"))</f>
        <v>Enter Sheet Name</v>
      </c>
      <c r="BS6" s="41" t="str" cm="1">
        <f t="array" aca="1" ref="BS6" ca="1">IF($A6 = "", "Enter Sheet Name", IF(($C6 + BS$3) &lt; $D6, _xlfn.XLOOKUP(($C6 + BS$3), INDIRECT($A6 &amp; "!D112:D291"), INDIRECT($A6 &amp; "!K112:K291")), "NA"))</f>
        <v>Enter Sheet Name</v>
      </c>
      <c r="BT6" s="41" t="str" cm="1">
        <f t="array" aca="1" ref="BT6" ca="1">IF($A6 = "", "Enter Sheet Name", IF(($C6 + BT$3) &lt; $D6, _xlfn.XLOOKUP(($C6 + BT$3), INDIRECT($A6 &amp; "!D112:D291"), INDIRECT($A6 &amp; "!K112:K291")), "NA"))</f>
        <v>Enter Sheet Name</v>
      </c>
      <c r="BU6" s="41" t="str" cm="1">
        <f t="array" aca="1" ref="BU6" ca="1">IF($A6 = "", "Enter Sheet Name", IF(($C6 + BU$3) &lt; $D6, _xlfn.XLOOKUP(($C6 + BU$3), INDIRECT($A6 &amp; "!D112:D291"), INDIRECT($A6 &amp; "!K112:K291")), "NA"))</f>
        <v>Enter Sheet Name</v>
      </c>
      <c r="BV6" s="41" t="str" cm="1">
        <f t="array" aca="1" ref="BV6" ca="1">IF($A6 = "", "Enter Sheet Name", IF(($C6 + BV$3) &lt; $D6, _xlfn.XLOOKUP(($C6 + BV$3), INDIRECT($A6 &amp; "!D112:D291"), INDIRECT($A6 &amp; "!K112:K291")), "NA"))</f>
        <v>Enter Sheet Name</v>
      </c>
      <c r="BW6" s="41" t="str" cm="1">
        <f t="array" aca="1" ref="BW6" ca="1">IF($A6 = "", "Enter Sheet Name", IF(($C6 + BW$3) &lt; $D6, _xlfn.XLOOKUP(($C6 + BW$3), INDIRECT($A6 &amp; "!D112:D291"), INDIRECT($A6 &amp; "!K112:K291")), "NA"))</f>
        <v>Enter Sheet Name</v>
      </c>
      <c r="BX6" s="41" t="str" cm="1">
        <f t="array" aca="1" ref="BX6" ca="1">IF($A6 = "", "Enter Sheet Name", IF(($C6 + BX$3) &lt; $D6, _xlfn.XLOOKUP(($C6 + BX$3), INDIRECT($A6 &amp; "!D112:D291"), INDIRECT($A6 &amp; "!K112:K291")), "NA"))</f>
        <v>Enter Sheet Name</v>
      </c>
      <c r="BY6" s="41" t="str" cm="1">
        <f t="array" aca="1" ref="BY6" ca="1">IF($A6 = "", "Enter Sheet Name", IF(($C6 + BY$3) &lt; $D6, _xlfn.XLOOKUP(($C6 + BY$3), INDIRECT($A6 &amp; "!D112:D291"), INDIRECT($A6 &amp; "!K112:K291")), "NA"))</f>
        <v>Enter Sheet Name</v>
      </c>
      <c r="BZ6" s="41" t="str" cm="1">
        <f t="array" aca="1" ref="BZ6" ca="1">IF($A6 = "", "Enter Sheet Name", IF(($C6 + BZ$3) &lt; $D6, _xlfn.XLOOKUP(($C6 + BZ$3), INDIRECT($A6 &amp; "!D112:D291"), INDIRECT($A6 &amp; "!K112:K291")), "NA"))</f>
        <v>Enter Sheet Name</v>
      </c>
      <c r="CA6" s="41" t="str" cm="1">
        <f t="array" aca="1" ref="CA6" ca="1">IF($A6 = "", "Enter Sheet Name", IF(($C6 + CA$3) &lt; $D6, _xlfn.XLOOKUP(($C6 + CA$3), INDIRECT($A6 &amp; "!D112:D291"), INDIRECT($A6 &amp; "!K112:K291")), "NA"))</f>
        <v>Enter Sheet Name</v>
      </c>
      <c r="CB6" s="41" t="str" cm="1">
        <f t="array" aca="1" ref="CB6" ca="1">IF($A6 = "", "Enter Sheet Name", IF(($C6 + CB$3) &lt; $D6, _xlfn.XLOOKUP(($C6 + CB$3), INDIRECT($A6 &amp; "!D112:D291"), INDIRECT($A6 &amp; "!K112:K291")), "NA"))</f>
        <v>Enter Sheet Name</v>
      </c>
      <c r="CC6" s="41" t="str" cm="1">
        <f t="array" aca="1" ref="CC6" ca="1">IF($A6 = "", "Enter Sheet Name", IF(($C6 + CC$3) &lt; $D6, _xlfn.XLOOKUP(($C6 + CC$3), INDIRECT($A6 &amp; "!D112:D291"), INDIRECT($A6 &amp; "!K112:K291")), "NA"))</f>
        <v>Enter Sheet Name</v>
      </c>
      <c r="CD6" s="41" t="str" cm="1">
        <f t="array" aca="1" ref="CD6" ca="1">IF($A6 = "", "Enter Sheet Name", IF(($C6 + CD$3) &lt; $D6, _xlfn.XLOOKUP(($C6 + CD$3), INDIRECT($A6 &amp; "!D112:D291"), INDIRECT($A6 &amp; "!K112:K291")), "NA"))</f>
        <v>Enter Sheet Name</v>
      </c>
      <c r="CE6" s="41" t="str" cm="1">
        <f t="array" aca="1" ref="CE6" ca="1">IF($A6 = "", "Enter Sheet Name", IF(($C6 + CE$3) &lt; $D6, _xlfn.XLOOKUP(($C6 + CE$3), INDIRECT($A6 &amp; "!D112:D291"), INDIRECT($A6 &amp; "!K112:K291")), "NA"))</f>
        <v>Enter Sheet Name</v>
      </c>
      <c r="CF6" s="41" t="str" cm="1">
        <f t="array" aca="1" ref="CF6" ca="1">IF($A6 = "", "Enter Sheet Name", IF(($C6 + CF$3) &lt; $D6, _xlfn.XLOOKUP(($C6 + CF$3), INDIRECT($A6 &amp; "!D112:D291"), INDIRECT($A6 &amp; "!K112:K291")), "NA"))</f>
        <v>Enter Sheet Name</v>
      </c>
      <c r="CG6" s="41" t="str" cm="1">
        <f t="array" aca="1" ref="CG6" ca="1">IF($A6 = "", "Enter Sheet Name", IF(($C6 + CG$3) &lt; $D6, _xlfn.XLOOKUP(($C6 + CG$3), INDIRECT($A6 &amp; "!D112:D291"), INDIRECT($A6 &amp; "!K112:K291")), "NA"))</f>
        <v>Enter Sheet Name</v>
      </c>
      <c r="CH6" s="41" t="str" cm="1">
        <f t="array" aca="1" ref="CH6" ca="1">IF($A6 = "", "Enter Sheet Name", IF(($C6 + CH$3) &lt; $D6, _xlfn.XLOOKUP(($C6 + CH$3), INDIRECT($A6 &amp; "!D112:D291"), INDIRECT($A6 &amp; "!K112:K291")), "NA"))</f>
        <v>Enter Sheet Name</v>
      </c>
      <c r="CI6" s="41" t="str" cm="1">
        <f t="array" aca="1" ref="CI6" ca="1">IF($A6 = "", "Enter Sheet Name", IF(($C6 + CI$3) &lt; $D6, _xlfn.XLOOKUP(($C6 + CI$3), INDIRECT($A6 &amp; "!D112:D291"), INDIRECT($A6 &amp; "!K112:K291")), "NA"))</f>
        <v>Enter Sheet Name</v>
      </c>
      <c r="CJ6" s="41" t="str" cm="1">
        <f t="array" aca="1" ref="CJ6" ca="1">IF($A6 = "", "Enter Sheet Name", IF(($C6 + CJ$3) &lt; $D6, _xlfn.XLOOKUP(($C6 + CJ$3), INDIRECT($A6 &amp; "!D112:D291"), INDIRECT($A6 &amp; "!K112:K291")), "NA"))</f>
        <v>Enter Sheet Name</v>
      </c>
      <c r="CK6" s="41" t="str" cm="1">
        <f t="array" aca="1" ref="CK6" ca="1">IF($A6 = "", "Enter Sheet Name", IF(($C6 + CK$3) &lt; $D6, _xlfn.XLOOKUP(($C6 + CK$3), INDIRECT($A6 &amp; "!D112:D291"), INDIRECT($A6 &amp; "!K112:K291")), "NA"))</f>
        <v>Enter Sheet Name</v>
      </c>
      <c r="CL6" s="41" t="str" cm="1">
        <f t="array" aca="1" ref="CL6" ca="1">IF($A6 = "", "Enter Sheet Name", IF(($C6 + CL$3) &lt; $D6, _xlfn.XLOOKUP(($C6 + CL$3), INDIRECT($A6 &amp; "!D112:D291"), INDIRECT($A6 &amp; "!K112:K291")), "NA"))</f>
        <v>Enter Sheet Name</v>
      </c>
      <c r="CM6" s="41" t="str" cm="1">
        <f t="array" aca="1" ref="CM6" ca="1">IF($A6 = "", "Enter Sheet Name", IF(($C6 + CM$3) &lt; $D6, _xlfn.XLOOKUP(($C6 + CM$3), INDIRECT($A6 &amp; "!D112:D291"), INDIRECT($A6 &amp; "!K112:K291")), "NA"))</f>
        <v>Enter Sheet Name</v>
      </c>
      <c r="CN6" s="41" t="str" cm="1">
        <f t="array" aca="1" ref="CN6" ca="1">IF($A6 = "", "Enter Sheet Name", IF(($C6 + CN$3) &lt; $D6, _xlfn.XLOOKUP(($C6 + CN$3), INDIRECT($A6 &amp; "!D112:D291"), INDIRECT($A6 &amp; "!K112:K291")), "NA"))</f>
        <v>Enter Sheet Name</v>
      </c>
      <c r="CO6" s="41" t="str" cm="1">
        <f t="array" aca="1" ref="CO6" ca="1">IF($A6 = "", "Enter Sheet Name", IF(($C6 + CO$3) &lt; $D6, _xlfn.XLOOKUP(($C6 + CO$3), INDIRECT($A6 &amp; "!D112:D291"), INDIRECT($A6 &amp; "!K112:K291")), "NA"))</f>
        <v>Enter Sheet Name</v>
      </c>
      <c r="CP6" s="41" t="str" cm="1">
        <f t="array" aca="1" ref="CP6" ca="1">IF($A6 = "", "Enter Sheet Name", IF(($C6 + CP$3) &lt; $D6, _xlfn.XLOOKUP(($C6 + CP$3), INDIRECT($A6 &amp; "!D112:D291"), INDIRECT($A6 &amp; "!K112:K291")), "NA"))</f>
        <v>Enter Sheet Name</v>
      </c>
      <c r="CQ6" s="41" t="str" cm="1">
        <f t="array" aca="1" ref="CQ6" ca="1">IF($A6 = "", "Enter Sheet Name", IF(($C6 + CQ$3) &lt; $D6, _xlfn.XLOOKUP(($C6 + CQ$3), INDIRECT($A6 &amp; "!D112:D291"), INDIRECT($A6 &amp; "!K112:K291")), "NA"))</f>
        <v>Enter Sheet Name</v>
      </c>
      <c r="CR6" s="41" t="str" cm="1">
        <f t="array" aca="1" ref="CR6" ca="1">IF($A6 = "", "Enter Sheet Name", IF(($C6 + CR$3) &lt; $D6, _xlfn.XLOOKUP(($C6 + CR$3), INDIRECT($A6 &amp; "!D112:D291"), INDIRECT($A6 &amp; "!K112:K291")), "NA"))</f>
        <v>Enter Sheet Name</v>
      </c>
      <c r="CS6" s="41" t="str" cm="1">
        <f t="array" aca="1" ref="CS6" ca="1">IF($A6 = "", "Enter Sheet Name", IF(($C6 + CS$3) &lt; $D6, _xlfn.XLOOKUP(($C6 + CS$3), INDIRECT($A6 &amp; "!D112:D291"), INDIRECT($A6 &amp; "!K112:K291")), "NA"))</f>
        <v>Enter Sheet Name</v>
      </c>
      <c r="CT6" s="41" t="str" cm="1">
        <f t="array" aca="1" ref="CT6" ca="1">IF($A6 = "", "Enter Sheet Name", IF(($C6 + CT$3) &lt; $D6, _xlfn.XLOOKUP(($C6 + CT$3), INDIRECT($A6 &amp; "!D112:D291"), INDIRECT($A6 &amp; "!K112:K291")), "NA"))</f>
        <v>Enter Sheet Name</v>
      </c>
      <c r="CU6" s="41" t="str" cm="1">
        <f t="array" aca="1" ref="CU6" ca="1">IF($A6 = "", "Enter Sheet Name", IF(($C6 + CU$3) &lt; $D6, _xlfn.XLOOKUP(($C6 + CU$3), INDIRECT($A6 &amp; "!D112:D291"), INDIRECT($A6 &amp; "!K112:K291")), "NA"))</f>
        <v>Enter Sheet Name</v>
      </c>
      <c r="CV6" s="41" t="str" cm="1">
        <f t="array" aca="1" ref="CV6" ca="1">IF($A6 = "", "Enter Sheet Name", IF(($C6 + CV$3) &lt; $D6, _xlfn.XLOOKUP(($C6 + CV$3), INDIRECT($A6 &amp; "!D112:D291"), INDIRECT($A6 &amp; "!K112:K291")), "NA"))</f>
        <v>Enter Sheet Name</v>
      </c>
      <c r="CW6" s="41" t="str" cm="1">
        <f t="array" aca="1" ref="CW6" ca="1">IF($A6 = "", "Enter Sheet Name", IF(($C6 + CW$3) &lt; $D6, _xlfn.XLOOKUP(($C6 + CW$3), INDIRECT($A6 &amp; "!D112:D291"), INDIRECT($A6 &amp; "!K112:K291")), "NA"))</f>
        <v>Enter Sheet Name</v>
      </c>
      <c r="CX6" s="41" t="str" cm="1">
        <f t="array" aca="1" ref="CX6" ca="1">IF($A6 = "", "Enter Sheet Name", IF(($C6 + CX$3) &lt; $D6, _xlfn.XLOOKUP(($C6 + CX$3), INDIRECT($A6 &amp; "!D112:D291"), INDIRECT($A6 &amp; "!K112:K291")), "NA"))</f>
        <v>Enter Sheet Name</v>
      </c>
      <c r="CY6" s="41" t="str" cm="1">
        <f t="array" aca="1" ref="CY6" ca="1">IF($A6 = "", "Enter Sheet Name", IF(($C6 + CY$3) &lt; $D6, _xlfn.XLOOKUP(($C6 + CY$3), INDIRECT($A6 &amp; "!D112:D291"), INDIRECT($A6 &amp; "!K112:K291")), "NA"))</f>
        <v>Enter Sheet Name</v>
      </c>
      <c r="CZ6" s="41" t="str" cm="1">
        <f t="array" aca="1" ref="CZ6" ca="1">IF($A6 = "", "Enter Sheet Name", IF(($C6 + CZ$3) &lt; $D6, _xlfn.XLOOKUP(($C6 + CZ$3), INDIRECT($A6 &amp; "!D112:D291"), INDIRECT($A6 &amp; "!K112:K291")), "NA"))</f>
        <v>Enter Sheet Name</v>
      </c>
      <c r="DA6" s="41" t="str" cm="1">
        <f t="array" aca="1" ref="DA6" ca="1">IF($A6 = "", "Enter Sheet Name", IF(($C6 + DA$3) &lt; $D6, _xlfn.XLOOKUP(($C6 + DA$3), INDIRECT($A6 &amp; "!D112:D291"), INDIRECT($A6 &amp; "!K112:K291")), "NA"))</f>
        <v>Enter Sheet Name</v>
      </c>
      <c r="DB6" s="160" t="str" cm="1">
        <f t="array" aca="1" ref="DB6" ca="1">IF($A6 = "", "Enter Sheet Name", IF(($C6 + DB$3) &lt; $D6, _xlfn.XLOOKUP(($C6 + DB$3), INDIRECT($A6 &amp; "!D112:D291"), INDIRECT($A6 &amp; "!K112:K291")), "NA"))</f>
        <v>Enter Sheet Name</v>
      </c>
      <c r="DC6" s="160" t="str" cm="1">
        <f t="array" aca="1" ref="DC6" ca="1">IF($A6 = "", "Enter Sheet Name", IF(($C6 + DC$3) &lt; $D6, _xlfn.XLOOKUP(($C6 + DC$3), INDIRECT($A6 &amp; "!D112:D291"), INDIRECT($A6 &amp; "!K112:K291")), "NA"))</f>
        <v>Enter Sheet Name</v>
      </c>
      <c r="DD6" s="160" t="str" cm="1">
        <f t="array" aca="1" ref="DD6" ca="1">IF($A6 = "", "Enter Sheet Name", IF(($C6 + DD$3) &lt; $D6, _xlfn.XLOOKUP(($C6 + DD$3), INDIRECT($A6 &amp; "!D112:D291"), INDIRECT($A6 &amp; "!K112:K291")), "NA"))</f>
        <v>Enter Sheet Name</v>
      </c>
      <c r="DE6" s="160" t="str" cm="1">
        <f t="array" aca="1" ref="DE6" ca="1">IF($A6 = "", "Enter Sheet Name", IF(($C6 + DE$3) &lt; $D6, _xlfn.XLOOKUP(($C6 + DE$3), INDIRECT($A6 &amp; "!D112:D291"), INDIRECT($A6 &amp; "!K112:K291")), "NA"))</f>
        <v>Enter Sheet Name</v>
      </c>
      <c r="DF6" s="160" t="str" cm="1">
        <f t="array" aca="1" ref="DF6" ca="1">IF($A6 = "", "Enter Sheet Name", IF(($C6 + DF$3) &lt; $D6, _xlfn.XLOOKUP(($C6 + DF$3), INDIRECT($A6 &amp; "!D112:D291"), INDIRECT($A6 &amp; "!K112:K291")), "NA"))</f>
        <v>Enter Sheet Name</v>
      </c>
      <c r="DG6" s="160" t="str" cm="1">
        <f t="array" aca="1" ref="DG6" ca="1">IF($A6 = "", "Enter Sheet Name", IF(($C6 + DG$3) &lt; $D6, _xlfn.XLOOKUP(($C6 + DG$3), INDIRECT($A6 &amp; "!D112:D291"), INDIRECT($A6 &amp; "!K112:K291")), "NA"))</f>
        <v>Enter Sheet Name</v>
      </c>
      <c r="DH6" s="160" t="str" cm="1">
        <f t="array" aca="1" ref="DH6" ca="1">IF($A6 = "", "Enter Sheet Name", IF(($C6 + DH$3) &lt; $D6, _xlfn.XLOOKUP(($C6 + DH$3), INDIRECT($A6 &amp; "!D112:D291"), INDIRECT($A6 &amp; "!K112:K291")), "NA"))</f>
        <v>Enter Sheet Name</v>
      </c>
      <c r="DI6" s="160" t="str" cm="1">
        <f t="array" aca="1" ref="DI6" ca="1">IF($A6 = "", "Enter Sheet Name", IF(($C6 + DI$3) &lt; $D6, _xlfn.XLOOKUP(($C6 + DI$3), INDIRECT($A6 &amp; "!D112:D291"), INDIRECT($A6 &amp; "!K112:K291")), "NA"))</f>
        <v>Enter Sheet Name</v>
      </c>
      <c r="DJ6" s="160" t="str" cm="1">
        <f t="array" aca="1" ref="DJ6" ca="1">IF($A6 = "", "Enter Sheet Name", IF(($C6 + DJ$3) &lt; $D6, _xlfn.XLOOKUP(($C6 + DJ$3), INDIRECT($A6 &amp; "!D112:D291"), INDIRECT($A6 &amp; "!K112:K291")), "NA"))</f>
        <v>Enter Sheet Name</v>
      </c>
      <c r="DK6" s="160" t="str" cm="1">
        <f t="array" aca="1" ref="DK6" ca="1">IF($A6 = "", "Enter Sheet Name", IF(($C6 + DK$3) &lt; $D6, _xlfn.XLOOKUP(($C6 + DK$3), INDIRECT($A6 &amp; "!D112:D291"), INDIRECT($A6 &amp; "!K112:K291")), "NA"))</f>
        <v>Enter Sheet Name</v>
      </c>
      <c r="DL6" s="160" t="str" cm="1">
        <f t="array" aca="1" ref="DL6" ca="1">IF($A6 = "", "Enter Sheet Name", IF(($C6 + DL$3) &lt; $D6, _xlfn.XLOOKUP(($C6 + DL$3), INDIRECT($A6 &amp; "!D112:D291"), INDIRECT($A6 &amp; "!K112:K291")), "NA"))</f>
        <v>Enter Sheet Name</v>
      </c>
      <c r="DM6" s="160" t="str" cm="1">
        <f t="array" aca="1" ref="DM6" ca="1">IF($A6 = "", "Enter Sheet Name", IF(($C6 + DM$3) &lt; $D6, _xlfn.XLOOKUP(($C6 + DM$3), INDIRECT($A6 &amp; "!D112:D291"), INDIRECT($A6 &amp; "!K112:K291")), "NA"))</f>
        <v>Enter Sheet Name</v>
      </c>
      <c r="DN6" s="160" t="str" cm="1">
        <f t="array" aca="1" ref="DN6" ca="1">IF($A6 = "", "Enter Sheet Name", IF(($C6 + DN$3) &lt; $D6, _xlfn.XLOOKUP(($C6 + DN$3), INDIRECT($A6 &amp; "!D112:D291"), INDIRECT($A6 &amp; "!K112:K291")), "NA"))</f>
        <v>Enter Sheet Name</v>
      </c>
      <c r="DO6" s="160" t="str" cm="1">
        <f t="array" aca="1" ref="DO6" ca="1">IF($A6 = "", "Enter Sheet Name", IF(($C6 + DO$3) &lt; $D6, _xlfn.XLOOKUP(($C6 + DO$3), INDIRECT($A6 &amp; "!D112:D291"), INDIRECT($A6 &amp; "!K112:K291")), "NA"))</f>
        <v>Enter Sheet Name</v>
      </c>
      <c r="DP6" s="160" t="str" cm="1">
        <f t="array" aca="1" ref="DP6" ca="1">IF($A6 = "", "Enter Sheet Name", IF(($C6 + DP$3) &lt; $D6, _xlfn.XLOOKUP(($C6 + DP$3), INDIRECT($A6 &amp; "!D112:D291"), INDIRECT($A6 &amp; "!K112:K291")), "NA"))</f>
        <v>Enter Sheet Name</v>
      </c>
      <c r="DQ6" s="160" t="str" cm="1">
        <f t="array" aca="1" ref="DQ6" ca="1">IF($A6 = "", "Enter Sheet Name", IF(($C6 + DQ$3) &lt; $D6, _xlfn.XLOOKUP(($C6 + DQ$3), INDIRECT($A6 &amp; "!D112:D291"), INDIRECT($A6 &amp; "!K112:K291")), "NA"))</f>
        <v>Enter Sheet Name</v>
      </c>
      <c r="DR6" s="160" t="str" cm="1">
        <f t="array" aca="1" ref="DR6" ca="1">IF($A6 = "", "Enter Sheet Name", IF(($C6 + DR$3) &lt; $D6, _xlfn.XLOOKUP(($C6 + DR$3), INDIRECT($A6 &amp; "!D112:D291"), INDIRECT($A6 &amp; "!K112:K291")), "NA"))</f>
        <v>Enter Sheet Name</v>
      </c>
      <c r="DS6" s="160" t="str" cm="1">
        <f t="array" aca="1" ref="DS6" ca="1">IF($A6 = "", "Enter Sheet Name", IF(($C6 + DS$3) &lt; $D6, _xlfn.XLOOKUP(($C6 + DS$3), INDIRECT($A6 &amp; "!D112:D291"), INDIRECT($A6 &amp; "!K112:K291")), "NA"))</f>
        <v>Enter Sheet Name</v>
      </c>
      <c r="DT6" s="160" t="str" cm="1">
        <f t="array" aca="1" ref="DT6" ca="1">IF($A6 = "", "Enter Sheet Name", IF(($C6 + DT$3) &lt; $D6, _xlfn.XLOOKUP(($C6 + DT$3), INDIRECT($A6 &amp; "!D112:D291"), INDIRECT($A6 &amp; "!K112:K291")), "NA"))</f>
        <v>Enter Sheet Name</v>
      </c>
      <c r="DU6" s="160" t="str" cm="1">
        <f t="array" aca="1" ref="DU6" ca="1">IF($A6 = "", "Enter Sheet Name", IF(($C6 + DU$3) &lt; $D6, _xlfn.XLOOKUP(($C6 + DU$3), INDIRECT($A6 &amp; "!D112:D291"), INDIRECT($A6 &amp; "!K112:K291")), "NA"))</f>
        <v>Enter Sheet Name</v>
      </c>
      <c r="DV6" s="160" t="str" cm="1">
        <f t="array" aca="1" ref="DV6" ca="1">IF($A6 = "", "Enter Sheet Name", IF(($C6 + DV$3) &lt; $D6, _xlfn.XLOOKUP(($C6 + DV$3), INDIRECT($A6 &amp; "!D112:D291"), INDIRECT($A6 &amp; "!K112:K291")), "NA"))</f>
        <v>Enter Sheet Name</v>
      </c>
      <c r="DW6" s="160" t="str" cm="1">
        <f t="array" aca="1" ref="DW6" ca="1">IF($A6 = "", "Enter Sheet Name", IF(($C6 + DW$3) &lt; $D6, _xlfn.XLOOKUP(($C6 + DW$3), INDIRECT($A6 &amp; "!D112:D291"), INDIRECT($A6 &amp; "!K112:K291")), "NA"))</f>
        <v>Enter Sheet Name</v>
      </c>
      <c r="DX6" s="160" t="str" cm="1">
        <f t="array" aca="1" ref="DX6" ca="1">IF($A6 = "", "Enter Sheet Name", IF(($C6 + DX$3) &lt; $D6, _xlfn.XLOOKUP(($C6 + DX$3), INDIRECT($A6 &amp; "!D112:D291"), INDIRECT($A6 &amp; "!K112:K291")), "NA"))</f>
        <v>Enter Sheet Name</v>
      </c>
      <c r="DY6" s="160" t="str" cm="1">
        <f t="array" aca="1" ref="DY6" ca="1">IF($A6 = "", "Enter Sheet Name", IF(($C6 + DY$3) &lt; $D6, _xlfn.XLOOKUP(($C6 + DY$3), INDIRECT($A6 &amp; "!D112:D291"), INDIRECT($A6 &amp; "!K112:K291")), "NA"))</f>
        <v>Enter Sheet Name</v>
      </c>
      <c r="DZ6" s="160" t="str" cm="1">
        <f t="array" aca="1" ref="DZ6" ca="1">IF($A6 = "", "Enter Sheet Name", IF(($C6 + DZ$3) &lt; $D6, _xlfn.XLOOKUP(($C6 + DZ$3), INDIRECT($A6 &amp; "!D112:D291"), INDIRECT($A6 &amp; "!K112:K291")), "NA"))</f>
        <v>Enter Sheet Name</v>
      </c>
      <c r="EA6" s="160" t="str" cm="1">
        <f t="array" aca="1" ref="EA6" ca="1">IF($A6 = "", "Enter Sheet Name", IF(($C6 + EA$3) &lt; $D6, _xlfn.XLOOKUP(($C6 + EA$3), INDIRECT($A6 &amp; "!D112:D291"), INDIRECT($A6 &amp; "!K112:K291")), "NA"))</f>
        <v>Enter Sheet Name</v>
      </c>
      <c r="EB6" s="160" t="str" cm="1">
        <f t="array" aca="1" ref="EB6" ca="1">IF($A6 = "", "Enter Sheet Name", IF(($C6 + EB$3) &lt; $D6, _xlfn.XLOOKUP(($C6 + EB$3), INDIRECT($A6 &amp; "!D112:D291"), INDIRECT($A6 &amp; "!K112:K291")), "NA"))</f>
        <v>Enter Sheet Name</v>
      </c>
      <c r="EC6" s="160" t="str" cm="1">
        <f t="array" aca="1" ref="EC6" ca="1">IF($A6 = "", "Enter Sheet Name", IF(($C6 + EC$3) &lt; $D6, _xlfn.XLOOKUP(($C6 + EC$3), INDIRECT($A6 &amp; "!D112:D291"), INDIRECT($A6 &amp; "!K112:K291")), "NA"))</f>
        <v>Enter Sheet Name</v>
      </c>
      <c r="ED6" s="160" t="str" cm="1">
        <f t="array" aca="1" ref="ED6" ca="1">IF($A6 = "", "Enter Sheet Name", IF(($C6 + ED$3) &lt; $D6, _xlfn.XLOOKUP(($C6 + ED$3), INDIRECT($A6 &amp; "!D112:D291"), INDIRECT($A6 &amp; "!K112:K291")), "NA"))</f>
        <v>Enter Sheet Name</v>
      </c>
      <c r="EE6" s="160" t="str" cm="1">
        <f t="array" aca="1" ref="EE6" ca="1">IF($A6 = "", "Enter Sheet Name", IF(($C6 + EE$3) &lt; $D6, _xlfn.XLOOKUP(($C6 + EE$3), INDIRECT($A6 &amp; "!D112:D291"), INDIRECT($A6 &amp; "!K112:K291")), "NA"))</f>
        <v>Enter Sheet Name</v>
      </c>
      <c r="EF6" s="160" t="str" cm="1">
        <f t="array" aca="1" ref="EF6" ca="1">IF($A6 = "", "Enter Sheet Name", IF(($C6 + EF$3) &lt; $D6, _xlfn.XLOOKUP(($C6 + EF$3), INDIRECT($A6 &amp; "!D112:D291"), INDIRECT($A6 &amp; "!K112:K291")), "NA"))</f>
        <v>Enter Sheet Name</v>
      </c>
      <c r="EG6" s="160" t="str" cm="1">
        <f t="array" aca="1" ref="EG6" ca="1">IF($A6 = "", "Enter Sheet Name", IF(($C6 + EG$3) &lt; $D6, _xlfn.XLOOKUP(($C6 + EG$3), INDIRECT($A6 &amp; "!D112:D291"), INDIRECT($A6 &amp; "!K112:K291")), "NA"))</f>
        <v>Enter Sheet Name</v>
      </c>
      <c r="EH6" s="160" t="str" cm="1">
        <f t="array" aca="1" ref="EH6" ca="1">IF($A6 = "", "Enter Sheet Name", IF(($C6 + EH$3) &lt; $D6, _xlfn.XLOOKUP(($C6 + EH$3), INDIRECT($A6 &amp; "!D112:D291"), INDIRECT($A6 &amp; "!K112:K291")), "NA"))</f>
        <v>Enter Sheet Name</v>
      </c>
      <c r="EI6" s="160" t="str" cm="1">
        <f t="array" aca="1" ref="EI6" ca="1">IF($A6 = "", "Enter Sheet Name", IF(($C6 + EI$3) &lt; $D6, _xlfn.XLOOKUP(($C6 + EI$3), INDIRECT($A6 &amp; "!D112:D291"), INDIRECT($A6 &amp; "!K112:K291")), "NA"))</f>
        <v>Enter Sheet Name</v>
      </c>
      <c r="EJ6" s="160" t="str" cm="1">
        <f t="array" aca="1" ref="EJ6" ca="1">IF($A6 = "", "Enter Sheet Name", IF(($C6 + EJ$3) &lt; $D6, _xlfn.XLOOKUP(($C6 + EJ$3), INDIRECT($A6 &amp; "!D112:D291"), INDIRECT($A6 &amp; "!K112:K291")), "NA"))</f>
        <v>Enter Sheet Name</v>
      </c>
      <c r="EK6" s="160" t="str" cm="1">
        <f t="array" aca="1" ref="EK6" ca="1">IF($A6 = "", "Enter Sheet Name", IF(($C6 + EK$3) &lt; $D6, _xlfn.XLOOKUP(($C6 + EK$3), INDIRECT($A6 &amp; "!D112:D291"), INDIRECT($A6 &amp; "!K112:K291")), "NA"))</f>
        <v>Enter Sheet Name</v>
      </c>
      <c r="EL6" s="160" t="str" cm="1">
        <f t="array" aca="1" ref="EL6" ca="1">IF($A6 = "", "Enter Sheet Name", IF(($C6 + EL$3) &lt; $D6, _xlfn.XLOOKUP(($C6 + EL$3), INDIRECT($A6 &amp; "!D112:D291"), INDIRECT($A6 &amp; "!K112:K291")), "NA"))</f>
        <v>Enter Sheet Name</v>
      </c>
      <c r="EM6" s="160" t="str" cm="1">
        <f t="array" aca="1" ref="EM6" ca="1">IF($A6 = "", "Enter Sheet Name", IF(($C6 + EM$3) &lt; $D6, _xlfn.XLOOKUP(($C6 + EM$3), INDIRECT($A6 &amp; "!D112:D291"), INDIRECT($A6 &amp; "!K112:K291")), "NA"))</f>
        <v>Enter Sheet Name</v>
      </c>
      <c r="EN6" s="160" t="str" cm="1">
        <f t="array" aca="1" ref="EN6" ca="1">IF($A6 = "", "Enter Sheet Name", IF(($C6 + EN$3) &lt; $D6, _xlfn.XLOOKUP(($C6 + EN$3), INDIRECT($A6 &amp; "!D112:D291"), INDIRECT($A6 &amp; "!K112:K291")), "NA"))</f>
        <v>Enter Sheet Name</v>
      </c>
      <c r="EO6" s="160" t="str" cm="1">
        <f t="array" aca="1" ref="EO6" ca="1">IF($A6 = "", "Enter Sheet Name", IF(($C6 + EO$3) &lt; $D6, _xlfn.XLOOKUP(($C6 + EO$3), INDIRECT($A6 &amp; "!D112:D291"), INDIRECT($A6 &amp; "!K112:K291")), "NA"))</f>
        <v>Enter Sheet Name</v>
      </c>
      <c r="EP6" s="160" t="str" cm="1">
        <f t="array" aca="1" ref="EP6" ca="1">IF($A6 = "", "Enter Sheet Name", IF(($C6 + EP$3) &lt; $D6, _xlfn.XLOOKUP(($C6 + EP$3), INDIRECT($A6 &amp; "!D112:D291"), INDIRECT($A6 &amp; "!K112:K291")), "NA"))</f>
        <v>Enter Sheet Name</v>
      </c>
      <c r="EQ6" s="160" t="str" cm="1">
        <f t="array" aca="1" ref="EQ6" ca="1">IF($A6 = "", "Enter Sheet Name", IF(($C6 + EQ$3) &lt; $D6, _xlfn.XLOOKUP(($C6 + EQ$3), INDIRECT($A6 &amp; "!D112:D291"), INDIRECT($A6 &amp; "!K112:K291")), "NA"))</f>
        <v>Enter Sheet Name</v>
      </c>
      <c r="ER6" s="160" t="str" cm="1">
        <f t="array" aca="1" ref="ER6" ca="1">IF($A6 = "", "Enter Sheet Name", IF(($C6 + ER$3) &lt; $D6, _xlfn.XLOOKUP(($C6 + ER$3), INDIRECT($A6 &amp; "!D112:D291"), INDIRECT($A6 &amp; "!K112:K291")), "NA"))</f>
        <v>Enter Sheet Name</v>
      </c>
      <c r="ES6" s="160" t="str" cm="1">
        <f t="array" aca="1" ref="ES6" ca="1">IF($A6 = "", "Enter Sheet Name", IF(($C6 + ES$3) &lt; $D6, _xlfn.XLOOKUP(($C6 + ES$3), INDIRECT($A6 &amp; "!D112:D291"), INDIRECT($A6 &amp; "!K112:K291")), "NA"))</f>
        <v>Enter Sheet Name</v>
      </c>
      <c r="ET6" s="160" t="str" cm="1">
        <f t="array" aca="1" ref="ET6" ca="1">IF($A6 = "", "Enter Sheet Name", IF(($C6 + ET$3) &lt; $D6, _xlfn.XLOOKUP(($C6 + ET$3), INDIRECT($A6 &amp; "!D112:D291"), INDIRECT($A6 &amp; "!K112:K291")), "NA"))</f>
        <v>Enter Sheet Name</v>
      </c>
      <c r="EU6" s="160" t="str" cm="1">
        <f t="array" aca="1" ref="EU6" ca="1">IF($A6 = "", "Enter Sheet Name", IF(($C6 + EU$3) &lt; $D6, _xlfn.XLOOKUP(($C6 + EU$3), INDIRECT($A6 &amp; "!D112:D291"), INDIRECT($A6 &amp; "!K112:K291")), "NA"))</f>
        <v>Enter Sheet Name</v>
      </c>
      <c r="EV6" s="160" t="str" cm="1">
        <f t="array" aca="1" ref="EV6" ca="1">IF($A6 = "", "Enter Sheet Name", IF(($C6 + EV$3) &lt; $D6, _xlfn.XLOOKUP(($C6 + EV$3), INDIRECT($A6 &amp; "!D112:D291"), INDIRECT($A6 &amp; "!K112:K291")), "NA"))</f>
        <v>Enter Sheet Name</v>
      </c>
      <c r="EW6" s="160" t="str" cm="1">
        <f t="array" aca="1" ref="EW6" ca="1">IF($A6 = "", "Enter Sheet Name", IF(($C6 + EW$3) &lt; $D6, _xlfn.XLOOKUP(($C6 + EW$3), INDIRECT($A6 &amp; "!D112:D291"), INDIRECT($A6 &amp; "!K112:K291")), "NA"))</f>
        <v>Enter Sheet Name</v>
      </c>
      <c r="EX6" s="160" t="str" cm="1">
        <f t="array" aca="1" ref="EX6" ca="1">IF($A6 = "", "Enter Sheet Name", IF(($C6 + EX$3) &lt; $D6, _xlfn.XLOOKUP(($C6 + EX$3), INDIRECT($A6 &amp; "!D112:D291"), INDIRECT($A6 &amp; "!K112:K291")), "NA"))</f>
        <v>Enter Sheet Name</v>
      </c>
      <c r="EY6" s="160" t="str" cm="1">
        <f t="array" aca="1" ref="EY6" ca="1">IF($A6 = "", "Enter Sheet Name", IF(($C6 + EY$3) &lt; $D6, _xlfn.XLOOKUP(($C6 + EY$3), INDIRECT($A6 &amp; "!D112:D291"), INDIRECT($A6 &amp; "!K112:K291")), "NA"))</f>
        <v>Enter Sheet Name</v>
      </c>
      <c r="EZ6" s="160" t="str" cm="1">
        <f t="array" aca="1" ref="EZ6" ca="1">IF($A6 = "", "Enter Sheet Name", IF(($C6 + EZ$3) &lt; $D6, _xlfn.XLOOKUP(($C6 + EZ$3), INDIRECT($A6 &amp; "!D112:D291"), INDIRECT($A6 &amp; "!K112:K291")), "NA"))</f>
        <v>Enter Sheet Name</v>
      </c>
      <c r="FA6" s="160" t="str" cm="1">
        <f t="array" aca="1" ref="FA6" ca="1">IF($A6 = "", "Enter Sheet Name", IF(($C6 + FA$3) &lt; $D6, _xlfn.XLOOKUP(($C6 + FA$3), INDIRECT($A6 &amp; "!D112:D291"), INDIRECT($A6 &amp; "!K112:K291")), "NA"))</f>
        <v>Enter Sheet Name</v>
      </c>
      <c r="FB6" s="160" t="str" cm="1">
        <f t="array" aca="1" ref="FB6" ca="1">IF($A6 = "", "Enter Sheet Name", IF(($C6 + FB$3) &lt; $D6, _xlfn.XLOOKUP(($C6 + FB$3), INDIRECT($A6 &amp; "!D112:D291"), INDIRECT($A6 &amp; "!K112:K291")), "NA"))</f>
        <v>Enter Sheet Name</v>
      </c>
      <c r="FC6" s="160" t="str" cm="1">
        <f t="array" aca="1" ref="FC6" ca="1">IF($A6 = "", "Enter Sheet Name", IF(($C6 + FC$3) &lt; $D6, _xlfn.XLOOKUP(($C6 + FC$3), INDIRECT($A6 &amp; "!D112:D291"), INDIRECT($A6 &amp; "!K112:K291")), "NA"))</f>
        <v>Enter Sheet Name</v>
      </c>
      <c r="FD6" s="160" t="str" cm="1">
        <f t="array" aca="1" ref="FD6" ca="1">IF($A6 = "", "Enter Sheet Name", IF(($C6 + FD$3) &lt; $D6, _xlfn.XLOOKUP(($C6 + FD$3), INDIRECT($A6 &amp; "!D112:D291"), INDIRECT($A6 &amp; "!K112:K291")), "NA"))</f>
        <v>Enter Sheet Name</v>
      </c>
      <c r="FE6" s="160" t="str" cm="1">
        <f t="array" aca="1" ref="FE6" ca="1">IF($A6 = "", "Enter Sheet Name", IF(($C6 + FE$3) &lt; $D6, _xlfn.XLOOKUP(($C6 + FE$3), INDIRECT($A6 &amp; "!D112:D291"), INDIRECT($A6 &amp; "!K112:K291")), "NA"))</f>
        <v>Enter Sheet Name</v>
      </c>
      <c r="FF6" s="160" t="str" cm="1">
        <f t="array" aca="1" ref="FF6" ca="1">IF($A6 = "", "Enter Sheet Name", IF(($C6 + FF$3) &lt; $D6, _xlfn.XLOOKUP(($C6 + FF$3), INDIRECT($A6 &amp; "!D112:D291"), INDIRECT($A6 &amp; "!K112:K291")), "NA"))</f>
        <v>Enter Sheet Name</v>
      </c>
      <c r="FG6" s="160" t="str" cm="1">
        <f t="array" aca="1" ref="FG6" ca="1">IF($A6 = "", "Enter Sheet Name", IF(($C6 + FG$3) &lt; $D6, _xlfn.XLOOKUP(($C6 + FG$3), INDIRECT($A6 &amp; "!D112:D291"), INDIRECT($A6 &amp; "!K112:K291")), "NA"))</f>
        <v>Enter Sheet Name</v>
      </c>
      <c r="FH6" s="160" t="str" cm="1">
        <f t="array" aca="1" ref="FH6" ca="1">IF($A6 = "", "Enter Sheet Name", IF(($C6 + FH$3) &lt; $D6, _xlfn.XLOOKUP(($C6 + FH$3), INDIRECT($A6 &amp; "!D112:D291"), INDIRECT($A6 &amp; "!K112:K291")), "NA"))</f>
        <v>Enter Sheet Name</v>
      </c>
      <c r="FI6" s="160" t="str" cm="1">
        <f t="array" aca="1" ref="FI6" ca="1">IF($A6 = "", "Enter Sheet Name", IF(($C6 + FI$3) &lt; $D6, _xlfn.XLOOKUP(($C6 + FI$3), INDIRECT($A6 &amp; "!D112:D291"), INDIRECT($A6 &amp; "!K112:K291")), "NA"))</f>
        <v>Enter Sheet Name</v>
      </c>
      <c r="FJ6" s="160" t="str" cm="1">
        <f t="array" aca="1" ref="FJ6" ca="1">IF($A6 = "", "Enter Sheet Name", IF(($C6 + FJ$3) &lt; $D6, _xlfn.XLOOKUP(($C6 + FJ$3), INDIRECT($A6 &amp; "!D112:D291"), INDIRECT($A6 &amp; "!K112:K291")), "NA"))</f>
        <v>Enter Sheet Name</v>
      </c>
      <c r="FK6" s="160" t="str" cm="1">
        <f t="array" aca="1" ref="FK6" ca="1">IF($A6 = "", "Enter Sheet Name", IF(($C6 + FK$3) &lt; $D6, _xlfn.XLOOKUP(($C6 + FK$3), INDIRECT($A6 &amp; "!D112:D291"), INDIRECT($A6 &amp; "!K112:K291")), "NA"))</f>
        <v>Enter Sheet Name</v>
      </c>
      <c r="FL6" s="160" t="str" cm="1">
        <f t="array" aca="1" ref="FL6" ca="1">IF($A6 = "", "Enter Sheet Name", IF(($C6 + FL$3) &lt; $D6, _xlfn.XLOOKUP(($C6 + FL$3), INDIRECT($A6 &amp; "!D112:D291"), INDIRECT($A6 &amp; "!K112:K291")), "NA"))</f>
        <v>Enter Sheet Name</v>
      </c>
      <c r="FM6" s="160" t="str" cm="1">
        <f t="array" aca="1" ref="FM6" ca="1">IF($A6 = "", "Enter Sheet Name", IF(($C6 + FM$3) &lt; $D6, _xlfn.XLOOKUP(($C6 + FM$3), INDIRECT($A6 &amp; "!D112:D291"), INDIRECT($A6 &amp; "!K112:K291")), "NA"))</f>
        <v>Enter Sheet Name</v>
      </c>
      <c r="FN6" s="160" t="str" cm="1">
        <f t="array" aca="1" ref="FN6" ca="1">IF($A6 = "", "Enter Sheet Name", IF(($C6 + FN$3) &lt; $D6, _xlfn.XLOOKUP(($C6 + FN$3), INDIRECT($A6 &amp; "!D112:D291"), INDIRECT($A6 &amp; "!K112:K291")), "NA"))</f>
        <v>Enter Sheet Name</v>
      </c>
      <c r="FO6" s="160" t="str" cm="1">
        <f t="array" aca="1" ref="FO6" ca="1">IF($A6 = "", "Enter Sheet Name", IF(($C6 + FO$3) &lt; $D6, _xlfn.XLOOKUP(($C6 + FO$3), INDIRECT($A6 &amp; "!D112:D291"), INDIRECT($A6 &amp; "!K112:K291")), "NA"))</f>
        <v>Enter Sheet Name</v>
      </c>
      <c r="FP6" s="160" t="str" cm="1">
        <f t="array" aca="1" ref="FP6" ca="1">IF($A6 = "", "Enter Sheet Name", IF(($C6 + FP$3) &lt; $D6, _xlfn.XLOOKUP(($C6 + FP$3), INDIRECT($A6 &amp; "!D112:D291"), INDIRECT($A6 &amp; "!K112:K291")), "NA"))</f>
        <v>Enter Sheet Name</v>
      </c>
      <c r="FQ6" s="160" t="str" cm="1">
        <f t="array" aca="1" ref="FQ6" ca="1">IF($A6 = "", "Enter Sheet Name", IF(($C6 + FQ$3) &lt; $D6, _xlfn.XLOOKUP(($C6 + FQ$3), INDIRECT($A6 &amp; "!D112:D291"), INDIRECT($A6 &amp; "!K112:K291")), "NA"))</f>
        <v>Enter Sheet Name</v>
      </c>
      <c r="FR6" s="160" t="str" cm="1">
        <f t="array" aca="1" ref="FR6" ca="1">IF($A6 = "", "Enter Sheet Name", IF(($C6 + FR$3) &lt; $D6, _xlfn.XLOOKUP(($C6 + FR$3), INDIRECT($A6 &amp; "!D112:D291"), INDIRECT($A6 &amp; "!K112:K291")), "NA"))</f>
        <v>Enter Sheet Name</v>
      </c>
      <c r="FS6" s="160" t="str" cm="1">
        <f t="array" aca="1" ref="FS6" ca="1">IF($A6 = "", "Enter Sheet Name", IF(($C6 + FS$3) &lt; $D6, _xlfn.XLOOKUP(($C6 + FS$3), INDIRECT($A6 &amp; "!D112:D291"), INDIRECT($A6 &amp; "!K112:K291")), "NA"))</f>
        <v>Enter Sheet Name</v>
      </c>
      <c r="FT6" s="160" t="str" cm="1">
        <f t="array" aca="1" ref="FT6" ca="1">IF($A6 = "", "Enter Sheet Name", IF(($C6 + FT$3) &lt; $D6, _xlfn.XLOOKUP(($C6 + FT$3), INDIRECT($A6 &amp; "!D112:D291"), INDIRECT($A6 &amp; "!K112:K291")), "NA"))</f>
        <v>Enter Sheet Name</v>
      </c>
      <c r="FU6" s="160" t="str" cm="1">
        <f t="array" aca="1" ref="FU6" ca="1">IF($A6 = "", "Enter Sheet Name", IF(($C6 + FU$3) &lt; $D6, _xlfn.XLOOKUP(($C6 + FU$3), INDIRECT($A6 &amp; "!D112:D291"), INDIRECT($A6 &amp; "!K112:K291")), "NA"))</f>
        <v>Enter Sheet Name</v>
      </c>
      <c r="FV6" s="160" t="str" cm="1">
        <f t="array" aca="1" ref="FV6" ca="1">IF($A6 = "", "Enter Sheet Name", IF(($C6 + FV$3) &lt; $D6, _xlfn.XLOOKUP(($C6 + FV$3), INDIRECT($A6 &amp; "!D112:D291"), INDIRECT($A6 &amp; "!K112:K291")), "NA"))</f>
        <v>Enter Sheet Name</v>
      </c>
      <c r="FW6" s="160" t="str" cm="1">
        <f t="array" aca="1" ref="FW6" ca="1">IF($A6 = "", "Enter Sheet Name", IF(($C6 + FW$3) &lt; $D6, _xlfn.XLOOKUP(($C6 + FW$3), INDIRECT($A6 &amp; "!D112:D291"), INDIRECT($A6 &amp; "!K112:K291")), "NA"))</f>
        <v>Enter Sheet Name</v>
      </c>
      <c r="FX6" s="160" t="str" cm="1">
        <f t="array" aca="1" ref="FX6" ca="1">IF($A6 = "", "Enter Sheet Name", IF(($C6 + FX$3) &lt; $D6, _xlfn.XLOOKUP(($C6 + FX$3), INDIRECT($A6 &amp; "!D112:D291"), INDIRECT($A6 &amp; "!K112:K291")), "NA"))</f>
        <v>Enter Sheet Name</v>
      </c>
      <c r="FY6" s="160" t="str" cm="1">
        <f t="array" aca="1" ref="FY6" ca="1">IF($A6 = "", "Enter Sheet Name", IF(($C6 + FY$3) &lt; $D6, _xlfn.XLOOKUP(($C6 + FY$3), INDIRECT($A6 &amp; "!D112:D291"), INDIRECT($A6 &amp; "!K112:K291")), "NA"))</f>
        <v>Enter Sheet Name</v>
      </c>
      <c r="FZ6" s="160" t="str" cm="1">
        <f t="array" aca="1" ref="FZ6" ca="1">IF($A6 = "", "Enter Sheet Name", IF(($C6 + FZ$3) &lt; $D6, _xlfn.XLOOKUP(($C6 + FZ$3), INDIRECT($A6 &amp; "!D112:D291"), INDIRECT($A6 &amp; "!K112:K291")), "NA"))</f>
        <v>Enter Sheet Name</v>
      </c>
      <c r="GA6" s="160" t="str" cm="1">
        <f t="array" aca="1" ref="GA6" ca="1">IF($A6 = "", "Enter Sheet Name", IF(($C6 + GA$3) &lt; $D6, _xlfn.XLOOKUP(($C6 + GA$3), INDIRECT($A6 &amp; "!D112:D291"), INDIRECT($A6 &amp; "!K112:K291")), "NA"))</f>
        <v>Enter Sheet Name</v>
      </c>
      <c r="GB6" s="160" t="str" cm="1">
        <f t="array" aca="1" ref="GB6" ca="1">IF($A6 = "", "Enter Sheet Name", IF(($C6 + GB$3) &lt; $D6, _xlfn.XLOOKUP(($C6 + GB$3), INDIRECT($A6 &amp; "!D112:D291"), INDIRECT($A6 &amp; "!K112:K291")), "NA"))</f>
        <v>Enter Sheet Name</v>
      </c>
      <c r="GC6" s="160" t="str" cm="1">
        <f t="array" aca="1" ref="GC6" ca="1">IF($A6 = "", "Enter Sheet Name", IF(($C6 + GC$3) &lt; $D6, _xlfn.XLOOKUP(($C6 + GC$3), INDIRECT($A6 &amp; "!D112:D291"), INDIRECT($A6 &amp; "!K112:K291")), "NA"))</f>
        <v>Enter Sheet Name</v>
      </c>
      <c r="GD6" s="160" t="str" cm="1">
        <f t="array" aca="1" ref="GD6" ca="1">IF($A6 = "", "Enter Sheet Name", IF(($C6 + GD$3) &lt; $D6, _xlfn.XLOOKUP(($C6 + GD$3), INDIRECT($A6 &amp; "!D112:D291"), INDIRECT($A6 &amp; "!K112:K291")), "NA"))</f>
        <v>Enter Sheet Name</v>
      </c>
    </row>
  </sheetData>
  <mergeCells count="1">
    <mergeCell ref="B1:F2"/>
  </mergeCells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6716-DEFC-49C1-96F5-E7D69181D0A9}">
  <dimension ref="A1:FI5"/>
  <sheetViews>
    <sheetView zoomScale="90" zoomScaleNormal="90" workbookViewId="0">
      <selection activeCell="D19" sqref="D19"/>
    </sheetView>
  </sheetViews>
  <sheetFormatPr baseColWidth="10" defaultColWidth="8.83203125" defaultRowHeight="15" x14ac:dyDescent="0.2"/>
  <cols>
    <col min="1" max="1" width="12.1640625" bestFit="1" customWidth="1"/>
    <col min="2" max="2" width="11" customWidth="1"/>
    <col min="4" max="4" width="9.6640625" customWidth="1"/>
    <col min="5" max="5" width="18.6640625" bestFit="1" customWidth="1"/>
    <col min="6" max="6" width="15" bestFit="1" customWidth="1"/>
    <col min="7" max="7" width="14.1640625" bestFit="1" customWidth="1"/>
    <col min="8" max="8" width="15.33203125" customWidth="1"/>
    <col min="9" max="9" width="20" bestFit="1" customWidth="1"/>
    <col min="10" max="10" width="19" bestFit="1" customWidth="1"/>
    <col min="11" max="11" width="10.6640625" customWidth="1"/>
  </cols>
  <sheetData>
    <row r="1" spans="1:165" x14ac:dyDescent="0.2">
      <c r="H1" s="163" t="s">
        <v>184</v>
      </c>
      <c r="I1" s="163"/>
      <c r="J1" s="163"/>
      <c r="K1" s="163"/>
    </row>
    <row r="2" spans="1:165" x14ac:dyDescent="0.2">
      <c r="B2" s="40"/>
      <c r="K2" s="41">
        <v>1E-3</v>
      </c>
    </row>
    <row r="3" spans="1:165" ht="16" x14ac:dyDescent="0.2">
      <c r="A3" t="s">
        <v>140</v>
      </c>
      <c r="B3" s="40" t="s">
        <v>141</v>
      </c>
      <c r="C3" t="s">
        <v>185</v>
      </c>
      <c r="D3" t="s">
        <v>139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191</v>
      </c>
      <c r="K3" t="s">
        <v>203</v>
      </c>
      <c r="BN3">
        <v>3</v>
      </c>
      <c r="BO3">
        <v>4</v>
      </c>
      <c r="BP3">
        <v>5</v>
      </c>
      <c r="BQ3">
        <v>6</v>
      </c>
      <c r="BR3">
        <v>7</v>
      </c>
      <c r="BS3">
        <v>8</v>
      </c>
      <c r="BT3">
        <v>9</v>
      </c>
      <c r="BU3">
        <v>10</v>
      </c>
      <c r="BV3">
        <v>11</v>
      </c>
      <c r="BW3">
        <v>12</v>
      </c>
      <c r="BX3">
        <v>13</v>
      </c>
      <c r="BY3">
        <v>14</v>
      </c>
      <c r="BZ3">
        <v>15</v>
      </c>
      <c r="CA3">
        <v>16</v>
      </c>
      <c r="CB3">
        <v>17</v>
      </c>
      <c r="CC3">
        <v>18</v>
      </c>
      <c r="CD3">
        <v>19</v>
      </c>
      <c r="CE3">
        <v>20</v>
      </c>
      <c r="CF3">
        <v>21</v>
      </c>
      <c r="CG3">
        <v>22</v>
      </c>
      <c r="CH3">
        <v>23</v>
      </c>
      <c r="CI3">
        <v>24</v>
      </c>
      <c r="CJ3">
        <v>25</v>
      </c>
      <c r="CK3">
        <v>26</v>
      </c>
      <c r="CL3">
        <v>27</v>
      </c>
      <c r="CM3">
        <v>28</v>
      </c>
      <c r="CN3">
        <v>29</v>
      </c>
      <c r="CO3">
        <v>30</v>
      </c>
      <c r="CP3">
        <v>31</v>
      </c>
      <c r="CQ3">
        <v>32</v>
      </c>
      <c r="CR3">
        <v>33</v>
      </c>
      <c r="CS3">
        <v>34</v>
      </c>
      <c r="CT3">
        <v>35</v>
      </c>
      <c r="CU3">
        <v>36</v>
      </c>
      <c r="CV3">
        <v>37</v>
      </c>
      <c r="CW3">
        <v>38</v>
      </c>
      <c r="CX3">
        <v>39</v>
      </c>
      <c r="CY3">
        <v>40</v>
      </c>
      <c r="CZ3">
        <v>41</v>
      </c>
      <c r="DA3">
        <v>42</v>
      </c>
      <c r="DB3">
        <v>43</v>
      </c>
      <c r="DC3">
        <v>44</v>
      </c>
      <c r="DD3">
        <v>45</v>
      </c>
      <c r="DE3">
        <v>46</v>
      </c>
      <c r="DF3">
        <v>47</v>
      </c>
      <c r="DG3">
        <v>48</v>
      </c>
      <c r="DH3">
        <v>49</v>
      </c>
      <c r="DI3">
        <v>50</v>
      </c>
      <c r="DJ3">
        <v>51</v>
      </c>
      <c r="DK3">
        <v>52</v>
      </c>
      <c r="DL3">
        <v>53</v>
      </c>
      <c r="DM3">
        <v>54</v>
      </c>
      <c r="DN3">
        <v>55</v>
      </c>
      <c r="DO3">
        <v>56</v>
      </c>
      <c r="DP3">
        <v>57</v>
      </c>
      <c r="DQ3">
        <v>58</v>
      </c>
      <c r="DR3">
        <v>59</v>
      </c>
      <c r="DS3">
        <v>60</v>
      </c>
      <c r="DT3">
        <v>61</v>
      </c>
      <c r="DU3">
        <v>62</v>
      </c>
      <c r="DV3">
        <v>63</v>
      </c>
      <c r="DW3">
        <v>64</v>
      </c>
      <c r="DX3">
        <v>65</v>
      </c>
      <c r="DY3">
        <v>66</v>
      </c>
      <c r="DZ3">
        <v>67</v>
      </c>
      <c r="EA3">
        <v>68</v>
      </c>
      <c r="EB3">
        <v>69</v>
      </c>
      <c r="EC3">
        <v>70</v>
      </c>
      <c r="ED3">
        <v>71</v>
      </c>
      <c r="EE3">
        <v>72</v>
      </c>
      <c r="EF3">
        <v>73</v>
      </c>
      <c r="EG3">
        <v>74</v>
      </c>
      <c r="EH3">
        <v>75</v>
      </c>
      <c r="EI3">
        <v>76</v>
      </c>
      <c r="EJ3">
        <v>77</v>
      </c>
      <c r="EK3">
        <v>78</v>
      </c>
      <c r="EL3">
        <v>79</v>
      </c>
      <c r="EM3">
        <v>80</v>
      </c>
      <c r="EN3">
        <v>81</v>
      </c>
      <c r="EO3">
        <v>82</v>
      </c>
      <c r="EP3">
        <v>83</v>
      </c>
      <c r="EQ3">
        <v>84</v>
      </c>
      <c r="ER3">
        <v>85</v>
      </c>
      <c r="ES3">
        <v>86</v>
      </c>
      <c r="ET3">
        <v>87</v>
      </c>
      <c r="EU3">
        <v>88</v>
      </c>
      <c r="EV3">
        <v>89</v>
      </c>
      <c r="EW3">
        <v>90</v>
      </c>
      <c r="EX3">
        <v>91</v>
      </c>
      <c r="EY3">
        <v>92</v>
      </c>
      <c r="EZ3">
        <v>93</v>
      </c>
      <c r="FA3">
        <v>94</v>
      </c>
      <c r="FB3">
        <v>95</v>
      </c>
      <c r="FC3">
        <v>96</v>
      </c>
      <c r="FD3">
        <v>97</v>
      </c>
      <c r="FE3">
        <v>98</v>
      </c>
      <c r="FF3">
        <v>99</v>
      </c>
      <c r="FG3">
        <v>100</v>
      </c>
      <c r="FH3">
        <v>101</v>
      </c>
      <c r="FI3">
        <v>102</v>
      </c>
    </row>
    <row r="4" spans="1:165" ht="16" x14ac:dyDescent="0.2">
      <c r="A4" t="s">
        <v>199</v>
      </c>
      <c r="B4" t="s">
        <v>141</v>
      </c>
      <c r="C4" s="46" t="s">
        <v>192</v>
      </c>
      <c r="D4" s="70" t="s">
        <v>193</v>
      </c>
      <c r="E4" s="46" t="s">
        <v>194</v>
      </c>
      <c r="F4" s="71" t="s">
        <v>195</v>
      </c>
      <c r="G4" s="46" t="s">
        <v>196</v>
      </c>
      <c r="H4" s="46" t="s">
        <v>197</v>
      </c>
      <c r="I4" s="71" t="s">
        <v>198</v>
      </c>
      <c r="J4" s="71" t="s">
        <v>200</v>
      </c>
      <c r="K4" s="71" t="s">
        <v>215</v>
      </c>
      <c r="L4" s="68" t="s">
        <v>202</v>
      </c>
      <c r="M4" s="69" t="s">
        <v>214</v>
      </c>
      <c r="N4" s="3" t="s">
        <v>143</v>
      </c>
      <c r="O4" s="3" t="s">
        <v>144</v>
      </c>
      <c r="P4" s="3" t="s">
        <v>145</v>
      </c>
      <c r="Q4" s="3" t="s">
        <v>146</v>
      </c>
      <c r="R4" s="3" t="s">
        <v>147</v>
      </c>
      <c r="S4" s="3" t="s">
        <v>148</v>
      </c>
      <c r="T4" s="3" t="s">
        <v>149</v>
      </c>
      <c r="U4" s="3" t="s">
        <v>150</v>
      </c>
      <c r="V4" s="3" t="s">
        <v>151</v>
      </c>
      <c r="W4" s="14" t="s">
        <v>152</v>
      </c>
      <c r="X4" s="12" t="s">
        <v>156</v>
      </c>
      <c r="Y4" s="12" t="s">
        <v>157</v>
      </c>
      <c r="Z4" s="12" t="s">
        <v>158</v>
      </c>
      <c r="AA4" s="12" t="s">
        <v>153</v>
      </c>
      <c r="AB4" s="12" t="s">
        <v>159</v>
      </c>
      <c r="AC4" s="12" t="s">
        <v>160</v>
      </c>
      <c r="AD4" s="12" t="s">
        <v>161</v>
      </c>
      <c r="AE4" s="44" t="s">
        <v>162</v>
      </c>
      <c r="AF4" s="32" t="s">
        <v>165</v>
      </c>
      <c r="AG4" s="32" t="s">
        <v>166</v>
      </c>
      <c r="AH4" s="32" t="s">
        <v>167</v>
      </c>
      <c r="AI4" s="32" t="s">
        <v>168</v>
      </c>
      <c r="AJ4" s="32" t="s">
        <v>169</v>
      </c>
      <c r="AK4" s="32" t="s">
        <v>170</v>
      </c>
      <c r="AL4" s="32" t="s">
        <v>171</v>
      </c>
      <c r="AM4" s="47" t="s">
        <v>172</v>
      </c>
      <c r="AN4" s="38" t="s">
        <v>175</v>
      </c>
      <c r="AO4" s="38" t="s">
        <v>176</v>
      </c>
      <c r="AP4" s="38" t="s">
        <v>177</v>
      </c>
      <c r="AQ4" s="38" t="s">
        <v>178</v>
      </c>
      <c r="AR4" s="38" t="s">
        <v>179</v>
      </c>
      <c r="AS4" s="38" t="s">
        <v>180</v>
      </c>
      <c r="AT4" s="38" t="s">
        <v>181</v>
      </c>
      <c r="AU4" s="48" t="s">
        <v>182</v>
      </c>
      <c r="AV4" s="35" t="s">
        <v>206</v>
      </c>
      <c r="AW4" s="35" t="s">
        <v>207</v>
      </c>
      <c r="AX4" s="35" t="s">
        <v>208</v>
      </c>
      <c r="AY4" s="35" t="s">
        <v>209</v>
      </c>
      <c r="AZ4" s="35" t="s">
        <v>210</v>
      </c>
      <c r="BA4" s="35" t="s">
        <v>211</v>
      </c>
      <c r="BB4" s="35" t="s">
        <v>212</v>
      </c>
      <c r="BC4" s="49" t="s">
        <v>213</v>
      </c>
      <c r="BD4" s="4" t="s">
        <v>218</v>
      </c>
      <c r="BE4" s="4" t="s">
        <v>219</v>
      </c>
      <c r="BF4" s="4" t="s">
        <v>220</v>
      </c>
      <c r="BG4" s="4" t="s">
        <v>221</v>
      </c>
      <c r="BH4" s="4" t="s">
        <v>222</v>
      </c>
      <c r="BI4" s="4" t="s">
        <v>223</v>
      </c>
      <c r="BJ4" s="4" t="s">
        <v>224</v>
      </c>
      <c r="BK4" s="4" t="s">
        <v>225</v>
      </c>
      <c r="BL4" s="4" t="s">
        <v>226</v>
      </c>
      <c r="BM4" s="15" t="s">
        <v>227</v>
      </c>
      <c r="BN4" t="s">
        <v>240</v>
      </c>
      <c r="BO4" t="s">
        <v>241</v>
      </c>
      <c r="BP4" t="s">
        <v>242</v>
      </c>
      <c r="BQ4" t="s">
        <v>243</v>
      </c>
      <c r="BR4" t="s">
        <v>244</v>
      </c>
      <c r="BS4" t="s">
        <v>245</v>
      </c>
      <c r="BT4" t="s">
        <v>246</v>
      </c>
      <c r="BU4" t="s">
        <v>247</v>
      </c>
      <c r="BV4" t="s">
        <v>248</v>
      </c>
      <c r="BW4" t="s">
        <v>249</v>
      </c>
      <c r="BX4" t="s">
        <v>250</v>
      </c>
      <c r="BY4" t="s">
        <v>251</v>
      </c>
      <c r="BZ4" t="s">
        <v>252</v>
      </c>
      <c r="CA4" t="s">
        <v>253</v>
      </c>
      <c r="CB4" t="s">
        <v>254</v>
      </c>
      <c r="CC4" t="s">
        <v>255</v>
      </c>
      <c r="CD4" t="s">
        <v>256</v>
      </c>
      <c r="CE4" t="s">
        <v>257</v>
      </c>
      <c r="CF4" t="s">
        <v>258</v>
      </c>
      <c r="CG4" t="s">
        <v>259</v>
      </c>
      <c r="CH4" t="s">
        <v>260</v>
      </c>
      <c r="CI4" t="s">
        <v>261</v>
      </c>
      <c r="CJ4" t="s">
        <v>262</v>
      </c>
      <c r="CK4" t="s">
        <v>263</v>
      </c>
      <c r="CL4" t="s">
        <v>264</v>
      </c>
      <c r="CM4" t="s">
        <v>265</v>
      </c>
      <c r="CN4" t="s">
        <v>266</v>
      </c>
      <c r="CO4" t="s">
        <v>267</v>
      </c>
      <c r="CP4" t="s">
        <v>268</v>
      </c>
      <c r="CQ4" t="s">
        <v>269</v>
      </c>
      <c r="CR4" t="s">
        <v>270</v>
      </c>
      <c r="CS4" t="s">
        <v>271</v>
      </c>
      <c r="CT4" t="s">
        <v>272</v>
      </c>
      <c r="CU4" t="s">
        <v>273</v>
      </c>
      <c r="CV4" t="s">
        <v>274</v>
      </c>
      <c r="CW4" t="s">
        <v>275</v>
      </c>
      <c r="CX4" t="s">
        <v>276</v>
      </c>
      <c r="CY4" t="s">
        <v>277</v>
      </c>
      <c r="CZ4" t="s">
        <v>278</v>
      </c>
      <c r="DA4" t="s">
        <v>279</v>
      </c>
      <c r="DB4" t="s">
        <v>280</v>
      </c>
      <c r="DC4" t="s">
        <v>281</v>
      </c>
      <c r="DD4" t="s">
        <v>282</v>
      </c>
      <c r="DE4" t="s">
        <v>283</v>
      </c>
      <c r="DF4" t="s">
        <v>284</v>
      </c>
      <c r="DG4" t="s">
        <v>285</v>
      </c>
      <c r="DH4" t="s">
        <v>286</v>
      </c>
      <c r="DI4" t="s">
        <v>287</v>
      </c>
      <c r="DJ4" t="s">
        <v>288</v>
      </c>
      <c r="DK4" t="s">
        <v>289</v>
      </c>
      <c r="DL4" t="s">
        <v>290</v>
      </c>
      <c r="DM4" t="s">
        <v>291</v>
      </c>
      <c r="DN4" t="s">
        <v>292</v>
      </c>
      <c r="DO4" t="s">
        <v>293</v>
      </c>
      <c r="DP4" t="s">
        <v>294</v>
      </c>
      <c r="DQ4" t="s">
        <v>295</v>
      </c>
      <c r="DR4" t="s">
        <v>296</v>
      </c>
      <c r="DS4" t="s">
        <v>297</v>
      </c>
      <c r="DT4" t="s">
        <v>298</v>
      </c>
      <c r="DU4" t="s">
        <v>299</v>
      </c>
      <c r="DV4" t="s">
        <v>300</v>
      </c>
      <c r="DW4" t="s">
        <v>301</v>
      </c>
      <c r="DX4" t="s">
        <v>302</v>
      </c>
      <c r="DY4" t="s">
        <v>303</v>
      </c>
      <c r="DZ4" t="s">
        <v>304</v>
      </c>
      <c r="EA4" t="s">
        <v>305</v>
      </c>
      <c r="EB4" t="s">
        <v>306</v>
      </c>
      <c r="EC4" t="s">
        <v>307</v>
      </c>
      <c r="ED4" t="s">
        <v>308</v>
      </c>
      <c r="EE4" t="s">
        <v>309</v>
      </c>
      <c r="EF4" t="s">
        <v>310</v>
      </c>
      <c r="EG4" t="s">
        <v>311</v>
      </c>
      <c r="EH4" t="s">
        <v>312</v>
      </c>
      <c r="EI4" t="s">
        <v>313</v>
      </c>
      <c r="EJ4" t="s">
        <v>314</v>
      </c>
      <c r="EK4" t="s">
        <v>315</v>
      </c>
      <c r="EL4" t="s">
        <v>316</v>
      </c>
      <c r="EM4" t="s">
        <v>317</v>
      </c>
      <c r="EN4" t="s">
        <v>318</v>
      </c>
      <c r="EO4" t="s">
        <v>319</v>
      </c>
      <c r="EP4" t="s">
        <v>320</v>
      </c>
      <c r="EQ4" t="s">
        <v>321</v>
      </c>
      <c r="ER4" t="s">
        <v>322</v>
      </c>
      <c r="ES4" t="s">
        <v>323</v>
      </c>
      <c r="ET4" t="s">
        <v>324</v>
      </c>
      <c r="EU4" t="s">
        <v>325</v>
      </c>
      <c r="EV4" t="s">
        <v>326</v>
      </c>
      <c r="EW4" t="s">
        <v>327</v>
      </c>
      <c r="EX4" t="s">
        <v>328</v>
      </c>
      <c r="EY4" t="s">
        <v>329</v>
      </c>
      <c r="EZ4" t="s">
        <v>330</v>
      </c>
      <c r="FA4" t="s">
        <v>331</v>
      </c>
      <c r="FB4" t="s">
        <v>332</v>
      </c>
      <c r="FC4" t="s">
        <v>333</v>
      </c>
      <c r="FD4" t="s">
        <v>334</v>
      </c>
      <c r="FE4" t="s">
        <v>335</v>
      </c>
      <c r="FF4" t="s">
        <v>336</v>
      </c>
      <c r="FG4" t="s">
        <v>337</v>
      </c>
      <c r="FH4" t="s">
        <v>338</v>
      </c>
      <c r="FI4" t="s">
        <v>339</v>
      </c>
    </row>
    <row r="5" spans="1:165" x14ac:dyDescent="0.2">
      <c r="A5" s="58" t="s">
        <v>233</v>
      </c>
      <c r="B5" s="59"/>
      <c r="C5" s="72"/>
      <c r="D5" s="60"/>
      <c r="E5" s="61"/>
      <c r="F5" s="62"/>
      <c r="G5" s="61"/>
      <c r="H5" s="63">
        <f>IF(E5="Y", F5 - 4/24, F5 - 3/24) * 24</f>
        <v>-3</v>
      </c>
      <c r="I5" s="63">
        <f>IF(E5="Y", G5 - 4/24, G5 - 3/24) * 24</f>
        <v>-3</v>
      </c>
      <c r="J5" s="63" cm="1">
        <f t="array" aca="1" ref="J5" ca="1">IF(ISBLANK(CellData26[[#This Row],[SheetName]]), "Enter Sheet", INDIRECT(CellData26[[#This Row],[SheetName]]&amp;"!"&amp;CellData26[[#Headers],[SpontLength_min]]))</f>
        <v>74</v>
      </c>
      <c r="K5" s="73"/>
      <c r="L5" s="64" cm="1">
        <f t="array" aca="1" ref="L5" ca="1">IF(ISBLANK($A5),"Enter Sheet",IF(ISNUMBER(INDIRECT($A5&amp;"!"&amp;L$4)),INDIRECT($A5&amp;"!"&amp;L$4),"NA"))</f>
        <v>0.89076576576576549</v>
      </c>
      <c r="M5" s="67" t="str" cm="1">
        <f t="array" aca="1" ref="M5" ca="1">IF(ISBLANK($A5), "Enter Sheet", IF(INDIRECT($A5&amp;"!Senktide_Analysis"), IF(ISNUMBER(INDIRECT($A5&amp;"!"&amp;M$4)), INDIRECT($A5&amp;"!"&amp;M$4), "NA"), "NA"))</f>
        <v>NA</v>
      </c>
      <c r="N5" s="57" cm="1">
        <f t="array" aca="1" ref="N5" ca="1">IF(ISBLANK($A5), "Enter Sheet", IF($L5 &gt; minFiringRate, IF(AND(ISNUMBER(INDIRECT($A5&amp;"!"&amp;$V$4)), 0 &lt; INDIRECT($A5&amp;"!"&amp;$V$4)), INDIRECT($A5&amp;"!"&amp;N$4), "NA"), "NA"))</f>
        <v>0.39897000999999999</v>
      </c>
      <c r="O5" s="57" cm="1">
        <f t="array" aca="1" ref="O5" ca="1">IF(ISBLANK($A5), "Enter Sheet", IF($L5 &gt; minFiringRate, IF(AND(ISNUMBER(INDIRECT($A5&amp;"!"&amp;$V$4)), 0 &lt; INDIRECT($A5&amp;"!"&amp;$V$4)), INDIRECT($A5&amp;"!"&amp;O$4), "NA"), "NA"))</f>
        <v>3.1436999000000001</v>
      </c>
      <c r="P5" s="57" cm="1">
        <f t="array" aca="1" ref="P5" ca="1">IF(ISBLANK($A5), "Enter Sheet", IF($L5 &gt; minFiringRate, IF(AND(ISNUMBER(INDIRECT($A5&amp;"!"&amp;$V$4)), 0 &lt; INDIRECT($A5&amp;"!"&amp;$V$4)), INDIRECT($A5&amp;"!"&amp;P$4), "NA"), "NA"))</f>
        <v>0.17832999999999999</v>
      </c>
      <c r="Q5" s="57" cm="1">
        <f t="array" aca="1" ref="Q5" ca="1">IF(ISBLANK($A5), "Enter Sheet", IF($L5 &gt; minFiringRate, IF(AND(ISNUMBER(INDIRECT($A5&amp;"!"&amp;$V$4)), 0 &lt; INDIRECT($A5&amp;"!"&amp;$V$4)), INDIRECT($A5&amp;"!"&amp;Q$4), "NA"), "NA"))</f>
        <v>1264</v>
      </c>
      <c r="R5" s="57" cm="1">
        <f t="array" aca="1" ref="R5" ca="1">IF(ISBLANK($A5), "Enter Sheet", IF($L5 &gt; minFiringRate, IF(AND(ISNUMBER(INDIRECT($A5&amp;"!"&amp;$V$4)), 0 &lt; INDIRECT($A5&amp;"!"&amp;$V$4)), INDIRECT($A5&amp;"!"&amp;R$4), "NA"), "NA"))</f>
        <v>0.26333001</v>
      </c>
      <c r="S5" s="57" cm="1">
        <f t="array" aca="1" ref="S5" ca="1">IF(ISBLANK($A5), "Enter Sheet", IF($L5 &gt; minFiringRate, IF(AND(ISNUMBER(INDIRECT($A5&amp;"!"&amp;$V$4)), 0 &lt; INDIRECT($A5&amp;"!"&amp;$V$4)), INDIRECT($A5&amp;"!"&amp;S$4), "NA"), "NA"))</f>
        <v>0.82393998000000002</v>
      </c>
      <c r="T5" s="57" cm="1">
        <f t="array" aca="1" ref="T5" ca="1">IF(ISBLANK($A5), "Enter Sheet", IF($L5 &gt; minFiringRate, IF(AND(ISNUMBER(INDIRECT($A5&amp;"!"&amp;$V$4)), 0 &lt; INDIRECT($A5&amp;"!"&amp;$V$4)), INDIRECT($A5&amp;"!"&amp;T$4), "NA"), "NA"))</f>
        <v>1.9072</v>
      </c>
      <c r="U5" s="57" cm="1">
        <f t="array" aca="1" ref="U5" ca="1">IF(ISBLANK($A5), "Enter Sheet", IF($L5 &gt; minFiringRate, IF(AND(ISNUMBER(INDIRECT($A5&amp;"!"&amp;$V$4)), 0 &lt; INDIRECT($A5&amp;"!"&amp;$V$4)), INDIRECT($A5&amp;"!"&amp;U$4), "NA"), "NA"))</f>
        <v>0.18612000000000001</v>
      </c>
      <c r="V5" s="57" cm="1">
        <f t="array" aca="1" ref="V5" ca="1">IF(ISBLANK($A5), "Enter Sheet", IF($L5 &gt; minFiringRate, IF(AND(ISNUMBER(INDIRECT($A5&amp;"!"&amp;$V$4)), 0 &lt; INDIRECT($A5&amp;"!"&amp;$V$4)), INDIRECT($A5&amp;"!"&amp;V$4), "NA"), "NA"))</f>
        <v>694.05405405405406</v>
      </c>
      <c r="W5" s="57" cm="1">
        <f t="array" aca="1" ref="W5" ca="1">IF(ISBLANK($A5), "Enter Sheet", IF($L5 &gt; minFiringRate, IF(ISNUMBER(INDIRECT($A5&amp;"!"&amp;W$4)), INDIRECT($A5&amp;"!"&amp;W$4), "NA"), "NA"))</f>
        <v>0.4</v>
      </c>
      <c r="X5" s="65" cm="1">
        <f t="array" aca="1" ref="X5" ca="1">IF(ISBLANK($A5), "Enter Sheet", IF($L5 &gt; minFiringRate, IF(ISNUMBER(INDIRECT($A5&amp;"!"&amp;X$4)), INDIRECT($A5&amp;"!"&amp;X$4), "NA"), "NA"))</f>
        <v>6</v>
      </c>
      <c r="Y5" s="65" cm="1">
        <f t="array" aca="1" ref="Y5" ca="1">IF(ISBLANK($A5), "Enter Sheet", IF($L5 &gt; minFiringRate, IF(ISNUMBER(INDIRECT($A5&amp;"!"&amp;Y$4)), INDIRECT($A5&amp;"!"&amp;Y$4), "NA"), "NA"))</f>
        <v>7</v>
      </c>
      <c r="Z5" s="65" cm="1">
        <f t="array" aca="1" ref="Z5" ca="1">IF(ISBLANK($A5), "Enter Sheet", IF($L5 &gt; minFiringRate, IF(ISNUMBER(INDIRECT($A5&amp;"!"&amp;Z$4)), INDIRECT($A5&amp;"!"&amp;Z$4), "NA"), "NA"))</f>
        <v>8</v>
      </c>
      <c r="AA5" s="65" cm="1">
        <f t="array" aca="1" ref="AA5" ca="1">IF(ISBLANK($A5), "Enter Sheet", IF($L5 &gt; minFiringRate, IF(ISNUMBER(INDIRECT($A5&amp;"!"&amp;AA$4)), INDIRECT($A5&amp;"!"&amp;AA$4), "NA"), "NA"))</f>
        <v>48</v>
      </c>
      <c r="AB5" s="65" cm="1">
        <f t="array" aca="1" ref="AB5" ca="1">IF(ISBLANK($A5), "Enter Sheet", IF($L5 &gt; minFiringRate, IF(ISNUMBER(INDIRECT($A5&amp;"!"&amp;AB$4)), INDIRECT($A5&amp;"!"&amp;AB$4), "NA"), "NA"))</f>
        <v>3.7142857142857144</v>
      </c>
      <c r="AC5" s="65" cm="1">
        <f t="array" aca="1" ref="AC5" ca="1">IF(ISBLANK($A5), "Enter Sheet", IF($L5 &gt; minFiringRate, IF(ISNUMBER(INDIRECT($A5&amp;"!"&amp;AC$4)), INDIRECT($A5&amp;"!"&amp;AC$4), "NA"), "NA"))</f>
        <v>26</v>
      </c>
      <c r="AD5" s="65" cm="1">
        <f t="array" aca="1" ref="AD5" ca="1">IF(ISBLANK($A5), "Enter Sheet", IF($L5 &gt; minFiringRate, IF(ISNUMBER(INDIRECT($A5&amp;"!"&amp;AD$4)), INDIRECT($A5&amp;"!"&amp;AD$4), "NA"), "NA"))</f>
        <v>1.1481481481481481</v>
      </c>
      <c r="AE5" s="65" cm="1">
        <f t="array" aca="1" ref="AE5" ca="1">IF(ISBLANK($A5), "Enter Sheet", IF($L5 &gt; minFiringRate, IF(ISNUMBER(INDIRECT($A5&amp;"!"&amp;AE$4)), INDIRECT($A5&amp;"!"&amp;AE$4), "NA"), "NA"))</f>
        <v>0.44107142857142856</v>
      </c>
      <c r="AF5" s="64" cm="1">
        <f t="array" aca="1" ref="AF5" ca="1">IF(ISBLANK($A5), "Enter Sheet", IF($L5 &gt; minFiringRate, IF(ISNUMBER(INDIRECT($A5&amp;"!"&amp;AF$4)), INDIRECT($A5&amp;"!"&amp;AF$4), "NA"), "NA"))</f>
        <v>3</v>
      </c>
      <c r="AG5" s="64" cm="1">
        <f t="array" aca="1" ref="AG5" ca="1">IF(ISBLANK($A5), "Enter Sheet", IF($L5 &gt; minFiringRate, IF(ISNUMBER(INDIRECT($A5&amp;"!"&amp;AG$4)), INDIRECT($A5&amp;"!"&amp;AG$4), "NA"), "NA"))</f>
        <v>3</v>
      </c>
      <c r="AH5" s="64" cm="1">
        <f t="array" aca="1" ref="AH5" ca="1">IF(ISBLANK($A5), "Enter Sheet", IF($L5 &gt; minFiringRate, IF(ISNUMBER(INDIRECT($A5&amp;"!"&amp;AH$4)), INDIRECT($A5&amp;"!"&amp;AH$4), "NA"), "NA"))</f>
        <v>19.333333333333332</v>
      </c>
      <c r="AI5" s="64" cm="1">
        <f t="array" aca="1" ref="AI5" ca="1">IF(ISBLANK($A5), "Enter Sheet", IF($L5 &gt; minFiringRate, IF(ISNUMBER(INDIRECT($A5&amp;"!"&amp;AI$4)), INDIRECT($A5&amp;"!"&amp;AI$4), "NA"), "NA"))</f>
        <v>58</v>
      </c>
      <c r="AJ5" s="64" cm="1">
        <f t="array" aca="1" ref="AJ5" ca="1">IF(ISBLANK($A5), "Enter Sheet", IF($L5 &gt; minFiringRate, IF(ISNUMBER(INDIRECT($A5&amp;"!"&amp;AJ$4)), INDIRECT($A5&amp;"!"&amp;AJ$4), "NA"), "NA"))</f>
        <v>5.333333333333333</v>
      </c>
      <c r="AK5" s="64" cm="1">
        <f t="array" aca="1" ref="AK5" ca="1">IF(ISBLANK($A5), "Enter Sheet", IF($L5 &gt; minFiringRate, IF(ISNUMBER(INDIRECT($A5&amp;"!"&amp;AK$4)), INDIRECT($A5&amp;"!"&amp;AK$4), "NA"), "NA"))</f>
        <v>16</v>
      </c>
      <c r="AL5" s="64" cm="1">
        <f t="array" aca="1" ref="AL5" ca="1">IF(ISBLANK($A5), "Enter Sheet", IF($L5 &gt; minFiringRate, IF(ISNUMBER(INDIRECT($A5&amp;"!"&amp;AL$4)), INDIRECT($A5&amp;"!"&amp;AL$4), "NA"), "NA"))</f>
        <v>0.98819444444444438</v>
      </c>
      <c r="AM5" s="64" cm="1">
        <f t="array" aca="1" ref="AM5" ca="1">IF(ISBLANK($A5), "Enter Sheet", IF($L5 &gt; minFiringRate, IF(ISNUMBER(INDIRECT($A5&amp;"!"&amp;AM$4)), INDIRECT($A5&amp;"!"&amp;AM$4), "NA"), "NA"))</f>
        <v>0.56851851851851853</v>
      </c>
      <c r="AN5" s="66" cm="1">
        <f t="array" aca="1" ref="AN5" ca="1">IF(ISBLANK($A5), "Enter Sheet", IF($L5 &gt; minFiringRate, IF(ISNUMBER(INDIRECT($A5&amp;"!"&amp;AN$4)), INDIRECT($A5&amp;"!"&amp;AN$4), "NA"), "NA"))</f>
        <v>6</v>
      </c>
      <c r="AO5" s="66" cm="1">
        <f t="array" aca="1" ref="AO5" ca="1">IF(ISBLANK($A5), "Enter Sheet", IF($L5 &gt; minFiringRate, IF(ISNUMBER(INDIRECT($A5&amp;"!"&amp;AO$4)), INDIRECT($A5&amp;"!"&amp;AO$4), "NA"), "NA"))</f>
        <v>7</v>
      </c>
      <c r="AP5" s="66" cm="1">
        <f t="array" aca="1" ref="AP5" ca="1">IF(ISBLANK($A5), "Enter Sheet", IF($L5 &gt; minFiringRate, IF(ISNUMBER(INDIRECT($A5&amp;"!"&amp;AP$4)), INDIRECT($A5&amp;"!"&amp;AP$4), "NA"), "NA"))</f>
        <v>8</v>
      </c>
      <c r="AQ5" s="66" cm="1">
        <f t="array" aca="1" ref="AQ5" ca="1">IF(ISBLANK($A5), "Enter Sheet", IF($L5 &gt; minFiringRate, IF(ISNUMBER(INDIRECT($A5&amp;"!"&amp;AQ$4)), INDIRECT($A5&amp;"!"&amp;AQ$4), "NA"), "NA"))</f>
        <v>48</v>
      </c>
      <c r="AR5" s="66" cm="1">
        <f t="array" aca="1" ref="AR5" ca="1">IF(ISBLANK($A5), "Enter Sheet", IF($L5 &gt; minFiringRate, IF(ISNUMBER(INDIRECT($A5&amp;"!"&amp;AR$4)), INDIRECT($A5&amp;"!"&amp;AR$4), "NA"), "NA"))</f>
        <v>3.7142857142857144</v>
      </c>
      <c r="AS5" s="66" cm="1">
        <f t="array" aca="1" ref="AS5" ca="1">IF(ISBLANK($A5), "Enter Sheet", IF($L5 &gt; minFiringRate, IF(ISNUMBER(INDIRECT($A5&amp;"!"&amp;AS$4)), INDIRECT($A5&amp;"!"&amp;AS$4), "NA"), "NA"))</f>
        <v>26</v>
      </c>
      <c r="AT5" s="66" cm="1">
        <f t="array" aca="1" ref="AT5" ca="1">IF(ISBLANK($A5), "Enter Sheet", IF($L5 &gt; minFiringRate, IF(ISNUMBER(INDIRECT($A5&amp;"!"&amp;AT$4)), INDIRECT($A5&amp;"!"&amp;AT$4), "NA"), "NA"))</f>
        <v>1.1481481481481481</v>
      </c>
      <c r="AU5" s="66" cm="1">
        <f t="array" aca="1" ref="AU5" ca="1">IF(ISBLANK($A5), "Enter Sheet", IF($L5 &gt; minFiringRate, IF(ISNUMBER(INDIRECT($A5&amp;"!"&amp;AU$4)), INDIRECT($A5&amp;"!"&amp;AU$4), "NA"), "NA"))</f>
        <v>0.44107142857142856</v>
      </c>
      <c r="AV5" s="63" cm="1">
        <f t="array" aca="1" ref="AV5" ca="1">IF(ISBLANK($A5), "Enter Sheet", IF($L5 &gt; minFiringRate, IF(ISNUMBER(INDIRECT($A5&amp;"!"&amp;AV$4)), INDIRECT($A5&amp;"!"&amp;AV$4), "NA"), "NA"))</f>
        <v>3</v>
      </c>
      <c r="AW5" s="63" cm="1">
        <f t="array" aca="1" ref="AW5" ca="1">IF(ISBLANK($A5), "Enter Sheet", IF($L5 &gt; minFiringRate, IF(ISNUMBER(INDIRECT($A5&amp;"!"&amp;AW$4)), INDIRECT($A5&amp;"!"&amp;AW$4), "NA"), "NA"))</f>
        <v>4</v>
      </c>
      <c r="AX5" s="63" cm="1">
        <f t="array" aca="1" ref="AX5" ca="1">IF(ISBLANK($A5), "Enter Sheet", IF($L5 &gt; minFiringRate, IF(ISNUMBER(INDIRECT($A5&amp;"!"&amp;AX$4)), INDIRECT($A5&amp;"!"&amp;AX$4), "NA"), "NA"))</f>
        <v>19.333333333333332</v>
      </c>
      <c r="AY5" s="63" cm="1">
        <f t="array" aca="1" ref="AY5" ca="1">IF(ISBLANK($A5), "Enter Sheet", IF($L5 &gt; minFiringRate, IF(ISNUMBER(INDIRECT($A5&amp;"!"&amp;AY$4)), INDIRECT($A5&amp;"!"&amp;AY$4), "NA"), "NA"))</f>
        <v>58</v>
      </c>
      <c r="AZ5" s="63" cm="1">
        <f t="array" aca="1" ref="AZ5" ca="1">IF(ISBLANK($A5), "Enter Sheet", IF($L5 &gt; minFiringRate, IF(ISNUMBER(INDIRECT($A5&amp;"!"&amp;AZ$4)), INDIRECT($A5&amp;"!"&amp;AZ$4), "NA"), "NA"))</f>
        <v>4</v>
      </c>
      <c r="BA5" s="63" cm="1">
        <f t="array" aca="1" ref="BA5" ca="1">IF(ISBLANK($A5), "Enter Sheet", IF($L5 &gt; minFiringRate, IF(ISNUMBER(INDIRECT($A5&amp;"!"&amp;BA$4)), INDIRECT($A5&amp;"!"&amp;BA$4), "NA"), "NA"))</f>
        <v>16</v>
      </c>
      <c r="BB5" s="63" cm="1">
        <f t="array" aca="1" ref="BB5" ca="1">IF(ISBLANK($A5), "Enter Sheet", IF($L5 &gt; minFiringRate, IF(ISNUMBER(INDIRECT($A5&amp;"!"&amp;BB$4)), INDIRECT($A5&amp;"!"&amp;BB$4), "NA"), "NA"))</f>
        <v>0.98191137566137565</v>
      </c>
      <c r="BC5" s="63" cm="1">
        <f t="array" aca="1" ref="BC5" ca="1">IF(ISBLANK($A5), "Enter Sheet", IF($L5 &gt; minFiringRate, IF(ISNUMBER(INDIRECT($A5&amp;"!"&amp;BC$4)), INDIRECT($A5&amp;"!"&amp;BC$4), "NA"), "NA"))</f>
        <v>0.46076388888888892</v>
      </c>
      <c r="BD5" s="67" t="str" cm="1">
        <f t="array" aca="1" ref="BD5" ca="1">IF(ISBLANK($A5), "Enter Sheet", IF(INDIRECT($A5&amp;"!Senktide_Analysis"), IF($M5 &gt; minFiringRate, IF(ISNUMBER(INDIRECT($A5&amp;"!"&amp;BD$4)), INDIRECT($A5&amp;"!"&amp;BD$4), "NA"), "NA"), "NA"))</f>
        <v>NA</v>
      </c>
      <c r="BE5" s="67" t="str" cm="1">
        <f t="array" aca="1" ref="BE5" ca="1">IF(ISBLANK($A5), "Enter Sheet", IF(INDIRECT($A5&amp;"!Senktide_Analysis"), IF($M5 &gt; minFiringRate, IF(ISNUMBER(INDIRECT($A5&amp;"!"&amp;BE$4)), INDIRECT($A5&amp;"!"&amp;BE$4), "NA"), "NA"), "NA"))</f>
        <v>NA</v>
      </c>
      <c r="BF5" s="67" t="str" cm="1">
        <f t="array" aca="1" ref="BF5" ca="1">IF(ISBLANK($A5), "Enter Sheet", IF(INDIRECT($A5&amp;"!Senktide_Analysis"), IF($M5 &gt; minFiringRate, IF(ISNUMBER(INDIRECT($A5&amp;"!"&amp;BF$4)), INDIRECT($A5&amp;"!"&amp;BF$4), "NA"), "NA"), "NA"))</f>
        <v>NA</v>
      </c>
      <c r="BG5" s="67" t="str" cm="1">
        <f t="array" aca="1" ref="BG5" ca="1">IF(ISBLANK($A5), "Enter Sheet", IF(INDIRECT($A5&amp;"!Senktide_Analysis"), IF($M5 &gt; minFiringRate, IF(ISNUMBER(INDIRECT($A5&amp;"!"&amp;BG$4)), INDIRECT($A5&amp;"!"&amp;BG$4), "NA"), "NA"), "NA"))</f>
        <v>NA</v>
      </c>
      <c r="BH5" s="67" t="str" cm="1">
        <f t="array" aca="1" ref="BH5" ca="1">IF(ISBLANK($A5), "Enter Sheet", IF(INDIRECT($A5&amp;"!Senktide_Analysis"), IF($M5 &gt; minFiringRate, IF(ISNUMBER(INDIRECT($A5&amp;"!"&amp;BH$4)), INDIRECT($A5&amp;"!"&amp;BH$4), "NA"), "NA"), "NA"))</f>
        <v>NA</v>
      </c>
      <c r="BI5" s="67" t="str" cm="1">
        <f t="array" aca="1" ref="BI5" ca="1">IF(ISBLANK($A5), "Enter Sheet", IF(INDIRECT($A5&amp;"!Senktide_Analysis"), IF($M5 &gt; minFiringRate, IF(ISNUMBER(INDIRECT($A5&amp;"!"&amp;BI$4)), INDIRECT($A5&amp;"!"&amp;BI$4), "NA"), "NA"), "NA"))</f>
        <v>NA</v>
      </c>
      <c r="BJ5" s="67" t="str" cm="1">
        <f t="array" aca="1" ref="BJ5" ca="1">IF(ISBLANK($A5), "Enter Sheet", IF(INDIRECT($A5&amp;"!Senktide_Analysis"), IF($M5 &gt; minFiringRate, IF(ISNUMBER(INDIRECT($A5&amp;"!"&amp;BJ$4)), INDIRECT($A5&amp;"!"&amp;BJ$4), "NA"), "NA"), "NA"))</f>
        <v>NA</v>
      </c>
      <c r="BK5" s="67" t="str" cm="1">
        <f t="array" aca="1" ref="BK5" ca="1">IF(ISBLANK($A5), "Enter Sheet", IF(INDIRECT($A5&amp;"!Senktide_Analysis"), IF($M5 &gt; minFiringRate, IF(ISNUMBER(INDIRECT($A5&amp;"!"&amp;BK$4)), INDIRECT($A5&amp;"!"&amp;BK$4), "NA"), "NA"), "NA"))</f>
        <v>NA</v>
      </c>
      <c r="BL5" s="67" t="str" cm="1">
        <f t="array" aca="1" ref="BL5" ca="1">IF(ISBLANK($A5), "Enter Sheet", IF(INDIRECT($A5&amp;"!Senktide_Analysis"), IF($M5 &gt; minFiringRate, IF(ISNUMBER(INDIRECT($A5&amp;"!"&amp;BL$4)), INDIRECT($A5&amp;"!"&amp;BL$4), "NA"), "NA"), "NA"))</f>
        <v>NA</v>
      </c>
      <c r="BM5" s="67" t="str" cm="1">
        <f t="array" aca="1" ref="BM5" ca="1">IF(ISBLANK($A5), "Enter Sheet", IF(INDIRECT($A5&amp;"!Senktide_Analysis"), IF($M5 &gt; minFiringRate, IF(ISNUMBER(INDIRECT($A5&amp;"!"&amp;BM$4)), INDIRECT($A5&amp;"!"&amp;BM$4), "NA"), "NA"), "NA"))</f>
        <v>NA</v>
      </c>
      <c r="BN5" s="139" cm="1">
        <f t="array" aca="1" ref="BN5" ca="1">IF(ISBLANK($A5), "Enter Sheet", IF($L5 &gt; minFiringRate, IF(SUM(INDIRECT($A5 &amp; "!AL3:AL102")) &gt; 0, INDIRECT($A5&amp;"!AL"&amp;BN$3), "NA"), "NA"))</f>
        <v>0</v>
      </c>
      <c r="BO5" s="139" cm="1">
        <f t="array" aca="1" ref="BO5" ca="1">IF(ISBLANK($A5), "Enter Sheet", IF($L5 &gt; minFiringRate, IF(SUM(INDIRECT($A5 &amp; "!AL3:AL102")) &gt; 0, INDIRECT($A5&amp;"!AL"&amp;BO$3), "NA"), "NA"))</f>
        <v>1.6216216216216217</v>
      </c>
      <c r="BP5" s="139" cm="1">
        <f t="array" aca="1" ref="BP5" ca="1">IF(ISBLANK($A5), "Enter Sheet", IF($L5 &gt; minFiringRate, IF(SUM(INDIRECT($A5 &amp; "!AL3:AL102")) &gt; 0, INDIRECT($A5&amp;"!AL"&amp;BP$3), "NA"), "NA"))</f>
        <v>4.0540540540540544</v>
      </c>
      <c r="BQ5" s="139" cm="1">
        <f t="array" aca="1" ref="BQ5" ca="1">IF(ISBLANK($A5), "Enter Sheet", IF($L5 &gt; minFiringRate, IF(SUM(INDIRECT($A5 &amp; "!AL3:AL102")) &gt; 0, INDIRECT($A5&amp;"!AL"&amp;BQ$3), "NA"), "NA"))</f>
        <v>20.27027027027027</v>
      </c>
      <c r="BR5" s="139" cm="1">
        <f t="array" aca="1" ref="BR5" ca="1">IF(ISBLANK($A5), "Enter Sheet", IF($L5 &gt; minFiringRate, IF(SUM(INDIRECT($A5 &amp; "!AL3:AL102")) &gt; 0, INDIRECT($A5&amp;"!AL"&amp;BR$3), "NA"), "NA"))</f>
        <v>42.972972972972975</v>
      </c>
      <c r="BS5" s="139" cm="1">
        <f t="array" aca="1" ref="BS5" ca="1">IF(ISBLANK($A5), "Enter Sheet", IF($L5 &gt; minFiringRate, IF(SUM(INDIRECT($A5 &amp; "!AL3:AL102")) &gt; 0, INDIRECT($A5&amp;"!AL"&amp;BS$3), "NA"), "NA"))</f>
        <v>74.594594594594597</v>
      </c>
      <c r="BT5" s="139" cm="1">
        <f t="array" aca="1" ref="BT5" ca="1">IF(ISBLANK($A5), "Enter Sheet", IF($L5 &gt; minFiringRate, IF(SUM(INDIRECT($A5 &amp; "!AL3:AL102")) &gt; 0, INDIRECT($A5&amp;"!AL"&amp;BT$3), "NA"), "NA"))</f>
        <v>124.86486486486487</v>
      </c>
      <c r="BU5" s="139" cm="1">
        <f t="array" aca="1" ref="BU5" ca="1">IF(ISBLANK($A5), "Enter Sheet", IF($L5 &gt; minFiringRate, IF(SUM(INDIRECT($A5 &amp; "!AL3:AL102")) &gt; 0, INDIRECT($A5&amp;"!AL"&amp;BU$3), "NA"), "NA"))</f>
        <v>171.08108108108107</v>
      </c>
      <c r="BV5" s="139" cm="1">
        <f t="array" aca="1" ref="BV5" ca="1">IF(ISBLANK($A5), "Enter Sheet", IF($L5 &gt; minFiringRate, IF(SUM(INDIRECT($A5 &amp; "!AL3:AL102")) &gt; 0, INDIRECT($A5&amp;"!AL"&amp;BV$3), "NA"), "NA"))</f>
        <v>221.35135135135135</v>
      </c>
      <c r="BW5" s="139" cm="1">
        <f t="array" aca="1" ref="BW5" ca="1">IF(ISBLANK($A5), "Enter Sheet", IF($L5 &gt; minFiringRate, IF(SUM(INDIRECT($A5 &amp; "!AL3:AL102")) &gt; 0, INDIRECT($A5&amp;"!AL"&amp;BW$3), "NA"), "NA"))</f>
        <v>255.40540540540542</v>
      </c>
      <c r="BX5" s="139" cm="1">
        <f t="array" aca="1" ref="BX5" ca="1">IF(ISBLANK($A5), "Enter Sheet", IF($L5 &gt; minFiringRate, IF(SUM(INDIRECT($A5 &amp; "!AL3:AL102")) &gt; 0, INDIRECT($A5&amp;"!AL"&amp;BX$3), "NA"), "NA"))</f>
        <v>305.67567567567568</v>
      </c>
      <c r="BY5" s="139" cm="1">
        <f t="array" aca="1" ref="BY5" ca="1">IF(ISBLANK($A5), "Enter Sheet", IF($L5 &gt; minFiringRate, IF(SUM(INDIRECT($A5 &amp; "!AL3:AL102")) &gt; 0, INDIRECT($A5&amp;"!AL"&amp;BY$3), "NA"), "NA"))</f>
        <v>338.10810810810813</v>
      </c>
      <c r="BZ5" s="139" cm="1">
        <f t="array" aca="1" ref="BZ5" ca="1">IF(ISBLANK($A5), "Enter Sheet", IF($L5 &gt; minFiringRate, IF(SUM(INDIRECT($A5 &amp; "!AL3:AL102")) &gt; 0, INDIRECT($A5&amp;"!AL"&amp;BZ$3), "NA"), "NA"))</f>
        <v>371.35135135135135</v>
      </c>
      <c r="CA5" s="139" cm="1">
        <f t="array" aca="1" ref="CA5" ca="1">IF(ISBLANK($A5), "Enter Sheet", IF($L5 &gt; minFiringRate, IF(SUM(INDIRECT($A5 &amp; "!AL3:AL102")) &gt; 0, INDIRECT($A5&amp;"!AL"&amp;CA$3), "NA"), "NA"))</f>
        <v>403.7837837837838</v>
      </c>
      <c r="CB5" s="139" cm="1">
        <f t="array" aca="1" ref="CB5" ca="1">IF(ISBLANK($A5), "Enter Sheet", IF($L5 &gt; minFiringRate, IF(SUM(INDIRECT($A5 &amp; "!AL3:AL102")) &gt; 0, INDIRECT($A5&amp;"!AL"&amp;CB$3), "NA"), "NA"))</f>
        <v>434.59459459459458</v>
      </c>
      <c r="CC5" s="139" cm="1">
        <f t="array" aca="1" ref="CC5" ca="1">IF(ISBLANK($A5), "Enter Sheet", IF($L5 &gt; minFiringRate, IF(SUM(INDIRECT($A5 &amp; "!AL3:AL102")) &gt; 0, INDIRECT($A5&amp;"!AL"&amp;CC$3), "NA"), "NA"))</f>
        <v>462.97297297297297</v>
      </c>
      <c r="CD5" s="139" cm="1">
        <f t="array" aca="1" ref="CD5" ca="1">IF(ISBLANK($A5), "Enter Sheet", IF($L5 &gt; minFiringRate, IF(SUM(INDIRECT($A5 &amp; "!AL3:AL102")) &gt; 0, INDIRECT($A5&amp;"!AL"&amp;CD$3), "NA"), "NA"))</f>
        <v>486.48648648648651</v>
      </c>
      <c r="CE5" s="139" cm="1">
        <f t="array" aca="1" ref="CE5" ca="1">IF(ISBLANK($A5), "Enter Sheet", IF($L5 &gt; minFiringRate, IF(SUM(INDIRECT($A5 &amp; "!AL3:AL102")) &gt; 0, INDIRECT($A5&amp;"!AL"&amp;CE$3), "NA"), "NA"))</f>
        <v>505.94594594594588</v>
      </c>
      <c r="CF5" s="139" cm="1">
        <f t="array" aca="1" ref="CF5" ca="1">IF(ISBLANK($A5), "Enter Sheet", IF($L5 &gt; minFiringRate, IF(SUM(INDIRECT($A5 &amp; "!AL3:AL102")) &gt; 0, INDIRECT($A5&amp;"!AL"&amp;CF$3), "NA"), "NA"))</f>
        <v>528.64864864864865</v>
      </c>
      <c r="CG5" s="139" cm="1">
        <f t="array" aca="1" ref="CG5" ca="1">IF(ISBLANK($A5), "Enter Sheet", IF($L5 &gt; minFiringRate, IF(SUM(INDIRECT($A5 &amp; "!AL3:AL102")) &gt; 0, INDIRECT($A5&amp;"!AL"&amp;CG$3), "NA"), "NA"))</f>
        <v>540</v>
      </c>
      <c r="CH5" s="139" cm="1">
        <f t="array" aca="1" ref="CH5" ca="1">IF(ISBLANK($A5), "Enter Sheet", IF($L5 &gt; minFiringRate, IF(SUM(INDIRECT($A5 &amp; "!AL3:AL102")) &gt; 0, INDIRECT($A5&amp;"!AL"&amp;CH$3), "NA"), "NA"))</f>
        <v>570.81081081081084</v>
      </c>
      <c r="CI5" s="139" cm="1">
        <f t="array" aca="1" ref="CI5" ca="1">IF(ISBLANK($A5), "Enter Sheet", IF($L5 &gt; minFiringRate, IF(SUM(INDIRECT($A5 &amp; "!AL3:AL102")) &gt; 0, INDIRECT($A5&amp;"!AL"&amp;CI$3), "NA"), "NA"))</f>
        <v>580.54054054054052</v>
      </c>
      <c r="CJ5" s="139" cm="1">
        <f t="array" aca="1" ref="CJ5" ca="1">IF(ISBLANK($A5), "Enter Sheet", IF($L5 &gt; minFiringRate, IF(SUM(INDIRECT($A5 &amp; "!AL3:AL102")) &gt; 0, INDIRECT($A5&amp;"!AL"&amp;CJ$3), "NA"), "NA"))</f>
        <v>599.18918918918916</v>
      </c>
      <c r="CK5" s="139" cm="1">
        <f t="array" aca="1" ref="CK5" ca="1">IF(ISBLANK($A5), "Enter Sheet", IF($L5 &gt; minFiringRate, IF(SUM(INDIRECT($A5 &amp; "!AL3:AL102")) &gt; 0, INDIRECT($A5&amp;"!AL"&amp;CK$3), "NA"), "NA"))</f>
        <v>610.54054054054052</v>
      </c>
      <c r="CL5" s="139" cm="1">
        <f t="array" aca="1" ref="CL5" ca="1">IF(ISBLANK($A5), "Enter Sheet", IF($L5 &gt; minFiringRate, IF(SUM(INDIRECT($A5 &amp; "!AL3:AL102")) &gt; 0, INDIRECT($A5&amp;"!AL"&amp;CL$3), "NA"), "NA"))</f>
        <v>621.08108108108104</v>
      </c>
      <c r="CM5" s="139" cm="1">
        <f t="array" aca="1" ref="CM5" ca="1">IF(ISBLANK($A5), "Enter Sheet", IF($L5 &gt; minFiringRate, IF(SUM(INDIRECT($A5 &amp; "!AL3:AL102")) &gt; 0, INDIRECT($A5&amp;"!AL"&amp;CM$3), "NA"), "NA"))</f>
        <v>625.13513513513522</v>
      </c>
      <c r="CN5" s="139" cm="1">
        <f t="array" aca="1" ref="CN5" ca="1">IF(ISBLANK($A5), "Enter Sheet", IF($L5 &gt; minFiringRate, IF(SUM(INDIRECT($A5 &amp; "!AL3:AL102")) &gt; 0, INDIRECT($A5&amp;"!AL"&amp;CN$3), "NA"), "NA"))</f>
        <v>634.86486486486478</v>
      </c>
      <c r="CO5" s="139" cm="1">
        <f t="array" aca="1" ref="CO5" ca="1">IF(ISBLANK($A5), "Enter Sheet", IF($L5 &gt; minFiringRate, IF(SUM(INDIRECT($A5 &amp; "!AL3:AL102")) &gt; 0, INDIRECT($A5&amp;"!AL"&amp;CO$3), "NA"), "NA"))</f>
        <v>639.72972972972968</v>
      </c>
      <c r="CP5" s="139" cm="1">
        <f t="array" aca="1" ref="CP5" ca="1">IF(ISBLANK($A5), "Enter Sheet", IF($L5 &gt; minFiringRate, IF(SUM(INDIRECT($A5 &amp; "!AL3:AL102")) &gt; 0, INDIRECT($A5&amp;"!AL"&amp;CP$3), "NA"), "NA"))</f>
        <v>647.02702702702709</v>
      </c>
      <c r="CQ5" s="139" cm="1">
        <f t="array" aca="1" ref="CQ5" ca="1">IF(ISBLANK($A5), "Enter Sheet", IF($L5 &gt; minFiringRate, IF(SUM(INDIRECT($A5 &amp; "!AL3:AL102")) &gt; 0, INDIRECT($A5&amp;"!AL"&amp;CQ$3), "NA"), "NA"))</f>
        <v>652.70270270270271</v>
      </c>
      <c r="CR5" s="139" cm="1">
        <f t="array" aca="1" ref="CR5" ca="1">IF(ISBLANK($A5), "Enter Sheet", IF($L5 &gt; minFiringRate, IF(SUM(INDIRECT($A5 &amp; "!AL3:AL102")) &gt; 0, INDIRECT($A5&amp;"!AL"&amp;CR$3), "NA"), "NA"))</f>
        <v>660.81081081081084</v>
      </c>
      <c r="CS5" s="139" cm="1">
        <f t="array" aca="1" ref="CS5" ca="1">IF(ISBLANK($A5), "Enter Sheet", IF($L5 &gt; minFiringRate, IF(SUM(INDIRECT($A5 &amp; "!AL3:AL102")) &gt; 0, INDIRECT($A5&amp;"!AL"&amp;CS$3), "NA"), "NA"))</f>
        <v>664.86486486486478</v>
      </c>
      <c r="CT5" s="139" cm="1">
        <f t="array" aca="1" ref="CT5" ca="1">IF(ISBLANK($A5), "Enter Sheet", IF($L5 &gt; minFiringRate, IF(SUM(INDIRECT($A5 &amp; "!AL3:AL102")) &gt; 0, INDIRECT($A5&amp;"!AL"&amp;CT$3), "NA"), "NA"))</f>
        <v>670.54054054054052</v>
      </c>
      <c r="CU5" s="139" cm="1">
        <f t="array" aca="1" ref="CU5" ca="1">IF(ISBLANK($A5), "Enter Sheet", IF($L5 &gt; minFiringRate, IF(SUM(INDIRECT($A5 &amp; "!AL3:AL102")) &gt; 0, INDIRECT($A5&amp;"!AL"&amp;CU$3), "NA"), "NA"))</f>
        <v>676.21621621621625</v>
      </c>
      <c r="CV5" s="139" cm="1">
        <f t="array" aca="1" ref="CV5" ca="1">IF(ISBLANK($A5), "Enter Sheet", IF($L5 &gt; minFiringRate, IF(SUM(INDIRECT($A5 &amp; "!AL3:AL102")) &gt; 0, INDIRECT($A5&amp;"!AL"&amp;CV$3), "NA"), "NA"))</f>
        <v>681.08108108108104</v>
      </c>
      <c r="CW5" s="139" cm="1">
        <f t="array" aca="1" ref="CW5" ca="1">IF(ISBLANK($A5), "Enter Sheet", IF($L5 &gt; minFiringRate, IF(SUM(INDIRECT($A5 &amp; "!AL3:AL102")) &gt; 0, INDIRECT($A5&amp;"!AL"&amp;CW$3), "NA"), "NA"))</f>
        <v>680.27027027027032</v>
      </c>
      <c r="CX5" s="139" cm="1">
        <f t="array" aca="1" ref="CX5" ca="1">IF(ISBLANK($A5), "Enter Sheet", IF($L5 &gt; minFiringRate, IF(SUM(INDIRECT($A5 &amp; "!AL3:AL102")) &gt; 0, INDIRECT($A5&amp;"!AL"&amp;CX$3), "NA"), "NA"))</f>
        <v>688.37837837837844</v>
      </c>
      <c r="CY5" s="139" cm="1">
        <f t="array" aca="1" ref="CY5" ca="1">IF(ISBLANK($A5), "Enter Sheet", IF($L5 &gt; minFiringRate, IF(SUM(INDIRECT($A5 &amp; "!AL3:AL102")) &gt; 0, INDIRECT($A5&amp;"!AL"&amp;CY$3), "NA"), "NA"))</f>
        <v>689.18918918918916</v>
      </c>
      <c r="CZ5" s="139" cm="1">
        <f t="array" aca="1" ref="CZ5" ca="1">IF(ISBLANK($A5), "Enter Sheet", IF($L5 &gt; minFiringRate, IF(SUM(INDIRECT($A5 &amp; "!AL3:AL102")) &gt; 0, INDIRECT($A5&amp;"!AL"&amp;CZ$3), "NA"), "NA"))</f>
        <v>689.18918918918916</v>
      </c>
      <c r="DA5" s="139" cm="1">
        <f t="array" aca="1" ref="DA5" ca="1">IF(ISBLANK($A5), "Enter Sheet", IF($L5 &gt; minFiringRate, IF(SUM(INDIRECT($A5 &amp; "!AL3:AL102")) &gt; 0, INDIRECT($A5&amp;"!AL"&amp;DA$3), "NA"), "NA"))</f>
        <v>694.05405405405406</v>
      </c>
      <c r="DB5" s="139" cm="1">
        <f t="array" aca="1" ref="DB5" ca="1">IF(ISBLANK($A5), "Enter Sheet", IF($L5 &gt; minFiringRate, IF(SUM(INDIRECT($A5 &amp; "!AL3:AL102")) &gt; 0, INDIRECT($A5&amp;"!AL"&amp;DB$3), "NA"), "NA"))</f>
        <v>686.75675675675677</v>
      </c>
      <c r="DC5" s="139" cm="1">
        <f t="array" aca="1" ref="DC5" ca="1">IF(ISBLANK($A5), "Enter Sheet", IF($L5 &gt; minFiringRate, IF(SUM(INDIRECT($A5 &amp; "!AL3:AL102")) &gt; 0, INDIRECT($A5&amp;"!AL"&amp;DC$3), "NA"), "NA"))</f>
        <v>689.18918918918916</v>
      </c>
      <c r="DD5" s="139" cm="1">
        <f t="array" aca="1" ref="DD5" ca="1">IF(ISBLANK($A5), "Enter Sheet", IF($L5 &gt; minFiringRate, IF(SUM(INDIRECT($A5 &amp; "!AL3:AL102")) &gt; 0, INDIRECT($A5&amp;"!AL"&amp;DD$3), "NA"), "NA"))</f>
        <v>689.18918918918916</v>
      </c>
      <c r="DE5" s="139" cm="1">
        <f t="array" aca="1" ref="DE5" ca="1">IF(ISBLANK($A5), "Enter Sheet", IF($L5 &gt; minFiringRate, IF(SUM(INDIRECT($A5 &amp; "!AL3:AL102")) &gt; 0, INDIRECT($A5&amp;"!AL"&amp;DE$3), "NA"), "NA"))</f>
        <v>685.94594594594594</v>
      </c>
      <c r="DF5" s="139" cm="1">
        <f t="array" aca="1" ref="DF5" ca="1">IF(ISBLANK($A5), "Enter Sheet", IF($L5 &gt; minFiringRate, IF(SUM(INDIRECT($A5 &amp; "!AL3:AL102")) &gt; 0, INDIRECT($A5&amp;"!AL"&amp;DF$3), "NA"), "NA"))</f>
        <v>685.94594594594594</v>
      </c>
      <c r="DG5" s="139" cm="1">
        <f t="array" aca="1" ref="DG5" ca="1">IF(ISBLANK($A5), "Enter Sheet", IF($L5 &gt; minFiringRate, IF(SUM(INDIRECT($A5 &amp; "!AL3:AL102")) &gt; 0, INDIRECT($A5&amp;"!AL"&amp;DG$3), "NA"), "NA"))</f>
        <v>688.37837837837844</v>
      </c>
      <c r="DH5" s="139" cm="1">
        <f t="array" aca="1" ref="DH5" ca="1">IF(ISBLANK($A5), "Enter Sheet", IF($L5 &gt; minFiringRate, IF(SUM(INDIRECT($A5 &amp; "!AL3:AL102")) &gt; 0, INDIRECT($A5&amp;"!AL"&amp;DH$3), "NA"), "NA"))</f>
        <v>691.62162162162156</v>
      </c>
      <c r="DI5" s="139" cm="1">
        <f t="array" aca="1" ref="DI5" ca="1">IF(ISBLANK($A5), "Enter Sheet", IF($L5 &gt; minFiringRate, IF(SUM(INDIRECT($A5 &amp; "!AL3:AL102")) &gt; 0, INDIRECT($A5&amp;"!AL"&amp;DI$3), "NA"), "NA"))</f>
        <v>690.81081081081084</v>
      </c>
      <c r="DJ5" s="139" cm="1">
        <f t="array" aca="1" ref="DJ5" ca="1">IF(ISBLANK($A5), "Enter Sheet", IF($L5 &gt; minFiringRate, IF(SUM(INDIRECT($A5 &amp; "!AL3:AL102")) &gt; 0, INDIRECT($A5&amp;"!AL"&amp;DJ$3), "NA"), "NA"))</f>
        <v>685.13513513513522</v>
      </c>
      <c r="DK5" s="139" cm="1">
        <f t="array" aca="1" ref="DK5" ca="1">IF(ISBLANK($A5), "Enter Sheet", IF($L5 &gt; minFiringRate, IF(SUM(INDIRECT($A5 &amp; "!AL3:AL102")) &gt; 0, INDIRECT($A5&amp;"!AL"&amp;DK$3), "NA"), "NA"))</f>
        <v>685.94594594594594</v>
      </c>
      <c r="DL5" s="139" cm="1">
        <f t="array" aca="1" ref="DL5" ca="1">IF(ISBLANK($A5), "Enter Sheet", IF($L5 &gt; minFiringRate, IF(SUM(INDIRECT($A5 &amp; "!AL3:AL102")) &gt; 0, INDIRECT($A5&amp;"!AL"&amp;DL$3), "NA"), "NA"))</f>
        <v>680.27027027027032</v>
      </c>
      <c r="DM5" s="139" cm="1">
        <f t="array" aca="1" ref="DM5" ca="1">IF(ISBLANK($A5), "Enter Sheet", IF($L5 &gt; minFiringRate, IF(SUM(INDIRECT($A5 &amp; "!AL3:AL102")) &gt; 0, INDIRECT($A5&amp;"!AL"&amp;DM$3), "NA"), "NA"))</f>
        <v>681.89189189189187</v>
      </c>
      <c r="DN5" s="139" cm="1">
        <f t="array" aca="1" ref="DN5" ca="1">IF(ISBLANK($A5), "Enter Sheet", IF($L5 &gt; minFiringRate, IF(SUM(INDIRECT($A5 &amp; "!AL3:AL102")) &gt; 0, INDIRECT($A5&amp;"!AL"&amp;DN$3), "NA"), "NA"))</f>
        <v>680.27027027027032</v>
      </c>
      <c r="DO5" s="139" cm="1">
        <f t="array" aca="1" ref="DO5" ca="1">IF(ISBLANK($A5), "Enter Sheet", IF($L5 &gt; minFiringRate, IF(SUM(INDIRECT($A5 &amp; "!AL3:AL102")) &gt; 0, INDIRECT($A5&amp;"!AL"&amp;DO$3), "NA"), "NA"))</f>
        <v>679.45945945945948</v>
      </c>
      <c r="DP5" s="139" cm="1">
        <f t="array" aca="1" ref="DP5" ca="1">IF(ISBLANK($A5), "Enter Sheet", IF($L5 &gt; minFiringRate, IF(SUM(INDIRECT($A5 &amp; "!AL3:AL102")) &gt; 0, INDIRECT($A5&amp;"!AL"&amp;DP$3), "NA"), "NA"))</f>
        <v>681.89189189189187</v>
      </c>
      <c r="DQ5" s="139" cm="1">
        <f t="array" aca="1" ref="DQ5" ca="1">IF(ISBLANK($A5), "Enter Sheet", IF($L5 &gt; minFiringRate, IF(SUM(INDIRECT($A5 &amp; "!AL3:AL102")) &gt; 0, INDIRECT($A5&amp;"!AL"&amp;DQ$3), "NA"), "NA"))</f>
        <v>672.97297297297291</v>
      </c>
      <c r="DR5" s="139" cm="1">
        <f t="array" aca="1" ref="DR5" ca="1">IF(ISBLANK($A5), "Enter Sheet", IF($L5 &gt; minFiringRate, IF(SUM(INDIRECT($A5 &amp; "!AL3:AL102")) &gt; 0, INDIRECT($A5&amp;"!AL"&amp;DR$3), "NA"), "NA"))</f>
        <v>672.16216216216219</v>
      </c>
      <c r="DS5" s="139" cm="1">
        <f t="array" aca="1" ref="DS5" ca="1">IF(ISBLANK($A5), "Enter Sheet", IF($L5 &gt; minFiringRate, IF(SUM(INDIRECT($A5 &amp; "!AL3:AL102")) &gt; 0, INDIRECT($A5&amp;"!AL"&amp;DS$3), "NA"), "NA"))</f>
        <v>669.72972972972968</v>
      </c>
      <c r="DT5" s="139" cm="1">
        <f t="array" aca="1" ref="DT5" ca="1">IF(ISBLANK($A5), "Enter Sheet", IF($L5 &gt; minFiringRate, IF(SUM(INDIRECT($A5 &amp; "!AL3:AL102")) &gt; 0, INDIRECT($A5&amp;"!AL"&amp;DT$3), "NA"), "NA"))</f>
        <v>666.48648648648657</v>
      </c>
      <c r="DU5" s="139" cm="1">
        <f t="array" aca="1" ref="DU5" ca="1">IF(ISBLANK($A5), "Enter Sheet", IF($L5 &gt; minFiringRate, IF(SUM(INDIRECT($A5 &amp; "!AL3:AL102")) &gt; 0, INDIRECT($A5&amp;"!AL"&amp;DU$3), "NA"), "NA"))</f>
        <v>661.62162162162156</v>
      </c>
      <c r="DV5" s="139" cm="1">
        <f t="array" aca="1" ref="DV5" ca="1">IF(ISBLANK($A5), "Enter Sheet", IF($L5 &gt; minFiringRate, IF(SUM(INDIRECT($A5 &amp; "!AL3:AL102")) &gt; 0, INDIRECT($A5&amp;"!AL"&amp;DV$3), "NA"), "NA"))</f>
        <v>658.37837837837844</v>
      </c>
      <c r="DW5" s="139" cm="1">
        <f t="array" aca="1" ref="DW5" ca="1">IF(ISBLANK($A5), "Enter Sheet", IF($L5 &gt; minFiringRate, IF(SUM(INDIRECT($A5 &amp; "!AL3:AL102")) &gt; 0, INDIRECT($A5&amp;"!AL"&amp;DW$3), "NA"), "NA"))</f>
        <v>661.62162162162156</v>
      </c>
      <c r="DX5" s="139" cm="1">
        <f t="array" aca="1" ref="DX5" ca="1">IF(ISBLANK($A5), "Enter Sheet", IF($L5 &gt; minFiringRate, IF(SUM(INDIRECT($A5 &amp; "!AL3:AL102")) &gt; 0, INDIRECT($A5&amp;"!AL"&amp;DX$3), "NA"), "NA"))</f>
        <v>657.56756756756761</v>
      </c>
      <c r="DY5" s="139" cm="1">
        <f t="array" aca="1" ref="DY5" ca="1">IF(ISBLANK($A5), "Enter Sheet", IF($L5 &gt; minFiringRate, IF(SUM(INDIRECT($A5 &amp; "!AL3:AL102")) &gt; 0, INDIRECT($A5&amp;"!AL"&amp;DY$3), "NA"), "NA"))</f>
        <v>656.75675675675677</v>
      </c>
      <c r="DZ5" s="139" cm="1">
        <f t="array" aca="1" ref="DZ5" ca="1">IF(ISBLANK($A5), "Enter Sheet", IF($L5 &gt; minFiringRate, IF(SUM(INDIRECT($A5 &amp; "!AL3:AL102")) &gt; 0, INDIRECT($A5&amp;"!AL"&amp;DZ$3), "NA"), "NA"))</f>
        <v>651.08108108108104</v>
      </c>
      <c r="EA5" s="139" cm="1">
        <f t="array" aca="1" ref="EA5" ca="1">IF(ISBLANK($A5), "Enter Sheet", IF($L5 &gt; minFiringRate, IF(SUM(INDIRECT($A5 &amp; "!AL3:AL102")) &gt; 0, INDIRECT($A5&amp;"!AL"&amp;EA$3), "NA"), "NA"))</f>
        <v>648.64864864864865</v>
      </c>
      <c r="EB5" s="139" cm="1">
        <f t="array" aca="1" ref="EB5" ca="1">IF(ISBLANK($A5), "Enter Sheet", IF($L5 &gt; minFiringRate, IF(SUM(INDIRECT($A5 &amp; "!AL3:AL102")) &gt; 0, INDIRECT($A5&amp;"!AL"&amp;EB$3), "NA"), "NA"))</f>
        <v>646.21621621621625</v>
      </c>
      <c r="EC5" s="139" cm="1">
        <f t="array" aca="1" ref="EC5" ca="1">IF(ISBLANK($A5), "Enter Sheet", IF($L5 &gt; minFiringRate, IF(SUM(INDIRECT($A5 &amp; "!AL3:AL102")) &gt; 0, INDIRECT($A5&amp;"!AL"&amp;EC$3), "NA"), "NA"))</f>
        <v>645.40540540540542</v>
      </c>
      <c r="ED5" s="139" cm="1">
        <f t="array" aca="1" ref="ED5" ca="1">IF(ISBLANK($A5), "Enter Sheet", IF($L5 &gt; minFiringRate, IF(SUM(INDIRECT($A5 &amp; "!AL3:AL102")) &gt; 0, INDIRECT($A5&amp;"!AL"&amp;ED$3), "NA"), "NA"))</f>
        <v>640.54054054054052</v>
      </c>
      <c r="EE5" s="139" cm="1">
        <f t="array" aca="1" ref="EE5" ca="1">IF(ISBLANK($A5), "Enter Sheet", IF($L5 &gt; minFiringRate, IF(SUM(INDIRECT($A5 &amp; "!AL3:AL102")) &gt; 0, INDIRECT($A5&amp;"!AL"&amp;EE$3), "NA"), "NA"))</f>
        <v>634.86486486486478</v>
      </c>
      <c r="EF5" s="139" cm="1">
        <f t="array" aca="1" ref="EF5" ca="1">IF(ISBLANK($A5), "Enter Sheet", IF($L5 &gt; minFiringRate, IF(SUM(INDIRECT($A5 &amp; "!AL3:AL102")) &gt; 0, INDIRECT($A5&amp;"!AL"&amp;EF$3), "NA"), "NA"))</f>
        <v>630</v>
      </c>
      <c r="EG5" s="139" cm="1">
        <f t="array" aca="1" ref="EG5" ca="1">IF(ISBLANK($A5), "Enter Sheet", IF($L5 &gt; minFiringRate, IF(SUM(INDIRECT($A5 &amp; "!AL3:AL102")) &gt; 0, INDIRECT($A5&amp;"!AL"&amp;EG$3), "NA"), "NA"))</f>
        <v>629.18918918918916</v>
      </c>
      <c r="EH5" s="139" cm="1">
        <f t="array" aca="1" ref="EH5" ca="1">IF(ISBLANK($A5), "Enter Sheet", IF($L5 &gt; minFiringRate, IF(SUM(INDIRECT($A5 &amp; "!AL3:AL102")) &gt; 0, INDIRECT($A5&amp;"!AL"&amp;EH$3), "NA"), "NA"))</f>
        <v>625.94594594594594</v>
      </c>
      <c r="EI5" s="139" cm="1">
        <f t="array" aca="1" ref="EI5" ca="1">IF(ISBLANK($A5), "Enter Sheet", IF($L5 &gt; minFiringRate, IF(SUM(INDIRECT($A5 &amp; "!AL3:AL102")) &gt; 0, INDIRECT($A5&amp;"!AL"&amp;EI$3), "NA"), "NA"))</f>
        <v>624.32432432432427</v>
      </c>
      <c r="EJ5" s="139" cm="1">
        <f t="array" aca="1" ref="EJ5" ca="1">IF(ISBLANK($A5), "Enter Sheet", IF($L5 &gt; minFiringRate, IF(SUM(INDIRECT($A5 &amp; "!AL3:AL102")) &gt; 0, INDIRECT($A5&amp;"!AL"&amp;EJ$3), "NA"), "NA"))</f>
        <v>620.27027027027032</v>
      </c>
      <c r="EK5" s="139" cm="1">
        <f t="array" aca="1" ref="EK5" ca="1">IF(ISBLANK($A5), "Enter Sheet", IF($L5 &gt; minFiringRate, IF(SUM(INDIRECT($A5 &amp; "!AL3:AL102")) &gt; 0, INDIRECT($A5&amp;"!AL"&amp;EK$3), "NA"), "NA"))</f>
        <v>614.59459459459458</v>
      </c>
      <c r="EL5" s="139" cm="1">
        <f t="array" aca="1" ref="EL5" ca="1">IF(ISBLANK($A5), "Enter Sheet", IF($L5 &gt; minFiringRate, IF(SUM(INDIRECT($A5 &amp; "!AL3:AL102")) &gt; 0, INDIRECT($A5&amp;"!AL"&amp;EL$3), "NA"), "NA"))</f>
        <v>612.16216216216219</v>
      </c>
      <c r="EM5" s="139" cm="1">
        <f t="array" aca="1" ref="EM5" ca="1">IF(ISBLANK($A5), "Enter Sheet", IF($L5 &gt; minFiringRate, IF(SUM(INDIRECT($A5 &amp; "!AL3:AL102")) &gt; 0, INDIRECT($A5&amp;"!AL"&amp;EM$3), "NA"), "NA"))</f>
        <v>608.10810810810813</v>
      </c>
      <c r="EN5" s="139" cm="1">
        <f t="array" aca="1" ref="EN5" ca="1">IF(ISBLANK($A5), "Enter Sheet", IF($L5 &gt; minFiringRate, IF(SUM(INDIRECT($A5 &amp; "!AL3:AL102")) &gt; 0, INDIRECT($A5&amp;"!AL"&amp;EN$3), "NA"), "NA"))</f>
        <v>604.05405405405406</v>
      </c>
      <c r="EO5" s="139" cm="1">
        <f t="array" aca="1" ref="EO5" ca="1">IF(ISBLANK($A5), "Enter Sheet", IF($L5 &gt; minFiringRate, IF(SUM(INDIRECT($A5 &amp; "!AL3:AL102")) &gt; 0, INDIRECT($A5&amp;"!AL"&amp;EO$3), "NA"), "NA"))</f>
        <v>595.13513513513522</v>
      </c>
      <c r="EP5" s="139" cm="1">
        <f t="array" aca="1" ref="EP5" ca="1">IF(ISBLANK($A5), "Enter Sheet", IF($L5 &gt; minFiringRate, IF(SUM(INDIRECT($A5 &amp; "!AL3:AL102")) &gt; 0, INDIRECT($A5&amp;"!AL"&amp;EP$3), "NA"), "NA"))</f>
        <v>591.08108108108104</v>
      </c>
      <c r="EQ5" s="139" cm="1">
        <f t="array" aca="1" ref="EQ5" ca="1">IF(ISBLANK($A5), "Enter Sheet", IF($L5 &gt; minFiringRate, IF(SUM(INDIRECT($A5 &amp; "!AL3:AL102")) &gt; 0, INDIRECT($A5&amp;"!AL"&amp;EQ$3), "NA"), "NA"))</f>
        <v>587.02702702702709</v>
      </c>
      <c r="ER5" s="139" cm="1">
        <f t="array" aca="1" ref="ER5" ca="1">IF(ISBLANK($A5), "Enter Sheet", IF($L5 &gt; minFiringRate, IF(SUM(INDIRECT($A5 &amp; "!AL3:AL102")) &gt; 0, INDIRECT($A5&amp;"!AL"&amp;ER$3), "NA"), "NA"))</f>
        <v>580.54054054054052</v>
      </c>
      <c r="ES5" s="139" cm="1">
        <f t="array" aca="1" ref="ES5" ca="1">IF(ISBLANK($A5), "Enter Sheet", IF($L5 &gt; minFiringRate, IF(SUM(INDIRECT($A5 &amp; "!AL3:AL102")) &gt; 0, INDIRECT($A5&amp;"!AL"&amp;ES$3), "NA"), "NA"))</f>
        <v>574.05405405405406</v>
      </c>
      <c r="ET5" s="139" cm="1">
        <f t="array" aca="1" ref="ET5" ca="1">IF(ISBLANK($A5), "Enter Sheet", IF($L5 &gt; minFiringRate, IF(SUM(INDIRECT($A5 &amp; "!AL3:AL102")) &gt; 0, INDIRECT($A5&amp;"!AL"&amp;ET$3), "NA"), "NA"))</f>
        <v>566.75675675675677</v>
      </c>
      <c r="EU5" s="139" cm="1">
        <f t="array" aca="1" ref="EU5" ca="1">IF(ISBLANK($A5), "Enter Sheet", IF($L5 &gt; minFiringRate, IF(SUM(INDIRECT($A5 &amp; "!AL3:AL102")) &gt; 0, INDIRECT($A5&amp;"!AL"&amp;EU$3), "NA"), "NA"))</f>
        <v>561.08108108108104</v>
      </c>
      <c r="EV5" s="139" cm="1">
        <f t="array" aca="1" ref="EV5" ca="1">IF(ISBLANK($A5), "Enter Sheet", IF($L5 &gt; minFiringRate, IF(SUM(INDIRECT($A5 &amp; "!AL3:AL102")) &gt; 0, INDIRECT($A5&amp;"!AL"&amp;EV$3), "NA"), "NA"))</f>
        <v>554.59459459459458</v>
      </c>
      <c r="EW5" s="139" cm="1">
        <f t="array" aca="1" ref="EW5" ca="1">IF(ISBLANK($A5), "Enter Sheet", IF($L5 &gt; minFiringRate, IF(SUM(INDIRECT($A5 &amp; "!AL3:AL102")) &gt; 0, INDIRECT($A5&amp;"!AL"&amp;EW$3), "NA"), "NA"))</f>
        <v>548.91891891891896</v>
      </c>
      <c r="EX5" s="139" cm="1">
        <f t="array" aca="1" ref="EX5" ca="1">IF(ISBLANK($A5), "Enter Sheet", IF($L5 &gt; minFiringRate, IF(SUM(INDIRECT($A5 &amp; "!AL3:AL102")) &gt; 0, INDIRECT($A5&amp;"!AL"&amp;EX$3), "NA"), "NA"))</f>
        <v>546.48648648648657</v>
      </c>
      <c r="EY5" s="139" cm="1">
        <f t="array" aca="1" ref="EY5" ca="1">IF(ISBLANK($A5), "Enter Sheet", IF($L5 &gt; minFiringRate, IF(SUM(INDIRECT($A5 &amp; "!AL3:AL102")) &gt; 0, INDIRECT($A5&amp;"!AL"&amp;EY$3), "NA"), "NA"))</f>
        <v>544.86486486486478</v>
      </c>
      <c r="EZ5" s="139" cm="1">
        <f t="array" aca="1" ref="EZ5" ca="1">IF(ISBLANK($A5), "Enter Sheet", IF($L5 &gt; minFiringRate, IF(SUM(INDIRECT($A5 &amp; "!AL3:AL102")) &gt; 0, INDIRECT($A5&amp;"!AL"&amp;EZ$3), "NA"), "NA"))</f>
        <v>540.81081081081084</v>
      </c>
      <c r="FA5" s="139" cm="1">
        <f t="array" aca="1" ref="FA5" ca="1">IF(ISBLANK($A5), "Enter Sheet", IF($L5 &gt; minFiringRate, IF(SUM(INDIRECT($A5 &amp; "!AL3:AL102")) &gt; 0, INDIRECT($A5&amp;"!AL"&amp;FA$3), "NA"), "NA"))</f>
        <v>538.37837837837844</v>
      </c>
      <c r="FB5" s="139" cm="1">
        <f t="array" aca="1" ref="FB5" ca="1">IF(ISBLANK($A5), "Enter Sheet", IF($L5 &gt; minFiringRate, IF(SUM(INDIRECT($A5 &amp; "!AL3:AL102")) &gt; 0, INDIRECT($A5&amp;"!AL"&amp;FB$3), "NA"), "NA"))</f>
        <v>534.32432432432427</v>
      </c>
      <c r="FC5" s="139" cm="1">
        <f t="array" aca="1" ref="FC5" ca="1">IF(ISBLANK($A5), "Enter Sheet", IF($L5 &gt; minFiringRate, IF(SUM(INDIRECT($A5 &amp; "!AL3:AL102")) &gt; 0, INDIRECT($A5&amp;"!AL"&amp;FC$3), "NA"), "NA"))</f>
        <v>529.45945945945948</v>
      </c>
      <c r="FD5" s="139" cm="1">
        <f t="array" aca="1" ref="FD5" ca="1">IF(ISBLANK($A5), "Enter Sheet", IF($L5 &gt; minFiringRate, IF(SUM(INDIRECT($A5 &amp; "!AL3:AL102")) &gt; 0, INDIRECT($A5&amp;"!AL"&amp;FD$3), "NA"), "NA"))</f>
        <v>524.59459459459458</v>
      </c>
      <c r="FE5" s="139" cm="1">
        <f t="array" aca="1" ref="FE5" ca="1">IF(ISBLANK($A5), "Enter Sheet", IF($L5 &gt; minFiringRate, IF(SUM(INDIRECT($A5 &amp; "!AL3:AL102")) &gt; 0, INDIRECT($A5&amp;"!AL"&amp;FE$3), "NA"), "NA"))</f>
        <v>522.97297297297291</v>
      </c>
      <c r="FF5" s="139" cm="1">
        <f t="array" aca="1" ref="FF5" ca="1">IF(ISBLANK($A5), "Enter Sheet", IF($L5 &gt; minFiringRate, IF(SUM(INDIRECT($A5 &amp; "!AL3:AL102")) &gt; 0, INDIRECT($A5&amp;"!AL"&amp;FF$3), "NA"), "NA"))</f>
        <v>518.91891891891896</v>
      </c>
      <c r="FG5" s="139" cm="1">
        <f t="array" aca="1" ref="FG5" ca="1">IF(ISBLANK($A5), "Enter Sheet", IF($L5 &gt; minFiringRate, IF(SUM(INDIRECT($A5 &amp; "!AL3:AL102")) &gt; 0, INDIRECT($A5&amp;"!AL"&amp;FG$3), "NA"), "NA"))</f>
        <v>518.10810810810813</v>
      </c>
      <c r="FH5" s="139" cm="1">
        <f t="array" aca="1" ref="FH5" ca="1">IF(ISBLANK($A5), "Enter Sheet", IF($L5 &gt; minFiringRate, IF(SUM(INDIRECT($A5 &amp; "!AL3:AL102")) &gt; 0, INDIRECT($A5&amp;"!AL"&amp;FH$3), "NA"), "NA"))</f>
        <v>512.43243243243239</v>
      </c>
      <c r="FI5" s="139" cm="1">
        <f t="array" aca="1" ref="FI5" ca="1">IF(ISBLANK($A5), "Enter Sheet", IF($L5 &gt; minFiringRate, IF(SUM(INDIRECT($A5 &amp; "!AL3:AL102")) &gt; 0, INDIRECT($A5&amp;"!AL"&amp;FI$3), "NA"), "NA"))</f>
        <v>510</v>
      </c>
    </row>
  </sheetData>
  <mergeCells count="1">
    <mergeCell ref="H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2CE-A665-4236-9D63-5CAA495FB231}">
  <dimension ref="A1:E8"/>
  <sheetViews>
    <sheetView workbookViewId="0">
      <selection activeCell="D17" sqref="D17:E17"/>
    </sheetView>
  </sheetViews>
  <sheetFormatPr baseColWidth="10" defaultColWidth="8.83203125" defaultRowHeight="15" x14ac:dyDescent="0.2"/>
  <cols>
    <col min="1" max="1" width="16" bestFit="1" customWidth="1"/>
    <col min="2" max="2" width="22.83203125" customWidth="1"/>
    <col min="5" max="5" width="19" bestFit="1" customWidth="1"/>
  </cols>
  <sheetData>
    <row r="1" spans="1:5" x14ac:dyDescent="0.2">
      <c r="A1" t="s">
        <v>183</v>
      </c>
      <c r="B1" t="s">
        <v>152</v>
      </c>
      <c r="E1" t="s">
        <v>235</v>
      </c>
    </row>
    <row r="2" spans="1:5" x14ac:dyDescent="0.2">
      <c r="A2" t="s">
        <v>233</v>
      </c>
      <c r="B2" s="75" cm="1">
        <f t="array" aca="1" ref="B2" ca="1">IF(ISBLANK(A2), "", INDIRECT(A2&amp;"!"&amp;B$1))</f>
        <v>0.4</v>
      </c>
      <c r="E2" s="87">
        <f ca="1">ROUND(AVERAGE(SelectingBW[MaxBurstWindow_spont]), 2)</f>
        <v>0.4</v>
      </c>
    </row>
    <row r="3" spans="1:5" x14ac:dyDescent="0.2">
      <c r="B3" s="75" t="str" cm="1">
        <f t="array" aca="1" ref="B3" ca="1">IF(ISBLANK(A3), "", INDIRECT(A3&amp;"!"&amp;B$1))</f>
        <v/>
      </c>
    </row>
    <row r="4" spans="1:5" x14ac:dyDescent="0.2">
      <c r="E4" t="s">
        <v>341</v>
      </c>
    </row>
    <row r="5" spans="1:5" x14ac:dyDescent="0.2">
      <c r="E5" s="87">
        <v>0.23</v>
      </c>
    </row>
    <row r="7" spans="1:5" x14ac:dyDescent="0.2">
      <c r="E7" t="s">
        <v>342</v>
      </c>
    </row>
    <row r="8" spans="1:5" x14ac:dyDescent="0.2">
      <c r="E8" s="87">
        <f>ROUND(AVERAGE(0.28, 0.33), 2)</f>
        <v>0.31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4D62-760C-E34C-83FF-37DA88E6A8B9}">
  <dimension ref="A1:CI292"/>
  <sheetViews>
    <sheetView zoomScale="54" zoomScaleNormal="60" workbookViewId="0">
      <pane xSplit="1" topLeftCell="B1" activePane="topRight" state="frozen"/>
      <selection pane="topRight" activeCell="L110" sqref="L110"/>
    </sheetView>
  </sheetViews>
  <sheetFormatPr baseColWidth="10" defaultColWidth="15.6640625" defaultRowHeight="16" x14ac:dyDescent="0.2"/>
  <cols>
    <col min="1" max="16384" width="15.6640625" style="88"/>
  </cols>
  <sheetData>
    <row r="1" spans="1:77" x14ac:dyDescent="0.2">
      <c r="B1" s="167" t="s">
        <v>0</v>
      </c>
      <c r="C1" s="167"/>
      <c r="D1" s="167"/>
      <c r="E1" s="167"/>
      <c r="F1" s="167" t="s">
        <v>1</v>
      </c>
      <c r="G1" s="167"/>
      <c r="H1" s="167"/>
      <c r="I1" s="167"/>
      <c r="J1" s="167" t="s">
        <v>2</v>
      </c>
      <c r="K1" s="167"/>
      <c r="L1" s="167"/>
      <c r="M1" s="167"/>
      <c r="N1" s="167" t="s">
        <v>3</v>
      </c>
      <c r="O1" s="167"/>
      <c r="P1" s="167"/>
      <c r="Q1" s="167"/>
      <c r="R1" s="167" t="s">
        <v>4</v>
      </c>
      <c r="S1" s="167"/>
      <c r="T1" s="167"/>
      <c r="U1" s="167"/>
      <c r="V1" s="167" t="s">
        <v>5</v>
      </c>
      <c r="W1" s="167"/>
      <c r="X1" s="167"/>
      <c r="Y1" s="167"/>
      <c r="Z1" s="167" t="s">
        <v>6</v>
      </c>
      <c r="AA1" s="167"/>
      <c r="AB1" s="167"/>
      <c r="AC1" s="167"/>
      <c r="AD1" s="167" t="s">
        <v>7</v>
      </c>
      <c r="AE1" s="167"/>
      <c r="AF1" s="167"/>
      <c r="AG1" s="167"/>
      <c r="AH1" s="167" t="s">
        <v>8</v>
      </c>
      <c r="AI1" s="167"/>
      <c r="AJ1" s="167"/>
      <c r="AK1" s="167"/>
      <c r="AL1" s="167" t="s">
        <v>9</v>
      </c>
      <c r="AM1" s="167"/>
      <c r="AN1" s="167"/>
      <c r="AR1" s="164" t="s">
        <v>10</v>
      </c>
      <c r="AS1" s="164"/>
      <c r="AT1" s="164"/>
      <c r="AU1" s="164"/>
      <c r="AV1" s="164"/>
      <c r="AW1" s="164"/>
      <c r="AX1" s="164"/>
      <c r="AY1" s="164"/>
      <c r="AZ1" s="164"/>
      <c r="BA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</row>
    <row r="2" spans="1:77" x14ac:dyDescent="0.2">
      <c r="A2" s="2" t="s">
        <v>11</v>
      </c>
      <c r="B2" s="2" t="s">
        <v>142</v>
      </c>
      <c r="C2" s="2" t="s">
        <v>217</v>
      </c>
      <c r="D2" s="2" t="s">
        <v>12</v>
      </c>
      <c r="E2" s="2" t="s">
        <v>13</v>
      </c>
      <c r="F2" s="2" t="s">
        <v>143</v>
      </c>
      <c r="G2" s="2" t="s">
        <v>218</v>
      </c>
      <c r="H2" s="2" t="s">
        <v>14</v>
      </c>
      <c r="I2" s="2" t="s">
        <v>239</v>
      </c>
      <c r="J2" s="2" t="s">
        <v>144</v>
      </c>
      <c r="K2" s="2" t="s">
        <v>219</v>
      </c>
      <c r="L2" s="2" t="s">
        <v>16</v>
      </c>
      <c r="M2" s="2" t="s">
        <v>17</v>
      </c>
      <c r="N2" s="2" t="s">
        <v>145</v>
      </c>
      <c r="O2" s="2" t="s">
        <v>220</v>
      </c>
      <c r="P2" s="2" t="s">
        <v>18</v>
      </c>
      <c r="Q2" s="2" t="s">
        <v>19</v>
      </c>
      <c r="R2" s="2" t="s">
        <v>146</v>
      </c>
      <c r="S2" s="2" t="s">
        <v>221</v>
      </c>
      <c r="T2" s="2" t="s">
        <v>20</v>
      </c>
      <c r="U2" s="2" t="s">
        <v>21</v>
      </c>
      <c r="V2" s="2" t="s">
        <v>147</v>
      </c>
      <c r="W2" s="2" t="s">
        <v>222</v>
      </c>
      <c r="X2" s="2" t="s">
        <v>22</v>
      </c>
      <c r="Y2" s="2" t="s">
        <v>23</v>
      </c>
      <c r="Z2" s="2" t="s">
        <v>148</v>
      </c>
      <c r="AA2" s="2" t="s">
        <v>223</v>
      </c>
      <c r="AB2" s="2" t="s">
        <v>24</v>
      </c>
      <c r="AC2" s="2" t="s">
        <v>25</v>
      </c>
      <c r="AD2" s="2" t="s">
        <v>149</v>
      </c>
      <c r="AE2" s="2" t="s">
        <v>224</v>
      </c>
      <c r="AF2" s="2" t="s">
        <v>26</v>
      </c>
      <c r="AG2" s="2" t="s">
        <v>27</v>
      </c>
      <c r="AH2" s="2" t="s">
        <v>150</v>
      </c>
      <c r="AI2" s="2" t="s">
        <v>225</v>
      </c>
      <c r="AJ2" s="2" t="s">
        <v>28</v>
      </c>
      <c r="AK2" s="2" t="s">
        <v>29</v>
      </c>
      <c r="AL2" s="2" t="s">
        <v>151</v>
      </c>
      <c r="AM2" s="2" t="s">
        <v>226</v>
      </c>
      <c r="AN2" s="2" t="s">
        <v>30</v>
      </c>
      <c r="AO2" s="2" t="s">
        <v>31</v>
      </c>
      <c r="AQ2" s="88" t="s">
        <v>11</v>
      </c>
      <c r="AR2" s="89" t="str">
        <f>BurstIgor[[#Headers],[BurstNum_spont]]</f>
        <v>BurstNum_spont</v>
      </c>
      <c r="AS2" s="89" t="str">
        <f>BurstIgor[[#Headers],[Mbd_spont]]</f>
        <v>Mbd_spont</v>
      </c>
      <c r="AT2" s="89" t="str">
        <f>BurstIgor[[#Headers],[SpikesPerBurst_spont]]</f>
        <v>SpikesPerBurst_spont</v>
      </c>
      <c r="AU2" s="89" t="str">
        <f>BurstIgor[[#Headers],[BurstFreq_spont]]</f>
        <v>BurstFreq_spont</v>
      </c>
      <c r="AV2" s="89" t="str">
        <f>BurstIgor[[#Headers],[SingleSpikeNum_spont]]</f>
        <v>SingleSpikeNum_spont</v>
      </c>
      <c r="AW2" s="89" t="str">
        <f>BurstIgor[[#Headers],[SingleSpikeFreq_spont]]</f>
        <v>SingleSpikeFreq_spont</v>
      </c>
      <c r="AX2" s="89" t="str">
        <f>BurstIgor[[#Headers],[TotalFreq_spont]]</f>
        <v>TotalFreq_spont</v>
      </c>
      <c r="AY2" s="89" t="str">
        <f>BurstIgor[[#Headers],[InterBurst_spont]]</f>
        <v>InterBurst_spont</v>
      </c>
      <c r="AZ2" s="89" t="str">
        <f>BurstIgor[[#Headers],[IntraBurst_spont]]</f>
        <v>IntraBurst_spont</v>
      </c>
      <c r="BA2" s="89" t="str">
        <f>BurstIgor[[#Headers],[BurstsPerHour_spont]]</f>
        <v>BurstsPerHour_spont</v>
      </c>
      <c r="BC2" s="88" t="s">
        <v>32</v>
      </c>
      <c r="BD2" s="90" t="str">
        <f>BurstIgor[[#Headers],[BurstNum_senktide]]</f>
        <v>BurstNum_senktide</v>
      </c>
      <c r="BE2" s="90" t="str">
        <f>BurstIgor[[#Headers],[Mbd_senktide]]</f>
        <v>Mbd_senktide</v>
      </c>
      <c r="BF2" s="90" t="str">
        <f>BurstIgor[[#Headers],[SpikesPerBurst_senktide]]</f>
        <v>SpikesPerBurst_senktide</v>
      </c>
      <c r="BG2" s="90" t="str">
        <f>BurstIgor[[#Headers],[BurstFreq_senktide]]</f>
        <v>BurstFreq_senktide</v>
      </c>
      <c r="BH2" s="90" t="str">
        <f>BurstIgor[[#Headers],[SingleSpikeNum_senktide]]</f>
        <v>SingleSpikeNum_senktide</v>
      </c>
      <c r="BI2" s="90" t="str">
        <f>BurstIgor[[#Headers],[SingleSpikeFreq_senktide]]</f>
        <v>SingleSpikeFreq_senktide</v>
      </c>
      <c r="BJ2" s="90" t="str">
        <f>BurstIgor[[#Headers],[TotalFreq_senktide]]</f>
        <v>TotalFreq_senktide</v>
      </c>
      <c r="BK2" s="90" t="str">
        <f>BurstIgor[[#Headers],[InterBurst_senktide]]</f>
        <v>InterBurst_senktide</v>
      </c>
      <c r="BL2" s="90" t="str">
        <f>BurstIgor[[#Headers],[IntraBurst_senktide]]</f>
        <v>IntraBurst_senktide</v>
      </c>
      <c r="BM2" s="90" t="str">
        <f>BurstIgor[[#Headers],[BurstsPerHour_senktide]]</f>
        <v>BurstsPerHour_senktide</v>
      </c>
      <c r="BO2" s="88" t="s">
        <v>32</v>
      </c>
      <c r="BP2" s="91" t="str">
        <f>BurstIgor[[#Headers],[BurstNum_temp2]]</f>
        <v>BurstNum_temp2</v>
      </c>
      <c r="BQ2" s="91" t="str">
        <f>BurstIgor[[#Headers],[Mbd_temp2]]</f>
        <v>Mbd_temp2</v>
      </c>
      <c r="BR2" s="91" t="str">
        <f>BurstIgor[[#Headers],[SpikesPerBurst_senktide]]</f>
        <v>SpikesPerBurst_senktide</v>
      </c>
      <c r="BS2" s="91" t="str">
        <f>BurstIgor[[#Headers],[BurstFreq_temp2]]</f>
        <v>BurstFreq_temp2</v>
      </c>
      <c r="BT2" s="91" t="str">
        <f>BurstIgor[[#Headers],[SingleSpikeNum_temp2]]</f>
        <v>SingleSpikeNum_temp2</v>
      </c>
      <c r="BU2" s="91" t="str">
        <f>BurstIgor[[#Headers],[SingleSpikeFreq_temp2]]</f>
        <v>SingleSpikeFreq_temp2</v>
      </c>
      <c r="BV2" s="91" t="str">
        <f>BurstIgor[[#Headers],[TotalFreq_temp2]]</f>
        <v>TotalFreq_temp2</v>
      </c>
      <c r="BW2" s="91" t="str">
        <f>BurstIgor[[#Headers],[InterBurst_temp2]]</f>
        <v>InterBurst_temp2</v>
      </c>
      <c r="BX2" s="91" t="str">
        <f>BurstIgor[[#Headers],[IntraBurst_temp2]]</f>
        <v>IntraBurst_temp2</v>
      </c>
      <c r="BY2" s="91" t="str">
        <f>BurstIgor[[#Headers],[BurstsPerHour_temp2]]</f>
        <v>BurstsPerHour_temp2</v>
      </c>
    </row>
    <row r="3" spans="1:77" x14ac:dyDescent="0.2">
      <c r="A3" s="88">
        <v>0.01</v>
      </c>
      <c r="B3" s="6"/>
      <c r="C3" s="7"/>
      <c r="D3" s="8"/>
      <c r="E3" s="9"/>
      <c r="F3" s="6"/>
      <c r="G3" s="7"/>
      <c r="H3" s="8"/>
      <c r="I3" s="9"/>
      <c r="J3" s="6"/>
      <c r="K3" s="7"/>
      <c r="L3" s="8"/>
      <c r="M3" s="9"/>
      <c r="N3" s="6"/>
      <c r="O3" s="7"/>
      <c r="P3" s="8"/>
      <c r="Q3" s="9"/>
      <c r="R3" s="6"/>
      <c r="S3" s="7"/>
      <c r="T3" s="8"/>
      <c r="U3" s="9"/>
      <c r="V3" s="6"/>
      <c r="W3" s="7"/>
      <c r="X3" s="8"/>
      <c r="Y3" s="9"/>
      <c r="Z3" s="6"/>
      <c r="AA3" s="7"/>
      <c r="AB3" s="8"/>
      <c r="AC3" s="9"/>
      <c r="AD3" s="6"/>
      <c r="AE3" s="7"/>
      <c r="AF3" s="8"/>
      <c r="AG3" s="9"/>
      <c r="AH3" s="6"/>
      <c r="AI3" s="7"/>
      <c r="AJ3" s="8"/>
      <c r="AK3" s="9"/>
      <c r="AL3" s="89" t="str">
        <f>IF(ISNUMBER(BurstIgor[[#This Row],[BurstNum_spont]]), IF(ISNUMBER(SpontLength_min), BurstIgor[[#This Row],[BurstNum_spont]]/SpontLength_min*60, "Enter Length"), "Enter Burst Vals")</f>
        <v>Enter Burst Vals</v>
      </c>
      <c r="AM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" s="93" t="str" cm="1">
        <f t="array" ref="AN3">IF(ISNUMBER(BurstIgor[[#This Row],[BurstNum_temp2]]), IF(ISNUMBER(Temp2_length), BurstIgor[[#This Row],[BurstNum_temp2]]/Temp2_length*60, "Enter Length"), "Enter Burst Vals")</f>
        <v>Enter Burst Vals</v>
      </c>
      <c r="AO3" s="94" t="str" cm="1">
        <f t="array" ref="AO3">IF(ISNUMBER(BurstIgor[[#This Row],[BurstNum_temp3]]), IF(ISNUMBER(Temp3_length), BurstIgor[[#This Row],[BurstNum_temp3]]/Temp3_length*60, "Enter Length"), "Enter Burst Vals")</f>
        <v>Enter Burst Vals</v>
      </c>
      <c r="AQ3" s="88">
        <v>0.01</v>
      </c>
      <c r="AR3" s="89" t="str" cm="1">
        <f t="array" ref="AR3">IF(ISBLANK($B$3),"",BurstIgor[BurstNum_spont])</f>
        <v/>
      </c>
      <c r="AS3" s="89" t="str" cm="1">
        <f t="array" ref="AS3">IF(ISBLANK($B$3),"",BurstIgor[Mbd_spont])</f>
        <v/>
      </c>
      <c r="AT3" s="89" t="str" cm="1">
        <f t="array" ref="AT3">IF(ISBLANK($B$3),"",BurstIgor[SpikesPerBurst_spont])</f>
        <v/>
      </c>
      <c r="AU3" s="89" t="str" cm="1">
        <f t="array" ref="AU3">IF(ISBLANK($B$3),"",BurstIgor[BurstFreq_spont])</f>
        <v/>
      </c>
      <c r="AV3" s="89" t="str" cm="1">
        <f t="array" ref="AV3">IF(ISBLANK($B$3),"",BurstIgor[SingleSpikeNum_spont])</f>
        <v/>
      </c>
      <c r="AW3" s="89" t="str" cm="1">
        <f t="array" ref="AW3">IF(ISBLANK($B$3),"",BurstIgor[SingleSpikeFreq_spont])</f>
        <v/>
      </c>
      <c r="AX3" s="89" t="str" cm="1">
        <f t="array" ref="AX3">IF(ISBLANK($B$3),"",BurstIgor[TotalFreq_spont])</f>
        <v/>
      </c>
      <c r="AY3" s="89" t="str" cm="1">
        <f t="array" ref="AY3">IF(ISBLANK($B$3),"",BurstIgor[InterBurst_spont])</f>
        <v/>
      </c>
      <c r="AZ3" s="89" t="str" cm="1">
        <f t="array" ref="AZ3">IF(ISBLANK($B$3),"",BurstIgor[IntraBurst_spont])</f>
        <v/>
      </c>
      <c r="BA3" s="89" t="str" cm="1">
        <f t="array" ref="BA3">IF(ISBLANK($B$3),"",BurstIgor[BurstsPerHour_spont])</f>
        <v/>
      </c>
      <c r="BC3" s="88">
        <v>0.01</v>
      </c>
      <c r="BD3" s="92" t="str" cm="1">
        <f t="array" ref="BD3">IF(ISBLANK($C$3),"",BurstIgor[BurstNum_senktide])</f>
        <v/>
      </c>
      <c r="BE3" s="92" t="str" cm="1">
        <f t="array" ref="BE3">IF(ISBLANK($C$3),"",BurstIgor[Mbd_senktide])</f>
        <v/>
      </c>
      <c r="BF3" s="92" t="str" cm="1">
        <f t="array" ref="BF3">IF(ISBLANK($C$3),"",BurstIgor[SpikesPerBurst_senktide])</f>
        <v/>
      </c>
      <c r="BG3" s="92" t="str" cm="1">
        <f t="array" ref="BG3">IF(ISBLANK($C$3),"",BurstIgor[BurstFreq_senktide])</f>
        <v/>
      </c>
      <c r="BH3" s="92" t="str" cm="1">
        <f t="array" ref="BH3">IF(ISBLANK($C$3),"",BurstIgor[SingleSpikeNum_senktide])</f>
        <v/>
      </c>
      <c r="BI3" s="92" t="str" cm="1">
        <f t="array" ref="BI3">IF(ISBLANK($C$3),"",BurstIgor[SingleSpikeFreq_senktide])</f>
        <v/>
      </c>
      <c r="BJ3" s="92" t="str" cm="1">
        <f t="array" ref="BJ3">IF(ISBLANK($C$3),"",BurstIgor[TotalFreq_senktide])</f>
        <v/>
      </c>
      <c r="BK3" s="92" t="str" cm="1">
        <f t="array" ref="BK3">IF(ISBLANK($C$3),"",BurstIgor[InterBurst_senktide])</f>
        <v/>
      </c>
      <c r="BL3" s="92" t="str" cm="1">
        <f t="array" ref="BL3">IF(ISBLANK($C$3),"",BurstIgor[IntraBurst_senktide])</f>
        <v/>
      </c>
      <c r="BM3" s="92" t="str" cm="1">
        <f t="array" ref="BM3">IF(ISBLANK($B$3),"",BurstIgor[BurstsPerHour_senktide])</f>
        <v/>
      </c>
      <c r="BO3" s="88">
        <v>0.01</v>
      </c>
      <c r="BP3" s="93" t="str" cm="1">
        <f t="array" ref="BP3">IF(ISBLANK($D$3),"",BurstIgor[BurstNum_temp2])</f>
        <v/>
      </c>
      <c r="BQ3" s="93" t="str" cm="1">
        <f t="array" ref="BQ3">IF(ISBLANK($D$3),"",BurstIgor[Mbd_temp2])</f>
        <v/>
      </c>
      <c r="BR3" s="93" t="str" cm="1">
        <f t="array" ref="BR3">IF(ISBLANK($D$3),"",BurstIgor[SpikesPerBurst_temp2])</f>
        <v/>
      </c>
      <c r="BS3" s="93" t="str" cm="1">
        <f t="array" ref="BS3">IF(ISBLANK($D$3),"",BurstIgor[BurstFreq_temp2])</f>
        <v/>
      </c>
      <c r="BT3" s="93" t="str" cm="1">
        <f t="array" ref="BT3">IF(ISBLANK($D$3),"",BurstIgor[SingleSpikeNum_temp2])</f>
        <v/>
      </c>
      <c r="BU3" s="93" t="str" cm="1">
        <f t="array" ref="BU3">IF(ISBLANK($D$3),"",BurstIgor[SingleSpikeFreq_temp2])</f>
        <v/>
      </c>
      <c r="BV3" s="93" t="str" cm="1">
        <f t="array" ref="BV3">IF(ISBLANK($D$3),"",BurstIgor[TotalFreq_temp2])</f>
        <v/>
      </c>
      <c r="BW3" s="93" t="str" cm="1">
        <f t="array" ref="BW3">IF(ISBLANK($D$3),"",BurstIgor[InterBurst_temp2])</f>
        <v/>
      </c>
      <c r="BX3" s="93" t="str" cm="1">
        <f t="array" ref="BX3">IF(ISBLANK($D$3),"",BurstIgor[IntraBurst_temp2])</f>
        <v/>
      </c>
      <c r="BY3" s="93" t="str" cm="1">
        <f t="array" ref="BY3">IF(ISBLANK($B$3),"",BurstIgor[BurstsPerHour_temp2])</f>
        <v/>
      </c>
    </row>
    <row r="4" spans="1:77" x14ac:dyDescent="0.2">
      <c r="A4" s="88">
        <v>0.02</v>
      </c>
      <c r="B4" s="6"/>
      <c r="C4" s="7"/>
      <c r="D4" s="8"/>
      <c r="E4" s="9"/>
      <c r="F4" s="6"/>
      <c r="G4" s="7"/>
      <c r="H4" s="8"/>
      <c r="I4" s="9"/>
      <c r="J4" s="6"/>
      <c r="K4" s="7"/>
      <c r="L4" s="8"/>
      <c r="M4" s="9"/>
      <c r="N4" s="6"/>
      <c r="O4" s="7"/>
      <c r="P4" s="8"/>
      <c r="Q4" s="9"/>
      <c r="R4" s="6"/>
      <c r="S4" s="7"/>
      <c r="T4" s="8"/>
      <c r="U4" s="9"/>
      <c r="V4" s="6"/>
      <c r="W4" s="7"/>
      <c r="X4" s="8"/>
      <c r="Y4" s="9"/>
      <c r="Z4" s="6"/>
      <c r="AA4" s="7"/>
      <c r="AB4" s="8"/>
      <c r="AC4" s="9"/>
      <c r="AD4" s="6"/>
      <c r="AE4" s="7"/>
      <c r="AF4" s="8"/>
      <c r="AG4" s="9"/>
      <c r="AH4" s="6"/>
      <c r="AI4" s="7"/>
      <c r="AJ4" s="8"/>
      <c r="AK4" s="9"/>
      <c r="AL4" s="89" t="str">
        <f>IF(ISNUMBER(BurstIgor[[#This Row],[BurstNum_spont]]), IF(ISNUMBER(SpontLength_min), BurstIgor[[#This Row],[BurstNum_spont]]/SpontLength_min*60, "Enter Length"), "Enter Burst Vals")</f>
        <v>Enter Burst Vals</v>
      </c>
      <c r="AM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" s="93" t="str" cm="1">
        <f t="array" ref="AN4">IF(ISNUMBER(BurstIgor[[#This Row],[BurstNum_temp2]]), IF(ISNUMBER(Temp2_length), BurstIgor[[#This Row],[BurstNum_temp2]]/Temp2_length*60, "Enter Length"), "Enter Burst Vals")</f>
        <v>Enter Burst Vals</v>
      </c>
      <c r="AO4" s="94" t="str" cm="1">
        <f t="array" ref="AO4">IF(ISNUMBER(BurstIgor[[#This Row],[BurstNum_temp3]]), IF(ISNUMBER(Temp3_length), BurstIgor[[#This Row],[BurstNum_temp3]]/Temp3_length*60, "Enter Length"), "Enter Burst Vals")</f>
        <v>Enter Burst Vals</v>
      </c>
      <c r="AQ4" s="88">
        <v>0.02</v>
      </c>
      <c r="AR4" s="89"/>
      <c r="AS4" s="89"/>
      <c r="AT4" s="89"/>
      <c r="AU4" s="89"/>
      <c r="AV4" s="89"/>
      <c r="AW4" s="89"/>
      <c r="AX4" s="89"/>
      <c r="AY4" s="89"/>
      <c r="AZ4" s="89"/>
      <c r="BA4" s="89"/>
      <c r="BC4" s="88">
        <v>0.02</v>
      </c>
      <c r="BD4" s="92"/>
      <c r="BE4" s="92"/>
      <c r="BF4" s="92"/>
      <c r="BG4" s="92"/>
      <c r="BH4" s="92"/>
      <c r="BI4" s="92"/>
      <c r="BJ4" s="92"/>
      <c r="BK4" s="92"/>
      <c r="BL4" s="92"/>
      <c r="BM4" s="92"/>
      <c r="BO4" s="88">
        <v>0.02</v>
      </c>
      <c r="BP4" s="93"/>
      <c r="BQ4" s="93"/>
      <c r="BR4" s="93"/>
      <c r="BS4" s="93"/>
      <c r="BT4" s="93"/>
      <c r="BU4" s="93"/>
      <c r="BV4" s="93"/>
      <c r="BW4" s="93"/>
      <c r="BX4" s="93"/>
      <c r="BY4" s="93"/>
    </row>
    <row r="5" spans="1:77" x14ac:dyDescent="0.2">
      <c r="A5" s="88">
        <v>0.03</v>
      </c>
      <c r="B5" s="6"/>
      <c r="C5" s="7"/>
      <c r="D5" s="8"/>
      <c r="E5" s="9"/>
      <c r="F5" s="6"/>
      <c r="G5" s="7"/>
      <c r="H5" s="8"/>
      <c r="I5" s="9"/>
      <c r="J5" s="6"/>
      <c r="K5" s="7"/>
      <c r="L5" s="8"/>
      <c r="M5" s="9"/>
      <c r="N5" s="6"/>
      <c r="O5" s="7"/>
      <c r="P5" s="8"/>
      <c r="Q5" s="9"/>
      <c r="R5" s="6"/>
      <c r="S5" s="7"/>
      <c r="T5" s="8"/>
      <c r="U5" s="9"/>
      <c r="V5" s="6"/>
      <c r="W5" s="7"/>
      <c r="X5" s="8"/>
      <c r="Y5" s="9"/>
      <c r="Z5" s="6"/>
      <c r="AA5" s="7"/>
      <c r="AB5" s="8"/>
      <c r="AC5" s="9"/>
      <c r="AD5" s="6"/>
      <c r="AE5" s="7"/>
      <c r="AF5" s="8"/>
      <c r="AG5" s="9"/>
      <c r="AH5" s="6"/>
      <c r="AI5" s="7"/>
      <c r="AJ5" s="8"/>
      <c r="AK5" s="9"/>
      <c r="AL5" s="89" t="str">
        <f>IF(ISNUMBER(BurstIgor[[#This Row],[BurstNum_spont]]), IF(ISNUMBER(SpontLength_min), BurstIgor[[#This Row],[BurstNum_spont]]/SpontLength_min*60, "Enter Length"), "Enter Burst Vals")</f>
        <v>Enter Burst Vals</v>
      </c>
      <c r="AM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" s="93" t="str" cm="1">
        <f t="array" ref="AN5">IF(ISNUMBER(BurstIgor[[#This Row],[BurstNum_temp2]]), IF(ISNUMBER(Temp2_length), BurstIgor[[#This Row],[BurstNum_temp2]]/Temp2_length*60, "Enter Length"), "Enter Burst Vals")</f>
        <v>Enter Burst Vals</v>
      </c>
      <c r="AO5" s="94" t="str" cm="1">
        <f t="array" ref="AO5">IF(ISNUMBER(BurstIgor[[#This Row],[BurstNum_temp3]]), IF(ISNUMBER(Temp3_length), BurstIgor[[#This Row],[BurstNum_temp3]]/Temp3_length*60, "Enter Length"), "Enter Burst Vals")</f>
        <v>Enter Burst Vals</v>
      </c>
      <c r="AQ5" s="88">
        <v>0.03</v>
      </c>
      <c r="AR5" s="89"/>
      <c r="AS5" s="89"/>
      <c r="AT5" s="89"/>
      <c r="AU5" s="89"/>
      <c r="AV5" s="89"/>
      <c r="AW5" s="89"/>
      <c r="AX5" s="89"/>
      <c r="AY5" s="89"/>
      <c r="AZ5" s="89"/>
      <c r="BA5" s="89"/>
      <c r="BC5" s="88">
        <v>0.03</v>
      </c>
      <c r="BD5" s="92"/>
      <c r="BE5" s="92"/>
      <c r="BF5" s="92"/>
      <c r="BG5" s="92"/>
      <c r="BH5" s="92"/>
      <c r="BI5" s="92"/>
      <c r="BJ5" s="92"/>
      <c r="BK5" s="92"/>
      <c r="BL5" s="92"/>
      <c r="BM5" s="92"/>
      <c r="BO5" s="88">
        <v>0.03</v>
      </c>
      <c r="BP5" s="93"/>
      <c r="BQ5" s="93"/>
      <c r="BR5" s="93"/>
      <c r="BS5" s="93"/>
      <c r="BT5" s="93"/>
      <c r="BU5" s="93"/>
      <c r="BV5" s="93"/>
      <c r="BW5" s="93"/>
      <c r="BX5" s="93"/>
      <c r="BY5" s="93"/>
    </row>
    <row r="6" spans="1:77" x14ac:dyDescent="0.2">
      <c r="A6" s="88">
        <v>0.04</v>
      </c>
      <c r="B6" s="6"/>
      <c r="C6" s="7"/>
      <c r="D6" s="8"/>
      <c r="E6" s="9"/>
      <c r="F6" s="6"/>
      <c r="G6" s="7"/>
      <c r="H6" s="8"/>
      <c r="I6" s="9"/>
      <c r="J6" s="6"/>
      <c r="K6" s="7"/>
      <c r="L6" s="8"/>
      <c r="M6" s="9"/>
      <c r="N6" s="6"/>
      <c r="O6" s="7"/>
      <c r="P6" s="8"/>
      <c r="Q6" s="9"/>
      <c r="R6" s="6"/>
      <c r="S6" s="7"/>
      <c r="T6" s="8"/>
      <c r="U6" s="9"/>
      <c r="V6" s="6"/>
      <c r="W6" s="7"/>
      <c r="X6" s="8"/>
      <c r="Y6" s="9"/>
      <c r="Z6" s="6"/>
      <c r="AA6" s="7"/>
      <c r="AB6" s="8"/>
      <c r="AC6" s="9"/>
      <c r="AD6" s="6"/>
      <c r="AE6" s="7"/>
      <c r="AF6" s="8"/>
      <c r="AG6" s="9"/>
      <c r="AH6" s="6"/>
      <c r="AI6" s="7"/>
      <c r="AJ6" s="8"/>
      <c r="AK6" s="9"/>
      <c r="AL6" s="89" t="str">
        <f>IF(ISNUMBER(BurstIgor[[#This Row],[BurstNum_spont]]), IF(ISNUMBER(SpontLength_min), BurstIgor[[#This Row],[BurstNum_spont]]/SpontLength_min*60, "Enter Length"), "Enter Burst Vals")</f>
        <v>Enter Burst Vals</v>
      </c>
      <c r="AM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" s="93" t="str" cm="1">
        <f t="array" ref="AN6">IF(ISNUMBER(BurstIgor[[#This Row],[BurstNum_temp2]]), IF(ISNUMBER(Temp2_length), BurstIgor[[#This Row],[BurstNum_temp2]]/Temp2_length*60, "Enter Length"), "Enter Burst Vals")</f>
        <v>Enter Burst Vals</v>
      </c>
      <c r="AO6" s="94" t="str" cm="1">
        <f t="array" ref="AO6">IF(ISNUMBER(BurstIgor[[#This Row],[BurstNum_temp3]]), IF(ISNUMBER(Temp3_length), BurstIgor[[#This Row],[BurstNum_temp3]]/Temp3_length*60, "Enter Length"), "Enter Burst Vals")</f>
        <v>Enter Burst Vals</v>
      </c>
      <c r="AQ6" s="88">
        <v>0.04</v>
      </c>
      <c r="AR6" s="89"/>
      <c r="AS6" s="89"/>
      <c r="AT6" s="89"/>
      <c r="AU6" s="89"/>
      <c r="AV6" s="89"/>
      <c r="AW6" s="89"/>
      <c r="AX6" s="89"/>
      <c r="AY6" s="89"/>
      <c r="AZ6" s="89"/>
      <c r="BA6" s="89"/>
      <c r="BC6" s="88">
        <v>0.04</v>
      </c>
      <c r="BD6" s="92"/>
      <c r="BE6" s="92"/>
      <c r="BF6" s="92"/>
      <c r="BG6" s="92"/>
      <c r="BH6" s="92"/>
      <c r="BI6" s="92"/>
      <c r="BJ6" s="92"/>
      <c r="BK6" s="92"/>
      <c r="BL6" s="92"/>
      <c r="BM6" s="92"/>
      <c r="BO6" s="88">
        <v>0.04</v>
      </c>
      <c r="BP6" s="93"/>
      <c r="BQ6" s="93"/>
      <c r="BR6" s="93"/>
      <c r="BS6" s="93"/>
      <c r="BT6" s="93"/>
      <c r="BU6" s="93"/>
      <c r="BV6" s="93"/>
      <c r="BW6" s="93"/>
      <c r="BX6" s="93"/>
      <c r="BY6" s="93"/>
    </row>
    <row r="7" spans="1:77" x14ac:dyDescent="0.2">
      <c r="A7" s="88">
        <v>0.05</v>
      </c>
      <c r="B7" s="6"/>
      <c r="C7" s="7"/>
      <c r="D7" s="8"/>
      <c r="E7" s="9"/>
      <c r="F7" s="6"/>
      <c r="G7" s="7"/>
      <c r="H7" s="8"/>
      <c r="I7" s="9"/>
      <c r="J7" s="6"/>
      <c r="K7" s="7"/>
      <c r="L7" s="8"/>
      <c r="M7" s="9"/>
      <c r="N7" s="6"/>
      <c r="O7" s="7"/>
      <c r="P7" s="8"/>
      <c r="Q7" s="9"/>
      <c r="R7" s="6"/>
      <c r="S7" s="7"/>
      <c r="T7" s="8"/>
      <c r="U7" s="9"/>
      <c r="V7" s="6"/>
      <c r="W7" s="7"/>
      <c r="X7" s="8"/>
      <c r="Y7" s="9"/>
      <c r="Z7" s="6"/>
      <c r="AA7" s="7"/>
      <c r="AB7" s="8"/>
      <c r="AC7" s="9"/>
      <c r="AD7" s="6"/>
      <c r="AE7" s="7"/>
      <c r="AF7" s="8"/>
      <c r="AG7" s="9"/>
      <c r="AH7" s="6"/>
      <c r="AI7" s="7"/>
      <c r="AJ7" s="8"/>
      <c r="AK7" s="9"/>
      <c r="AL7" s="89" t="str">
        <f>IF(ISNUMBER(BurstIgor[[#This Row],[BurstNum_spont]]), IF(ISNUMBER(SpontLength_min), BurstIgor[[#This Row],[BurstNum_spont]]/SpontLength_min*60, "Enter Length"), "Enter Burst Vals")</f>
        <v>Enter Burst Vals</v>
      </c>
      <c r="AM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" s="93" t="str" cm="1">
        <f t="array" ref="AN7">IF(ISNUMBER(BurstIgor[[#This Row],[BurstNum_temp2]]), IF(ISNUMBER(Temp2_length), BurstIgor[[#This Row],[BurstNum_temp2]]/Temp2_length*60, "Enter Length"), "Enter Burst Vals")</f>
        <v>Enter Burst Vals</v>
      </c>
      <c r="AO7" s="94" t="str" cm="1">
        <f t="array" ref="AO7">IF(ISNUMBER(BurstIgor[[#This Row],[BurstNum_temp3]]), IF(ISNUMBER(Temp3_length), BurstIgor[[#This Row],[BurstNum_temp3]]/Temp3_length*60, "Enter Length"), "Enter Burst Vals")</f>
        <v>Enter Burst Vals</v>
      </c>
      <c r="AQ7" s="88">
        <v>0.05</v>
      </c>
      <c r="AR7" s="89"/>
      <c r="AS7" s="89"/>
      <c r="AT7" s="89"/>
      <c r="AU7" s="89"/>
      <c r="AV7" s="89"/>
      <c r="AW7" s="89"/>
      <c r="AX7" s="89"/>
      <c r="AY7" s="89"/>
      <c r="AZ7" s="89"/>
      <c r="BA7" s="89"/>
      <c r="BC7" s="88">
        <v>0.05</v>
      </c>
      <c r="BD7" s="92"/>
      <c r="BE7" s="92"/>
      <c r="BF7" s="92"/>
      <c r="BG7" s="92"/>
      <c r="BH7" s="92"/>
      <c r="BI7" s="92"/>
      <c r="BJ7" s="92"/>
      <c r="BK7" s="92"/>
      <c r="BL7" s="92"/>
      <c r="BM7" s="92"/>
      <c r="BO7" s="88">
        <v>0.05</v>
      </c>
      <c r="BP7" s="93"/>
      <c r="BQ7" s="93"/>
      <c r="BR7" s="93"/>
      <c r="BS7" s="93"/>
      <c r="BT7" s="93"/>
      <c r="BU7" s="93"/>
      <c r="BV7" s="93"/>
      <c r="BW7" s="93"/>
      <c r="BX7" s="93"/>
      <c r="BY7" s="93"/>
    </row>
    <row r="8" spans="1:77" x14ac:dyDescent="0.2">
      <c r="A8" s="88">
        <v>0.06</v>
      </c>
      <c r="B8" s="6"/>
      <c r="C8" s="7"/>
      <c r="D8" s="8"/>
      <c r="E8" s="9"/>
      <c r="F8" s="6"/>
      <c r="G8" s="7"/>
      <c r="H8" s="8"/>
      <c r="I8" s="9"/>
      <c r="J8" s="6"/>
      <c r="K8" s="7"/>
      <c r="L8" s="8"/>
      <c r="M8" s="9"/>
      <c r="N8" s="6"/>
      <c r="O8" s="7"/>
      <c r="P8" s="8"/>
      <c r="Q8" s="9"/>
      <c r="R8" s="6"/>
      <c r="S8" s="7"/>
      <c r="T8" s="8"/>
      <c r="U8" s="9"/>
      <c r="V8" s="6"/>
      <c r="W8" s="7"/>
      <c r="X8" s="8"/>
      <c r="Y8" s="9"/>
      <c r="Z8" s="6"/>
      <c r="AA8" s="7"/>
      <c r="AB8" s="8"/>
      <c r="AC8" s="9"/>
      <c r="AD8" s="6"/>
      <c r="AE8" s="7"/>
      <c r="AF8" s="8"/>
      <c r="AG8" s="9"/>
      <c r="AH8" s="6"/>
      <c r="AI8" s="7"/>
      <c r="AJ8" s="8"/>
      <c r="AK8" s="9"/>
      <c r="AL8" s="89" t="str">
        <f>IF(ISNUMBER(BurstIgor[[#This Row],[BurstNum_spont]]), IF(ISNUMBER(SpontLength_min), BurstIgor[[#This Row],[BurstNum_spont]]/SpontLength_min*60, "Enter Length"), "Enter Burst Vals")</f>
        <v>Enter Burst Vals</v>
      </c>
      <c r="AM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" s="93" t="str" cm="1">
        <f t="array" ref="AN8">IF(ISNUMBER(BurstIgor[[#This Row],[BurstNum_temp2]]), IF(ISNUMBER(Temp2_length), BurstIgor[[#This Row],[BurstNum_temp2]]/Temp2_length*60, "Enter Length"), "Enter Burst Vals")</f>
        <v>Enter Burst Vals</v>
      </c>
      <c r="AO8" s="94" t="str" cm="1">
        <f t="array" ref="AO8">IF(ISNUMBER(BurstIgor[[#This Row],[BurstNum_temp3]]), IF(ISNUMBER(Temp3_length), BurstIgor[[#This Row],[BurstNum_temp3]]/Temp3_length*60, "Enter Length"), "Enter Burst Vals")</f>
        <v>Enter Burst Vals</v>
      </c>
      <c r="AQ8" s="88">
        <v>0.06</v>
      </c>
      <c r="AR8" s="89"/>
      <c r="AS8" s="89"/>
      <c r="AT8" s="89"/>
      <c r="AU8" s="89"/>
      <c r="AV8" s="89"/>
      <c r="AW8" s="89"/>
      <c r="AX8" s="89"/>
      <c r="AY8" s="89"/>
      <c r="AZ8" s="89"/>
      <c r="BA8" s="89"/>
      <c r="BC8" s="88">
        <v>0.06</v>
      </c>
      <c r="BD8" s="92"/>
      <c r="BE8" s="92"/>
      <c r="BF8" s="92"/>
      <c r="BG8" s="92"/>
      <c r="BH8" s="92"/>
      <c r="BI8" s="92"/>
      <c r="BJ8" s="92"/>
      <c r="BK8" s="92"/>
      <c r="BL8" s="92"/>
      <c r="BM8" s="92"/>
      <c r="BO8" s="88">
        <v>0.06</v>
      </c>
      <c r="BP8" s="93"/>
      <c r="BQ8" s="93"/>
      <c r="BR8" s="93"/>
      <c r="BS8" s="93"/>
      <c r="BT8" s="93"/>
      <c r="BU8" s="93"/>
      <c r="BV8" s="93"/>
      <c r="BW8" s="93"/>
      <c r="BX8" s="93"/>
      <c r="BY8" s="93"/>
    </row>
    <row r="9" spans="1:77" x14ac:dyDescent="0.2">
      <c r="A9" s="88">
        <v>7.0000000000000007E-2</v>
      </c>
      <c r="B9" s="6"/>
      <c r="C9" s="7"/>
      <c r="D9" s="8"/>
      <c r="E9" s="9"/>
      <c r="F9" s="6"/>
      <c r="G9" s="7"/>
      <c r="H9" s="8"/>
      <c r="I9" s="9"/>
      <c r="J9" s="6"/>
      <c r="K9" s="7"/>
      <c r="L9" s="8"/>
      <c r="M9" s="9"/>
      <c r="N9" s="6"/>
      <c r="O9" s="7"/>
      <c r="P9" s="8"/>
      <c r="Q9" s="9"/>
      <c r="R9" s="6"/>
      <c r="S9" s="7"/>
      <c r="T9" s="8"/>
      <c r="U9" s="9"/>
      <c r="V9" s="6"/>
      <c r="W9" s="7"/>
      <c r="X9" s="8"/>
      <c r="Y9" s="9"/>
      <c r="Z9" s="6"/>
      <c r="AA9" s="7"/>
      <c r="AB9" s="8"/>
      <c r="AC9" s="9"/>
      <c r="AD9" s="6"/>
      <c r="AE9" s="7"/>
      <c r="AF9" s="8"/>
      <c r="AG9" s="9"/>
      <c r="AH9" s="6"/>
      <c r="AI9" s="7"/>
      <c r="AJ9" s="8"/>
      <c r="AK9" s="9"/>
      <c r="AL9" s="89" t="str">
        <f>IF(ISNUMBER(BurstIgor[[#This Row],[BurstNum_spont]]), IF(ISNUMBER(SpontLength_min), BurstIgor[[#This Row],[BurstNum_spont]]/SpontLength_min*60, "Enter Length"), "Enter Burst Vals")</f>
        <v>Enter Burst Vals</v>
      </c>
      <c r="AM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" s="93" t="str" cm="1">
        <f t="array" ref="AN9">IF(ISNUMBER(BurstIgor[[#This Row],[BurstNum_temp2]]), IF(ISNUMBER(Temp2_length), BurstIgor[[#This Row],[BurstNum_temp2]]/Temp2_length*60, "Enter Length"), "Enter Burst Vals")</f>
        <v>Enter Burst Vals</v>
      </c>
      <c r="AO9" s="94" t="str" cm="1">
        <f t="array" ref="AO9">IF(ISNUMBER(BurstIgor[[#This Row],[BurstNum_temp3]]), IF(ISNUMBER(Temp3_length), BurstIgor[[#This Row],[BurstNum_temp3]]/Temp3_length*60, "Enter Length"), "Enter Burst Vals")</f>
        <v>Enter Burst Vals</v>
      </c>
      <c r="AQ9" s="88">
        <v>7.0000000000000007E-2</v>
      </c>
      <c r="AR9" s="89"/>
      <c r="AS9" s="89"/>
      <c r="AT9" s="89"/>
      <c r="AU9" s="89"/>
      <c r="AV9" s="89"/>
      <c r="AW9" s="89"/>
      <c r="AX9" s="89"/>
      <c r="AY9" s="89"/>
      <c r="AZ9" s="89"/>
      <c r="BA9" s="89"/>
      <c r="BC9" s="88">
        <v>7.0000000000000007E-2</v>
      </c>
      <c r="BD9" s="92"/>
      <c r="BE9" s="92"/>
      <c r="BF9" s="92"/>
      <c r="BG9" s="92"/>
      <c r="BH9" s="92"/>
      <c r="BI9" s="92"/>
      <c r="BJ9" s="92"/>
      <c r="BK9" s="92"/>
      <c r="BL9" s="92"/>
      <c r="BM9" s="92"/>
      <c r="BO9" s="88">
        <v>7.0000000000000007E-2</v>
      </c>
      <c r="BP9" s="93"/>
      <c r="BQ9" s="93"/>
      <c r="BR9" s="93"/>
      <c r="BS9" s="93"/>
      <c r="BT9" s="93"/>
      <c r="BU9" s="93"/>
      <c r="BV9" s="93"/>
      <c r="BW9" s="93"/>
      <c r="BX9" s="93"/>
      <c r="BY9" s="93"/>
    </row>
    <row r="10" spans="1:77" x14ac:dyDescent="0.2">
      <c r="A10" s="88">
        <v>0.08</v>
      </c>
      <c r="B10" s="6"/>
      <c r="C10" s="7"/>
      <c r="D10" s="8"/>
      <c r="E10" s="9"/>
      <c r="F10" s="6"/>
      <c r="G10" s="7"/>
      <c r="H10" s="8"/>
      <c r="I10" s="9"/>
      <c r="J10" s="6"/>
      <c r="K10" s="7"/>
      <c r="L10" s="8"/>
      <c r="M10" s="9"/>
      <c r="N10" s="6"/>
      <c r="O10" s="7"/>
      <c r="P10" s="8"/>
      <c r="Q10" s="9"/>
      <c r="R10" s="6"/>
      <c r="S10" s="7"/>
      <c r="T10" s="8"/>
      <c r="U10" s="9"/>
      <c r="V10" s="6"/>
      <c r="W10" s="7"/>
      <c r="X10" s="8"/>
      <c r="Y10" s="9"/>
      <c r="Z10" s="6"/>
      <c r="AA10" s="7"/>
      <c r="AB10" s="8"/>
      <c r="AC10" s="9"/>
      <c r="AD10" s="6"/>
      <c r="AE10" s="7"/>
      <c r="AF10" s="8"/>
      <c r="AG10" s="9"/>
      <c r="AH10" s="6"/>
      <c r="AI10" s="7"/>
      <c r="AJ10" s="8"/>
      <c r="AK10" s="9"/>
      <c r="AL10" s="89" t="str">
        <f>IF(ISNUMBER(BurstIgor[[#This Row],[BurstNum_spont]]), IF(ISNUMBER(SpontLength_min), BurstIgor[[#This Row],[BurstNum_spont]]/SpontLength_min*60, "Enter Length"), "Enter Burst Vals")</f>
        <v>Enter Burst Vals</v>
      </c>
      <c r="AM1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0" s="93" t="str" cm="1">
        <f t="array" ref="AN10">IF(ISNUMBER(BurstIgor[[#This Row],[BurstNum_temp2]]), IF(ISNUMBER(Temp2_length), BurstIgor[[#This Row],[BurstNum_temp2]]/Temp2_length*60, "Enter Length"), "Enter Burst Vals")</f>
        <v>Enter Burst Vals</v>
      </c>
      <c r="AO10" s="94" t="str" cm="1">
        <f t="array" ref="AO10">IF(ISNUMBER(BurstIgor[[#This Row],[BurstNum_temp3]]), IF(ISNUMBER(Temp3_length), BurstIgor[[#This Row],[BurstNum_temp3]]/Temp3_length*60, "Enter Length"), "Enter Burst Vals")</f>
        <v>Enter Burst Vals</v>
      </c>
      <c r="AQ10" s="88">
        <v>0.08</v>
      </c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C10" s="88">
        <v>0.08</v>
      </c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O10" s="88">
        <v>0.08</v>
      </c>
      <c r="BP10" s="93"/>
      <c r="BQ10" s="93"/>
      <c r="BR10" s="93"/>
      <c r="BS10" s="93"/>
      <c r="BT10" s="93"/>
      <c r="BU10" s="93"/>
      <c r="BV10" s="93"/>
      <c r="BW10" s="93"/>
      <c r="BX10" s="93"/>
      <c r="BY10" s="93"/>
    </row>
    <row r="11" spans="1:77" x14ac:dyDescent="0.2">
      <c r="A11" s="88">
        <v>0.09</v>
      </c>
      <c r="B11" s="6"/>
      <c r="C11" s="7"/>
      <c r="D11" s="8"/>
      <c r="E11" s="9"/>
      <c r="F11" s="6"/>
      <c r="G11" s="7"/>
      <c r="H11" s="8"/>
      <c r="I11" s="9"/>
      <c r="J11" s="6"/>
      <c r="K11" s="7"/>
      <c r="L11" s="8"/>
      <c r="M11" s="9"/>
      <c r="N11" s="6"/>
      <c r="O11" s="7"/>
      <c r="P11" s="8"/>
      <c r="Q11" s="9"/>
      <c r="R11" s="6"/>
      <c r="S11" s="7"/>
      <c r="T11" s="8"/>
      <c r="U11" s="9"/>
      <c r="V11" s="6"/>
      <c r="W11" s="7"/>
      <c r="X11" s="8"/>
      <c r="Y11" s="9"/>
      <c r="Z11" s="6"/>
      <c r="AA11" s="7"/>
      <c r="AB11" s="8"/>
      <c r="AC11" s="9"/>
      <c r="AD11" s="6"/>
      <c r="AE11" s="7"/>
      <c r="AF11" s="8"/>
      <c r="AG11" s="9"/>
      <c r="AH11" s="6"/>
      <c r="AI11" s="7"/>
      <c r="AJ11" s="8"/>
      <c r="AK11" s="9"/>
      <c r="AL11" s="89" t="str">
        <f>IF(ISNUMBER(BurstIgor[[#This Row],[BurstNum_spont]]), IF(ISNUMBER(SpontLength_min), BurstIgor[[#This Row],[BurstNum_spont]]/SpontLength_min*60, "Enter Length"), "Enter Burst Vals")</f>
        <v>Enter Burst Vals</v>
      </c>
      <c r="AM1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1" s="93" t="str" cm="1">
        <f t="array" ref="AN11">IF(ISNUMBER(BurstIgor[[#This Row],[BurstNum_temp2]]), IF(ISNUMBER(Temp2_length), BurstIgor[[#This Row],[BurstNum_temp2]]/Temp2_length*60, "Enter Length"), "Enter Burst Vals")</f>
        <v>Enter Burst Vals</v>
      </c>
      <c r="AO11" s="94" t="str" cm="1">
        <f t="array" ref="AO11">IF(ISNUMBER(BurstIgor[[#This Row],[BurstNum_temp3]]), IF(ISNUMBER(Temp3_length), BurstIgor[[#This Row],[BurstNum_temp3]]/Temp3_length*60, "Enter Length"), "Enter Burst Vals")</f>
        <v>Enter Burst Vals</v>
      </c>
      <c r="AQ11" s="88">
        <v>0.09</v>
      </c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C11" s="88">
        <v>0.09</v>
      </c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O11" s="88">
        <v>0.09</v>
      </c>
      <c r="BP11" s="93"/>
      <c r="BQ11" s="93"/>
      <c r="BR11" s="93"/>
      <c r="BS11" s="93"/>
      <c r="BT11" s="93"/>
      <c r="BU11" s="93"/>
      <c r="BV11" s="93"/>
      <c r="BW11" s="93"/>
      <c r="BX11" s="93"/>
      <c r="BY11" s="93"/>
    </row>
    <row r="12" spans="1:77" x14ac:dyDescent="0.2">
      <c r="A12" s="88">
        <v>0.1</v>
      </c>
      <c r="B12" s="6"/>
      <c r="C12" s="7"/>
      <c r="D12" s="8"/>
      <c r="E12" s="9"/>
      <c r="F12" s="6"/>
      <c r="G12" s="7"/>
      <c r="H12" s="8"/>
      <c r="I12" s="9"/>
      <c r="J12" s="6"/>
      <c r="K12" s="7"/>
      <c r="L12" s="8"/>
      <c r="M12" s="9"/>
      <c r="N12" s="6"/>
      <c r="O12" s="7"/>
      <c r="P12" s="8"/>
      <c r="Q12" s="9"/>
      <c r="R12" s="6"/>
      <c r="S12" s="7"/>
      <c r="T12" s="8"/>
      <c r="U12" s="9"/>
      <c r="V12" s="6"/>
      <c r="W12" s="7"/>
      <c r="X12" s="8"/>
      <c r="Y12" s="9"/>
      <c r="Z12" s="6"/>
      <c r="AA12" s="7"/>
      <c r="AB12" s="8"/>
      <c r="AC12" s="9"/>
      <c r="AD12" s="6"/>
      <c r="AE12" s="7"/>
      <c r="AF12" s="8"/>
      <c r="AG12" s="9"/>
      <c r="AH12" s="6"/>
      <c r="AI12" s="7"/>
      <c r="AJ12" s="8"/>
      <c r="AK12" s="9"/>
      <c r="AL12" s="89" t="str">
        <f>IF(ISNUMBER(BurstIgor[[#This Row],[BurstNum_spont]]), IF(ISNUMBER(SpontLength_min), BurstIgor[[#This Row],[BurstNum_spont]]/SpontLength_min*60, "Enter Length"), "Enter Burst Vals")</f>
        <v>Enter Burst Vals</v>
      </c>
      <c r="AM1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2" s="93" t="str" cm="1">
        <f t="array" ref="AN12">IF(ISNUMBER(BurstIgor[[#This Row],[BurstNum_temp2]]), IF(ISNUMBER(Temp2_length), BurstIgor[[#This Row],[BurstNum_temp2]]/Temp2_length*60, "Enter Length"), "Enter Burst Vals")</f>
        <v>Enter Burst Vals</v>
      </c>
      <c r="AO12" s="94" t="str" cm="1">
        <f t="array" ref="AO12">IF(ISNUMBER(BurstIgor[[#This Row],[BurstNum_temp3]]), IF(ISNUMBER(Temp3_length), BurstIgor[[#This Row],[BurstNum_temp3]]/Temp3_length*60, "Enter Length"), "Enter Burst Vals")</f>
        <v>Enter Burst Vals</v>
      </c>
      <c r="AQ12" s="88">
        <v>0.1</v>
      </c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C12" s="88">
        <v>0.1</v>
      </c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O12" s="88">
        <v>0.1</v>
      </c>
      <c r="BP12" s="93"/>
      <c r="BQ12" s="93"/>
      <c r="BR12" s="93"/>
      <c r="BS12" s="93"/>
      <c r="BT12" s="93"/>
      <c r="BU12" s="93"/>
      <c r="BV12" s="93"/>
      <c r="BW12" s="93"/>
      <c r="BX12" s="93"/>
      <c r="BY12" s="93"/>
    </row>
    <row r="13" spans="1:77" x14ac:dyDescent="0.2">
      <c r="A13" s="88">
        <v>0.11</v>
      </c>
      <c r="B13" s="6"/>
      <c r="C13" s="7"/>
      <c r="D13" s="8"/>
      <c r="E13" s="9"/>
      <c r="F13" s="6"/>
      <c r="G13" s="7"/>
      <c r="H13" s="8"/>
      <c r="I13" s="9"/>
      <c r="J13" s="6"/>
      <c r="K13" s="7"/>
      <c r="L13" s="8"/>
      <c r="M13" s="9"/>
      <c r="N13" s="6"/>
      <c r="O13" s="7"/>
      <c r="P13" s="8"/>
      <c r="Q13" s="9"/>
      <c r="R13" s="6"/>
      <c r="S13" s="7"/>
      <c r="T13" s="8"/>
      <c r="U13" s="9"/>
      <c r="V13" s="6"/>
      <c r="W13" s="7"/>
      <c r="X13" s="8"/>
      <c r="Y13" s="9"/>
      <c r="Z13" s="6"/>
      <c r="AA13" s="7"/>
      <c r="AB13" s="8"/>
      <c r="AC13" s="9"/>
      <c r="AD13" s="6"/>
      <c r="AE13" s="7"/>
      <c r="AF13" s="8"/>
      <c r="AG13" s="9"/>
      <c r="AH13" s="6"/>
      <c r="AI13" s="7"/>
      <c r="AJ13" s="8"/>
      <c r="AK13" s="9"/>
      <c r="AL13" s="89" t="str">
        <f>IF(ISNUMBER(BurstIgor[[#This Row],[BurstNum_spont]]), IF(ISNUMBER(SpontLength_min), BurstIgor[[#This Row],[BurstNum_spont]]/SpontLength_min*60, "Enter Length"), "Enter Burst Vals")</f>
        <v>Enter Burst Vals</v>
      </c>
      <c r="AM1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3" s="93" t="str" cm="1">
        <f t="array" ref="AN13">IF(ISNUMBER(BurstIgor[[#This Row],[BurstNum_temp2]]), IF(ISNUMBER(Temp2_length), BurstIgor[[#This Row],[BurstNum_temp2]]/Temp2_length*60, "Enter Length"), "Enter Burst Vals")</f>
        <v>Enter Burst Vals</v>
      </c>
      <c r="AO13" s="94" t="str" cm="1">
        <f t="array" ref="AO13">IF(ISNUMBER(BurstIgor[[#This Row],[BurstNum_temp3]]), IF(ISNUMBER(Temp3_length), BurstIgor[[#This Row],[BurstNum_temp3]]/Temp3_length*60, "Enter Length"), "Enter Burst Vals")</f>
        <v>Enter Burst Vals</v>
      </c>
      <c r="AQ13" s="88">
        <v>0.11</v>
      </c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C13" s="88">
        <v>0.11</v>
      </c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O13" s="88">
        <v>0.11</v>
      </c>
      <c r="BP13" s="93"/>
      <c r="BQ13" s="93"/>
      <c r="BR13" s="93"/>
      <c r="BS13" s="93"/>
      <c r="BT13" s="93"/>
      <c r="BU13" s="93"/>
      <c r="BV13" s="93"/>
      <c r="BW13" s="93"/>
      <c r="BX13" s="93"/>
      <c r="BY13" s="93"/>
    </row>
    <row r="14" spans="1:77" x14ac:dyDescent="0.2">
      <c r="A14" s="88">
        <v>0.12</v>
      </c>
      <c r="B14" s="6"/>
      <c r="C14" s="7"/>
      <c r="D14" s="8"/>
      <c r="E14" s="9"/>
      <c r="F14" s="6"/>
      <c r="G14" s="7"/>
      <c r="H14" s="8"/>
      <c r="I14" s="9"/>
      <c r="J14" s="6"/>
      <c r="K14" s="7"/>
      <c r="L14" s="8"/>
      <c r="M14" s="9"/>
      <c r="N14" s="6"/>
      <c r="O14" s="7"/>
      <c r="P14" s="8"/>
      <c r="Q14" s="9"/>
      <c r="R14" s="6"/>
      <c r="S14" s="7"/>
      <c r="T14" s="8"/>
      <c r="U14" s="9"/>
      <c r="V14" s="6"/>
      <c r="W14" s="7"/>
      <c r="X14" s="8"/>
      <c r="Y14" s="9"/>
      <c r="Z14" s="6"/>
      <c r="AA14" s="7"/>
      <c r="AB14" s="8"/>
      <c r="AC14" s="9"/>
      <c r="AD14" s="6"/>
      <c r="AE14" s="7"/>
      <c r="AF14" s="8"/>
      <c r="AG14" s="9"/>
      <c r="AH14" s="6"/>
      <c r="AI14" s="7"/>
      <c r="AJ14" s="8"/>
      <c r="AK14" s="9"/>
      <c r="AL14" s="89" t="str">
        <f>IF(ISNUMBER(BurstIgor[[#This Row],[BurstNum_spont]]), IF(ISNUMBER(SpontLength_min), BurstIgor[[#This Row],[BurstNum_spont]]/SpontLength_min*60, "Enter Length"), "Enter Burst Vals")</f>
        <v>Enter Burst Vals</v>
      </c>
      <c r="AM1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4" s="93" t="str" cm="1">
        <f t="array" ref="AN14">IF(ISNUMBER(BurstIgor[[#This Row],[BurstNum_temp2]]), IF(ISNUMBER(Temp2_length), BurstIgor[[#This Row],[BurstNum_temp2]]/Temp2_length*60, "Enter Length"), "Enter Burst Vals")</f>
        <v>Enter Burst Vals</v>
      </c>
      <c r="AO14" s="94" t="str" cm="1">
        <f t="array" ref="AO14">IF(ISNUMBER(BurstIgor[[#This Row],[BurstNum_temp3]]), IF(ISNUMBER(Temp3_length), BurstIgor[[#This Row],[BurstNum_temp3]]/Temp3_length*60, "Enter Length"), "Enter Burst Vals")</f>
        <v>Enter Burst Vals</v>
      </c>
      <c r="AQ14" s="88">
        <v>0.12</v>
      </c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C14" s="88">
        <v>0.12</v>
      </c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O14" s="88">
        <v>0.12</v>
      </c>
      <c r="BP14" s="93"/>
      <c r="BQ14" s="93"/>
      <c r="BR14" s="93"/>
      <c r="BS14" s="93"/>
      <c r="BT14" s="93"/>
      <c r="BU14" s="93"/>
      <c r="BV14" s="93"/>
      <c r="BW14" s="93"/>
      <c r="BX14" s="93"/>
      <c r="BY14" s="93"/>
    </row>
    <row r="15" spans="1:77" x14ac:dyDescent="0.2">
      <c r="A15" s="88">
        <v>0.13</v>
      </c>
      <c r="B15" s="6"/>
      <c r="C15" s="7"/>
      <c r="D15" s="8"/>
      <c r="E15" s="9"/>
      <c r="F15" s="6"/>
      <c r="G15" s="7"/>
      <c r="H15" s="8"/>
      <c r="I15" s="9"/>
      <c r="J15" s="6"/>
      <c r="K15" s="7"/>
      <c r="L15" s="8"/>
      <c r="M15" s="9"/>
      <c r="N15" s="6"/>
      <c r="O15" s="7"/>
      <c r="P15" s="8"/>
      <c r="Q15" s="9"/>
      <c r="R15" s="6"/>
      <c r="S15" s="7"/>
      <c r="T15" s="8"/>
      <c r="U15" s="9"/>
      <c r="V15" s="6"/>
      <c r="W15" s="7"/>
      <c r="X15" s="8"/>
      <c r="Y15" s="9"/>
      <c r="Z15" s="6"/>
      <c r="AA15" s="7"/>
      <c r="AB15" s="8"/>
      <c r="AC15" s="9"/>
      <c r="AD15" s="6"/>
      <c r="AE15" s="7"/>
      <c r="AF15" s="8"/>
      <c r="AG15" s="9"/>
      <c r="AH15" s="6"/>
      <c r="AI15" s="7"/>
      <c r="AJ15" s="8"/>
      <c r="AK15" s="9"/>
      <c r="AL15" s="89" t="str">
        <f>IF(ISNUMBER(BurstIgor[[#This Row],[BurstNum_spont]]), IF(ISNUMBER(SpontLength_min), BurstIgor[[#This Row],[BurstNum_spont]]/SpontLength_min*60, "Enter Length"), "Enter Burst Vals")</f>
        <v>Enter Burst Vals</v>
      </c>
      <c r="AM1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5" s="93" t="str" cm="1">
        <f t="array" ref="AN15">IF(ISNUMBER(BurstIgor[[#This Row],[BurstNum_temp2]]), IF(ISNUMBER(Temp2_length), BurstIgor[[#This Row],[BurstNum_temp2]]/Temp2_length*60, "Enter Length"), "Enter Burst Vals")</f>
        <v>Enter Burst Vals</v>
      </c>
      <c r="AO15" s="94" t="str" cm="1">
        <f t="array" ref="AO15">IF(ISNUMBER(BurstIgor[[#This Row],[BurstNum_temp3]]), IF(ISNUMBER(Temp3_length), BurstIgor[[#This Row],[BurstNum_temp3]]/Temp3_length*60, "Enter Length"), "Enter Burst Vals")</f>
        <v>Enter Burst Vals</v>
      </c>
      <c r="AQ15" s="88">
        <v>0.13</v>
      </c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C15" s="88">
        <v>0.13</v>
      </c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O15" s="88">
        <v>0.13</v>
      </c>
      <c r="BP15" s="93"/>
      <c r="BQ15" s="93"/>
      <c r="BR15" s="93"/>
      <c r="BS15" s="93"/>
      <c r="BT15" s="93"/>
      <c r="BU15" s="93"/>
      <c r="BV15" s="93"/>
      <c r="BW15" s="93"/>
      <c r="BX15" s="93"/>
      <c r="BY15" s="93"/>
    </row>
    <row r="16" spans="1:77" x14ac:dyDescent="0.2">
      <c r="A16" s="88">
        <v>0.14000000000000001</v>
      </c>
      <c r="B16" s="6"/>
      <c r="C16" s="7"/>
      <c r="D16" s="8"/>
      <c r="E16" s="9"/>
      <c r="F16" s="6"/>
      <c r="G16" s="7"/>
      <c r="H16" s="8"/>
      <c r="I16" s="9"/>
      <c r="J16" s="6"/>
      <c r="K16" s="7"/>
      <c r="L16" s="8"/>
      <c r="M16" s="9"/>
      <c r="N16" s="6"/>
      <c r="O16" s="7"/>
      <c r="P16" s="8"/>
      <c r="Q16" s="9"/>
      <c r="R16" s="6"/>
      <c r="S16" s="7"/>
      <c r="T16" s="8"/>
      <c r="U16" s="9"/>
      <c r="V16" s="6"/>
      <c r="W16" s="7"/>
      <c r="X16" s="8"/>
      <c r="Y16" s="9"/>
      <c r="Z16" s="6"/>
      <c r="AA16" s="7"/>
      <c r="AB16" s="8"/>
      <c r="AC16" s="9"/>
      <c r="AD16" s="6"/>
      <c r="AE16" s="7"/>
      <c r="AF16" s="8"/>
      <c r="AG16" s="9"/>
      <c r="AH16" s="6"/>
      <c r="AI16" s="7"/>
      <c r="AJ16" s="8"/>
      <c r="AK16" s="9"/>
      <c r="AL16" s="89" t="str">
        <f>IF(ISNUMBER(BurstIgor[[#This Row],[BurstNum_spont]]), IF(ISNUMBER(SpontLength_min), BurstIgor[[#This Row],[BurstNum_spont]]/SpontLength_min*60, "Enter Length"), "Enter Burst Vals")</f>
        <v>Enter Burst Vals</v>
      </c>
      <c r="AM1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6" s="93" t="str" cm="1">
        <f t="array" ref="AN16">IF(ISNUMBER(BurstIgor[[#This Row],[BurstNum_temp2]]), IF(ISNUMBER(Temp2_length), BurstIgor[[#This Row],[BurstNum_temp2]]/Temp2_length*60, "Enter Length"), "Enter Burst Vals")</f>
        <v>Enter Burst Vals</v>
      </c>
      <c r="AO16" s="94" t="str" cm="1">
        <f t="array" ref="AO16">IF(ISNUMBER(BurstIgor[[#This Row],[BurstNum_temp3]]), IF(ISNUMBER(Temp3_length), BurstIgor[[#This Row],[BurstNum_temp3]]/Temp3_length*60, "Enter Length"), "Enter Burst Vals")</f>
        <v>Enter Burst Vals</v>
      </c>
      <c r="AQ16" s="88">
        <v>0.14000000000000001</v>
      </c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C16" s="88">
        <v>0.14000000000000001</v>
      </c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O16" s="88">
        <v>0.14000000000000001</v>
      </c>
      <c r="BP16" s="93"/>
      <c r="BQ16" s="93"/>
      <c r="BR16" s="93"/>
      <c r="BS16" s="93"/>
      <c r="BT16" s="93"/>
      <c r="BU16" s="93"/>
      <c r="BV16" s="93"/>
      <c r="BW16" s="93"/>
      <c r="BX16" s="93"/>
      <c r="BY16" s="93"/>
    </row>
    <row r="17" spans="1:77" x14ac:dyDescent="0.2">
      <c r="A17" s="88">
        <v>0.15</v>
      </c>
      <c r="B17" s="6"/>
      <c r="C17" s="7"/>
      <c r="D17" s="8"/>
      <c r="E17" s="9"/>
      <c r="F17" s="6"/>
      <c r="G17" s="7"/>
      <c r="H17" s="8"/>
      <c r="I17" s="9"/>
      <c r="J17" s="6"/>
      <c r="K17" s="7"/>
      <c r="L17" s="8"/>
      <c r="M17" s="9"/>
      <c r="N17" s="6"/>
      <c r="O17" s="7"/>
      <c r="P17" s="8"/>
      <c r="Q17" s="9"/>
      <c r="R17" s="6"/>
      <c r="S17" s="7"/>
      <c r="T17" s="8"/>
      <c r="U17" s="9"/>
      <c r="V17" s="6"/>
      <c r="W17" s="7"/>
      <c r="X17" s="8"/>
      <c r="Y17" s="9"/>
      <c r="Z17" s="6"/>
      <c r="AA17" s="7"/>
      <c r="AB17" s="8"/>
      <c r="AC17" s="9"/>
      <c r="AD17" s="6"/>
      <c r="AE17" s="7"/>
      <c r="AF17" s="8"/>
      <c r="AG17" s="9"/>
      <c r="AH17" s="6"/>
      <c r="AI17" s="7"/>
      <c r="AJ17" s="8"/>
      <c r="AK17" s="9"/>
      <c r="AL17" s="89" t="str">
        <f>IF(ISNUMBER(BurstIgor[[#This Row],[BurstNum_spont]]), IF(ISNUMBER(SpontLength_min), BurstIgor[[#This Row],[BurstNum_spont]]/SpontLength_min*60, "Enter Length"), "Enter Burst Vals")</f>
        <v>Enter Burst Vals</v>
      </c>
      <c r="AM1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7" s="93" t="str" cm="1">
        <f t="array" ref="AN17">IF(ISNUMBER(BurstIgor[[#This Row],[BurstNum_temp2]]), IF(ISNUMBER(Temp2_length), BurstIgor[[#This Row],[BurstNum_temp2]]/Temp2_length*60, "Enter Length"), "Enter Burst Vals")</f>
        <v>Enter Burst Vals</v>
      </c>
      <c r="AO17" s="94" t="str" cm="1">
        <f t="array" ref="AO17">IF(ISNUMBER(BurstIgor[[#This Row],[BurstNum_temp3]]), IF(ISNUMBER(Temp3_length), BurstIgor[[#This Row],[BurstNum_temp3]]/Temp3_length*60, "Enter Length"), "Enter Burst Vals")</f>
        <v>Enter Burst Vals</v>
      </c>
      <c r="AQ17" s="88">
        <v>0.15</v>
      </c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C17" s="88">
        <v>0.15</v>
      </c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O17" s="88">
        <v>0.15</v>
      </c>
      <c r="BP17" s="93"/>
      <c r="BQ17" s="93"/>
      <c r="BR17" s="93"/>
      <c r="BS17" s="93"/>
      <c r="BT17" s="93"/>
      <c r="BU17" s="93"/>
      <c r="BV17" s="93"/>
      <c r="BW17" s="93"/>
      <c r="BX17" s="93"/>
      <c r="BY17" s="93"/>
    </row>
    <row r="18" spans="1:77" x14ac:dyDescent="0.2">
      <c r="A18" s="88">
        <v>0.16</v>
      </c>
      <c r="B18" s="6"/>
      <c r="C18" s="7"/>
      <c r="D18" s="8"/>
      <c r="E18" s="9"/>
      <c r="F18" s="6"/>
      <c r="G18" s="7"/>
      <c r="H18" s="8"/>
      <c r="I18" s="9"/>
      <c r="J18" s="6"/>
      <c r="K18" s="7"/>
      <c r="L18" s="8"/>
      <c r="M18" s="9"/>
      <c r="N18" s="6"/>
      <c r="O18" s="7"/>
      <c r="P18" s="8"/>
      <c r="Q18" s="9"/>
      <c r="R18" s="6"/>
      <c r="S18" s="7"/>
      <c r="T18" s="8"/>
      <c r="U18" s="9"/>
      <c r="V18" s="6"/>
      <c r="W18" s="7"/>
      <c r="X18" s="8"/>
      <c r="Y18" s="9"/>
      <c r="Z18" s="6"/>
      <c r="AA18" s="7"/>
      <c r="AB18" s="8"/>
      <c r="AC18" s="9"/>
      <c r="AD18" s="6"/>
      <c r="AE18" s="7"/>
      <c r="AF18" s="8"/>
      <c r="AG18" s="9"/>
      <c r="AH18" s="6"/>
      <c r="AI18" s="7"/>
      <c r="AJ18" s="8"/>
      <c r="AK18" s="9"/>
      <c r="AL18" s="89" t="str">
        <f>IF(ISNUMBER(BurstIgor[[#This Row],[BurstNum_spont]]), IF(ISNUMBER(SpontLength_min), BurstIgor[[#This Row],[BurstNum_spont]]/SpontLength_min*60, "Enter Length"), "Enter Burst Vals")</f>
        <v>Enter Burst Vals</v>
      </c>
      <c r="AM1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8" s="93" t="str" cm="1">
        <f t="array" ref="AN18">IF(ISNUMBER(BurstIgor[[#This Row],[BurstNum_temp2]]), IF(ISNUMBER(Temp2_length), BurstIgor[[#This Row],[BurstNum_temp2]]/Temp2_length*60, "Enter Length"), "Enter Burst Vals")</f>
        <v>Enter Burst Vals</v>
      </c>
      <c r="AO18" s="94" t="str" cm="1">
        <f t="array" ref="AO18">IF(ISNUMBER(BurstIgor[[#This Row],[BurstNum_temp3]]), IF(ISNUMBER(Temp3_length), BurstIgor[[#This Row],[BurstNum_temp3]]/Temp3_length*60, "Enter Length"), "Enter Burst Vals")</f>
        <v>Enter Burst Vals</v>
      </c>
      <c r="AQ18" s="88">
        <v>0.16</v>
      </c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C18" s="88">
        <v>0.16</v>
      </c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O18" s="88">
        <v>0.16</v>
      </c>
      <c r="BP18" s="93"/>
      <c r="BQ18" s="93"/>
      <c r="BR18" s="93"/>
      <c r="BS18" s="93"/>
      <c r="BT18" s="93"/>
      <c r="BU18" s="93"/>
      <c r="BV18" s="93"/>
      <c r="BW18" s="93"/>
      <c r="BX18" s="93"/>
      <c r="BY18" s="93"/>
    </row>
    <row r="19" spans="1:77" x14ac:dyDescent="0.2">
      <c r="A19" s="88">
        <v>0.17</v>
      </c>
      <c r="B19" s="6"/>
      <c r="C19" s="7"/>
      <c r="D19" s="8"/>
      <c r="E19" s="9"/>
      <c r="F19" s="6"/>
      <c r="G19" s="7"/>
      <c r="H19" s="8"/>
      <c r="I19" s="9"/>
      <c r="J19" s="6"/>
      <c r="K19" s="7"/>
      <c r="L19" s="8"/>
      <c r="M19" s="9"/>
      <c r="N19" s="6"/>
      <c r="O19" s="7"/>
      <c r="P19" s="8"/>
      <c r="Q19" s="9"/>
      <c r="R19" s="6"/>
      <c r="S19" s="7"/>
      <c r="T19" s="8"/>
      <c r="U19" s="9"/>
      <c r="V19" s="6"/>
      <c r="W19" s="7"/>
      <c r="X19" s="8"/>
      <c r="Y19" s="9"/>
      <c r="Z19" s="6"/>
      <c r="AA19" s="7"/>
      <c r="AB19" s="8"/>
      <c r="AC19" s="9"/>
      <c r="AD19" s="6"/>
      <c r="AE19" s="7"/>
      <c r="AF19" s="8"/>
      <c r="AG19" s="9"/>
      <c r="AH19" s="6"/>
      <c r="AI19" s="7"/>
      <c r="AJ19" s="8"/>
      <c r="AK19" s="9"/>
      <c r="AL19" s="89" t="str">
        <f>IF(ISNUMBER(BurstIgor[[#This Row],[BurstNum_spont]]), IF(ISNUMBER(SpontLength_min), BurstIgor[[#This Row],[BurstNum_spont]]/SpontLength_min*60, "Enter Length"), "Enter Burst Vals")</f>
        <v>Enter Burst Vals</v>
      </c>
      <c r="AM1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9" s="93" t="str" cm="1">
        <f t="array" ref="AN19">IF(ISNUMBER(BurstIgor[[#This Row],[BurstNum_temp2]]), IF(ISNUMBER(Temp2_length), BurstIgor[[#This Row],[BurstNum_temp2]]/Temp2_length*60, "Enter Length"), "Enter Burst Vals")</f>
        <v>Enter Burst Vals</v>
      </c>
      <c r="AO19" s="94" t="str" cm="1">
        <f t="array" ref="AO19">IF(ISNUMBER(BurstIgor[[#This Row],[BurstNum_temp3]]), IF(ISNUMBER(Temp3_length), BurstIgor[[#This Row],[BurstNum_temp3]]/Temp3_length*60, "Enter Length"), "Enter Burst Vals")</f>
        <v>Enter Burst Vals</v>
      </c>
      <c r="AQ19" s="88">
        <v>0.17</v>
      </c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C19" s="88">
        <v>0.17</v>
      </c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O19" s="88">
        <v>0.17</v>
      </c>
      <c r="BP19" s="93"/>
      <c r="BQ19" s="93"/>
      <c r="BR19" s="93"/>
      <c r="BS19" s="93"/>
      <c r="BT19" s="93"/>
      <c r="BU19" s="93"/>
      <c r="BV19" s="93"/>
      <c r="BW19" s="93"/>
      <c r="BX19" s="93"/>
      <c r="BY19" s="93"/>
    </row>
    <row r="20" spans="1:77" x14ac:dyDescent="0.2">
      <c r="A20" s="88">
        <v>0.18</v>
      </c>
      <c r="B20" s="6"/>
      <c r="C20" s="7"/>
      <c r="D20" s="8"/>
      <c r="E20" s="9"/>
      <c r="F20" s="6"/>
      <c r="G20" s="7"/>
      <c r="H20" s="8"/>
      <c r="I20" s="9"/>
      <c r="J20" s="6"/>
      <c r="K20" s="7"/>
      <c r="L20" s="8"/>
      <c r="M20" s="9"/>
      <c r="N20" s="6"/>
      <c r="O20" s="7"/>
      <c r="P20" s="8"/>
      <c r="Q20" s="9"/>
      <c r="R20" s="6"/>
      <c r="S20" s="7"/>
      <c r="T20" s="8"/>
      <c r="U20" s="9"/>
      <c r="V20" s="6"/>
      <c r="W20" s="7"/>
      <c r="X20" s="8"/>
      <c r="Y20" s="9"/>
      <c r="Z20" s="6"/>
      <c r="AA20" s="7"/>
      <c r="AB20" s="8"/>
      <c r="AC20" s="9"/>
      <c r="AD20" s="6"/>
      <c r="AE20" s="7"/>
      <c r="AF20" s="8"/>
      <c r="AG20" s="9"/>
      <c r="AH20" s="6"/>
      <c r="AI20" s="7"/>
      <c r="AJ20" s="8"/>
      <c r="AK20" s="9"/>
      <c r="AL20" s="89" t="str">
        <f>IF(ISNUMBER(BurstIgor[[#This Row],[BurstNum_spont]]), IF(ISNUMBER(SpontLength_min), BurstIgor[[#This Row],[BurstNum_spont]]/SpontLength_min*60, "Enter Length"), "Enter Burst Vals")</f>
        <v>Enter Burst Vals</v>
      </c>
      <c r="AM2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0" s="93" t="str" cm="1">
        <f t="array" ref="AN20">IF(ISNUMBER(BurstIgor[[#This Row],[BurstNum_temp2]]), IF(ISNUMBER(Temp2_length), BurstIgor[[#This Row],[BurstNum_temp2]]/Temp2_length*60, "Enter Length"), "Enter Burst Vals")</f>
        <v>Enter Burst Vals</v>
      </c>
      <c r="AO20" s="94" t="str" cm="1">
        <f t="array" ref="AO20">IF(ISNUMBER(BurstIgor[[#This Row],[BurstNum_temp3]]), IF(ISNUMBER(Temp3_length), BurstIgor[[#This Row],[BurstNum_temp3]]/Temp3_length*60, "Enter Length"), "Enter Burst Vals")</f>
        <v>Enter Burst Vals</v>
      </c>
      <c r="AQ20" s="88">
        <v>0.18</v>
      </c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C20" s="88">
        <v>0.18</v>
      </c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O20" s="88">
        <v>0.18</v>
      </c>
      <c r="BP20" s="93"/>
      <c r="BQ20" s="93"/>
      <c r="BR20" s="93"/>
      <c r="BS20" s="93"/>
      <c r="BT20" s="93"/>
      <c r="BU20" s="93"/>
      <c r="BV20" s="93"/>
      <c r="BW20" s="93"/>
      <c r="BX20" s="93"/>
      <c r="BY20" s="93"/>
    </row>
    <row r="21" spans="1:77" x14ac:dyDescent="0.2">
      <c r="A21" s="88">
        <v>0.19</v>
      </c>
      <c r="B21" s="6"/>
      <c r="C21" s="7"/>
      <c r="D21" s="8"/>
      <c r="E21" s="9"/>
      <c r="F21" s="6"/>
      <c r="G21" s="7"/>
      <c r="H21" s="8"/>
      <c r="I21" s="9"/>
      <c r="J21" s="6"/>
      <c r="K21" s="7"/>
      <c r="L21" s="8"/>
      <c r="M21" s="9"/>
      <c r="N21" s="6"/>
      <c r="O21" s="7"/>
      <c r="P21" s="8"/>
      <c r="Q21" s="9"/>
      <c r="R21" s="6"/>
      <c r="S21" s="7"/>
      <c r="T21" s="8"/>
      <c r="U21" s="9"/>
      <c r="V21" s="6"/>
      <c r="W21" s="7"/>
      <c r="X21" s="8"/>
      <c r="Y21" s="9"/>
      <c r="Z21" s="6"/>
      <c r="AA21" s="7"/>
      <c r="AB21" s="8"/>
      <c r="AC21" s="9"/>
      <c r="AD21" s="6"/>
      <c r="AE21" s="7"/>
      <c r="AF21" s="8"/>
      <c r="AG21" s="9"/>
      <c r="AH21" s="6"/>
      <c r="AI21" s="7"/>
      <c r="AJ21" s="8"/>
      <c r="AK21" s="9"/>
      <c r="AL21" s="89" t="str">
        <f>IF(ISNUMBER(BurstIgor[[#This Row],[BurstNum_spont]]), IF(ISNUMBER(SpontLength_min), BurstIgor[[#This Row],[BurstNum_spont]]/SpontLength_min*60, "Enter Length"), "Enter Burst Vals")</f>
        <v>Enter Burst Vals</v>
      </c>
      <c r="AM2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1" s="93" t="str" cm="1">
        <f t="array" ref="AN21">IF(ISNUMBER(BurstIgor[[#This Row],[BurstNum_temp2]]), IF(ISNUMBER(Temp2_length), BurstIgor[[#This Row],[BurstNum_temp2]]/Temp2_length*60, "Enter Length"), "Enter Burst Vals")</f>
        <v>Enter Burst Vals</v>
      </c>
      <c r="AO21" s="94" t="str" cm="1">
        <f t="array" ref="AO21">IF(ISNUMBER(BurstIgor[[#This Row],[BurstNum_temp3]]), IF(ISNUMBER(Temp3_length), BurstIgor[[#This Row],[BurstNum_temp3]]/Temp3_length*60, "Enter Length"), "Enter Burst Vals")</f>
        <v>Enter Burst Vals</v>
      </c>
      <c r="AQ21" s="88">
        <v>0.19</v>
      </c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C21" s="88">
        <v>0.19</v>
      </c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O21" s="88">
        <v>0.19</v>
      </c>
      <c r="BP21" s="93"/>
      <c r="BQ21" s="93"/>
      <c r="BR21" s="93"/>
      <c r="BS21" s="93"/>
      <c r="BT21" s="93"/>
      <c r="BU21" s="93"/>
      <c r="BV21" s="93"/>
      <c r="BW21" s="93"/>
      <c r="BX21" s="93"/>
      <c r="BY21" s="93"/>
    </row>
    <row r="22" spans="1:77" x14ac:dyDescent="0.2">
      <c r="A22" s="88">
        <v>0.2</v>
      </c>
      <c r="B22" s="6"/>
      <c r="C22" s="7"/>
      <c r="D22" s="8"/>
      <c r="E22" s="9"/>
      <c r="F22" s="6"/>
      <c r="G22" s="7"/>
      <c r="H22" s="8"/>
      <c r="I22" s="9"/>
      <c r="J22" s="6"/>
      <c r="K22" s="7"/>
      <c r="L22" s="8"/>
      <c r="M22" s="9"/>
      <c r="N22" s="6"/>
      <c r="O22" s="7"/>
      <c r="P22" s="8"/>
      <c r="Q22" s="9"/>
      <c r="R22" s="6"/>
      <c r="S22" s="7"/>
      <c r="T22" s="8"/>
      <c r="U22" s="9"/>
      <c r="V22" s="6"/>
      <c r="W22" s="7"/>
      <c r="X22" s="8"/>
      <c r="Y22" s="9"/>
      <c r="Z22" s="6"/>
      <c r="AA22" s="7"/>
      <c r="AB22" s="8"/>
      <c r="AC22" s="9"/>
      <c r="AD22" s="6"/>
      <c r="AE22" s="7"/>
      <c r="AF22" s="8"/>
      <c r="AG22" s="9"/>
      <c r="AH22" s="6"/>
      <c r="AI22" s="7"/>
      <c r="AJ22" s="8"/>
      <c r="AK22" s="9"/>
      <c r="AL22" s="89" t="str">
        <f>IF(ISNUMBER(BurstIgor[[#This Row],[BurstNum_spont]]), IF(ISNUMBER(SpontLength_min), BurstIgor[[#This Row],[BurstNum_spont]]/SpontLength_min*60, "Enter Length"), "Enter Burst Vals")</f>
        <v>Enter Burst Vals</v>
      </c>
      <c r="AM2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2" s="93" t="str" cm="1">
        <f t="array" ref="AN22">IF(ISNUMBER(BurstIgor[[#This Row],[BurstNum_temp2]]), IF(ISNUMBER(Temp2_length), BurstIgor[[#This Row],[BurstNum_temp2]]/Temp2_length*60, "Enter Length"), "Enter Burst Vals")</f>
        <v>Enter Burst Vals</v>
      </c>
      <c r="AO22" s="94" t="str" cm="1">
        <f t="array" ref="AO22">IF(ISNUMBER(BurstIgor[[#This Row],[BurstNum_temp3]]), IF(ISNUMBER(Temp3_length), BurstIgor[[#This Row],[BurstNum_temp3]]/Temp3_length*60, "Enter Length"), "Enter Burst Vals")</f>
        <v>Enter Burst Vals</v>
      </c>
      <c r="AQ22" s="88">
        <v>0.2</v>
      </c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C22" s="88">
        <v>0.2</v>
      </c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O22" s="88">
        <v>0.2</v>
      </c>
      <c r="BP22" s="93"/>
      <c r="BQ22" s="93"/>
      <c r="BR22" s="93"/>
      <c r="BS22" s="93"/>
      <c r="BT22" s="93"/>
      <c r="BU22" s="93"/>
      <c r="BV22" s="93"/>
      <c r="BW22" s="93"/>
      <c r="BX22" s="93"/>
      <c r="BY22" s="93"/>
    </row>
    <row r="23" spans="1:77" x14ac:dyDescent="0.2">
      <c r="A23" s="88">
        <v>0.21</v>
      </c>
      <c r="B23" s="6"/>
      <c r="C23" s="7"/>
      <c r="D23" s="8"/>
      <c r="E23" s="9"/>
      <c r="F23" s="6"/>
      <c r="G23" s="7"/>
      <c r="H23" s="8"/>
      <c r="I23" s="9"/>
      <c r="J23" s="6"/>
      <c r="K23" s="7"/>
      <c r="L23" s="8"/>
      <c r="M23" s="9"/>
      <c r="N23" s="6"/>
      <c r="O23" s="7"/>
      <c r="P23" s="8"/>
      <c r="Q23" s="9"/>
      <c r="R23" s="6"/>
      <c r="S23" s="7"/>
      <c r="T23" s="8"/>
      <c r="U23" s="9"/>
      <c r="V23" s="6"/>
      <c r="W23" s="7"/>
      <c r="X23" s="8"/>
      <c r="Y23" s="9"/>
      <c r="Z23" s="6"/>
      <c r="AA23" s="7"/>
      <c r="AB23" s="8"/>
      <c r="AC23" s="9"/>
      <c r="AD23" s="6"/>
      <c r="AE23" s="7"/>
      <c r="AF23" s="8"/>
      <c r="AG23" s="9"/>
      <c r="AH23" s="6"/>
      <c r="AI23" s="7"/>
      <c r="AJ23" s="8"/>
      <c r="AK23" s="9"/>
      <c r="AL23" s="89" t="str">
        <f>IF(ISNUMBER(BurstIgor[[#This Row],[BurstNum_spont]]), IF(ISNUMBER(SpontLength_min), BurstIgor[[#This Row],[BurstNum_spont]]/SpontLength_min*60, "Enter Length"), "Enter Burst Vals")</f>
        <v>Enter Burst Vals</v>
      </c>
      <c r="AM2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3" s="93" t="str" cm="1">
        <f t="array" ref="AN23">IF(ISNUMBER(BurstIgor[[#This Row],[BurstNum_temp2]]), IF(ISNUMBER(Temp2_length), BurstIgor[[#This Row],[BurstNum_temp2]]/Temp2_length*60, "Enter Length"), "Enter Burst Vals")</f>
        <v>Enter Burst Vals</v>
      </c>
      <c r="AO23" s="94" t="str" cm="1">
        <f t="array" ref="AO23">IF(ISNUMBER(BurstIgor[[#This Row],[BurstNum_temp3]]), IF(ISNUMBER(Temp3_length), BurstIgor[[#This Row],[BurstNum_temp3]]/Temp3_length*60, "Enter Length"), "Enter Burst Vals")</f>
        <v>Enter Burst Vals</v>
      </c>
      <c r="AQ23" s="88">
        <v>0.21</v>
      </c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C23" s="88">
        <v>0.21</v>
      </c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O23" s="88">
        <v>0.21</v>
      </c>
      <c r="BP23" s="93"/>
      <c r="BQ23" s="93"/>
      <c r="BR23" s="93"/>
      <c r="BS23" s="93"/>
      <c r="BT23" s="93"/>
      <c r="BU23" s="93"/>
      <c r="BV23" s="93"/>
      <c r="BW23" s="93"/>
      <c r="BX23" s="93"/>
      <c r="BY23" s="93"/>
    </row>
    <row r="24" spans="1:77" x14ac:dyDescent="0.2">
      <c r="A24" s="88">
        <v>0.22</v>
      </c>
      <c r="B24" s="6"/>
      <c r="C24" s="7"/>
      <c r="D24" s="8"/>
      <c r="E24" s="9"/>
      <c r="F24" s="6"/>
      <c r="G24" s="7"/>
      <c r="H24" s="8"/>
      <c r="I24" s="9"/>
      <c r="J24" s="6"/>
      <c r="K24" s="7"/>
      <c r="L24" s="8"/>
      <c r="M24" s="9"/>
      <c r="N24" s="6"/>
      <c r="O24" s="7"/>
      <c r="P24" s="8"/>
      <c r="Q24" s="9"/>
      <c r="R24" s="6"/>
      <c r="S24" s="7"/>
      <c r="T24" s="8"/>
      <c r="U24" s="9"/>
      <c r="V24" s="6"/>
      <c r="W24" s="7"/>
      <c r="X24" s="8"/>
      <c r="Y24" s="9"/>
      <c r="Z24" s="6"/>
      <c r="AA24" s="7"/>
      <c r="AB24" s="8"/>
      <c r="AC24" s="9"/>
      <c r="AD24" s="6"/>
      <c r="AE24" s="7"/>
      <c r="AF24" s="8"/>
      <c r="AG24" s="9"/>
      <c r="AH24" s="6"/>
      <c r="AI24" s="7"/>
      <c r="AJ24" s="8"/>
      <c r="AK24" s="9"/>
      <c r="AL24" s="89" t="str">
        <f>IF(ISNUMBER(BurstIgor[[#This Row],[BurstNum_spont]]), IF(ISNUMBER(SpontLength_min), BurstIgor[[#This Row],[BurstNum_spont]]/SpontLength_min*60, "Enter Length"), "Enter Burst Vals")</f>
        <v>Enter Burst Vals</v>
      </c>
      <c r="AM2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4" s="93" t="str" cm="1">
        <f t="array" ref="AN24">IF(ISNUMBER(BurstIgor[[#This Row],[BurstNum_temp2]]), IF(ISNUMBER(Temp2_length), BurstIgor[[#This Row],[BurstNum_temp2]]/Temp2_length*60, "Enter Length"), "Enter Burst Vals")</f>
        <v>Enter Burst Vals</v>
      </c>
      <c r="AO24" s="94" t="str" cm="1">
        <f t="array" ref="AO24">IF(ISNUMBER(BurstIgor[[#This Row],[BurstNum_temp3]]), IF(ISNUMBER(Temp3_length), BurstIgor[[#This Row],[BurstNum_temp3]]/Temp3_length*60, "Enter Length"), "Enter Burst Vals")</f>
        <v>Enter Burst Vals</v>
      </c>
      <c r="AQ24" s="88">
        <v>0.22</v>
      </c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C24" s="88">
        <v>0.22</v>
      </c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O24" s="88">
        <v>0.22</v>
      </c>
      <c r="BP24" s="93"/>
      <c r="BQ24" s="93"/>
      <c r="BR24" s="93"/>
      <c r="BS24" s="93"/>
      <c r="BT24" s="93"/>
      <c r="BU24" s="93"/>
      <c r="BV24" s="93"/>
      <c r="BW24" s="93"/>
      <c r="BX24" s="93"/>
      <c r="BY24" s="93"/>
    </row>
    <row r="25" spans="1:77" x14ac:dyDescent="0.2">
      <c r="A25" s="88">
        <v>0.23</v>
      </c>
      <c r="B25" s="6"/>
      <c r="C25" s="7"/>
      <c r="D25" s="8"/>
      <c r="E25" s="9"/>
      <c r="F25" s="6"/>
      <c r="G25" s="7"/>
      <c r="H25" s="8"/>
      <c r="I25" s="9"/>
      <c r="J25" s="6"/>
      <c r="K25" s="7"/>
      <c r="L25" s="8"/>
      <c r="M25" s="9"/>
      <c r="N25" s="6"/>
      <c r="O25" s="7"/>
      <c r="P25" s="8"/>
      <c r="Q25" s="9"/>
      <c r="R25" s="6"/>
      <c r="S25" s="7"/>
      <c r="T25" s="8"/>
      <c r="U25" s="9"/>
      <c r="V25" s="6"/>
      <c r="W25" s="7"/>
      <c r="X25" s="8"/>
      <c r="Y25" s="9"/>
      <c r="Z25" s="6"/>
      <c r="AA25" s="7"/>
      <c r="AB25" s="8"/>
      <c r="AC25" s="9"/>
      <c r="AD25" s="6"/>
      <c r="AE25" s="7"/>
      <c r="AF25" s="8"/>
      <c r="AG25" s="9"/>
      <c r="AH25" s="6"/>
      <c r="AI25" s="7"/>
      <c r="AJ25" s="8"/>
      <c r="AK25" s="9"/>
      <c r="AL25" s="89" t="str">
        <f>IF(ISNUMBER(BurstIgor[[#This Row],[BurstNum_spont]]), IF(ISNUMBER(SpontLength_min), BurstIgor[[#This Row],[BurstNum_spont]]/SpontLength_min*60, "Enter Length"), "Enter Burst Vals")</f>
        <v>Enter Burst Vals</v>
      </c>
      <c r="AM2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5" s="93" t="str" cm="1">
        <f t="array" ref="AN25">IF(ISNUMBER(BurstIgor[[#This Row],[BurstNum_temp2]]), IF(ISNUMBER(Temp2_length), BurstIgor[[#This Row],[BurstNum_temp2]]/Temp2_length*60, "Enter Length"), "Enter Burst Vals")</f>
        <v>Enter Burst Vals</v>
      </c>
      <c r="AO25" s="94" t="str" cm="1">
        <f t="array" ref="AO25">IF(ISNUMBER(BurstIgor[[#This Row],[BurstNum_temp3]]), IF(ISNUMBER(Temp3_length), BurstIgor[[#This Row],[BurstNum_temp3]]/Temp3_length*60, "Enter Length"), "Enter Burst Vals")</f>
        <v>Enter Burst Vals</v>
      </c>
      <c r="AQ25" s="88">
        <v>0.23</v>
      </c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C25" s="88">
        <v>0.23</v>
      </c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O25" s="88">
        <v>0.23</v>
      </c>
      <c r="BP25" s="93"/>
      <c r="BQ25" s="93"/>
      <c r="BR25" s="93"/>
      <c r="BS25" s="93"/>
      <c r="BT25" s="93"/>
      <c r="BU25" s="93"/>
      <c r="BV25" s="93"/>
      <c r="BW25" s="93"/>
      <c r="BX25" s="93"/>
      <c r="BY25" s="93"/>
    </row>
    <row r="26" spans="1:77" x14ac:dyDescent="0.2">
      <c r="A26" s="88">
        <v>0.24</v>
      </c>
      <c r="B26" s="6"/>
      <c r="C26" s="7"/>
      <c r="D26" s="8"/>
      <c r="E26" s="9"/>
      <c r="F26" s="6"/>
      <c r="G26" s="7"/>
      <c r="H26" s="8"/>
      <c r="I26" s="9"/>
      <c r="J26" s="6"/>
      <c r="K26" s="7"/>
      <c r="L26" s="8"/>
      <c r="M26" s="9"/>
      <c r="N26" s="6"/>
      <c r="O26" s="7"/>
      <c r="P26" s="8"/>
      <c r="Q26" s="9"/>
      <c r="R26" s="6"/>
      <c r="S26" s="7"/>
      <c r="T26" s="8"/>
      <c r="U26" s="9"/>
      <c r="V26" s="6"/>
      <c r="W26" s="7"/>
      <c r="X26" s="8"/>
      <c r="Y26" s="9"/>
      <c r="Z26" s="6"/>
      <c r="AA26" s="7"/>
      <c r="AB26" s="8"/>
      <c r="AC26" s="9"/>
      <c r="AD26" s="6"/>
      <c r="AE26" s="7"/>
      <c r="AF26" s="8"/>
      <c r="AG26" s="9"/>
      <c r="AH26" s="6"/>
      <c r="AI26" s="7"/>
      <c r="AJ26" s="8"/>
      <c r="AK26" s="9"/>
      <c r="AL26" s="89" t="str">
        <f>IF(ISNUMBER(BurstIgor[[#This Row],[BurstNum_spont]]), IF(ISNUMBER(SpontLength_min), BurstIgor[[#This Row],[BurstNum_spont]]/SpontLength_min*60, "Enter Length"), "Enter Burst Vals")</f>
        <v>Enter Burst Vals</v>
      </c>
      <c r="AM2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6" s="93" t="str" cm="1">
        <f t="array" ref="AN26">IF(ISNUMBER(BurstIgor[[#This Row],[BurstNum_temp2]]), IF(ISNUMBER(Temp2_length), BurstIgor[[#This Row],[BurstNum_temp2]]/Temp2_length*60, "Enter Length"), "Enter Burst Vals")</f>
        <v>Enter Burst Vals</v>
      </c>
      <c r="AO26" s="94" t="str" cm="1">
        <f t="array" ref="AO26">IF(ISNUMBER(BurstIgor[[#This Row],[BurstNum_temp3]]), IF(ISNUMBER(Temp3_length), BurstIgor[[#This Row],[BurstNum_temp3]]/Temp3_length*60, "Enter Length"), "Enter Burst Vals")</f>
        <v>Enter Burst Vals</v>
      </c>
      <c r="AQ26" s="88">
        <v>0.24</v>
      </c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C26" s="88">
        <v>0.24</v>
      </c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O26" s="88">
        <v>0.24</v>
      </c>
      <c r="BP26" s="93"/>
      <c r="BQ26" s="93"/>
      <c r="BR26" s="93"/>
      <c r="BS26" s="93"/>
      <c r="BT26" s="93"/>
      <c r="BU26" s="93"/>
      <c r="BV26" s="93"/>
      <c r="BW26" s="93"/>
      <c r="BX26" s="93"/>
      <c r="BY26" s="93"/>
    </row>
    <row r="27" spans="1:77" x14ac:dyDescent="0.2">
      <c r="A27" s="88">
        <v>0.25</v>
      </c>
      <c r="B27" s="6"/>
      <c r="C27" s="7"/>
      <c r="D27" s="8"/>
      <c r="E27" s="9"/>
      <c r="F27" s="6"/>
      <c r="G27" s="7"/>
      <c r="H27" s="8"/>
      <c r="I27" s="9"/>
      <c r="J27" s="6"/>
      <c r="K27" s="7"/>
      <c r="L27" s="8"/>
      <c r="M27" s="9"/>
      <c r="N27" s="6"/>
      <c r="O27" s="7"/>
      <c r="P27" s="8"/>
      <c r="Q27" s="9"/>
      <c r="R27" s="6"/>
      <c r="S27" s="7"/>
      <c r="T27" s="8"/>
      <c r="U27" s="9"/>
      <c r="V27" s="6"/>
      <c r="W27" s="7"/>
      <c r="X27" s="8"/>
      <c r="Y27" s="9"/>
      <c r="Z27" s="6"/>
      <c r="AA27" s="7"/>
      <c r="AB27" s="8"/>
      <c r="AC27" s="9"/>
      <c r="AD27" s="6"/>
      <c r="AE27" s="7"/>
      <c r="AF27" s="8"/>
      <c r="AG27" s="9"/>
      <c r="AH27" s="6"/>
      <c r="AI27" s="7"/>
      <c r="AJ27" s="8"/>
      <c r="AK27" s="9"/>
      <c r="AL27" s="89" t="str">
        <f>IF(ISNUMBER(BurstIgor[[#This Row],[BurstNum_spont]]), IF(ISNUMBER(SpontLength_min), BurstIgor[[#This Row],[BurstNum_spont]]/SpontLength_min*60, "Enter Length"), "Enter Burst Vals")</f>
        <v>Enter Burst Vals</v>
      </c>
      <c r="AM2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7" s="93" t="str" cm="1">
        <f t="array" ref="AN27">IF(ISNUMBER(BurstIgor[[#This Row],[BurstNum_temp2]]), IF(ISNUMBER(Temp2_length), BurstIgor[[#This Row],[BurstNum_temp2]]/Temp2_length*60, "Enter Length"), "Enter Burst Vals")</f>
        <v>Enter Burst Vals</v>
      </c>
      <c r="AO27" s="94" t="str" cm="1">
        <f t="array" ref="AO27">IF(ISNUMBER(BurstIgor[[#This Row],[BurstNum_temp3]]), IF(ISNUMBER(Temp3_length), BurstIgor[[#This Row],[BurstNum_temp3]]/Temp3_length*60, "Enter Length"), "Enter Burst Vals")</f>
        <v>Enter Burst Vals</v>
      </c>
      <c r="AQ27" s="88">
        <v>0.25</v>
      </c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C27" s="88">
        <v>0.25</v>
      </c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O27" s="88">
        <v>0.25</v>
      </c>
      <c r="BP27" s="93"/>
      <c r="BQ27" s="93"/>
      <c r="BR27" s="93"/>
      <c r="BS27" s="93"/>
      <c r="BT27" s="93"/>
      <c r="BU27" s="93"/>
      <c r="BV27" s="93"/>
      <c r="BW27" s="93"/>
      <c r="BX27" s="93"/>
      <c r="BY27" s="93"/>
    </row>
    <row r="28" spans="1:77" x14ac:dyDescent="0.2">
      <c r="A28" s="88">
        <v>0.26</v>
      </c>
      <c r="B28" s="6"/>
      <c r="C28" s="7"/>
      <c r="D28" s="8"/>
      <c r="E28" s="9"/>
      <c r="F28" s="6"/>
      <c r="G28" s="7"/>
      <c r="H28" s="8"/>
      <c r="I28" s="9"/>
      <c r="J28" s="6"/>
      <c r="K28" s="7"/>
      <c r="L28" s="8"/>
      <c r="M28" s="9"/>
      <c r="N28" s="6"/>
      <c r="O28" s="7"/>
      <c r="P28" s="8"/>
      <c r="Q28" s="9"/>
      <c r="R28" s="6"/>
      <c r="S28" s="7"/>
      <c r="T28" s="8"/>
      <c r="U28" s="9"/>
      <c r="V28" s="6"/>
      <c r="W28" s="7"/>
      <c r="X28" s="8"/>
      <c r="Y28" s="9"/>
      <c r="Z28" s="6"/>
      <c r="AA28" s="7"/>
      <c r="AB28" s="8"/>
      <c r="AC28" s="9"/>
      <c r="AD28" s="6"/>
      <c r="AE28" s="7"/>
      <c r="AF28" s="8"/>
      <c r="AG28" s="9"/>
      <c r="AH28" s="6"/>
      <c r="AI28" s="7"/>
      <c r="AJ28" s="8"/>
      <c r="AK28" s="9"/>
      <c r="AL28" s="89" t="str">
        <f>IF(ISNUMBER(BurstIgor[[#This Row],[BurstNum_spont]]), IF(ISNUMBER(SpontLength_min), BurstIgor[[#This Row],[BurstNum_spont]]/SpontLength_min*60, "Enter Length"), "Enter Burst Vals")</f>
        <v>Enter Burst Vals</v>
      </c>
      <c r="AM2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8" s="93" t="str" cm="1">
        <f t="array" ref="AN28">IF(ISNUMBER(BurstIgor[[#This Row],[BurstNum_temp2]]), IF(ISNUMBER(Temp2_length), BurstIgor[[#This Row],[BurstNum_temp2]]/Temp2_length*60, "Enter Length"), "Enter Burst Vals")</f>
        <v>Enter Burst Vals</v>
      </c>
      <c r="AO28" s="94" t="str" cm="1">
        <f t="array" ref="AO28">IF(ISNUMBER(BurstIgor[[#This Row],[BurstNum_temp3]]), IF(ISNUMBER(Temp3_length), BurstIgor[[#This Row],[BurstNum_temp3]]/Temp3_length*60, "Enter Length"), "Enter Burst Vals")</f>
        <v>Enter Burst Vals</v>
      </c>
      <c r="AQ28" s="88">
        <v>0.26</v>
      </c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C28" s="88">
        <v>0.26</v>
      </c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O28" s="88">
        <v>0.26</v>
      </c>
      <c r="BP28" s="93"/>
      <c r="BQ28" s="93"/>
      <c r="BR28" s="93"/>
      <c r="BS28" s="93"/>
      <c r="BT28" s="93"/>
      <c r="BU28" s="93"/>
      <c r="BV28" s="93"/>
      <c r="BW28" s="93"/>
      <c r="BX28" s="93"/>
      <c r="BY28" s="93"/>
    </row>
    <row r="29" spans="1:77" x14ac:dyDescent="0.2">
      <c r="A29" s="88">
        <v>0.27</v>
      </c>
      <c r="B29" s="6"/>
      <c r="C29" s="7"/>
      <c r="D29" s="8"/>
      <c r="E29" s="9"/>
      <c r="F29" s="6"/>
      <c r="G29" s="7"/>
      <c r="H29" s="8"/>
      <c r="I29" s="9"/>
      <c r="J29" s="6"/>
      <c r="K29" s="7"/>
      <c r="L29" s="8"/>
      <c r="M29" s="9"/>
      <c r="N29" s="6"/>
      <c r="O29" s="7"/>
      <c r="P29" s="8"/>
      <c r="Q29" s="9"/>
      <c r="R29" s="6"/>
      <c r="S29" s="7"/>
      <c r="T29" s="8"/>
      <c r="U29" s="9"/>
      <c r="V29" s="6"/>
      <c r="W29" s="7"/>
      <c r="X29" s="8"/>
      <c r="Y29" s="9"/>
      <c r="Z29" s="6"/>
      <c r="AA29" s="7"/>
      <c r="AB29" s="8"/>
      <c r="AC29" s="9"/>
      <c r="AD29" s="6"/>
      <c r="AE29" s="7"/>
      <c r="AF29" s="8"/>
      <c r="AG29" s="9"/>
      <c r="AH29" s="6"/>
      <c r="AI29" s="7"/>
      <c r="AJ29" s="8"/>
      <c r="AK29" s="9"/>
      <c r="AL29" s="89" t="str">
        <f>IF(ISNUMBER(BurstIgor[[#This Row],[BurstNum_spont]]), IF(ISNUMBER(SpontLength_min), BurstIgor[[#This Row],[BurstNum_spont]]/SpontLength_min*60, "Enter Length"), "Enter Burst Vals")</f>
        <v>Enter Burst Vals</v>
      </c>
      <c r="AM2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29" s="93" t="str" cm="1">
        <f t="array" ref="AN29">IF(ISNUMBER(BurstIgor[[#This Row],[BurstNum_temp2]]), IF(ISNUMBER(Temp2_length), BurstIgor[[#This Row],[BurstNum_temp2]]/Temp2_length*60, "Enter Length"), "Enter Burst Vals")</f>
        <v>Enter Burst Vals</v>
      </c>
      <c r="AO29" s="94" t="str" cm="1">
        <f t="array" ref="AO29">IF(ISNUMBER(BurstIgor[[#This Row],[BurstNum_temp3]]), IF(ISNUMBER(Temp3_length), BurstIgor[[#This Row],[BurstNum_temp3]]/Temp3_length*60, "Enter Length"), "Enter Burst Vals")</f>
        <v>Enter Burst Vals</v>
      </c>
      <c r="AQ29" s="88">
        <v>0.27</v>
      </c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C29" s="88">
        <v>0.27</v>
      </c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O29" s="88">
        <v>0.27</v>
      </c>
      <c r="BP29" s="93"/>
      <c r="BQ29" s="93"/>
      <c r="BR29" s="93"/>
      <c r="BS29" s="93"/>
      <c r="BT29" s="93"/>
      <c r="BU29" s="93"/>
      <c r="BV29" s="93"/>
      <c r="BW29" s="93"/>
      <c r="BX29" s="93"/>
      <c r="BY29" s="93"/>
    </row>
    <row r="30" spans="1:77" x14ac:dyDescent="0.2">
      <c r="A30" s="88">
        <v>0.28000000000000003</v>
      </c>
      <c r="B30" s="6"/>
      <c r="C30" s="7"/>
      <c r="D30" s="8"/>
      <c r="E30" s="9"/>
      <c r="F30" s="6"/>
      <c r="G30" s="7"/>
      <c r="H30" s="8"/>
      <c r="I30" s="9"/>
      <c r="J30" s="6"/>
      <c r="K30" s="7"/>
      <c r="L30" s="8"/>
      <c r="M30" s="9"/>
      <c r="N30" s="6"/>
      <c r="O30" s="7"/>
      <c r="P30" s="8"/>
      <c r="Q30" s="9"/>
      <c r="R30" s="6"/>
      <c r="S30" s="7"/>
      <c r="T30" s="8"/>
      <c r="U30" s="9"/>
      <c r="V30" s="6"/>
      <c r="W30" s="7"/>
      <c r="X30" s="8"/>
      <c r="Y30" s="9"/>
      <c r="Z30" s="6"/>
      <c r="AA30" s="7"/>
      <c r="AB30" s="8"/>
      <c r="AC30" s="9"/>
      <c r="AD30" s="6"/>
      <c r="AE30" s="7"/>
      <c r="AF30" s="8"/>
      <c r="AG30" s="9"/>
      <c r="AH30" s="6"/>
      <c r="AI30" s="7"/>
      <c r="AJ30" s="8"/>
      <c r="AK30" s="9"/>
      <c r="AL30" s="89" t="str">
        <f>IF(ISNUMBER(BurstIgor[[#This Row],[BurstNum_spont]]), IF(ISNUMBER(SpontLength_min), BurstIgor[[#This Row],[BurstNum_spont]]/SpontLength_min*60, "Enter Length"), "Enter Burst Vals")</f>
        <v>Enter Burst Vals</v>
      </c>
      <c r="AM3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0" s="93" t="str" cm="1">
        <f t="array" ref="AN30">IF(ISNUMBER(BurstIgor[[#This Row],[BurstNum_temp2]]), IF(ISNUMBER(Temp2_length), BurstIgor[[#This Row],[BurstNum_temp2]]/Temp2_length*60, "Enter Length"), "Enter Burst Vals")</f>
        <v>Enter Burst Vals</v>
      </c>
      <c r="AO30" s="94" t="str" cm="1">
        <f t="array" ref="AO30">IF(ISNUMBER(BurstIgor[[#This Row],[BurstNum_temp3]]), IF(ISNUMBER(Temp3_length), BurstIgor[[#This Row],[BurstNum_temp3]]/Temp3_length*60, "Enter Length"), "Enter Burst Vals")</f>
        <v>Enter Burst Vals</v>
      </c>
      <c r="AQ30" s="88">
        <v>0.28000000000000003</v>
      </c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C30" s="88">
        <v>0.28000000000000003</v>
      </c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O30" s="88">
        <v>0.28000000000000003</v>
      </c>
      <c r="BP30" s="93"/>
      <c r="BQ30" s="93"/>
      <c r="BR30" s="93"/>
      <c r="BS30" s="93"/>
      <c r="BT30" s="93"/>
      <c r="BU30" s="93"/>
      <c r="BV30" s="93"/>
      <c r="BW30" s="93"/>
      <c r="BX30" s="93"/>
      <c r="BY30" s="93"/>
    </row>
    <row r="31" spans="1:77" x14ac:dyDescent="0.2">
      <c r="A31" s="88">
        <v>0.28999999999999998</v>
      </c>
      <c r="B31" s="6"/>
      <c r="C31" s="7"/>
      <c r="D31" s="8"/>
      <c r="E31" s="9"/>
      <c r="F31" s="6"/>
      <c r="G31" s="7"/>
      <c r="H31" s="8"/>
      <c r="I31" s="9"/>
      <c r="J31" s="6"/>
      <c r="K31" s="7"/>
      <c r="L31" s="8"/>
      <c r="M31" s="9"/>
      <c r="N31" s="6"/>
      <c r="O31" s="7"/>
      <c r="P31" s="8"/>
      <c r="Q31" s="9"/>
      <c r="R31" s="6"/>
      <c r="S31" s="7"/>
      <c r="T31" s="8"/>
      <c r="U31" s="9"/>
      <c r="V31" s="6"/>
      <c r="W31" s="7"/>
      <c r="X31" s="8"/>
      <c r="Y31" s="9"/>
      <c r="Z31" s="6"/>
      <c r="AA31" s="7"/>
      <c r="AB31" s="8"/>
      <c r="AC31" s="9"/>
      <c r="AD31" s="6"/>
      <c r="AE31" s="7"/>
      <c r="AF31" s="8"/>
      <c r="AG31" s="9"/>
      <c r="AH31" s="6"/>
      <c r="AI31" s="7"/>
      <c r="AJ31" s="8"/>
      <c r="AK31" s="9"/>
      <c r="AL31" s="89" t="str">
        <f>IF(ISNUMBER(BurstIgor[[#This Row],[BurstNum_spont]]), IF(ISNUMBER(SpontLength_min), BurstIgor[[#This Row],[BurstNum_spont]]/SpontLength_min*60, "Enter Length"), "Enter Burst Vals")</f>
        <v>Enter Burst Vals</v>
      </c>
      <c r="AM3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1" s="93" t="str" cm="1">
        <f t="array" ref="AN31">IF(ISNUMBER(BurstIgor[[#This Row],[BurstNum_temp2]]), IF(ISNUMBER(Temp2_length), BurstIgor[[#This Row],[BurstNum_temp2]]/Temp2_length*60, "Enter Length"), "Enter Burst Vals")</f>
        <v>Enter Burst Vals</v>
      </c>
      <c r="AO31" s="94" t="str" cm="1">
        <f t="array" ref="AO31">IF(ISNUMBER(BurstIgor[[#This Row],[BurstNum_temp3]]), IF(ISNUMBER(Temp3_length), BurstIgor[[#This Row],[BurstNum_temp3]]/Temp3_length*60, "Enter Length"), "Enter Burst Vals")</f>
        <v>Enter Burst Vals</v>
      </c>
      <c r="AQ31" s="88">
        <v>0.28999999999999998</v>
      </c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C31" s="88">
        <v>0.28999999999999998</v>
      </c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O31" s="88">
        <v>0.28999999999999998</v>
      </c>
      <c r="BP31" s="93"/>
      <c r="BQ31" s="93"/>
      <c r="BR31" s="93"/>
      <c r="BS31" s="93"/>
      <c r="BT31" s="93"/>
      <c r="BU31" s="93"/>
      <c r="BV31" s="93"/>
      <c r="BW31" s="93"/>
      <c r="BX31" s="93"/>
      <c r="BY31" s="93"/>
    </row>
    <row r="32" spans="1:77" x14ac:dyDescent="0.2">
      <c r="A32" s="88">
        <v>0.3</v>
      </c>
      <c r="B32" s="6"/>
      <c r="C32" s="7"/>
      <c r="D32" s="8"/>
      <c r="E32" s="9"/>
      <c r="F32" s="6"/>
      <c r="G32" s="7"/>
      <c r="H32" s="8"/>
      <c r="I32" s="9"/>
      <c r="J32" s="6"/>
      <c r="K32" s="7"/>
      <c r="L32" s="8"/>
      <c r="M32" s="9"/>
      <c r="N32" s="6"/>
      <c r="O32" s="7"/>
      <c r="P32" s="8"/>
      <c r="Q32" s="9"/>
      <c r="R32" s="6"/>
      <c r="S32" s="7"/>
      <c r="T32" s="8"/>
      <c r="U32" s="9"/>
      <c r="V32" s="6"/>
      <c r="W32" s="7"/>
      <c r="X32" s="8"/>
      <c r="Y32" s="9"/>
      <c r="Z32" s="6"/>
      <c r="AA32" s="7"/>
      <c r="AB32" s="8"/>
      <c r="AC32" s="9"/>
      <c r="AD32" s="6"/>
      <c r="AE32" s="7"/>
      <c r="AF32" s="8"/>
      <c r="AG32" s="9"/>
      <c r="AH32" s="6"/>
      <c r="AI32" s="7"/>
      <c r="AJ32" s="8"/>
      <c r="AK32" s="9"/>
      <c r="AL32" s="89" t="str">
        <f>IF(ISNUMBER(BurstIgor[[#This Row],[BurstNum_spont]]), IF(ISNUMBER(SpontLength_min), BurstIgor[[#This Row],[BurstNum_spont]]/SpontLength_min*60, "Enter Length"), "Enter Burst Vals")</f>
        <v>Enter Burst Vals</v>
      </c>
      <c r="AM3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2" s="93" t="str" cm="1">
        <f t="array" ref="AN32">IF(ISNUMBER(BurstIgor[[#This Row],[BurstNum_temp2]]), IF(ISNUMBER(Temp2_length), BurstIgor[[#This Row],[BurstNum_temp2]]/Temp2_length*60, "Enter Length"), "Enter Burst Vals")</f>
        <v>Enter Burst Vals</v>
      </c>
      <c r="AO32" s="94" t="str" cm="1">
        <f t="array" ref="AO32">IF(ISNUMBER(BurstIgor[[#This Row],[BurstNum_temp3]]), IF(ISNUMBER(Temp3_length), BurstIgor[[#This Row],[BurstNum_temp3]]/Temp3_length*60, "Enter Length"), "Enter Burst Vals")</f>
        <v>Enter Burst Vals</v>
      </c>
      <c r="AQ32" s="88">
        <v>0.3</v>
      </c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C32" s="88">
        <v>0.3</v>
      </c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O32" s="88">
        <v>0.3</v>
      </c>
      <c r="BP32" s="93"/>
      <c r="BQ32" s="93"/>
      <c r="BR32" s="93"/>
      <c r="BS32" s="93"/>
      <c r="BT32" s="93"/>
      <c r="BU32" s="93"/>
      <c r="BV32" s="93"/>
      <c r="BW32" s="93"/>
      <c r="BX32" s="93"/>
      <c r="BY32" s="93"/>
    </row>
    <row r="33" spans="1:77" x14ac:dyDescent="0.2">
      <c r="A33" s="88">
        <v>0.31</v>
      </c>
      <c r="B33" s="6"/>
      <c r="C33" s="7"/>
      <c r="D33" s="8"/>
      <c r="E33" s="9"/>
      <c r="F33" s="6"/>
      <c r="G33" s="7"/>
      <c r="H33" s="8"/>
      <c r="I33" s="9"/>
      <c r="J33" s="6"/>
      <c r="K33" s="7"/>
      <c r="L33" s="8"/>
      <c r="M33" s="9"/>
      <c r="N33" s="6"/>
      <c r="O33" s="7"/>
      <c r="P33" s="8"/>
      <c r="Q33" s="9"/>
      <c r="R33" s="6"/>
      <c r="S33" s="7"/>
      <c r="T33" s="8"/>
      <c r="U33" s="9"/>
      <c r="V33" s="6"/>
      <c r="W33" s="7"/>
      <c r="X33" s="8"/>
      <c r="Y33" s="9"/>
      <c r="Z33" s="6"/>
      <c r="AA33" s="7"/>
      <c r="AB33" s="8"/>
      <c r="AC33" s="9"/>
      <c r="AD33" s="6"/>
      <c r="AE33" s="7"/>
      <c r="AF33" s="8"/>
      <c r="AG33" s="9"/>
      <c r="AH33" s="6"/>
      <c r="AI33" s="7"/>
      <c r="AJ33" s="8"/>
      <c r="AK33" s="9"/>
      <c r="AL33" s="89" t="str">
        <f>IF(ISNUMBER(BurstIgor[[#This Row],[BurstNum_spont]]), IF(ISNUMBER(SpontLength_min), BurstIgor[[#This Row],[BurstNum_spont]]/SpontLength_min*60, "Enter Length"), "Enter Burst Vals")</f>
        <v>Enter Burst Vals</v>
      </c>
      <c r="AM3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3" s="93" t="str" cm="1">
        <f t="array" ref="AN33">IF(ISNUMBER(BurstIgor[[#This Row],[BurstNum_temp2]]), IF(ISNUMBER(Temp2_length), BurstIgor[[#This Row],[BurstNum_temp2]]/Temp2_length*60, "Enter Length"), "Enter Burst Vals")</f>
        <v>Enter Burst Vals</v>
      </c>
      <c r="AO33" s="94" t="str" cm="1">
        <f t="array" ref="AO33">IF(ISNUMBER(BurstIgor[[#This Row],[BurstNum_temp3]]), IF(ISNUMBER(Temp3_length), BurstIgor[[#This Row],[BurstNum_temp3]]/Temp3_length*60, "Enter Length"), "Enter Burst Vals")</f>
        <v>Enter Burst Vals</v>
      </c>
      <c r="AQ33" s="88">
        <v>0.31</v>
      </c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C33" s="88">
        <v>0.31</v>
      </c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O33" s="88">
        <v>0.31</v>
      </c>
      <c r="BP33" s="93"/>
      <c r="BQ33" s="93"/>
      <c r="BR33" s="93"/>
      <c r="BS33" s="93"/>
      <c r="BT33" s="93"/>
      <c r="BU33" s="93"/>
      <c r="BV33" s="93"/>
      <c r="BW33" s="93"/>
      <c r="BX33" s="93"/>
      <c r="BY33" s="93"/>
    </row>
    <row r="34" spans="1:77" x14ac:dyDescent="0.2">
      <c r="A34" s="88">
        <v>0.32</v>
      </c>
      <c r="B34" s="6"/>
      <c r="C34" s="7"/>
      <c r="D34" s="8"/>
      <c r="E34" s="9"/>
      <c r="F34" s="6"/>
      <c r="G34" s="7"/>
      <c r="H34" s="8"/>
      <c r="I34" s="9"/>
      <c r="J34" s="6"/>
      <c r="K34" s="7"/>
      <c r="L34" s="8"/>
      <c r="M34" s="9"/>
      <c r="N34" s="6"/>
      <c r="O34" s="7"/>
      <c r="P34" s="8"/>
      <c r="Q34" s="9"/>
      <c r="R34" s="6"/>
      <c r="S34" s="7"/>
      <c r="T34" s="8"/>
      <c r="U34" s="9"/>
      <c r="V34" s="6"/>
      <c r="W34" s="7"/>
      <c r="X34" s="8"/>
      <c r="Y34" s="9"/>
      <c r="Z34" s="6"/>
      <c r="AA34" s="7"/>
      <c r="AB34" s="8"/>
      <c r="AC34" s="9"/>
      <c r="AD34" s="6"/>
      <c r="AE34" s="7"/>
      <c r="AF34" s="8"/>
      <c r="AG34" s="9"/>
      <c r="AH34" s="6"/>
      <c r="AI34" s="7"/>
      <c r="AJ34" s="8"/>
      <c r="AK34" s="9"/>
      <c r="AL34" s="89" t="str">
        <f>IF(ISNUMBER(BurstIgor[[#This Row],[BurstNum_spont]]), IF(ISNUMBER(SpontLength_min), BurstIgor[[#This Row],[BurstNum_spont]]/SpontLength_min*60, "Enter Length"), "Enter Burst Vals")</f>
        <v>Enter Burst Vals</v>
      </c>
      <c r="AM3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4" s="93" t="str" cm="1">
        <f t="array" ref="AN34">IF(ISNUMBER(BurstIgor[[#This Row],[BurstNum_temp2]]), IF(ISNUMBER(Temp2_length), BurstIgor[[#This Row],[BurstNum_temp2]]/Temp2_length*60, "Enter Length"), "Enter Burst Vals")</f>
        <v>Enter Burst Vals</v>
      </c>
      <c r="AO34" s="94" t="str" cm="1">
        <f t="array" ref="AO34">IF(ISNUMBER(BurstIgor[[#This Row],[BurstNum_temp3]]), IF(ISNUMBER(Temp3_length), BurstIgor[[#This Row],[BurstNum_temp3]]/Temp3_length*60, "Enter Length"), "Enter Burst Vals")</f>
        <v>Enter Burst Vals</v>
      </c>
      <c r="AQ34" s="88">
        <v>0.32</v>
      </c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C34" s="88">
        <v>0.32</v>
      </c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O34" s="88">
        <v>0.32</v>
      </c>
      <c r="BP34" s="93"/>
      <c r="BQ34" s="93"/>
      <c r="BR34" s="93"/>
      <c r="BS34" s="93"/>
      <c r="BT34" s="93"/>
      <c r="BU34" s="93"/>
      <c r="BV34" s="93"/>
      <c r="BW34" s="93"/>
      <c r="BX34" s="93"/>
      <c r="BY34" s="93"/>
    </row>
    <row r="35" spans="1:77" x14ac:dyDescent="0.2">
      <c r="A35" s="88">
        <v>0.33</v>
      </c>
      <c r="B35" s="6"/>
      <c r="C35" s="7"/>
      <c r="D35" s="8"/>
      <c r="E35" s="9"/>
      <c r="F35" s="6"/>
      <c r="G35" s="7"/>
      <c r="H35" s="8"/>
      <c r="I35" s="9"/>
      <c r="J35" s="6"/>
      <c r="K35" s="7"/>
      <c r="L35" s="8"/>
      <c r="M35" s="9"/>
      <c r="N35" s="6"/>
      <c r="O35" s="7"/>
      <c r="P35" s="8"/>
      <c r="Q35" s="9"/>
      <c r="R35" s="6"/>
      <c r="S35" s="7"/>
      <c r="T35" s="8"/>
      <c r="U35" s="9"/>
      <c r="V35" s="6"/>
      <c r="W35" s="7"/>
      <c r="X35" s="8"/>
      <c r="Y35" s="9"/>
      <c r="Z35" s="6"/>
      <c r="AA35" s="7"/>
      <c r="AB35" s="8"/>
      <c r="AC35" s="9"/>
      <c r="AD35" s="6"/>
      <c r="AE35" s="7"/>
      <c r="AF35" s="8"/>
      <c r="AG35" s="9"/>
      <c r="AH35" s="6"/>
      <c r="AI35" s="7"/>
      <c r="AJ35" s="8"/>
      <c r="AK35" s="9"/>
      <c r="AL35" s="89" t="str">
        <f>IF(ISNUMBER(BurstIgor[[#This Row],[BurstNum_spont]]), IF(ISNUMBER(SpontLength_min), BurstIgor[[#This Row],[BurstNum_spont]]/SpontLength_min*60, "Enter Length"), "Enter Burst Vals")</f>
        <v>Enter Burst Vals</v>
      </c>
      <c r="AM3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5" s="93" t="str" cm="1">
        <f t="array" ref="AN35">IF(ISNUMBER(BurstIgor[[#This Row],[BurstNum_temp2]]), IF(ISNUMBER(Temp2_length), BurstIgor[[#This Row],[BurstNum_temp2]]/Temp2_length*60, "Enter Length"), "Enter Burst Vals")</f>
        <v>Enter Burst Vals</v>
      </c>
      <c r="AO35" s="94" t="str" cm="1">
        <f t="array" ref="AO35">IF(ISNUMBER(BurstIgor[[#This Row],[BurstNum_temp3]]), IF(ISNUMBER(Temp3_length), BurstIgor[[#This Row],[BurstNum_temp3]]/Temp3_length*60, "Enter Length"), "Enter Burst Vals")</f>
        <v>Enter Burst Vals</v>
      </c>
      <c r="AQ35" s="88">
        <v>0.33</v>
      </c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C35" s="88">
        <v>0.33</v>
      </c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O35" s="88">
        <v>0.33</v>
      </c>
      <c r="BP35" s="93"/>
      <c r="BQ35" s="93"/>
      <c r="BR35" s="93"/>
      <c r="BS35" s="93"/>
      <c r="BT35" s="93"/>
      <c r="BU35" s="93"/>
      <c r="BV35" s="93"/>
      <c r="BW35" s="93"/>
      <c r="BX35" s="93"/>
      <c r="BY35" s="93"/>
    </row>
    <row r="36" spans="1:77" x14ac:dyDescent="0.2">
      <c r="A36" s="88">
        <v>0.34</v>
      </c>
      <c r="B36" s="6"/>
      <c r="C36" s="7"/>
      <c r="D36" s="8"/>
      <c r="E36" s="9"/>
      <c r="F36" s="6"/>
      <c r="G36" s="7"/>
      <c r="H36" s="8"/>
      <c r="I36" s="9"/>
      <c r="J36" s="6"/>
      <c r="K36" s="7"/>
      <c r="L36" s="8"/>
      <c r="M36" s="9"/>
      <c r="N36" s="6"/>
      <c r="O36" s="7"/>
      <c r="P36" s="8"/>
      <c r="Q36" s="9"/>
      <c r="R36" s="6"/>
      <c r="S36" s="7"/>
      <c r="T36" s="8"/>
      <c r="U36" s="9"/>
      <c r="V36" s="6"/>
      <c r="W36" s="7"/>
      <c r="X36" s="8"/>
      <c r="Y36" s="9"/>
      <c r="Z36" s="6"/>
      <c r="AA36" s="7"/>
      <c r="AB36" s="8"/>
      <c r="AC36" s="9"/>
      <c r="AD36" s="6"/>
      <c r="AE36" s="7"/>
      <c r="AF36" s="8"/>
      <c r="AG36" s="9"/>
      <c r="AH36" s="6"/>
      <c r="AI36" s="7"/>
      <c r="AJ36" s="8"/>
      <c r="AK36" s="9"/>
      <c r="AL36" s="89" t="str">
        <f>IF(ISNUMBER(BurstIgor[[#This Row],[BurstNum_spont]]), IF(ISNUMBER(SpontLength_min), BurstIgor[[#This Row],[BurstNum_spont]]/SpontLength_min*60, "Enter Length"), "Enter Burst Vals")</f>
        <v>Enter Burst Vals</v>
      </c>
      <c r="AM3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6" s="93" t="str" cm="1">
        <f t="array" ref="AN36">IF(ISNUMBER(BurstIgor[[#This Row],[BurstNum_temp2]]), IF(ISNUMBER(Temp2_length), BurstIgor[[#This Row],[BurstNum_temp2]]/Temp2_length*60, "Enter Length"), "Enter Burst Vals")</f>
        <v>Enter Burst Vals</v>
      </c>
      <c r="AO36" s="94" t="str" cm="1">
        <f t="array" ref="AO36">IF(ISNUMBER(BurstIgor[[#This Row],[BurstNum_temp3]]), IF(ISNUMBER(Temp3_length), BurstIgor[[#This Row],[BurstNum_temp3]]/Temp3_length*60, "Enter Length"), "Enter Burst Vals")</f>
        <v>Enter Burst Vals</v>
      </c>
      <c r="AQ36" s="88">
        <v>0.34</v>
      </c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C36" s="88">
        <v>0.34</v>
      </c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O36" s="88">
        <v>0.34</v>
      </c>
      <c r="BP36" s="93"/>
      <c r="BQ36" s="93"/>
      <c r="BR36" s="93"/>
      <c r="BS36" s="93"/>
      <c r="BT36" s="93"/>
      <c r="BU36" s="93"/>
      <c r="BV36" s="93"/>
      <c r="BW36" s="93"/>
      <c r="BX36" s="93"/>
      <c r="BY36" s="93"/>
    </row>
    <row r="37" spans="1:77" x14ac:dyDescent="0.2">
      <c r="A37" s="88">
        <v>0.35</v>
      </c>
      <c r="B37" s="6"/>
      <c r="C37" s="7"/>
      <c r="D37" s="8"/>
      <c r="E37" s="9"/>
      <c r="F37" s="6"/>
      <c r="G37" s="7"/>
      <c r="H37" s="8"/>
      <c r="I37" s="9"/>
      <c r="J37" s="6"/>
      <c r="K37" s="7"/>
      <c r="L37" s="8"/>
      <c r="M37" s="9"/>
      <c r="N37" s="6"/>
      <c r="O37" s="7"/>
      <c r="P37" s="8"/>
      <c r="Q37" s="9"/>
      <c r="R37" s="6"/>
      <c r="S37" s="7"/>
      <c r="T37" s="8"/>
      <c r="U37" s="9"/>
      <c r="V37" s="6"/>
      <c r="W37" s="7"/>
      <c r="X37" s="8"/>
      <c r="Y37" s="9"/>
      <c r="Z37" s="6"/>
      <c r="AA37" s="7"/>
      <c r="AB37" s="8"/>
      <c r="AC37" s="9"/>
      <c r="AD37" s="6"/>
      <c r="AE37" s="7"/>
      <c r="AF37" s="8"/>
      <c r="AG37" s="9"/>
      <c r="AH37" s="6"/>
      <c r="AI37" s="7"/>
      <c r="AJ37" s="8"/>
      <c r="AK37" s="9"/>
      <c r="AL37" s="89" t="str">
        <f>IF(ISNUMBER(BurstIgor[[#This Row],[BurstNum_spont]]), IF(ISNUMBER(SpontLength_min), BurstIgor[[#This Row],[BurstNum_spont]]/SpontLength_min*60, "Enter Length"), "Enter Burst Vals")</f>
        <v>Enter Burst Vals</v>
      </c>
      <c r="AM3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7" s="93" t="str" cm="1">
        <f t="array" ref="AN37">IF(ISNUMBER(BurstIgor[[#This Row],[BurstNum_temp2]]), IF(ISNUMBER(Temp2_length), BurstIgor[[#This Row],[BurstNum_temp2]]/Temp2_length*60, "Enter Length"), "Enter Burst Vals")</f>
        <v>Enter Burst Vals</v>
      </c>
      <c r="AO37" s="94" t="str" cm="1">
        <f t="array" ref="AO37">IF(ISNUMBER(BurstIgor[[#This Row],[BurstNum_temp3]]), IF(ISNUMBER(Temp3_length), BurstIgor[[#This Row],[BurstNum_temp3]]/Temp3_length*60, "Enter Length"), "Enter Burst Vals")</f>
        <v>Enter Burst Vals</v>
      </c>
      <c r="AQ37" s="88">
        <v>0.35</v>
      </c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C37" s="88">
        <v>0.35</v>
      </c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O37" s="88">
        <v>0.35</v>
      </c>
      <c r="BP37" s="93"/>
      <c r="BQ37" s="93"/>
      <c r="BR37" s="93"/>
      <c r="BS37" s="93"/>
      <c r="BT37" s="93"/>
      <c r="BU37" s="93"/>
      <c r="BV37" s="93"/>
      <c r="BW37" s="93"/>
      <c r="BX37" s="93"/>
      <c r="BY37" s="93"/>
    </row>
    <row r="38" spans="1:77" x14ac:dyDescent="0.2">
      <c r="A38" s="88">
        <v>0.36</v>
      </c>
      <c r="B38" s="6"/>
      <c r="C38" s="7"/>
      <c r="D38" s="8"/>
      <c r="E38" s="9"/>
      <c r="F38" s="6"/>
      <c r="G38" s="7"/>
      <c r="H38" s="8"/>
      <c r="I38" s="9"/>
      <c r="J38" s="6"/>
      <c r="K38" s="7"/>
      <c r="L38" s="8"/>
      <c r="M38" s="9"/>
      <c r="N38" s="6"/>
      <c r="O38" s="7"/>
      <c r="P38" s="8"/>
      <c r="Q38" s="9"/>
      <c r="R38" s="6"/>
      <c r="S38" s="7"/>
      <c r="T38" s="8"/>
      <c r="U38" s="9"/>
      <c r="V38" s="6"/>
      <c r="W38" s="7"/>
      <c r="X38" s="8"/>
      <c r="Y38" s="9"/>
      <c r="Z38" s="6"/>
      <c r="AA38" s="7"/>
      <c r="AB38" s="8"/>
      <c r="AC38" s="9"/>
      <c r="AD38" s="6"/>
      <c r="AE38" s="7"/>
      <c r="AF38" s="8"/>
      <c r="AG38" s="9"/>
      <c r="AH38" s="6"/>
      <c r="AI38" s="7"/>
      <c r="AJ38" s="8"/>
      <c r="AK38" s="9"/>
      <c r="AL38" s="89" t="str">
        <f>IF(ISNUMBER(BurstIgor[[#This Row],[BurstNum_spont]]), IF(ISNUMBER(SpontLength_min), BurstIgor[[#This Row],[BurstNum_spont]]/SpontLength_min*60, "Enter Length"), "Enter Burst Vals")</f>
        <v>Enter Burst Vals</v>
      </c>
      <c r="AM3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8" s="93" t="str" cm="1">
        <f t="array" ref="AN38">IF(ISNUMBER(BurstIgor[[#This Row],[BurstNum_temp2]]), IF(ISNUMBER(Temp2_length), BurstIgor[[#This Row],[BurstNum_temp2]]/Temp2_length*60, "Enter Length"), "Enter Burst Vals")</f>
        <v>Enter Burst Vals</v>
      </c>
      <c r="AO38" s="94" t="str" cm="1">
        <f t="array" ref="AO38">IF(ISNUMBER(BurstIgor[[#This Row],[BurstNum_temp3]]), IF(ISNUMBER(Temp3_length), BurstIgor[[#This Row],[BurstNum_temp3]]/Temp3_length*60, "Enter Length"), "Enter Burst Vals")</f>
        <v>Enter Burst Vals</v>
      </c>
      <c r="AQ38" s="88">
        <v>0.36</v>
      </c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C38" s="88">
        <v>0.36</v>
      </c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O38" s="88">
        <v>0.36</v>
      </c>
      <c r="BP38" s="93"/>
      <c r="BQ38" s="93"/>
      <c r="BR38" s="93"/>
      <c r="BS38" s="93"/>
      <c r="BT38" s="93"/>
      <c r="BU38" s="93"/>
      <c r="BV38" s="93"/>
      <c r="BW38" s="93"/>
      <c r="BX38" s="93"/>
      <c r="BY38" s="93"/>
    </row>
    <row r="39" spans="1:77" x14ac:dyDescent="0.2">
      <c r="A39" s="88">
        <v>0.37</v>
      </c>
      <c r="B39" s="6"/>
      <c r="C39" s="7"/>
      <c r="D39" s="8"/>
      <c r="E39" s="9"/>
      <c r="F39" s="6"/>
      <c r="G39" s="7"/>
      <c r="H39" s="8"/>
      <c r="I39" s="9"/>
      <c r="J39" s="6"/>
      <c r="K39" s="7"/>
      <c r="L39" s="8"/>
      <c r="M39" s="9"/>
      <c r="N39" s="6"/>
      <c r="O39" s="7"/>
      <c r="P39" s="8"/>
      <c r="Q39" s="9"/>
      <c r="R39" s="6"/>
      <c r="S39" s="7"/>
      <c r="T39" s="8"/>
      <c r="U39" s="9"/>
      <c r="V39" s="6"/>
      <c r="W39" s="7"/>
      <c r="X39" s="8"/>
      <c r="Y39" s="9"/>
      <c r="Z39" s="6"/>
      <c r="AA39" s="7"/>
      <c r="AB39" s="8"/>
      <c r="AC39" s="9"/>
      <c r="AD39" s="6"/>
      <c r="AE39" s="7"/>
      <c r="AF39" s="8"/>
      <c r="AG39" s="9"/>
      <c r="AH39" s="6"/>
      <c r="AI39" s="7"/>
      <c r="AJ39" s="8"/>
      <c r="AK39" s="9"/>
      <c r="AL39" s="89" t="str">
        <f>IF(ISNUMBER(BurstIgor[[#This Row],[BurstNum_spont]]), IF(ISNUMBER(SpontLength_min), BurstIgor[[#This Row],[BurstNum_spont]]/SpontLength_min*60, "Enter Length"), "Enter Burst Vals")</f>
        <v>Enter Burst Vals</v>
      </c>
      <c r="AM3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39" s="93" t="str" cm="1">
        <f t="array" ref="AN39">IF(ISNUMBER(BurstIgor[[#This Row],[BurstNum_temp2]]), IF(ISNUMBER(Temp2_length), BurstIgor[[#This Row],[BurstNum_temp2]]/Temp2_length*60, "Enter Length"), "Enter Burst Vals")</f>
        <v>Enter Burst Vals</v>
      </c>
      <c r="AO39" s="94" t="str" cm="1">
        <f t="array" ref="AO39">IF(ISNUMBER(BurstIgor[[#This Row],[BurstNum_temp3]]), IF(ISNUMBER(Temp3_length), BurstIgor[[#This Row],[BurstNum_temp3]]/Temp3_length*60, "Enter Length"), "Enter Burst Vals")</f>
        <v>Enter Burst Vals</v>
      </c>
      <c r="AQ39" s="88">
        <v>0.37</v>
      </c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C39" s="88">
        <v>0.37</v>
      </c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O39" s="88">
        <v>0.37</v>
      </c>
      <c r="BP39" s="93"/>
      <c r="BQ39" s="93"/>
      <c r="BR39" s="93"/>
      <c r="BS39" s="93"/>
      <c r="BT39" s="93"/>
      <c r="BU39" s="93"/>
      <c r="BV39" s="93"/>
      <c r="BW39" s="93"/>
      <c r="BX39" s="93"/>
      <c r="BY39" s="93"/>
    </row>
    <row r="40" spans="1:77" x14ac:dyDescent="0.2">
      <c r="A40" s="88">
        <v>0.38</v>
      </c>
      <c r="B40" s="6"/>
      <c r="C40" s="7"/>
      <c r="D40" s="8"/>
      <c r="E40" s="9"/>
      <c r="F40" s="6"/>
      <c r="G40" s="7"/>
      <c r="H40" s="8"/>
      <c r="I40" s="9"/>
      <c r="J40" s="6"/>
      <c r="K40" s="7"/>
      <c r="L40" s="8"/>
      <c r="M40" s="9"/>
      <c r="N40" s="6"/>
      <c r="O40" s="7"/>
      <c r="P40" s="8"/>
      <c r="Q40" s="9"/>
      <c r="R40" s="6"/>
      <c r="S40" s="7"/>
      <c r="T40" s="8"/>
      <c r="U40" s="9"/>
      <c r="V40" s="6"/>
      <c r="W40" s="7"/>
      <c r="X40" s="8"/>
      <c r="Y40" s="9"/>
      <c r="Z40" s="6"/>
      <c r="AA40" s="7"/>
      <c r="AB40" s="8"/>
      <c r="AC40" s="9"/>
      <c r="AD40" s="6"/>
      <c r="AE40" s="7"/>
      <c r="AF40" s="8"/>
      <c r="AG40" s="9"/>
      <c r="AH40" s="6"/>
      <c r="AI40" s="7"/>
      <c r="AJ40" s="8"/>
      <c r="AK40" s="9"/>
      <c r="AL40" s="89" t="str">
        <f>IF(ISNUMBER(BurstIgor[[#This Row],[BurstNum_spont]]), IF(ISNUMBER(SpontLength_min), BurstIgor[[#This Row],[BurstNum_spont]]/SpontLength_min*60, "Enter Length"), "Enter Burst Vals")</f>
        <v>Enter Burst Vals</v>
      </c>
      <c r="AM4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0" s="93" t="str" cm="1">
        <f t="array" ref="AN40">IF(ISNUMBER(BurstIgor[[#This Row],[BurstNum_temp2]]), IF(ISNUMBER(Temp2_length), BurstIgor[[#This Row],[BurstNum_temp2]]/Temp2_length*60, "Enter Length"), "Enter Burst Vals")</f>
        <v>Enter Burst Vals</v>
      </c>
      <c r="AO40" s="94" t="str" cm="1">
        <f t="array" ref="AO40">IF(ISNUMBER(BurstIgor[[#This Row],[BurstNum_temp3]]), IF(ISNUMBER(Temp3_length), BurstIgor[[#This Row],[BurstNum_temp3]]/Temp3_length*60, "Enter Length"), "Enter Burst Vals")</f>
        <v>Enter Burst Vals</v>
      </c>
      <c r="AQ40" s="88">
        <v>0.38</v>
      </c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C40" s="88">
        <v>0.38</v>
      </c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O40" s="88">
        <v>0.38</v>
      </c>
      <c r="BP40" s="93"/>
      <c r="BQ40" s="93"/>
      <c r="BR40" s="93"/>
      <c r="BS40" s="93"/>
      <c r="BT40" s="93"/>
      <c r="BU40" s="93"/>
      <c r="BV40" s="93"/>
      <c r="BW40" s="93"/>
      <c r="BX40" s="93"/>
      <c r="BY40" s="93"/>
    </row>
    <row r="41" spans="1:77" x14ac:dyDescent="0.2">
      <c r="A41" s="88">
        <v>0.39</v>
      </c>
      <c r="B41" s="6"/>
      <c r="C41" s="7"/>
      <c r="D41" s="8"/>
      <c r="E41" s="9"/>
      <c r="F41" s="6"/>
      <c r="G41" s="7"/>
      <c r="H41" s="8"/>
      <c r="I41" s="9"/>
      <c r="J41" s="6"/>
      <c r="K41" s="7"/>
      <c r="L41" s="8"/>
      <c r="M41" s="9"/>
      <c r="N41" s="6"/>
      <c r="O41" s="7"/>
      <c r="P41" s="8"/>
      <c r="Q41" s="9"/>
      <c r="R41" s="6"/>
      <c r="S41" s="7"/>
      <c r="T41" s="8"/>
      <c r="U41" s="9"/>
      <c r="V41" s="6"/>
      <c r="W41" s="7"/>
      <c r="X41" s="8"/>
      <c r="Y41" s="9"/>
      <c r="Z41" s="6"/>
      <c r="AA41" s="7"/>
      <c r="AB41" s="8"/>
      <c r="AC41" s="9"/>
      <c r="AD41" s="6"/>
      <c r="AE41" s="7"/>
      <c r="AF41" s="8"/>
      <c r="AG41" s="9"/>
      <c r="AH41" s="6"/>
      <c r="AI41" s="7"/>
      <c r="AJ41" s="8"/>
      <c r="AK41" s="9"/>
      <c r="AL41" s="89" t="str">
        <f>IF(ISNUMBER(BurstIgor[[#This Row],[BurstNum_spont]]), IF(ISNUMBER(SpontLength_min), BurstIgor[[#This Row],[BurstNum_spont]]/SpontLength_min*60, "Enter Length"), "Enter Burst Vals")</f>
        <v>Enter Burst Vals</v>
      </c>
      <c r="AM4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1" s="93" t="str" cm="1">
        <f t="array" ref="AN41">IF(ISNUMBER(BurstIgor[[#This Row],[BurstNum_temp2]]), IF(ISNUMBER(Temp2_length), BurstIgor[[#This Row],[BurstNum_temp2]]/Temp2_length*60, "Enter Length"), "Enter Burst Vals")</f>
        <v>Enter Burst Vals</v>
      </c>
      <c r="AO41" s="94" t="str" cm="1">
        <f t="array" ref="AO41">IF(ISNUMBER(BurstIgor[[#This Row],[BurstNum_temp3]]), IF(ISNUMBER(Temp3_length), BurstIgor[[#This Row],[BurstNum_temp3]]/Temp3_length*60, "Enter Length"), "Enter Burst Vals")</f>
        <v>Enter Burst Vals</v>
      </c>
      <c r="AQ41" s="88">
        <v>0.39</v>
      </c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C41" s="88">
        <v>0.39</v>
      </c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O41" s="88">
        <v>0.39</v>
      </c>
      <c r="BP41" s="93"/>
      <c r="BQ41" s="93"/>
      <c r="BR41" s="93"/>
      <c r="BS41" s="93"/>
      <c r="BT41" s="93"/>
      <c r="BU41" s="93"/>
      <c r="BV41" s="93"/>
      <c r="BW41" s="93"/>
      <c r="BX41" s="93"/>
      <c r="BY41" s="93"/>
    </row>
    <row r="42" spans="1:77" x14ac:dyDescent="0.2">
      <c r="A42" s="88">
        <v>0.4</v>
      </c>
      <c r="B42" s="6"/>
      <c r="C42" s="7"/>
      <c r="D42" s="8"/>
      <c r="E42" s="9"/>
      <c r="F42" s="6"/>
      <c r="G42" s="7"/>
      <c r="H42" s="8"/>
      <c r="I42" s="9"/>
      <c r="J42" s="6"/>
      <c r="K42" s="7"/>
      <c r="L42" s="8"/>
      <c r="M42" s="9"/>
      <c r="N42" s="6"/>
      <c r="O42" s="7"/>
      <c r="P42" s="8"/>
      <c r="Q42" s="9"/>
      <c r="R42" s="6"/>
      <c r="S42" s="7"/>
      <c r="T42" s="8"/>
      <c r="U42" s="9"/>
      <c r="V42" s="6"/>
      <c r="W42" s="7"/>
      <c r="X42" s="8"/>
      <c r="Y42" s="9"/>
      <c r="Z42" s="6"/>
      <c r="AA42" s="7"/>
      <c r="AB42" s="8"/>
      <c r="AC42" s="9"/>
      <c r="AD42" s="6"/>
      <c r="AE42" s="7"/>
      <c r="AF42" s="8"/>
      <c r="AG42" s="9"/>
      <c r="AH42" s="6"/>
      <c r="AI42" s="7"/>
      <c r="AJ42" s="8"/>
      <c r="AK42" s="9"/>
      <c r="AL42" s="89" t="str">
        <f>IF(ISNUMBER(BurstIgor[[#This Row],[BurstNum_spont]]), IF(ISNUMBER(SpontLength_min), BurstIgor[[#This Row],[BurstNum_spont]]/SpontLength_min*60, "Enter Length"), "Enter Burst Vals")</f>
        <v>Enter Burst Vals</v>
      </c>
      <c r="AM4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2" s="93" t="str" cm="1">
        <f t="array" ref="AN42">IF(ISNUMBER(BurstIgor[[#This Row],[BurstNum_temp2]]), IF(ISNUMBER(Temp2_length), BurstIgor[[#This Row],[BurstNum_temp2]]/Temp2_length*60, "Enter Length"), "Enter Burst Vals")</f>
        <v>Enter Burst Vals</v>
      </c>
      <c r="AO42" s="94" t="str" cm="1">
        <f t="array" ref="AO42">IF(ISNUMBER(BurstIgor[[#This Row],[BurstNum_temp3]]), IF(ISNUMBER(Temp3_length), BurstIgor[[#This Row],[BurstNum_temp3]]/Temp3_length*60, "Enter Length"), "Enter Burst Vals")</f>
        <v>Enter Burst Vals</v>
      </c>
      <c r="AQ42" s="88">
        <v>0.4</v>
      </c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C42" s="88">
        <v>0.4</v>
      </c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O42" s="88">
        <v>0.4</v>
      </c>
      <c r="BP42" s="93"/>
      <c r="BQ42" s="93"/>
      <c r="BR42" s="93"/>
      <c r="BS42" s="93"/>
      <c r="BT42" s="93"/>
      <c r="BU42" s="93"/>
      <c r="BV42" s="93"/>
      <c r="BW42" s="93"/>
      <c r="BX42" s="93"/>
      <c r="BY42" s="93"/>
    </row>
    <row r="43" spans="1:77" x14ac:dyDescent="0.2">
      <c r="A43" s="88">
        <v>0.41</v>
      </c>
      <c r="B43" s="6"/>
      <c r="C43" s="7"/>
      <c r="D43" s="8"/>
      <c r="E43" s="9"/>
      <c r="F43" s="6"/>
      <c r="G43" s="7"/>
      <c r="H43" s="8"/>
      <c r="I43" s="9"/>
      <c r="J43" s="6"/>
      <c r="K43" s="7"/>
      <c r="L43" s="8"/>
      <c r="M43" s="9"/>
      <c r="N43" s="6"/>
      <c r="O43" s="7"/>
      <c r="P43" s="8"/>
      <c r="Q43" s="9"/>
      <c r="R43" s="6"/>
      <c r="S43" s="7"/>
      <c r="T43" s="8"/>
      <c r="U43" s="9"/>
      <c r="V43" s="6"/>
      <c r="W43" s="7"/>
      <c r="X43" s="8"/>
      <c r="Y43" s="9"/>
      <c r="Z43" s="6"/>
      <c r="AA43" s="7"/>
      <c r="AB43" s="8"/>
      <c r="AC43" s="9"/>
      <c r="AD43" s="6"/>
      <c r="AE43" s="7"/>
      <c r="AF43" s="8"/>
      <c r="AG43" s="9"/>
      <c r="AH43" s="6"/>
      <c r="AI43" s="7"/>
      <c r="AJ43" s="8"/>
      <c r="AK43" s="9"/>
      <c r="AL43" s="89" t="str">
        <f>IF(ISNUMBER(BurstIgor[[#This Row],[BurstNum_spont]]), IF(ISNUMBER(SpontLength_min), BurstIgor[[#This Row],[BurstNum_spont]]/SpontLength_min*60, "Enter Length"), "Enter Burst Vals")</f>
        <v>Enter Burst Vals</v>
      </c>
      <c r="AM4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3" s="93" t="str" cm="1">
        <f t="array" ref="AN43">IF(ISNUMBER(BurstIgor[[#This Row],[BurstNum_temp2]]), IF(ISNUMBER(Temp2_length), BurstIgor[[#This Row],[BurstNum_temp2]]/Temp2_length*60, "Enter Length"), "Enter Burst Vals")</f>
        <v>Enter Burst Vals</v>
      </c>
      <c r="AO43" s="94" t="str" cm="1">
        <f t="array" ref="AO43">IF(ISNUMBER(BurstIgor[[#This Row],[BurstNum_temp3]]), IF(ISNUMBER(Temp3_length), BurstIgor[[#This Row],[BurstNum_temp3]]/Temp3_length*60, "Enter Length"), "Enter Burst Vals")</f>
        <v>Enter Burst Vals</v>
      </c>
      <c r="AQ43" s="88">
        <v>0.41</v>
      </c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C43" s="88">
        <v>0.41</v>
      </c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O43" s="88">
        <v>0.41</v>
      </c>
      <c r="BP43" s="93"/>
      <c r="BQ43" s="93"/>
      <c r="BR43" s="93"/>
      <c r="BS43" s="93"/>
      <c r="BT43" s="93"/>
      <c r="BU43" s="93"/>
      <c r="BV43" s="93"/>
      <c r="BW43" s="93"/>
      <c r="BX43" s="93"/>
      <c r="BY43" s="93"/>
    </row>
    <row r="44" spans="1:77" x14ac:dyDescent="0.2">
      <c r="A44" s="88">
        <v>0.42</v>
      </c>
      <c r="B44" s="6"/>
      <c r="C44" s="7"/>
      <c r="D44" s="8"/>
      <c r="E44" s="9"/>
      <c r="F44" s="6"/>
      <c r="G44" s="7"/>
      <c r="H44" s="8"/>
      <c r="I44" s="9"/>
      <c r="J44" s="6"/>
      <c r="K44" s="7"/>
      <c r="L44" s="8"/>
      <c r="M44" s="9"/>
      <c r="N44" s="6"/>
      <c r="O44" s="7"/>
      <c r="P44" s="8"/>
      <c r="Q44" s="9"/>
      <c r="R44" s="6"/>
      <c r="S44" s="7"/>
      <c r="T44" s="8"/>
      <c r="U44" s="9"/>
      <c r="V44" s="6"/>
      <c r="W44" s="7"/>
      <c r="X44" s="8"/>
      <c r="Y44" s="9"/>
      <c r="Z44" s="6"/>
      <c r="AA44" s="7"/>
      <c r="AB44" s="8"/>
      <c r="AC44" s="9"/>
      <c r="AD44" s="6"/>
      <c r="AE44" s="7"/>
      <c r="AF44" s="8"/>
      <c r="AG44" s="9"/>
      <c r="AH44" s="6"/>
      <c r="AI44" s="7"/>
      <c r="AJ44" s="8"/>
      <c r="AK44" s="9"/>
      <c r="AL44" s="89" t="str">
        <f>IF(ISNUMBER(BurstIgor[[#This Row],[BurstNum_spont]]), IF(ISNUMBER(SpontLength_min), BurstIgor[[#This Row],[BurstNum_spont]]/SpontLength_min*60, "Enter Length"), "Enter Burst Vals")</f>
        <v>Enter Burst Vals</v>
      </c>
      <c r="AM4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4" s="93" t="str" cm="1">
        <f t="array" ref="AN44">IF(ISNUMBER(BurstIgor[[#This Row],[BurstNum_temp2]]), IF(ISNUMBER(Temp2_length), BurstIgor[[#This Row],[BurstNum_temp2]]/Temp2_length*60, "Enter Length"), "Enter Burst Vals")</f>
        <v>Enter Burst Vals</v>
      </c>
      <c r="AO44" s="94" t="str" cm="1">
        <f t="array" ref="AO44">IF(ISNUMBER(BurstIgor[[#This Row],[BurstNum_temp3]]), IF(ISNUMBER(Temp3_length), BurstIgor[[#This Row],[BurstNum_temp3]]/Temp3_length*60, "Enter Length"), "Enter Burst Vals")</f>
        <v>Enter Burst Vals</v>
      </c>
      <c r="AQ44" s="88">
        <v>0.42</v>
      </c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C44" s="88">
        <v>0.42</v>
      </c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O44" s="88">
        <v>0.42</v>
      </c>
      <c r="BP44" s="93"/>
      <c r="BQ44" s="93"/>
      <c r="BR44" s="93"/>
      <c r="BS44" s="93"/>
      <c r="BT44" s="93"/>
      <c r="BU44" s="93"/>
      <c r="BV44" s="93"/>
      <c r="BW44" s="93"/>
      <c r="BX44" s="93"/>
      <c r="BY44" s="93"/>
    </row>
    <row r="45" spans="1:77" x14ac:dyDescent="0.2">
      <c r="A45" s="88">
        <v>0.43</v>
      </c>
      <c r="B45" s="6"/>
      <c r="C45" s="7"/>
      <c r="D45" s="8"/>
      <c r="E45" s="9"/>
      <c r="F45" s="6"/>
      <c r="G45" s="7"/>
      <c r="H45" s="8"/>
      <c r="I45" s="9"/>
      <c r="J45" s="6"/>
      <c r="K45" s="7"/>
      <c r="L45" s="8"/>
      <c r="M45" s="9"/>
      <c r="N45" s="6"/>
      <c r="O45" s="7"/>
      <c r="P45" s="8"/>
      <c r="Q45" s="9"/>
      <c r="R45" s="6"/>
      <c r="S45" s="7"/>
      <c r="T45" s="8"/>
      <c r="U45" s="9"/>
      <c r="V45" s="6"/>
      <c r="W45" s="7"/>
      <c r="X45" s="8"/>
      <c r="Y45" s="9"/>
      <c r="Z45" s="6"/>
      <c r="AA45" s="7"/>
      <c r="AB45" s="8"/>
      <c r="AC45" s="9"/>
      <c r="AD45" s="6"/>
      <c r="AE45" s="7"/>
      <c r="AF45" s="8"/>
      <c r="AG45" s="9"/>
      <c r="AH45" s="6"/>
      <c r="AI45" s="7"/>
      <c r="AJ45" s="8"/>
      <c r="AK45" s="9"/>
      <c r="AL45" s="89" t="str">
        <f>IF(ISNUMBER(BurstIgor[[#This Row],[BurstNum_spont]]), IF(ISNUMBER(SpontLength_min), BurstIgor[[#This Row],[BurstNum_spont]]/SpontLength_min*60, "Enter Length"), "Enter Burst Vals")</f>
        <v>Enter Burst Vals</v>
      </c>
      <c r="AM4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5" s="93" t="str" cm="1">
        <f t="array" ref="AN45">IF(ISNUMBER(BurstIgor[[#This Row],[BurstNum_temp2]]), IF(ISNUMBER(Temp2_length), BurstIgor[[#This Row],[BurstNum_temp2]]/Temp2_length*60, "Enter Length"), "Enter Burst Vals")</f>
        <v>Enter Burst Vals</v>
      </c>
      <c r="AO45" s="94" t="str" cm="1">
        <f t="array" ref="AO45">IF(ISNUMBER(BurstIgor[[#This Row],[BurstNum_temp3]]), IF(ISNUMBER(Temp3_length), BurstIgor[[#This Row],[BurstNum_temp3]]/Temp3_length*60, "Enter Length"), "Enter Burst Vals")</f>
        <v>Enter Burst Vals</v>
      </c>
      <c r="AQ45" s="88">
        <v>0.43</v>
      </c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C45" s="88">
        <v>0.43</v>
      </c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O45" s="88">
        <v>0.43</v>
      </c>
      <c r="BP45" s="93"/>
      <c r="BQ45" s="93"/>
      <c r="BR45" s="93"/>
      <c r="BS45" s="93"/>
      <c r="BT45" s="93"/>
      <c r="BU45" s="93"/>
      <c r="BV45" s="93"/>
      <c r="BW45" s="93"/>
      <c r="BX45" s="93"/>
      <c r="BY45" s="93"/>
    </row>
    <row r="46" spans="1:77" x14ac:dyDescent="0.2">
      <c r="A46" s="88">
        <v>0.44</v>
      </c>
      <c r="B46" s="6"/>
      <c r="C46" s="7"/>
      <c r="D46" s="8"/>
      <c r="E46" s="9"/>
      <c r="F46" s="6"/>
      <c r="G46" s="7"/>
      <c r="H46" s="8"/>
      <c r="I46" s="9"/>
      <c r="J46" s="6"/>
      <c r="K46" s="7"/>
      <c r="L46" s="8"/>
      <c r="M46" s="9"/>
      <c r="N46" s="6"/>
      <c r="O46" s="7"/>
      <c r="P46" s="8"/>
      <c r="Q46" s="9"/>
      <c r="R46" s="6"/>
      <c r="S46" s="7"/>
      <c r="T46" s="8"/>
      <c r="U46" s="9"/>
      <c r="V46" s="6"/>
      <c r="W46" s="7"/>
      <c r="X46" s="8"/>
      <c r="Y46" s="9"/>
      <c r="Z46" s="6"/>
      <c r="AA46" s="7"/>
      <c r="AB46" s="8"/>
      <c r="AC46" s="9"/>
      <c r="AD46" s="6"/>
      <c r="AE46" s="7"/>
      <c r="AF46" s="8"/>
      <c r="AG46" s="9"/>
      <c r="AH46" s="6"/>
      <c r="AI46" s="7"/>
      <c r="AJ46" s="8"/>
      <c r="AK46" s="9"/>
      <c r="AL46" s="89" t="str">
        <f>IF(ISNUMBER(BurstIgor[[#This Row],[BurstNum_spont]]), IF(ISNUMBER(SpontLength_min), BurstIgor[[#This Row],[BurstNum_spont]]/SpontLength_min*60, "Enter Length"), "Enter Burst Vals")</f>
        <v>Enter Burst Vals</v>
      </c>
      <c r="AM4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6" s="93" t="str" cm="1">
        <f t="array" ref="AN46">IF(ISNUMBER(BurstIgor[[#This Row],[BurstNum_temp2]]), IF(ISNUMBER(Temp2_length), BurstIgor[[#This Row],[BurstNum_temp2]]/Temp2_length*60, "Enter Length"), "Enter Burst Vals")</f>
        <v>Enter Burst Vals</v>
      </c>
      <c r="AO46" s="94" t="str" cm="1">
        <f t="array" ref="AO46">IF(ISNUMBER(BurstIgor[[#This Row],[BurstNum_temp3]]), IF(ISNUMBER(Temp3_length), BurstIgor[[#This Row],[BurstNum_temp3]]/Temp3_length*60, "Enter Length"), "Enter Burst Vals")</f>
        <v>Enter Burst Vals</v>
      </c>
      <c r="AQ46" s="88">
        <v>0.44</v>
      </c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C46" s="88">
        <v>0.44</v>
      </c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O46" s="88">
        <v>0.44</v>
      </c>
      <c r="BP46" s="93"/>
      <c r="BQ46" s="93"/>
      <c r="BR46" s="93"/>
      <c r="BS46" s="93"/>
      <c r="BT46" s="93"/>
      <c r="BU46" s="93"/>
      <c r="BV46" s="93"/>
      <c r="BW46" s="93"/>
      <c r="BX46" s="93"/>
      <c r="BY46" s="93"/>
    </row>
    <row r="47" spans="1:77" x14ac:dyDescent="0.2">
      <c r="A47" s="88">
        <v>0.45</v>
      </c>
      <c r="B47" s="6"/>
      <c r="C47" s="7"/>
      <c r="D47" s="8"/>
      <c r="E47" s="9"/>
      <c r="F47" s="6"/>
      <c r="G47" s="7"/>
      <c r="H47" s="8"/>
      <c r="I47" s="9"/>
      <c r="J47" s="6"/>
      <c r="K47" s="7"/>
      <c r="L47" s="8"/>
      <c r="M47" s="9"/>
      <c r="N47" s="6"/>
      <c r="O47" s="7"/>
      <c r="P47" s="8"/>
      <c r="Q47" s="9"/>
      <c r="R47" s="6"/>
      <c r="S47" s="7"/>
      <c r="T47" s="8"/>
      <c r="U47" s="9"/>
      <c r="V47" s="6"/>
      <c r="W47" s="7"/>
      <c r="X47" s="8"/>
      <c r="Y47" s="9"/>
      <c r="Z47" s="6"/>
      <c r="AA47" s="7"/>
      <c r="AB47" s="8"/>
      <c r="AC47" s="9"/>
      <c r="AD47" s="6"/>
      <c r="AE47" s="7"/>
      <c r="AF47" s="8"/>
      <c r="AG47" s="9"/>
      <c r="AH47" s="6"/>
      <c r="AI47" s="7"/>
      <c r="AJ47" s="8"/>
      <c r="AK47" s="9"/>
      <c r="AL47" s="89" t="str">
        <f>IF(ISNUMBER(BurstIgor[[#This Row],[BurstNum_spont]]), IF(ISNUMBER(SpontLength_min), BurstIgor[[#This Row],[BurstNum_spont]]/SpontLength_min*60, "Enter Length"), "Enter Burst Vals")</f>
        <v>Enter Burst Vals</v>
      </c>
      <c r="AM4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7" s="93" t="str" cm="1">
        <f t="array" ref="AN47">IF(ISNUMBER(BurstIgor[[#This Row],[BurstNum_temp2]]), IF(ISNUMBER(Temp2_length), BurstIgor[[#This Row],[BurstNum_temp2]]/Temp2_length*60, "Enter Length"), "Enter Burst Vals")</f>
        <v>Enter Burst Vals</v>
      </c>
      <c r="AO47" s="94" t="str" cm="1">
        <f t="array" ref="AO47">IF(ISNUMBER(BurstIgor[[#This Row],[BurstNum_temp3]]), IF(ISNUMBER(Temp3_length), BurstIgor[[#This Row],[BurstNum_temp3]]/Temp3_length*60, "Enter Length"), "Enter Burst Vals")</f>
        <v>Enter Burst Vals</v>
      </c>
      <c r="AQ47" s="88">
        <v>0.45</v>
      </c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C47" s="88">
        <v>0.45</v>
      </c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O47" s="88">
        <v>0.45</v>
      </c>
      <c r="BP47" s="93"/>
      <c r="BQ47" s="93"/>
      <c r="BR47" s="93"/>
      <c r="BS47" s="93"/>
      <c r="BT47" s="93"/>
      <c r="BU47" s="93"/>
      <c r="BV47" s="93"/>
      <c r="BW47" s="93"/>
      <c r="BX47" s="93"/>
      <c r="BY47" s="93"/>
    </row>
    <row r="48" spans="1:77" x14ac:dyDescent="0.2">
      <c r="A48" s="88">
        <v>0.46</v>
      </c>
      <c r="B48" s="6"/>
      <c r="C48" s="7"/>
      <c r="D48" s="8"/>
      <c r="E48" s="9"/>
      <c r="F48" s="6"/>
      <c r="G48" s="7"/>
      <c r="H48" s="8"/>
      <c r="I48" s="9"/>
      <c r="J48" s="6"/>
      <c r="K48" s="7"/>
      <c r="L48" s="8"/>
      <c r="M48" s="9"/>
      <c r="N48" s="6"/>
      <c r="O48" s="7"/>
      <c r="P48" s="8"/>
      <c r="Q48" s="9"/>
      <c r="R48" s="6"/>
      <c r="S48" s="7"/>
      <c r="T48" s="8"/>
      <c r="U48" s="9"/>
      <c r="V48" s="6"/>
      <c r="W48" s="7"/>
      <c r="X48" s="8"/>
      <c r="Y48" s="9"/>
      <c r="Z48" s="6"/>
      <c r="AA48" s="7"/>
      <c r="AB48" s="8"/>
      <c r="AC48" s="9"/>
      <c r="AD48" s="6"/>
      <c r="AE48" s="7"/>
      <c r="AF48" s="8"/>
      <c r="AG48" s="9"/>
      <c r="AH48" s="6"/>
      <c r="AI48" s="7"/>
      <c r="AJ48" s="8"/>
      <c r="AK48" s="9"/>
      <c r="AL48" s="89" t="str">
        <f>IF(ISNUMBER(BurstIgor[[#This Row],[BurstNum_spont]]), IF(ISNUMBER(SpontLength_min), BurstIgor[[#This Row],[BurstNum_spont]]/SpontLength_min*60, "Enter Length"), "Enter Burst Vals")</f>
        <v>Enter Burst Vals</v>
      </c>
      <c r="AM4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8" s="93" t="str" cm="1">
        <f t="array" ref="AN48">IF(ISNUMBER(BurstIgor[[#This Row],[BurstNum_temp2]]), IF(ISNUMBER(Temp2_length), BurstIgor[[#This Row],[BurstNum_temp2]]/Temp2_length*60, "Enter Length"), "Enter Burst Vals")</f>
        <v>Enter Burst Vals</v>
      </c>
      <c r="AO48" s="94" t="str" cm="1">
        <f t="array" ref="AO48">IF(ISNUMBER(BurstIgor[[#This Row],[BurstNum_temp3]]), IF(ISNUMBER(Temp3_length), BurstIgor[[#This Row],[BurstNum_temp3]]/Temp3_length*60, "Enter Length"), "Enter Burst Vals")</f>
        <v>Enter Burst Vals</v>
      </c>
      <c r="AQ48" s="88">
        <v>0.46</v>
      </c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C48" s="88">
        <v>0.46</v>
      </c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O48" s="88">
        <v>0.46</v>
      </c>
      <c r="BP48" s="93"/>
      <c r="BQ48" s="93"/>
      <c r="BR48" s="93"/>
      <c r="BS48" s="93"/>
      <c r="BT48" s="93"/>
      <c r="BU48" s="93"/>
      <c r="BV48" s="93"/>
      <c r="BW48" s="93"/>
      <c r="BX48" s="93"/>
      <c r="BY48" s="93"/>
    </row>
    <row r="49" spans="1:77" x14ac:dyDescent="0.2">
      <c r="A49" s="88">
        <v>0.47</v>
      </c>
      <c r="B49" s="6"/>
      <c r="C49" s="7"/>
      <c r="D49" s="8"/>
      <c r="E49" s="9"/>
      <c r="F49" s="6"/>
      <c r="G49" s="7"/>
      <c r="H49" s="8"/>
      <c r="I49" s="9"/>
      <c r="J49" s="6"/>
      <c r="K49" s="7"/>
      <c r="L49" s="8"/>
      <c r="M49" s="9"/>
      <c r="N49" s="6"/>
      <c r="O49" s="7"/>
      <c r="P49" s="8"/>
      <c r="Q49" s="9"/>
      <c r="R49" s="6"/>
      <c r="S49" s="7"/>
      <c r="T49" s="8"/>
      <c r="U49" s="9"/>
      <c r="V49" s="6"/>
      <c r="W49" s="7"/>
      <c r="X49" s="8"/>
      <c r="Y49" s="9"/>
      <c r="Z49" s="6"/>
      <c r="AA49" s="7"/>
      <c r="AB49" s="8"/>
      <c r="AC49" s="9"/>
      <c r="AD49" s="6"/>
      <c r="AE49" s="7"/>
      <c r="AF49" s="8"/>
      <c r="AG49" s="9"/>
      <c r="AH49" s="6"/>
      <c r="AI49" s="7"/>
      <c r="AJ49" s="8"/>
      <c r="AK49" s="9"/>
      <c r="AL49" s="89" t="str">
        <f>IF(ISNUMBER(BurstIgor[[#This Row],[BurstNum_spont]]), IF(ISNUMBER(SpontLength_min), BurstIgor[[#This Row],[BurstNum_spont]]/SpontLength_min*60, "Enter Length"), "Enter Burst Vals")</f>
        <v>Enter Burst Vals</v>
      </c>
      <c r="AM4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49" s="93" t="str" cm="1">
        <f t="array" ref="AN49">IF(ISNUMBER(BurstIgor[[#This Row],[BurstNum_temp2]]), IF(ISNUMBER(Temp2_length), BurstIgor[[#This Row],[BurstNum_temp2]]/Temp2_length*60, "Enter Length"), "Enter Burst Vals")</f>
        <v>Enter Burst Vals</v>
      </c>
      <c r="AO49" s="94" t="str" cm="1">
        <f t="array" ref="AO49">IF(ISNUMBER(BurstIgor[[#This Row],[BurstNum_temp3]]), IF(ISNUMBER(Temp3_length), BurstIgor[[#This Row],[BurstNum_temp3]]/Temp3_length*60, "Enter Length"), "Enter Burst Vals")</f>
        <v>Enter Burst Vals</v>
      </c>
      <c r="AQ49" s="88">
        <v>0.47</v>
      </c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C49" s="88">
        <v>0.47</v>
      </c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O49" s="88">
        <v>0.47</v>
      </c>
      <c r="BP49" s="93"/>
      <c r="BQ49" s="93"/>
      <c r="BR49" s="93"/>
      <c r="BS49" s="93"/>
      <c r="BT49" s="93"/>
      <c r="BU49" s="93"/>
      <c r="BV49" s="93"/>
      <c r="BW49" s="93"/>
      <c r="BX49" s="93"/>
      <c r="BY49" s="93"/>
    </row>
    <row r="50" spans="1:77" x14ac:dyDescent="0.2">
      <c r="A50" s="88">
        <v>0.48</v>
      </c>
      <c r="B50" s="6"/>
      <c r="C50" s="7"/>
      <c r="D50" s="8"/>
      <c r="E50" s="9"/>
      <c r="F50" s="6"/>
      <c r="G50" s="7"/>
      <c r="H50" s="8"/>
      <c r="I50" s="9"/>
      <c r="J50" s="6"/>
      <c r="K50" s="7"/>
      <c r="L50" s="8"/>
      <c r="M50" s="9"/>
      <c r="N50" s="6"/>
      <c r="O50" s="7"/>
      <c r="P50" s="8"/>
      <c r="Q50" s="9"/>
      <c r="R50" s="6"/>
      <c r="S50" s="7"/>
      <c r="T50" s="8"/>
      <c r="U50" s="9"/>
      <c r="V50" s="6"/>
      <c r="W50" s="7"/>
      <c r="X50" s="8"/>
      <c r="Y50" s="9"/>
      <c r="Z50" s="6"/>
      <c r="AA50" s="7"/>
      <c r="AB50" s="8"/>
      <c r="AC50" s="9"/>
      <c r="AD50" s="6"/>
      <c r="AE50" s="7"/>
      <c r="AF50" s="8"/>
      <c r="AG50" s="9"/>
      <c r="AH50" s="6"/>
      <c r="AI50" s="7"/>
      <c r="AJ50" s="8"/>
      <c r="AK50" s="9"/>
      <c r="AL50" s="89" t="str">
        <f>IF(ISNUMBER(BurstIgor[[#This Row],[BurstNum_spont]]), IF(ISNUMBER(SpontLength_min), BurstIgor[[#This Row],[BurstNum_spont]]/SpontLength_min*60, "Enter Length"), "Enter Burst Vals")</f>
        <v>Enter Burst Vals</v>
      </c>
      <c r="AM5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0" s="93" t="str" cm="1">
        <f t="array" ref="AN50">IF(ISNUMBER(BurstIgor[[#This Row],[BurstNum_temp2]]), IF(ISNUMBER(Temp2_length), BurstIgor[[#This Row],[BurstNum_temp2]]/Temp2_length*60, "Enter Length"), "Enter Burst Vals")</f>
        <v>Enter Burst Vals</v>
      </c>
      <c r="AO50" s="94" t="str" cm="1">
        <f t="array" ref="AO50">IF(ISNUMBER(BurstIgor[[#This Row],[BurstNum_temp3]]), IF(ISNUMBER(Temp3_length), BurstIgor[[#This Row],[BurstNum_temp3]]/Temp3_length*60, "Enter Length"), "Enter Burst Vals")</f>
        <v>Enter Burst Vals</v>
      </c>
      <c r="AQ50" s="88">
        <v>0.48</v>
      </c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C50" s="88">
        <v>0.48</v>
      </c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O50" s="88">
        <v>0.48</v>
      </c>
      <c r="BP50" s="93"/>
      <c r="BQ50" s="93"/>
      <c r="BR50" s="93"/>
      <c r="BS50" s="93"/>
      <c r="BT50" s="93"/>
      <c r="BU50" s="93"/>
      <c r="BV50" s="93"/>
      <c r="BW50" s="93"/>
      <c r="BX50" s="93"/>
      <c r="BY50" s="93"/>
    </row>
    <row r="51" spans="1:77" x14ac:dyDescent="0.2">
      <c r="A51" s="88">
        <v>0.49</v>
      </c>
      <c r="B51" s="6"/>
      <c r="C51" s="7"/>
      <c r="D51" s="8"/>
      <c r="E51" s="9"/>
      <c r="F51" s="6"/>
      <c r="G51" s="7"/>
      <c r="H51" s="8"/>
      <c r="I51" s="9"/>
      <c r="J51" s="6"/>
      <c r="K51" s="7"/>
      <c r="L51" s="8"/>
      <c r="M51" s="9"/>
      <c r="N51" s="6"/>
      <c r="O51" s="7"/>
      <c r="P51" s="8"/>
      <c r="Q51" s="9"/>
      <c r="R51" s="6"/>
      <c r="S51" s="7"/>
      <c r="T51" s="8"/>
      <c r="U51" s="9"/>
      <c r="V51" s="6"/>
      <c r="W51" s="7"/>
      <c r="X51" s="8"/>
      <c r="Y51" s="9"/>
      <c r="Z51" s="6"/>
      <c r="AA51" s="7"/>
      <c r="AB51" s="8"/>
      <c r="AC51" s="9"/>
      <c r="AD51" s="6"/>
      <c r="AE51" s="7"/>
      <c r="AF51" s="8"/>
      <c r="AG51" s="9"/>
      <c r="AH51" s="6"/>
      <c r="AI51" s="7"/>
      <c r="AJ51" s="8"/>
      <c r="AK51" s="9"/>
      <c r="AL51" s="89" t="str">
        <f>IF(ISNUMBER(BurstIgor[[#This Row],[BurstNum_spont]]), IF(ISNUMBER(SpontLength_min), BurstIgor[[#This Row],[BurstNum_spont]]/SpontLength_min*60, "Enter Length"), "Enter Burst Vals")</f>
        <v>Enter Burst Vals</v>
      </c>
      <c r="AM5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1" s="93" t="str" cm="1">
        <f t="array" ref="AN51">IF(ISNUMBER(BurstIgor[[#This Row],[BurstNum_temp2]]), IF(ISNUMBER(Temp2_length), BurstIgor[[#This Row],[BurstNum_temp2]]/Temp2_length*60, "Enter Length"), "Enter Burst Vals")</f>
        <v>Enter Burst Vals</v>
      </c>
      <c r="AO51" s="94" t="str" cm="1">
        <f t="array" ref="AO51">IF(ISNUMBER(BurstIgor[[#This Row],[BurstNum_temp3]]), IF(ISNUMBER(Temp3_length), BurstIgor[[#This Row],[BurstNum_temp3]]/Temp3_length*60, "Enter Length"), "Enter Burst Vals")</f>
        <v>Enter Burst Vals</v>
      </c>
      <c r="AQ51" s="88">
        <v>0.49</v>
      </c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C51" s="88">
        <v>0.49</v>
      </c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O51" s="88">
        <v>0.49</v>
      </c>
      <c r="BP51" s="93"/>
      <c r="BQ51" s="93"/>
      <c r="BR51" s="93"/>
      <c r="BS51" s="93"/>
      <c r="BT51" s="93"/>
      <c r="BU51" s="93"/>
      <c r="BV51" s="93"/>
      <c r="BW51" s="93"/>
      <c r="BX51" s="93"/>
      <c r="BY51" s="93"/>
    </row>
    <row r="52" spans="1:77" x14ac:dyDescent="0.2">
      <c r="A52" s="88">
        <v>0.5</v>
      </c>
      <c r="B52" s="6"/>
      <c r="C52" s="7"/>
      <c r="D52" s="8"/>
      <c r="E52" s="9"/>
      <c r="F52" s="6"/>
      <c r="G52" s="7"/>
      <c r="H52" s="8"/>
      <c r="I52" s="9"/>
      <c r="J52" s="6"/>
      <c r="K52" s="7"/>
      <c r="L52" s="8"/>
      <c r="M52" s="9"/>
      <c r="N52" s="6"/>
      <c r="O52" s="7"/>
      <c r="P52" s="8"/>
      <c r="Q52" s="9"/>
      <c r="R52" s="6"/>
      <c r="S52" s="7"/>
      <c r="T52" s="8"/>
      <c r="U52" s="9"/>
      <c r="V52" s="6"/>
      <c r="W52" s="7"/>
      <c r="X52" s="8"/>
      <c r="Y52" s="9"/>
      <c r="Z52" s="6"/>
      <c r="AA52" s="7"/>
      <c r="AB52" s="8"/>
      <c r="AC52" s="9"/>
      <c r="AD52" s="6"/>
      <c r="AE52" s="7"/>
      <c r="AF52" s="8"/>
      <c r="AG52" s="9"/>
      <c r="AH52" s="6"/>
      <c r="AI52" s="7"/>
      <c r="AJ52" s="8"/>
      <c r="AK52" s="9"/>
      <c r="AL52" s="89" t="str">
        <f>IF(ISNUMBER(BurstIgor[[#This Row],[BurstNum_spont]]), IF(ISNUMBER(SpontLength_min), BurstIgor[[#This Row],[BurstNum_spont]]/SpontLength_min*60, "Enter Length"), "Enter Burst Vals")</f>
        <v>Enter Burst Vals</v>
      </c>
      <c r="AM5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2" s="93" t="str" cm="1">
        <f t="array" ref="AN52">IF(ISNUMBER(BurstIgor[[#This Row],[BurstNum_temp2]]), IF(ISNUMBER(Temp2_length), BurstIgor[[#This Row],[BurstNum_temp2]]/Temp2_length*60, "Enter Length"), "Enter Burst Vals")</f>
        <v>Enter Burst Vals</v>
      </c>
      <c r="AO52" s="94" t="str" cm="1">
        <f t="array" ref="AO52">IF(ISNUMBER(BurstIgor[[#This Row],[BurstNum_temp3]]), IF(ISNUMBER(Temp3_length), BurstIgor[[#This Row],[BurstNum_temp3]]/Temp3_length*60, "Enter Length"), "Enter Burst Vals")</f>
        <v>Enter Burst Vals</v>
      </c>
      <c r="AQ52" s="88">
        <v>0.5</v>
      </c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C52" s="88">
        <v>0.5</v>
      </c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O52" s="88">
        <v>0.5</v>
      </c>
      <c r="BP52" s="93"/>
      <c r="BQ52" s="93"/>
      <c r="BR52" s="93"/>
      <c r="BS52" s="93"/>
      <c r="BT52" s="93"/>
      <c r="BU52" s="93"/>
      <c r="BV52" s="93"/>
      <c r="BW52" s="93"/>
      <c r="BX52" s="93"/>
      <c r="BY52" s="93"/>
    </row>
    <row r="53" spans="1:77" x14ac:dyDescent="0.2">
      <c r="A53" s="88">
        <v>0.51</v>
      </c>
      <c r="B53" s="6"/>
      <c r="C53" s="7"/>
      <c r="D53" s="8"/>
      <c r="E53" s="9"/>
      <c r="F53" s="6"/>
      <c r="G53" s="7"/>
      <c r="H53" s="8"/>
      <c r="I53" s="9"/>
      <c r="J53" s="6"/>
      <c r="K53" s="7"/>
      <c r="L53" s="8"/>
      <c r="M53" s="9"/>
      <c r="N53" s="6"/>
      <c r="O53" s="7"/>
      <c r="P53" s="8"/>
      <c r="Q53" s="9"/>
      <c r="R53" s="6"/>
      <c r="S53" s="7"/>
      <c r="T53" s="8"/>
      <c r="U53" s="9"/>
      <c r="V53" s="6"/>
      <c r="W53" s="7"/>
      <c r="X53" s="8"/>
      <c r="Y53" s="9"/>
      <c r="Z53" s="6"/>
      <c r="AA53" s="7"/>
      <c r="AB53" s="8"/>
      <c r="AC53" s="9"/>
      <c r="AD53" s="6"/>
      <c r="AE53" s="7"/>
      <c r="AF53" s="8"/>
      <c r="AG53" s="9"/>
      <c r="AH53" s="6"/>
      <c r="AI53" s="7"/>
      <c r="AJ53" s="8"/>
      <c r="AK53" s="9"/>
      <c r="AL53" s="89" t="str">
        <f>IF(ISNUMBER(BurstIgor[[#This Row],[BurstNum_spont]]), IF(ISNUMBER(SpontLength_min), BurstIgor[[#This Row],[BurstNum_spont]]/SpontLength_min*60, "Enter Length"), "Enter Burst Vals")</f>
        <v>Enter Burst Vals</v>
      </c>
      <c r="AM5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3" s="93" t="str" cm="1">
        <f t="array" ref="AN53">IF(ISNUMBER(BurstIgor[[#This Row],[BurstNum_temp2]]), IF(ISNUMBER(Temp2_length), BurstIgor[[#This Row],[BurstNum_temp2]]/Temp2_length*60, "Enter Length"), "Enter Burst Vals")</f>
        <v>Enter Burst Vals</v>
      </c>
      <c r="AO53" s="94" t="str" cm="1">
        <f t="array" ref="AO53">IF(ISNUMBER(BurstIgor[[#This Row],[BurstNum_temp3]]), IF(ISNUMBER(Temp3_length), BurstIgor[[#This Row],[BurstNum_temp3]]/Temp3_length*60, "Enter Length"), "Enter Burst Vals")</f>
        <v>Enter Burst Vals</v>
      </c>
      <c r="AQ53" s="88">
        <v>0.51</v>
      </c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C53" s="88">
        <v>0.51</v>
      </c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O53" s="88">
        <v>0.51</v>
      </c>
      <c r="BP53" s="93"/>
      <c r="BQ53" s="93"/>
      <c r="BR53" s="93"/>
      <c r="BS53" s="93"/>
      <c r="BT53" s="93"/>
      <c r="BU53" s="93"/>
      <c r="BV53" s="93"/>
      <c r="BW53" s="93"/>
      <c r="BX53" s="93"/>
      <c r="BY53" s="93"/>
    </row>
    <row r="54" spans="1:77" x14ac:dyDescent="0.2">
      <c r="A54" s="88">
        <v>0.52</v>
      </c>
      <c r="B54" s="6"/>
      <c r="C54" s="7"/>
      <c r="D54" s="8"/>
      <c r="E54" s="9"/>
      <c r="F54" s="6"/>
      <c r="G54" s="7"/>
      <c r="H54" s="8"/>
      <c r="I54" s="9"/>
      <c r="J54" s="6"/>
      <c r="K54" s="7"/>
      <c r="L54" s="8"/>
      <c r="M54" s="9"/>
      <c r="N54" s="6"/>
      <c r="O54" s="7"/>
      <c r="P54" s="8"/>
      <c r="Q54" s="9"/>
      <c r="R54" s="6"/>
      <c r="S54" s="7"/>
      <c r="T54" s="8"/>
      <c r="U54" s="9"/>
      <c r="V54" s="6"/>
      <c r="W54" s="7"/>
      <c r="X54" s="8"/>
      <c r="Y54" s="9"/>
      <c r="Z54" s="6"/>
      <c r="AA54" s="7"/>
      <c r="AB54" s="8"/>
      <c r="AC54" s="9"/>
      <c r="AD54" s="6"/>
      <c r="AE54" s="7"/>
      <c r="AF54" s="8"/>
      <c r="AG54" s="9"/>
      <c r="AH54" s="6"/>
      <c r="AI54" s="7"/>
      <c r="AJ54" s="8"/>
      <c r="AK54" s="9"/>
      <c r="AL54" s="89" t="str">
        <f>IF(ISNUMBER(BurstIgor[[#This Row],[BurstNum_spont]]), IF(ISNUMBER(SpontLength_min), BurstIgor[[#This Row],[BurstNum_spont]]/SpontLength_min*60, "Enter Length"), "Enter Burst Vals")</f>
        <v>Enter Burst Vals</v>
      </c>
      <c r="AM5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4" s="93" t="str" cm="1">
        <f t="array" ref="AN54">IF(ISNUMBER(BurstIgor[[#This Row],[BurstNum_temp2]]), IF(ISNUMBER(Temp2_length), BurstIgor[[#This Row],[BurstNum_temp2]]/Temp2_length*60, "Enter Length"), "Enter Burst Vals")</f>
        <v>Enter Burst Vals</v>
      </c>
      <c r="AO54" s="94" t="str" cm="1">
        <f t="array" ref="AO54">IF(ISNUMBER(BurstIgor[[#This Row],[BurstNum_temp3]]), IF(ISNUMBER(Temp3_length), BurstIgor[[#This Row],[BurstNum_temp3]]/Temp3_length*60, "Enter Length"), "Enter Burst Vals")</f>
        <v>Enter Burst Vals</v>
      </c>
      <c r="AQ54" s="88">
        <v>0.52</v>
      </c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C54" s="88">
        <v>0.52</v>
      </c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O54" s="88">
        <v>0.52</v>
      </c>
      <c r="BP54" s="93"/>
      <c r="BQ54" s="93"/>
      <c r="BR54" s="93"/>
      <c r="BS54" s="93"/>
      <c r="BT54" s="93"/>
      <c r="BU54" s="93"/>
      <c r="BV54" s="93"/>
      <c r="BW54" s="93"/>
      <c r="BX54" s="93"/>
      <c r="BY54" s="93"/>
    </row>
    <row r="55" spans="1:77" x14ac:dyDescent="0.2">
      <c r="A55" s="88">
        <v>0.53</v>
      </c>
      <c r="B55" s="6"/>
      <c r="C55" s="7"/>
      <c r="D55" s="8"/>
      <c r="E55" s="9"/>
      <c r="F55" s="6"/>
      <c r="G55" s="7"/>
      <c r="H55" s="8"/>
      <c r="I55" s="9"/>
      <c r="J55" s="6"/>
      <c r="K55" s="7"/>
      <c r="L55" s="8"/>
      <c r="M55" s="9"/>
      <c r="N55" s="6"/>
      <c r="O55" s="7"/>
      <c r="P55" s="8"/>
      <c r="Q55" s="9"/>
      <c r="R55" s="6"/>
      <c r="S55" s="7"/>
      <c r="T55" s="8"/>
      <c r="U55" s="9"/>
      <c r="V55" s="6"/>
      <c r="W55" s="7"/>
      <c r="X55" s="8"/>
      <c r="Y55" s="9"/>
      <c r="Z55" s="6"/>
      <c r="AA55" s="7"/>
      <c r="AB55" s="8"/>
      <c r="AC55" s="9"/>
      <c r="AD55" s="6"/>
      <c r="AE55" s="7"/>
      <c r="AF55" s="8"/>
      <c r="AG55" s="9"/>
      <c r="AH55" s="6"/>
      <c r="AI55" s="7"/>
      <c r="AJ55" s="8"/>
      <c r="AK55" s="9"/>
      <c r="AL55" s="89" t="str">
        <f>IF(ISNUMBER(BurstIgor[[#This Row],[BurstNum_spont]]), IF(ISNUMBER(SpontLength_min), BurstIgor[[#This Row],[BurstNum_spont]]/SpontLength_min*60, "Enter Length"), "Enter Burst Vals")</f>
        <v>Enter Burst Vals</v>
      </c>
      <c r="AM5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5" s="93" t="str" cm="1">
        <f t="array" ref="AN55">IF(ISNUMBER(BurstIgor[[#This Row],[BurstNum_temp2]]), IF(ISNUMBER(Temp2_length), BurstIgor[[#This Row],[BurstNum_temp2]]/Temp2_length*60, "Enter Length"), "Enter Burst Vals")</f>
        <v>Enter Burst Vals</v>
      </c>
      <c r="AO55" s="94" t="str" cm="1">
        <f t="array" ref="AO55">IF(ISNUMBER(BurstIgor[[#This Row],[BurstNum_temp3]]), IF(ISNUMBER(Temp3_length), BurstIgor[[#This Row],[BurstNum_temp3]]/Temp3_length*60, "Enter Length"), "Enter Burst Vals")</f>
        <v>Enter Burst Vals</v>
      </c>
      <c r="AQ55" s="88">
        <v>0.53</v>
      </c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C55" s="88">
        <v>0.53</v>
      </c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O55" s="88">
        <v>0.53</v>
      </c>
      <c r="BP55" s="93"/>
      <c r="BQ55" s="93"/>
      <c r="BR55" s="93"/>
      <c r="BS55" s="93"/>
      <c r="BT55" s="93"/>
      <c r="BU55" s="93"/>
      <c r="BV55" s="93"/>
      <c r="BW55" s="93"/>
      <c r="BX55" s="93"/>
      <c r="BY55" s="93"/>
    </row>
    <row r="56" spans="1:77" x14ac:dyDescent="0.2">
      <c r="A56" s="88">
        <v>0.54</v>
      </c>
      <c r="B56" s="6"/>
      <c r="C56" s="7"/>
      <c r="D56" s="8"/>
      <c r="E56" s="9"/>
      <c r="F56" s="6"/>
      <c r="G56" s="7"/>
      <c r="H56" s="8"/>
      <c r="I56" s="9"/>
      <c r="J56" s="6"/>
      <c r="K56" s="7"/>
      <c r="L56" s="8"/>
      <c r="M56" s="9"/>
      <c r="N56" s="6"/>
      <c r="O56" s="7"/>
      <c r="P56" s="8"/>
      <c r="Q56" s="9"/>
      <c r="R56" s="6"/>
      <c r="S56" s="7"/>
      <c r="T56" s="8"/>
      <c r="U56" s="9"/>
      <c r="V56" s="6"/>
      <c r="W56" s="7"/>
      <c r="X56" s="8"/>
      <c r="Y56" s="9"/>
      <c r="Z56" s="6"/>
      <c r="AA56" s="7"/>
      <c r="AB56" s="8"/>
      <c r="AC56" s="9"/>
      <c r="AD56" s="6"/>
      <c r="AE56" s="7"/>
      <c r="AF56" s="8"/>
      <c r="AG56" s="9"/>
      <c r="AH56" s="6"/>
      <c r="AI56" s="7"/>
      <c r="AJ56" s="8"/>
      <c r="AK56" s="9"/>
      <c r="AL56" s="89" t="str">
        <f>IF(ISNUMBER(BurstIgor[[#This Row],[BurstNum_spont]]), IF(ISNUMBER(SpontLength_min), BurstIgor[[#This Row],[BurstNum_spont]]/SpontLength_min*60, "Enter Length"), "Enter Burst Vals")</f>
        <v>Enter Burst Vals</v>
      </c>
      <c r="AM5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6" s="93" t="str" cm="1">
        <f t="array" ref="AN56">IF(ISNUMBER(BurstIgor[[#This Row],[BurstNum_temp2]]), IF(ISNUMBER(Temp2_length), BurstIgor[[#This Row],[BurstNum_temp2]]/Temp2_length*60, "Enter Length"), "Enter Burst Vals")</f>
        <v>Enter Burst Vals</v>
      </c>
      <c r="AO56" s="94" t="str" cm="1">
        <f t="array" ref="AO56">IF(ISNUMBER(BurstIgor[[#This Row],[BurstNum_temp3]]), IF(ISNUMBER(Temp3_length), BurstIgor[[#This Row],[BurstNum_temp3]]/Temp3_length*60, "Enter Length"), "Enter Burst Vals")</f>
        <v>Enter Burst Vals</v>
      </c>
      <c r="AQ56" s="88">
        <v>0.54</v>
      </c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C56" s="88">
        <v>0.54</v>
      </c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O56" s="88">
        <v>0.54</v>
      </c>
      <c r="BP56" s="93"/>
      <c r="BQ56" s="93"/>
      <c r="BR56" s="93"/>
      <c r="BS56" s="93"/>
      <c r="BT56" s="93"/>
      <c r="BU56" s="93"/>
      <c r="BV56" s="93"/>
      <c r="BW56" s="93"/>
      <c r="BX56" s="93"/>
      <c r="BY56" s="93"/>
    </row>
    <row r="57" spans="1:77" x14ac:dyDescent="0.2">
      <c r="A57" s="88">
        <v>0.55000000000000004</v>
      </c>
      <c r="B57" s="6"/>
      <c r="C57" s="7"/>
      <c r="D57" s="8"/>
      <c r="E57" s="9"/>
      <c r="F57" s="6"/>
      <c r="G57" s="7"/>
      <c r="H57" s="8"/>
      <c r="I57" s="9"/>
      <c r="J57" s="6"/>
      <c r="K57" s="7"/>
      <c r="L57" s="8"/>
      <c r="M57" s="9"/>
      <c r="N57" s="6"/>
      <c r="O57" s="7"/>
      <c r="P57" s="8"/>
      <c r="Q57" s="9"/>
      <c r="R57" s="6"/>
      <c r="S57" s="7"/>
      <c r="T57" s="8"/>
      <c r="U57" s="9"/>
      <c r="V57" s="6"/>
      <c r="W57" s="7"/>
      <c r="X57" s="8"/>
      <c r="Y57" s="9"/>
      <c r="Z57" s="6"/>
      <c r="AA57" s="7"/>
      <c r="AB57" s="8"/>
      <c r="AC57" s="9"/>
      <c r="AD57" s="6"/>
      <c r="AE57" s="7"/>
      <c r="AF57" s="8"/>
      <c r="AG57" s="9"/>
      <c r="AH57" s="6"/>
      <c r="AI57" s="7"/>
      <c r="AJ57" s="8"/>
      <c r="AK57" s="9"/>
      <c r="AL57" s="89" t="str">
        <f>IF(ISNUMBER(BurstIgor[[#This Row],[BurstNum_spont]]), IF(ISNUMBER(SpontLength_min), BurstIgor[[#This Row],[BurstNum_spont]]/SpontLength_min*60, "Enter Length"), "Enter Burst Vals")</f>
        <v>Enter Burst Vals</v>
      </c>
      <c r="AM5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7" s="93" t="str" cm="1">
        <f t="array" ref="AN57">IF(ISNUMBER(BurstIgor[[#This Row],[BurstNum_temp2]]), IF(ISNUMBER(Temp2_length), BurstIgor[[#This Row],[BurstNum_temp2]]/Temp2_length*60, "Enter Length"), "Enter Burst Vals")</f>
        <v>Enter Burst Vals</v>
      </c>
      <c r="AO57" s="94" t="str" cm="1">
        <f t="array" ref="AO57">IF(ISNUMBER(BurstIgor[[#This Row],[BurstNum_temp3]]), IF(ISNUMBER(Temp3_length), BurstIgor[[#This Row],[BurstNum_temp3]]/Temp3_length*60, "Enter Length"), "Enter Burst Vals")</f>
        <v>Enter Burst Vals</v>
      </c>
      <c r="AQ57" s="88">
        <v>0.55000000000000004</v>
      </c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C57" s="88">
        <v>0.55000000000000004</v>
      </c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O57" s="88">
        <v>0.55000000000000004</v>
      </c>
      <c r="BP57" s="93"/>
      <c r="BQ57" s="93"/>
      <c r="BR57" s="93"/>
      <c r="BS57" s="93"/>
      <c r="BT57" s="93"/>
      <c r="BU57" s="93"/>
      <c r="BV57" s="93"/>
      <c r="BW57" s="93"/>
      <c r="BX57" s="93"/>
      <c r="BY57" s="93"/>
    </row>
    <row r="58" spans="1:77" x14ac:dyDescent="0.2">
      <c r="A58" s="88">
        <v>0.56000000000000005</v>
      </c>
      <c r="B58" s="6"/>
      <c r="C58" s="7"/>
      <c r="D58" s="8"/>
      <c r="E58" s="9"/>
      <c r="F58" s="6"/>
      <c r="G58" s="7"/>
      <c r="H58" s="8"/>
      <c r="I58" s="9"/>
      <c r="J58" s="6"/>
      <c r="K58" s="7"/>
      <c r="L58" s="8"/>
      <c r="M58" s="9"/>
      <c r="N58" s="6"/>
      <c r="O58" s="7"/>
      <c r="P58" s="8"/>
      <c r="Q58" s="9"/>
      <c r="R58" s="6"/>
      <c r="S58" s="7"/>
      <c r="T58" s="8"/>
      <c r="U58" s="9"/>
      <c r="V58" s="6"/>
      <c r="W58" s="7"/>
      <c r="X58" s="8"/>
      <c r="Y58" s="9"/>
      <c r="Z58" s="6"/>
      <c r="AA58" s="7"/>
      <c r="AB58" s="8"/>
      <c r="AC58" s="9"/>
      <c r="AD58" s="6"/>
      <c r="AE58" s="7"/>
      <c r="AF58" s="8"/>
      <c r="AG58" s="9"/>
      <c r="AH58" s="6"/>
      <c r="AI58" s="7"/>
      <c r="AJ58" s="8"/>
      <c r="AK58" s="9"/>
      <c r="AL58" s="89" t="str">
        <f>IF(ISNUMBER(BurstIgor[[#This Row],[BurstNum_spont]]), IF(ISNUMBER(SpontLength_min), BurstIgor[[#This Row],[BurstNum_spont]]/SpontLength_min*60, "Enter Length"), "Enter Burst Vals")</f>
        <v>Enter Burst Vals</v>
      </c>
      <c r="AM5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8" s="93" t="str" cm="1">
        <f t="array" ref="AN58">IF(ISNUMBER(BurstIgor[[#This Row],[BurstNum_temp2]]), IF(ISNUMBER(Temp2_length), BurstIgor[[#This Row],[BurstNum_temp2]]/Temp2_length*60, "Enter Length"), "Enter Burst Vals")</f>
        <v>Enter Burst Vals</v>
      </c>
      <c r="AO58" s="94" t="str" cm="1">
        <f t="array" ref="AO58">IF(ISNUMBER(BurstIgor[[#This Row],[BurstNum_temp3]]), IF(ISNUMBER(Temp3_length), BurstIgor[[#This Row],[BurstNum_temp3]]/Temp3_length*60, "Enter Length"), "Enter Burst Vals")</f>
        <v>Enter Burst Vals</v>
      </c>
      <c r="AQ58" s="88">
        <v>0.56000000000000005</v>
      </c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C58" s="88">
        <v>0.56000000000000005</v>
      </c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O58" s="88">
        <v>0.56000000000000005</v>
      </c>
      <c r="BP58" s="93"/>
      <c r="BQ58" s="93"/>
      <c r="BR58" s="93"/>
      <c r="BS58" s="93"/>
      <c r="BT58" s="93"/>
      <c r="BU58" s="93"/>
      <c r="BV58" s="93"/>
      <c r="BW58" s="93"/>
      <c r="BX58" s="93"/>
      <c r="BY58" s="93"/>
    </row>
    <row r="59" spans="1:77" x14ac:dyDescent="0.2">
      <c r="A59" s="88">
        <v>0.56999999999999995</v>
      </c>
      <c r="B59" s="6"/>
      <c r="C59" s="7"/>
      <c r="D59" s="8"/>
      <c r="E59" s="9"/>
      <c r="F59" s="6"/>
      <c r="G59" s="7"/>
      <c r="H59" s="8"/>
      <c r="I59" s="9"/>
      <c r="J59" s="6"/>
      <c r="K59" s="7"/>
      <c r="L59" s="8"/>
      <c r="M59" s="9"/>
      <c r="N59" s="6"/>
      <c r="O59" s="7"/>
      <c r="P59" s="8"/>
      <c r="Q59" s="9"/>
      <c r="R59" s="6"/>
      <c r="S59" s="7"/>
      <c r="T59" s="8"/>
      <c r="U59" s="9"/>
      <c r="V59" s="6"/>
      <c r="W59" s="7"/>
      <c r="X59" s="8"/>
      <c r="Y59" s="9"/>
      <c r="Z59" s="6"/>
      <c r="AA59" s="7"/>
      <c r="AB59" s="8"/>
      <c r="AC59" s="9"/>
      <c r="AD59" s="6"/>
      <c r="AE59" s="7"/>
      <c r="AF59" s="8"/>
      <c r="AG59" s="9"/>
      <c r="AH59" s="6"/>
      <c r="AI59" s="7"/>
      <c r="AJ59" s="8"/>
      <c r="AK59" s="9"/>
      <c r="AL59" s="89" t="str">
        <f>IF(ISNUMBER(BurstIgor[[#This Row],[BurstNum_spont]]), IF(ISNUMBER(SpontLength_min), BurstIgor[[#This Row],[BurstNum_spont]]/SpontLength_min*60, "Enter Length"), "Enter Burst Vals")</f>
        <v>Enter Burst Vals</v>
      </c>
      <c r="AM5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59" s="93" t="str" cm="1">
        <f t="array" ref="AN59">IF(ISNUMBER(BurstIgor[[#This Row],[BurstNum_temp2]]), IF(ISNUMBER(Temp2_length), BurstIgor[[#This Row],[BurstNum_temp2]]/Temp2_length*60, "Enter Length"), "Enter Burst Vals")</f>
        <v>Enter Burst Vals</v>
      </c>
      <c r="AO59" s="94" t="str" cm="1">
        <f t="array" ref="AO59">IF(ISNUMBER(BurstIgor[[#This Row],[BurstNum_temp3]]), IF(ISNUMBER(Temp3_length), BurstIgor[[#This Row],[BurstNum_temp3]]/Temp3_length*60, "Enter Length"), "Enter Burst Vals")</f>
        <v>Enter Burst Vals</v>
      </c>
      <c r="AQ59" s="88">
        <v>0.56999999999999995</v>
      </c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C59" s="88">
        <v>0.56999999999999995</v>
      </c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O59" s="88">
        <v>0.56999999999999995</v>
      </c>
      <c r="BP59" s="93"/>
      <c r="BQ59" s="93"/>
      <c r="BR59" s="93"/>
      <c r="BS59" s="93"/>
      <c r="BT59" s="93"/>
      <c r="BU59" s="93"/>
      <c r="BV59" s="93"/>
      <c r="BW59" s="93"/>
      <c r="BX59" s="93"/>
      <c r="BY59" s="93"/>
    </row>
    <row r="60" spans="1:77" x14ac:dyDescent="0.2">
      <c r="A60" s="88">
        <v>0.57999999999999996</v>
      </c>
      <c r="B60" s="6"/>
      <c r="C60" s="7"/>
      <c r="D60" s="8"/>
      <c r="E60" s="9"/>
      <c r="F60" s="6"/>
      <c r="G60" s="7"/>
      <c r="H60" s="8"/>
      <c r="I60" s="9"/>
      <c r="J60" s="6"/>
      <c r="K60" s="7"/>
      <c r="L60" s="8"/>
      <c r="M60" s="9"/>
      <c r="N60" s="6"/>
      <c r="O60" s="7"/>
      <c r="P60" s="8"/>
      <c r="Q60" s="9"/>
      <c r="R60" s="6"/>
      <c r="S60" s="7"/>
      <c r="T60" s="8"/>
      <c r="U60" s="9"/>
      <c r="V60" s="6"/>
      <c r="W60" s="7"/>
      <c r="X60" s="8"/>
      <c r="Y60" s="9"/>
      <c r="Z60" s="6"/>
      <c r="AA60" s="7"/>
      <c r="AB60" s="8"/>
      <c r="AC60" s="9"/>
      <c r="AD60" s="6"/>
      <c r="AE60" s="7"/>
      <c r="AF60" s="8"/>
      <c r="AG60" s="9"/>
      <c r="AH60" s="6"/>
      <c r="AI60" s="7"/>
      <c r="AJ60" s="8"/>
      <c r="AK60" s="9"/>
      <c r="AL60" s="89" t="str">
        <f>IF(ISNUMBER(BurstIgor[[#This Row],[BurstNum_spont]]), IF(ISNUMBER(SpontLength_min), BurstIgor[[#This Row],[BurstNum_spont]]/SpontLength_min*60, "Enter Length"), "Enter Burst Vals")</f>
        <v>Enter Burst Vals</v>
      </c>
      <c r="AM6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0" s="93" t="str" cm="1">
        <f t="array" ref="AN60">IF(ISNUMBER(BurstIgor[[#This Row],[BurstNum_temp2]]), IF(ISNUMBER(Temp2_length), BurstIgor[[#This Row],[BurstNum_temp2]]/Temp2_length*60, "Enter Length"), "Enter Burst Vals")</f>
        <v>Enter Burst Vals</v>
      </c>
      <c r="AO60" s="94" t="str" cm="1">
        <f t="array" ref="AO60">IF(ISNUMBER(BurstIgor[[#This Row],[BurstNum_temp3]]), IF(ISNUMBER(Temp3_length), BurstIgor[[#This Row],[BurstNum_temp3]]/Temp3_length*60, "Enter Length"), "Enter Burst Vals")</f>
        <v>Enter Burst Vals</v>
      </c>
      <c r="AQ60" s="88">
        <v>0.57999999999999996</v>
      </c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C60" s="88">
        <v>0.57999999999999996</v>
      </c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O60" s="88">
        <v>0.57999999999999996</v>
      </c>
      <c r="BP60" s="93"/>
      <c r="BQ60" s="93"/>
      <c r="BR60" s="93"/>
      <c r="BS60" s="93"/>
      <c r="BT60" s="93"/>
      <c r="BU60" s="93"/>
      <c r="BV60" s="93"/>
      <c r="BW60" s="93"/>
      <c r="BX60" s="93"/>
      <c r="BY60" s="93"/>
    </row>
    <row r="61" spans="1:77" x14ac:dyDescent="0.2">
      <c r="A61" s="88">
        <v>0.59</v>
      </c>
      <c r="B61" s="6"/>
      <c r="C61" s="7"/>
      <c r="D61" s="8"/>
      <c r="E61" s="9"/>
      <c r="F61" s="6"/>
      <c r="G61" s="7"/>
      <c r="H61" s="8"/>
      <c r="I61" s="9"/>
      <c r="J61" s="6"/>
      <c r="K61" s="7"/>
      <c r="L61" s="8"/>
      <c r="M61" s="9"/>
      <c r="N61" s="6"/>
      <c r="O61" s="7"/>
      <c r="P61" s="8"/>
      <c r="Q61" s="9"/>
      <c r="R61" s="6"/>
      <c r="S61" s="7"/>
      <c r="T61" s="8"/>
      <c r="U61" s="9"/>
      <c r="V61" s="6"/>
      <c r="W61" s="7"/>
      <c r="X61" s="8"/>
      <c r="Y61" s="9"/>
      <c r="Z61" s="6"/>
      <c r="AA61" s="7"/>
      <c r="AB61" s="8"/>
      <c r="AC61" s="9"/>
      <c r="AD61" s="6"/>
      <c r="AE61" s="7"/>
      <c r="AF61" s="8"/>
      <c r="AG61" s="9"/>
      <c r="AH61" s="6"/>
      <c r="AI61" s="7"/>
      <c r="AJ61" s="8"/>
      <c r="AK61" s="9"/>
      <c r="AL61" s="89" t="str">
        <f>IF(ISNUMBER(BurstIgor[[#This Row],[BurstNum_spont]]), IF(ISNUMBER(SpontLength_min), BurstIgor[[#This Row],[BurstNum_spont]]/SpontLength_min*60, "Enter Length"), "Enter Burst Vals")</f>
        <v>Enter Burst Vals</v>
      </c>
      <c r="AM6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1" s="93" t="str" cm="1">
        <f t="array" ref="AN61">IF(ISNUMBER(BurstIgor[[#This Row],[BurstNum_temp2]]), IF(ISNUMBER(Temp2_length), BurstIgor[[#This Row],[BurstNum_temp2]]/Temp2_length*60, "Enter Length"), "Enter Burst Vals")</f>
        <v>Enter Burst Vals</v>
      </c>
      <c r="AO61" s="94" t="str" cm="1">
        <f t="array" ref="AO61">IF(ISNUMBER(BurstIgor[[#This Row],[BurstNum_temp3]]), IF(ISNUMBER(Temp3_length), BurstIgor[[#This Row],[BurstNum_temp3]]/Temp3_length*60, "Enter Length"), "Enter Burst Vals")</f>
        <v>Enter Burst Vals</v>
      </c>
      <c r="AQ61" s="88">
        <v>0.59</v>
      </c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C61" s="88">
        <v>0.59</v>
      </c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O61" s="88">
        <v>0.59</v>
      </c>
      <c r="BP61" s="93"/>
      <c r="BQ61" s="93"/>
      <c r="BR61" s="93"/>
      <c r="BS61" s="93"/>
      <c r="BT61" s="93"/>
      <c r="BU61" s="93"/>
      <c r="BV61" s="93"/>
      <c r="BW61" s="93"/>
      <c r="BX61" s="93"/>
      <c r="BY61" s="93"/>
    </row>
    <row r="62" spans="1:77" x14ac:dyDescent="0.2">
      <c r="A62" s="88">
        <v>0.6</v>
      </c>
      <c r="B62" s="6"/>
      <c r="C62" s="7"/>
      <c r="D62" s="8"/>
      <c r="E62" s="9"/>
      <c r="F62" s="6"/>
      <c r="G62" s="7"/>
      <c r="H62" s="8"/>
      <c r="I62" s="9"/>
      <c r="J62" s="6"/>
      <c r="K62" s="7"/>
      <c r="L62" s="8"/>
      <c r="M62" s="9"/>
      <c r="N62" s="6"/>
      <c r="O62" s="7"/>
      <c r="P62" s="8"/>
      <c r="Q62" s="9"/>
      <c r="R62" s="6"/>
      <c r="S62" s="7"/>
      <c r="T62" s="8"/>
      <c r="U62" s="9"/>
      <c r="V62" s="6"/>
      <c r="W62" s="7"/>
      <c r="X62" s="8"/>
      <c r="Y62" s="9"/>
      <c r="Z62" s="6"/>
      <c r="AA62" s="7"/>
      <c r="AB62" s="8"/>
      <c r="AC62" s="9"/>
      <c r="AD62" s="6"/>
      <c r="AE62" s="7"/>
      <c r="AF62" s="8"/>
      <c r="AG62" s="9"/>
      <c r="AH62" s="6"/>
      <c r="AI62" s="7"/>
      <c r="AJ62" s="8"/>
      <c r="AK62" s="9"/>
      <c r="AL62" s="89" t="str">
        <f>IF(ISNUMBER(BurstIgor[[#This Row],[BurstNum_spont]]), IF(ISNUMBER(SpontLength_min), BurstIgor[[#This Row],[BurstNum_spont]]/SpontLength_min*60, "Enter Length"), "Enter Burst Vals")</f>
        <v>Enter Burst Vals</v>
      </c>
      <c r="AM6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2" s="93" t="str" cm="1">
        <f t="array" ref="AN62">IF(ISNUMBER(BurstIgor[[#This Row],[BurstNum_temp2]]), IF(ISNUMBER(Temp2_length), BurstIgor[[#This Row],[BurstNum_temp2]]/Temp2_length*60, "Enter Length"), "Enter Burst Vals")</f>
        <v>Enter Burst Vals</v>
      </c>
      <c r="AO62" s="94" t="str" cm="1">
        <f t="array" ref="AO62">IF(ISNUMBER(BurstIgor[[#This Row],[BurstNum_temp3]]), IF(ISNUMBER(Temp3_length), BurstIgor[[#This Row],[BurstNum_temp3]]/Temp3_length*60, "Enter Length"), "Enter Burst Vals")</f>
        <v>Enter Burst Vals</v>
      </c>
      <c r="AQ62" s="88">
        <v>0.6</v>
      </c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C62" s="88">
        <v>0.6</v>
      </c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O62" s="88">
        <v>0.6</v>
      </c>
      <c r="BP62" s="93"/>
      <c r="BQ62" s="93"/>
      <c r="BR62" s="93"/>
      <c r="BS62" s="93"/>
      <c r="BT62" s="93"/>
      <c r="BU62" s="93"/>
      <c r="BV62" s="93"/>
      <c r="BW62" s="93"/>
      <c r="BX62" s="93"/>
      <c r="BY62" s="93"/>
    </row>
    <row r="63" spans="1:77" x14ac:dyDescent="0.2">
      <c r="A63" s="88">
        <v>0.61</v>
      </c>
      <c r="B63" s="6"/>
      <c r="C63" s="7"/>
      <c r="D63" s="8"/>
      <c r="E63" s="9"/>
      <c r="F63" s="6"/>
      <c r="G63" s="7"/>
      <c r="H63" s="8"/>
      <c r="I63" s="9"/>
      <c r="J63" s="6"/>
      <c r="K63" s="7"/>
      <c r="L63" s="8"/>
      <c r="M63" s="9"/>
      <c r="N63" s="6"/>
      <c r="O63" s="7"/>
      <c r="P63" s="8"/>
      <c r="Q63" s="9"/>
      <c r="R63" s="6"/>
      <c r="S63" s="7"/>
      <c r="T63" s="8"/>
      <c r="U63" s="9"/>
      <c r="V63" s="6"/>
      <c r="W63" s="7"/>
      <c r="X63" s="8"/>
      <c r="Y63" s="9"/>
      <c r="Z63" s="6"/>
      <c r="AA63" s="7"/>
      <c r="AB63" s="8"/>
      <c r="AC63" s="9"/>
      <c r="AD63" s="6"/>
      <c r="AE63" s="7"/>
      <c r="AF63" s="8"/>
      <c r="AG63" s="9"/>
      <c r="AH63" s="6"/>
      <c r="AI63" s="7"/>
      <c r="AJ63" s="8"/>
      <c r="AK63" s="9"/>
      <c r="AL63" s="89" t="str">
        <f>IF(ISNUMBER(BurstIgor[[#This Row],[BurstNum_spont]]), IF(ISNUMBER(SpontLength_min), BurstIgor[[#This Row],[BurstNum_spont]]/SpontLength_min*60, "Enter Length"), "Enter Burst Vals")</f>
        <v>Enter Burst Vals</v>
      </c>
      <c r="AM6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3" s="93" t="str" cm="1">
        <f t="array" ref="AN63">IF(ISNUMBER(BurstIgor[[#This Row],[BurstNum_temp2]]), IF(ISNUMBER(Temp2_length), BurstIgor[[#This Row],[BurstNum_temp2]]/Temp2_length*60, "Enter Length"), "Enter Burst Vals")</f>
        <v>Enter Burst Vals</v>
      </c>
      <c r="AO63" s="94" t="str" cm="1">
        <f t="array" ref="AO63">IF(ISNUMBER(BurstIgor[[#This Row],[BurstNum_temp3]]), IF(ISNUMBER(Temp3_length), BurstIgor[[#This Row],[BurstNum_temp3]]/Temp3_length*60, "Enter Length"), "Enter Burst Vals")</f>
        <v>Enter Burst Vals</v>
      </c>
      <c r="AQ63" s="88">
        <v>0.61</v>
      </c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C63" s="88">
        <v>0.61</v>
      </c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O63" s="88">
        <v>0.61</v>
      </c>
      <c r="BP63" s="93"/>
      <c r="BQ63" s="93"/>
      <c r="BR63" s="93"/>
      <c r="BS63" s="93"/>
      <c r="BT63" s="93"/>
      <c r="BU63" s="93"/>
      <c r="BV63" s="93"/>
      <c r="BW63" s="93"/>
      <c r="BX63" s="93"/>
      <c r="BY63" s="93"/>
    </row>
    <row r="64" spans="1:77" x14ac:dyDescent="0.2">
      <c r="A64" s="88">
        <v>0.62</v>
      </c>
      <c r="B64" s="6"/>
      <c r="C64" s="7"/>
      <c r="D64" s="8"/>
      <c r="E64" s="9"/>
      <c r="F64" s="6"/>
      <c r="G64" s="7"/>
      <c r="H64" s="8"/>
      <c r="I64" s="9"/>
      <c r="J64" s="6"/>
      <c r="K64" s="7"/>
      <c r="L64" s="8"/>
      <c r="M64" s="9"/>
      <c r="N64" s="6"/>
      <c r="O64" s="7"/>
      <c r="P64" s="8"/>
      <c r="Q64" s="9"/>
      <c r="R64" s="6"/>
      <c r="S64" s="7"/>
      <c r="T64" s="8"/>
      <c r="U64" s="9"/>
      <c r="V64" s="6"/>
      <c r="W64" s="7"/>
      <c r="X64" s="8"/>
      <c r="Y64" s="9"/>
      <c r="Z64" s="6"/>
      <c r="AA64" s="7"/>
      <c r="AB64" s="8"/>
      <c r="AC64" s="9"/>
      <c r="AD64" s="6"/>
      <c r="AE64" s="7"/>
      <c r="AF64" s="8"/>
      <c r="AG64" s="9"/>
      <c r="AH64" s="6"/>
      <c r="AI64" s="7"/>
      <c r="AJ64" s="8"/>
      <c r="AK64" s="9"/>
      <c r="AL64" s="89" t="str">
        <f>IF(ISNUMBER(BurstIgor[[#This Row],[BurstNum_spont]]), IF(ISNUMBER(SpontLength_min), BurstIgor[[#This Row],[BurstNum_spont]]/SpontLength_min*60, "Enter Length"), "Enter Burst Vals")</f>
        <v>Enter Burst Vals</v>
      </c>
      <c r="AM6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4" s="93" t="str" cm="1">
        <f t="array" ref="AN64">IF(ISNUMBER(BurstIgor[[#This Row],[BurstNum_temp2]]), IF(ISNUMBER(Temp2_length), BurstIgor[[#This Row],[BurstNum_temp2]]/Temp2_length*60, "Enter Length"), "Enter Burst Vals")</f>
        <v>Enter Burst Vals</v>
      </c>
      <c r="AO64" s="94" t="str" cm="1">
        <f t="array" ref="AO64">IF(ISNUMBER(BurstIgor[[#This Row],[BurstNum_temp3]]), IF(ISNUMBER(Temp3_length), BurstIgor[[#This Row],[BurstNum_temp3]]/Temp3_length*60, "Enter Length"), "Enter Burst Vals")</f>
        <v>Enter Burst Vals</v>
      </c>
      <c r="AQ64" s="88">
        <v>0.62</v>
      </c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C64" s="88">
        <v>0.62</v>
      </c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O64" s="88">
        <v>0.62</v>
      </c>
      <c r="BP64" s="93"/>
      <c r="BQ64" s="93"/>
      <c r="BR64" s="93"/>
      <c r="BS64" s="93"/>
      <c r="BT64" s="93"/>
      <c r="BU64" s="93"/>
      <c r="BV64" s="93"/>
      <c r="BW64" s="93"/>
      <c r="BX64" s="93"/>
      <c r="BY64" s="93"/>
    </row>
    <row r="65" spans="1:77" x14ac:dyDescent="0.2">
      <c r="A65" s="88">
        <v>0.63</v>
      </c>
      <c r="B65" s="6"/>
      <c r="C65" s="7"/>
      <c r="D65" s="8"/>
      <c r="E65" s="9"/>
      <c r="F65" s="6"/>
      <c r="G65" s="7"/>
      <c r="H65" s="8"/>
      <c r="I65" s="9"/>
      <c r="J65" s="6"/>
      <c r="K65" s="7"/>
      <c r="L65" s="8"/>
      <c r="M65" s="9"/>
      <c r="N65" s="6"/>
      <c r="O65" s="7"/>
      <c r="P65" s="8"/>
      <c r="Q65" s="9"/>
      <c r="R65" s="6"/>
      <c r="S65" s="7"/>
      <c r="T65" s="8"/>
      <c r="U65" s="9"/>
      <c r="V65" s="6"/>
      <c r="W65" s="7"/>
      <c r="X65" s="8"/>
      <c r="Y65" s="9"/>
      <c r="Z65" s="6"/>
      <c r="AA65" s="7"/>
      <c r="AB65" s="8"/>
      <c r="AC65" s="9"/>
      <c r="AD65" s="6"/>
      <c r="AE65" s="7"/>
      <c r="AF65" s="8"/>
      <c r="AG65" s="9"/>
      <c r="AH65" s="6"/>
      <c r="AI65" s="7"/>
      <c r="AJ65" s="8"/>
      <c r="AK65" s="9"/>
      <c r="AL65" s="89" t="str">
        <f>IF(ISNUMBER(BurstIgor[[#This Row],[BurstNum_spont]]), IF(ISNUMBER(SpontLength_min), BurstIgor[[#This Row],[BurstNum_spont]]/SpontLength_min*60, "Enter Length"), "Enter Burst Vals")</f>
        <v>Enter Burst Vals</v>
      </c>
      <c r="AM6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5" s="93" t="str" cm="1">
        <f t="array" ref="AN65">IF(ISNUMBER(BurstIgor[[#This Row],[BurstNum_temp2]]), IF(ISNUMBER(Temp2_length), BurstIgor[[#This Row],[BurstNum_temp2]]/Temp2_length*60, "Enter Length"), "Enter Burst Vals")</f>
        <v>Enter Burst Vals</v>
      </c>
      <c r="AO65" s="94" t="str" cm="1">
        <f t="array" ref="AO65">IF(ISNUMBER(BurstIgor[[#This Row],[BurstNum_temp3]]), IF(ISNUMBER(Temp3_length), BurstIgor[[#This Row],[BurstNum_temp3]]/Temp3_length*60, "Enter Length"), "Enter Burst Vals")</f>
        <v>Enter Burst Vals</v>
      </c>
      <c r="AQ65" s="88">
        <v>0.63</v>
      </c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C65" s="88">
        <v>0.63</v>
      </c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O65" s="88">
        <v>0.63</v>
      </c>
      <c r="BP65" s="93"/>
      <c r="BQ65" s="93"/>
      <c r="BR65" s="93"/>
      <c r="BS65" s="93"/>
      <c r="BT65" s="93"/>
      <c r="BU65" s="93"/>
      <c r="BV65" s="93"/>
      <c r="BW65" s="93"/>
      <c r="BX65" s="93"/>
      <c r="BY65" s="93"/>
    </row>
    <row r="66" spans="1:77" x14ac:dyDescent="0.2">
      <c r="A66" s="88">
        <v>0.64</v>
      </c>
      <c r="B66" s="6"/>
      <c r="C66" s="7"/>
      <c r="D66" s="8"/>
      <c r="E66" s="9"/>
      <c r="F66" s="6"/>
      <c r="G66" s="7"/>
      <c r="H66" s="8"/>
      <c r="I66" s="9"/>
      <c r="J66" s="6"/>
      <c r="K66" s="7"/>
      <c r="L66" s="8"/>
      <c r="M66" s="9"/>
      <c r="N66" s="6"/>
      <c r="O66" s="7"/>
      <c r="P66" s="8"/>
      <c r="Q66" s="9"/>
      <c r="R66" s="6"/>
      <c r="S66" s="7"/>
      <c r="T66" s="8"/>
      <c r="U66" s="9"/>
      <c r="V66" s="6"/>
      <c r="W66" s="7"/>
      <c r="X66" s="8"/>
      <c r="Y66" s="9"/>
      <c r="Z66" s="6"/>
      <c r="AA66" s="7"/>
      <c r="AB66" s="8"/>
      <c r="AC66" s="9"/>
      <c r="AD66" s="6"/>
      <c r="AE66" s="7"/>
      <c r="AF66" s="8"/>
      <c r="AG66" s="9"/>
      <c r="AH66" s="6"/>
      <c r="AI66" s="7"/>
      <c r="AJ66" s="8"/>
      <c r="AK66" s="9"/>
      <c r="AL66" s="89" t="str">
        <f>IF(ISNUMBER(BurstIgor[[#This Row],[BurstNum_spont]]), IF(ISNUMBER(SpontLength_min), BurstIgor[[#This Row],[BurstNum_spont]]/SpontLength_min*60, "Enter Length"), "Enter Burst Vals")</f>
        <v>Enter Burst Vals</v>
      </c>
      <c r="AM6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6" s="93" t="str" cm="1">
        <f t="array" ref="AN66">IF(ISNUMBER(BurstIgor[[#This Row],[BurstNum_temp2]]), IF(ISNUMBER(Temp2_length), BurstIgor[[#This Row],[BurstNum_temp2]]/Temp2_length*60, "Enter Length"), "Enter Burst Vals")</f>
        <v>Enter Burst Vals</v>
      </c>
      <c r="AO66" s="94" t="str" cm="1">
        <f t="array" ref="AO66">IF(ISNUMBER(BurstIgor[[#This Row],[BurstNum_temp3]]), IF(ISNUMBER(Temp3_length), BurstIgor[[#This Row],[BurstNum_temp3]]/Temp3_length*60, "Enter Length"), "Enter Burst Vals")</f>
        <v>Enter Burst Vals</v>
      </c>
      <c r="AQ66" s="88">
        <v>0.64</v>
      </c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C66" s="88">
        <v>0.64</v>
      </c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O66" s="88">
        <v>0.64</v>
      </c>
      <c r="BP66" s="93"/>
      <c r="BQ66" s="93"/>
      <c r="BR66" s="93"/>
      <c r="BS66" s="93"/>
      <c r="BT66" s="93"/>
      <c r="BU66" s="93"/>
      <c r="BV66" s="93"/>
      <c r="BW66" s="93"/>
      <c r="BX66" s="93"/>
      <c r="BY66" s="93"/>
    </row>
    <row r="67" spans="1:77" x14ac:dyDescent="0.2">
      <c r="A67" s="88">
        <v>0.65</v>
      </c>
      <c r="B67" s="6"/>
      <c r="C67" s="7"/>
      <c r="D67" s="8"/>
      <c r="E67" s="9"/>
      <c r="F67" s="6"/>
      <c r="G67" s="7"/>
      <c r="H67" s="8"/>
      <c r="I67" s="9"/>
      <c r="J67" s="6"/>
      <c r="K67" s="7"/>
      <c r="L67" s="8"/>
      <c r="M67" s="9"/>
      <c r="N67" s="6"/>
      <c r="O67" s="7"/>
      <c r="P67" s="8"/>
      <c r="Q67" s="9"/>
      <c r="R67" s="6"/>
      <c r="S67" s="7"/>
      <c r="T67" s="8"/>
      <c r="U67" s="9"/>
      <c r="V67" s="6"/>
      <c r="W67" s="7"/>
      <c r="X67" s="8"/>
      <c r="Y67" s="9"/>
      <c r="Z67" s="6"/>
      <c r="AA67" s="7"/>
      <c r="AB67" s="8"/>
      <c r="AC67" s="9"/>
      <c r="AD67" s="6"/>
      <c r="AE67" s="7"/>
      <c r="AF67" s="8"/>
      <c r="AG67" s="9"/>
      <c r="AH67" s="6"/>
      <c r="AI67" s="7"/>
      <c r="AJ67" s="8"/>
      <c r="AK67" s="9"/>
      <c r="AL67" s="89" t="str">
        <f>IF(ISNUMBER(BurstIgor[[#This Row],[BurstNum_spont]]), IF(ISNUMBER(SpontLength_min), BurstIgor[[#This Row],[BurstNum_spont]]/SpontLength_min*60, "Enter Length"), "Enter Burst Vals")</f>
        <v>Enter Burst Vals</v>
      </c>
      <c r="AM6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7" s="93" t="str" cm="1">
        <f t="array" ref="AN67">IF(ISNUMBER(BurstIgor[[#This Row],[BurstNum_temp2]]), IF(ISNUMBER(Temp2_length), BurstIgor[[#This Row],[BurstNum_temp2]]/Temp2_length*60, "Enter Length"), "Enter Burst Vals")</f>
        <v>Enter Burst Vals</v>
      </c>
      <c r="AO67" s="94" t="str" cm="1">
        <f t="array" ref="AO67">IF(ISNUMBER(BurstIgor[[#This Row],[BurstNum_temp3]]), IF(ISNUMBER(Temp3_length), BurstIgor[[#This Row],[BurstNum_temp3]]/Temp3_length*60, "Enter Length"), "Enter Burst Vals")</f>
        <v>Enter Burst Vals</v>
      </c>
      <c r="AQ67" s="88">
        <v>0.65</v>
      </c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C67" s="88">
        <v>0.65</v>
      </c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O67" s="88">
        <v>0.65</v>
      </c>
      <c r="BP67" s="93"/>
      <c r="BQ67" s="93"/>
      <c r="BR67" s="93"/>
      <c r="BS67" s="93"/>
      <c r="BT67" s="93"/>
      <c r="BU67" s="93"/>
      <c r="BV67" s="93"/>
      <c r="BW67" s="93"/>
      <c r="BX67" s="93"/>
      <c r="BY67" s="93"/>
    </row>
    <row r="68" spans="1:77" x14ac:dyDescent="0.2">
      <c r="A68" s="88">
        <v>0.66</v>
      </c>
      <c r="B68" s="6"/>
      <c r="C68" s="7"/>
      <c r="D68" s="8"/>
      <c r="E68" s="9"/>
      <c r="F68" s="6"/>
      <c r="G68" s="7"/>
      <c r="H68" s="8"/>
      <c r="I68" s="9"/>
      <c r="J68" s="6"/>
      <c r="K68" s="7"/>
      <c r="L68" s="8"/>
      <c r="M68" s="9"/>
      <c r="N68" s="6"/>
      <c r="O68" s="7"/>
      <c r="P68" s="8"/>
      <c r="Q68" s="9"/>
      <c r="R68" s="6"/>
      <c r="S68" s="7"/>
      <c r="T68" s="8"/>
      <c r="U68" s="9"/>
      <c r="V68" s="6"/>
      <c r="W68" s="7"/>
      <c r="X68" s="8"/>
      <c r="Y68" s="9"/>
      <c r="Z68" s="6"/>
      <c r="AA68" s="7"/>
      <c r="AB68" s="8"/>
      <c r="AC68" s="9"/>
      <c r="AD68" s="6"/>
      <c r="AE68" s="7"/>
      <c r="AF68" s="8"/>
      <c r="AG68" s="9"/>
      <c r="AH68" s="6"/>
      <c r="AI68" s="7"/>
      <c r="AJ68" s="8"/>
      <c r="AK68" s="9"/>
      <c r="AL68" s="89" t="str">
        <f>IF(ISNUMBER(BurstIgor[[#This Row],[BurstNum_spont]]), IF(ISNUMBER(SpontLength_min), BurstIgor[[#This Row],[BurstNum_spont]]/SpontLength_min*60, "Enter Length"), "Enter Burst Vals")</f>
        <v>Enter Burst Vals</v>
      </c>
      <c r="AM6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8" s="93" t="str" cm="1">
        <f t="array" ref="AN68">IF(ISNUMBER(BurstIgor[[#This Row],[BurstNum_temp2]]), IF(ISNUMBER(Temp2_length), BurstIgor[[#This Row],[BurstNum_temp2]]/Temp2_length*60, "Enter Length"), "Enter Burst Vals")</f>
        <v>Enter Burst Vals</v>
      </c>
      <c r="AO68" s="94" t="str" cm="1">
        <f t="array" ref="AO68">IF(ISNUMBER(BurstIgor[[#This Row],[BurstNum_temp3]]), IF(ISNUMBER(Temp3_length), BurstIgor[[#This Row],[BurstNum_temp3]]/Temp3_length*60, "Enter Length"), "Enter Burst Vals")</f>
        <v>Enter Burst Vals</v>
      </c>
      <c r="AQ68" s="88">
        <v>0.66</v>
      </c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C68" s="88">
        <v>0.66</v>
      </c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O68" s="88">
        <v>0.66</v>
      </c>
      <c r="BP68" s="93"/>
      <c r="BQ68" s="93"/>
      <c r="BR68" s="93"/>
      <c r="BS68" s="93"/>
      <c r="BT68" s="93"/>
      <c r="BU68" s="93"/>
      <c r="BV68" s="93"/>
      <c r="BW68" s="93"/>
      <c r="BX68" s="93"/>
      <c r="BY68" s="93"/>
    </row>
    <row r="69" spans="1:77" x14ac:dyDescent="0.2">
      <c r="A69" s="88">
        <v>0.67</v>
      </c>
      <c r="B69" s="6"/>
      <c r="C69" s="7"/>
      <c r="D69" s="8"/>
      <c r="E69" s="9"/>
      <c r="F69" s="6"/>
      <c r="G69" s="7"/>
      <c r="H69" s="8"/>
      <c r="I69" s="9"/>
      <c r="J69" s="6"/>
      <c r="K69" s="7"/>
      <c r="L69" s="8"/>
      <c r="M69" s="9"/>
      <c r="N69" s="6"/>
      <c r="O69" s="7"/>
      <c r="P69" s="8"/>
      <c r="Q69" s="9"/>
      <c r="R69" s="6"/>
      <c r="S69" s="7"/>
      <c r="T69" s="8"/>
      <c r="U69" s="9"/>
      <c r="V69" s="6"/>
      <c r="W69" s="7"/>
      <c r="X69" s="8"/>
      <c r="Y69" s="9"/>
      <c r="Z69" s="6"/>
      <c r="AA69" s="7"/>
      <c r="AB69" s="8"/>
      <c r="AC69" s="9"/>
      <c r="AD69" s="6"/>
      <c r="AE69" s="7"/>
      <c r="AF69" s="8"/>
      <c r="AG69" s="9"/>
      <c r="AH69" s="6"/>
      <c r="AI69" s="7"/>
      <c r="AJ69" s="8"/>
      <c r="AK69" s="9"/>
      <c r="AL69" s="89" t="str">
        <f>IF(ISNUMBER(BurstIgor[[#This Row],[BurstNum_spont]]), IF(ISNUMBER(SpontLength_min), BurstIgor[[#This Row],[BurstNum_spont]]/SpontLength_min*60, "Enter Length"), "Enter Burst Vals")</f>
        <v>Enter Burst Vals</v>
      </c>
      <c r="AM6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69" s="93" t="str" cm="1">
        <f t="array" ref="AN69">IF(ISNUMBER(BurstIgor[[#This Row],[BurstNum_temp2]]), IF(ISNUMBER(Temp2_length), BurstIgor[[#This Row],[BurstNum_temp2]]/Temp2_length*60, "Enter Length"), "Enter Burst Vals")</f>
        <v>Enter Burst Vals</v>
      </c>
      <c r="AO69" s="94" t="str" cm="1">
        <f t="array" ref="AO69">IF(ISNUMBER(BurstIgor[[#This Row],[BurstNum_temp3]]), IF(ISNUMBER(Temp3_length), BurstIgor[[#This Row],[BurstNum_temp3]]/Temp3_length*60, "Enter Length"), "Enter Burst Vals")</f>
        <v>Enter Burst Vals</v>
      </c>
      <c r="AQ69" s="88">
        <v>0.67</v>
      </c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C69" s="88">
        <v>0.67</v>
      </c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O69" s="88">
        <v>0.67</v>
      </c>
      <c r="BP69" s="93"/>
      <c r="BQ69" s="93"/>
      <c r="BR69" s="93"/>
      <c r="BS69" s="93"/>
      <c r="BT69" s="93"/>
      <c r="BU69" s="93"/>
      <c r="BV69" s="93"/>
      <c r="BW69" s="93"/>
      <c r="BX69" s="93"/>
      <c r="BY69" s="93"/>
    </row>
    <row r="70" spans="1:77" x14ac:dyDescent="0.2">
      <c r="A70" s="88">
        <v>0.68</v>
      </c>
      <c r="B70" s="6"/>
      <c r="C70" s="7"/>
      <c r="D70" s="8"/>
      <c r="E70" s="9"/>
      <c r="F70" s="6"/>
      <c r="G70" s="7"/>
      <c r="H70" s="8"/>
      <c r="I70" s="9"/>
      <c r="J70" s="6"/>
      <c r="K70" s="7"/>
      <c r="L70" s="8"/>
      <c r="M70" s="9"/>
      <c r="N70" s="6"/>
      <c r="O70" s="7"/>
      <c r="P70" s="8"/>
      <c r="Q70" s="9"/>
      <c r="R70" s="6"/>
      <c r="S70" s="7"/>
      <c r="T70" s="8"/>
      <c r="U70" s="9"/>
      <c r="V70" s="6"/>
      <c r="W70" s="7"/>
      <c r="X70" s="8"/>
      <c r="Y70" s="9"/>
      <c r="Z70" s="6"/>
      <c r="AA70" s="7"/>
      <c r="AB70" s="8"/>
      <c r="AC70" s="9"/>
      <c r="AD70" s="6"/>
      <c r="AE70" s="7"/>
      <c r="AF70" s="8"/>
      <c r="AG70" s="9"/>
      <c r="AH70" s="6"/>
      <c r="AI70" s="7"/>
      <c r="AJ70" s="8"/>
      <c r="AK70" s="9"/>
      <c r="AL70" s="89" t="str">
        <f>IF(ISNUMBER(BurstIgor[[#This Row],[BurstNum_spont]]), IF(ISNUMBER(SpontLength_min), BurstIgor[[#This Row],[BurstNum_spont]]/SpontLength_min*60, "Enter Length"), "Enter Burst Vals")</f>
        <v>Enter Burst Vals</v>
      </c>
      <c r="AM7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0" s="93" t="str" cm="1">
        <f t="array" ref="AN70">IF(ISNUMBER(BurstIgor[[#This Row],[BurstNum_temp2]]), IF(ISNUMBER(Temp2_length), BurstIgor[[#This Row],[BurstNum_temp2]]/Temp2_length*60, "Enter Length"), "Enter Burst Vals")</f>
        <v>Enter Burst Vals</v>
      </c>
      <c r="AO70" s="94" t="str" cm="1">
        <f t="array" ref="AO70">IF(ISNUMBER(BurstIgor[[#This Row],[BurstNum_temp3]]), IF(ISNUMBER(Temp3_length), BurstIgor[[#This Row],[BurstNum_temp3]]/Temp3_length*60, "Enter Length"), "Enter Burst Vals")</f>
        <v>Enter Burst Vals</v>
      </c>
      <c r="AQ70" s="88">
        <v>0.68</v>
      </c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C70" s="88">
        <v>0.68</v>
      </c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O70" s="88">
        <v>0.68</v>
      </c>
      <c r="BP70" s="93"/>
      <c r="BQ70" s="93"/>
      <c r="BR70" s="93"/>
      <c r="BS70" s="93"/>
      <c r="BT70" s="93"/>
      <c r="BU70" s="93"/>
      <c r="BV70" s="93"/>
      <c r="BW70" s="93"/>
      <c r="BX70" s="93"/>
      <c r="BY70" s="93"/>
    </row>
    <row r="71" spans="1:77" x14ac:dyDescent="0.2">
      <c r="A71" s="88">
        <v>0.69</v>
      </c>
      <c r="B71" s="6"/>
      <c r="C71" s="7"/>
      <c r="D71" s="8"/>
      <c r="E71" s="9"/>
      <c r="F71" s="6"/>
      <c r="G71" s="7"/>
      <c r="H71" s="8"/>
      <c r="I71" s="9"/>
      <c r="J71" s="6"/>
      <c r="K71" s="7"/>
      <c r="L71" s="8"/>
      <c r="M71" s="9"/>
      <c r="N71" s="6"/>
      <c r="O71" s="7"/>
      <c r="P71" s="8"/>
      <c r="Q71" s="9"/>
      <c r="R71" s="6"/>
      <c r="S71" s="7"/>
      <c r="T71" s="8"/>
      <c r="U71" s="9"/>
      <c r="V71" s="6"/>
      <c r="W71" s="7"/>
      <c r="X71" s="8"/>
      <c r="Y71" s="9"/>
      <c r="Z71" s="6"/>
      <c r="AA71" s="7"/>
      <c r="AB71" s="8"/>
      <c r="AC71" s="9"/>
      <c r="AD71" s="6"/>
      <c r="AE71" s="7"/>
      <c r="AF71" s="8"/>
      <c r="AG71" s="9"/>
      <c r="AH71" s="6"/>
      <c r="AI71" s="7"/>
      <c r="AJ71" s="8"/>
      <c r="AK71" s="9"/>
      <c r="AL71" s="89" t="str">
        <f>IF(ISNUMBER(BurstIgor[[#This Row],[BurstNum_spont]]), IF(ISNUMBER(SpontLength_min), BurstIgor[[#This Row],[BurstNum_spont]]/SpontLength_min*60, "Enter Length"), "Enter Burst Vals")</f>
        <v>Enter Burst Vals</v>
      </c>
      <c r="AM7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1" s="93" t="str" cm="1">
        <f t="array" ref="AN71">IF(ISNUMBER(BurstIgor[[#This Row],[BurstNum_temp2]]), IF(ISNUMBER(Temp2_length), BurstIgor[[#This Row],[BurstNum_temp2]]/Temp2_length*60, "Enter Length"), "Enter Burst Vals")</f>
        <v>Enter Burst Vals</v>
      </c>
      <c r="AO71" s="94" t="str" cm="1">
        <f t="array" ref="AO71">IF(ISNUMBER(BurstIgor[[#This Row],[BurstNum_temp3]]), IF(ISNUMBER(Temp3_length), BurstIgor[[#This Row],[BurstNum_temp3]]/Temp3_length*60, "Enter Length"), "Enter Burst Vals")</f>
        <v>Enter Burst Vals</v>
      </c>
      <c r="AQ71" s="88">
        <v>0.69</v>
      </c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C71" s="88">
        <v>0.69</v>
      </c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O71" s="88">
        <v>0.69</v>
      </c>
      <c r="BP71" s="93"/>
      <c r="BQ71" s="93"/>
      <c r="BR71" s="93"/>
      <c r="BS71" s="93"/>
      <c r="BT71" s="93"/>
      <c r="BU71" s="93"/>
      <c r="BV71" s="93"/>
      <c r="BW71" s="93"/>
      <c r="BX71" s="93"/>
      <c r="BY71" s="93"/>
    </row>
    <row r="72" spans="1:77" x14ac:dyDescent="0.2">
      <c r="A72" s="88">
        <v>0.7</v>
      </c>
      <c r="B72" s="6"/>
      <c r="C72" s="7"/>
      <c r="D72" s="8"/>
      <c r="E72" s="9"/>
      <c r="F72" s="6"/>
      <c r="G72" s="7"/>
      <c r="H72" s="8"/>
      <c r="I72" s="9"/>
      <c r="J72" s="6"/>
      <c r="K72" s="7"/>
      <c r="L72" s="8"/>
      <c r="M72" s="9"/>
      <c r="N72" s="6"/>
      <c r="O72" s="7"/>
      <c r="P72" s="8"/>
      <c r="Q72" s="9"/>
      <c r="R72" s="6"/>
      <c r="S72" s="7"/>
      <c r="T72" s="8"/>
      <c r="U72" s="9"/>
      <c r="V72" s="6"/>
      <c r="W72" s="7"/>
      <c r="X72" s="8"/>
      <c r="Y72" s="9"/>
      <c r="Z72" s="6"/>
      <c r="AA72" s="7"/>
      <c r="AB72" s="8"/>
      <c r="AC72" s="9"/>
      <c r="AD72" s="6"/>
      <c r="AE72" s="7"/>
      <c r="AF72" s="8"/>
      <c r="AG72" s="9"/>
      <c r="AH72" s="6"/>
      <c r="AI72" s="7"/>
      <c r="AJ72" s="8"/>
      <c r="AK72" s="9"/>
      <c r="AL72" s="89" t="str">
        <f>IF(ISNUMBER(BurstIgor[[#This Row],[BurstNum_spont]]), IF(ISNUMBER(SpontLength_min), BurstIgor[[#This Row],[BurstNum_spont]]/SpontLength_min*60, "Enter Length"), "Enter Burst Vals")</f>
        <v>Enter Burst Vals</v>
      </c>
      <c r="AM7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2" s="93" t="str" cm="1">
        <f t="array" ref="AN72">IF(ISNUMBER(BurstIgor[[#This Row],[BurstNum_temp2]]), IF(ISNUMBER(Temp2_length), BurstIgor[[#This Row],[BurstNum_temp2]]/Temp2_length*60, "Enter Length"), "Enter Burst Vals")</f>
        <v>Enter Burst Vals</v>
      </c>
      <c r="AO72" s="94" t="str" cm="1">
        <f t="array" ref="AO72">IF(ISNUMBER(BurstIgor[[#This Row],[BurstNum_temp3]]), IF(ISNUMBER(Temp3_length), BurstIgor[[#This Row],[BurstNum_temp3]]/Temp3_length*60, "Enter Length"), "Enter Burst Vals")</f>
        <v>Enter Burst Vals</v>
      </c>
      <c r="AQ72" s="88">
        <v>0.7</v>
      </c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C72" s="88">
        <v>0.7</v>
      </c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O72" s="88">
        <v>0.7</v>
      </c>
      <c r="BP72" s="93"/>
      <c r="BQ72" s="93"/>
      <c r="BR72" s="93"/>
      <c r="BS72" s="93"/>
      <c r="BT72" s="93"/>
      <c r="BU72" s="93"/>
      <c r="BV72" s="93"/>
      <c r="BW72" s="93"/>
      <c r="BX72" s="93"/>
      <c r="BY72" s="93"/>
    </row>
    <row r="73" spans="1:77" x14ac:dyDescent="0.2">
      <c r="A73" s="88">
        <v>0.71</v>
      </c>
      <c r="B73" s="6"/>
      <c r="C73" s="7"/>
      <c r="D73" s="8"/>
      <c r="E73" s="9"/>
      <c r="F73" s="6"/>
      <c r="G73" s="7"/>
      <c r="H73" s="8"/>
      <c r="I73" s="9"/>
      <c r="J73" s="6"/>
      <c r="K73" s="7"/>
      <c r="L73" s="8"/>
      <c r="M73" s="9"/>
      <c r="N73" s="6"/>
      <c r="O73" s="7"/>
      <c r="P73" s="8"/>
      <c r="Q73" s="9"/>
      <c r="R73" s="6"/>
      <c r="S73" s="7"/>
      <c r="T73" s="8"/>
      <c r="U73" s="9"/>
      <c r="V73" s="6"/>
      <c r="W73" s="7"/>
      <c r="X73" s="8"/>
      <c r="Y73" s="9"/>
      <c r="Z73" s="6"/>
      <c r="AA73" s="7"/>
      <c r="AB73" s="8"/>
      <c r="AC73" s="9"/>
      <c r="AD73" s="6"/>
      <c r="AE73" s="7"/>
      <c r="AF73" s="8"/>
      <c r="AG73" s="9"/>
      <c r="AH73" s="6"/>
      <c r="AI73" s="7"/>
      <c r="AJ73" s="8"/>
      <c r="AK73" s="9"/>
      <c r="AL73" s="89" t="str">
        <f>IF(ISNUMBER(BurstIgor[[#This Row],[BurstNum_spont]]), IF(ISNUMBER(SpontLength_min), BurstIgor[[#This Row],[BurstNum_spont]]/SpontLength_min*60, "Enter Length"), "Enter Burst Vals")</f>
        <v>Enter Burst Vals</v>
      </c>
      <c r="AM7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3" s="93" t="str" cm="1">
        <f t="array" ref="AN73">IF(ISNUMBER(BurstIgor[[#This Row],[BurstNum_temp2]]), IF(ISNUMBER(Temp2_length), BurstIgor[[#This Row],[BurstNum_temp2]]/Temp2_length*60, "Enter Length"), "Enter Burst Vals")</f>
        <v>Enter Burst Vals</v>
      </c>
      <c r="AO73" s="94" t="str" cm="1">
        <f t="array" ref="AO73">IF(ISNUMBER(BurstIgor[[#This Row],[BurstNum_temp3]]), IF(ISNUMBER(Temp3_length), BurstIgor[[#This Row],[BurstNum_temp3]]/Temp3_length*60, "Enter Length"), "Enter Burst Vals")</f>
        <v>Enter Burst Vals</v>
      </c>
      <c r="AQ73" s="88">
        <v>0.71</v>
      </c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C73" s="88">
        <v>0.71</v>
      </c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O73" s="88">
        <v>0.71</v>
      </c>
      <c r="BP73" s="93"/>
      <c r="BQ73" s="93"/>
      <c r="BR73" s="93"/>
      <c r="BS73" s="93"/>
      <c r="BT73" s="93"/>
      <c r="BU73" s="93"/>
      <c r="BV73" s="93"/>
      <c r="BW73" s="93"/>
      <c r="BX73" s="93"/>
      <c r="BY73" s="93"/>
    </row>
    <row r="74" spans="1:77" x14ac:dyDescent="0.2">
      <c r="A74" s="88">
        <v>0.72</v>
      </c>
      <c r="B74" s="6"/>
      <c r="C74" s="7"/>
      <c r="D74" s="8"/>
      <c r="E74" s="9"/>
      <c r="F74" s="6"/>
      <c r="G74" s="7"/>
      <c r="H74" s="8"/>
      <c r="I74" s="9"/>
      <c r="J74" s="6"/>
      <c r="K74" s="7"/>
      <c r="L74" s="8"/>
      <c r="M74" s="9"/>
      <c r="N74" s="6"/>
      <c r="O74" s="7"/>
      <c r="P74" s="8"/>
      <c r="Q74" s="9"/>
      <c r="R74" s="6"/>
      <c r="S74" s="7"/>
      <c r="T74" s="8"/>
      <c r="U74" s="9"/>
      <c r="V74" s="6"/>
      <c r="W74" s="7"/>
      <c r="X74" s="8"/>
      <c r="Y74" s="9"/>
      <c r="Z74" s="6"/>
      <c r="AA74" s="7"/>
      <c r="AB74" s="8"/>
      <c r="AC74" s="9"/>
      <c r="AD74" s="6"/>
      <c r="AE74" s="7"/>
      <c r="AF74" s="8"/>
      <c r="AG74" s="9"/>
      <c r="AH74" s="6"/>
      <c r="AI74" s="7"/>
      <c r="AJ74" s="8"/>
      <c r="AK74" s="9"/>
      <c r="AL74" s="89" t="str">
        <f>IF(ISNUMBER(BurstIgor[[#This Row],[BurstNum_spont]]), IF(ISNUMBER(SpontLength_min), BurstIgor[[#This Row],[BurstNum_spont]]/SpontLength_min*60, "Enter Length"), "Enter Burst Vals")</f>
        <v>Enter Burst Vals</v>
      </c>
      <c r="AM7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4" s="93" t="str" cm="1">
        <f t="array" ref="AN74">IF(ISNUMBER(BurstIgor[[#This Row],[BurstNum_temp2]]), IF(ISNUMBER(Temp2_length), BurstIgor[[#This Row],[BurstNum_temp2]]/Temp2_length*60, "Enter Length"), "Enter Burst Vals")</f>
        <v>Enter Burst Vals</v>
      </c>
      <c r="AO74" s="94" t="str" cm="1">
        <f t="array" ref="AO74">IF(ISNUMBER(BurstIgor[[#This Row],[BurstNum_temp3]]), IF(ISNUMBER(Temp3_length), BurstIgor[[#This Row],[BurstNum_temp3]]/Temp3_length*60, "Enter Length"), "Enter Burst Vals")</f>
        <v>Enter Burst Vals</v>
      </c>
      <c r="AQ74" s="88">
        <v>0.72</v>
      </c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C74" s="88">
        <v>0.72</v>
      </c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O74" s="88">
        <v>0.72</v>
      </c>
      <c r="BP74" s="93"/>
      <c r="BQ74" s="93"/>
      <c r="BR74" s="93"/>
      <c r="BS74" s="93"/>
      <c r="BT74" s="93"/>
      <c r="BU74" s="93"/>
      <c r="BV74" s="93"/>
      <c r="BW74" s="93"/>
      <c r="BX74" s="93"/>
      <c r="BY74" s="93"/>
    </row>
    <row r="75" spans="1:77" x14ac:dyDescent="0.2">
      <c r="A75" s="88">
        <v>0.73</v>
      </c>
      <c r="B75" s="6"/>
      <c r="C75" s="7"/>
      <c r="D75" s="8"/>
      <c r="E75" s="9"/>
      <c r="F75" s="6"/>
      <c r="G75" s="7"/>
      <c r="H75" s="8"/>
      <c r="I75" s="9"/>
      <c r="J75" s="6"/>
      <c r="K75" s="7"/>
      <c r="L75" s="8"/>
      <c r="M75" s="9"/>
      <c r="N75" s="6"/>
      <c r="O75" s="7"/>
      <c r="P75" s="8"/>
      <c r="Q75" s="9"/>
      <c r="R75" s="6"/>
      <c r="S75" s="7"/>
      <c r="T75" s="8"/>
      <c r="U75" s="9"/>
      <c r="V75" s="6"/>
      <c r="W75" s="7"/>
      <c r="X75" s="8"/>
      <c r="Y75" s="9"/>
      <c r="Z75" s="6"/>
      <c r="AA75" s="7"/>
      <c r="AB75" s="8"/>
      <c r="AC75" s="9"/>
      <c r="AD75" s="6"/>
      <c r="AE75" s="7"/>
      <c r="AF75" s="8"/>
      <c r="AG75" s="9"/>
      <c r="AH75" s="6"/>
      <c r="AI75" s="7"/>
      <c r="AJ75" s="8"/>
      <c r="AK75" s="9"/>
      <c r="AL75" s="89" t="str">
        <f>IF(ISNUMBER(BurstIgor[[#This Row],[BurstNum_spont]]), IF(ISNUMBER(SpontLength_min), BurstIgor[[#This Row],[BurstNum_spont]]/SpontLength_min*60, "Enter Length"), "Enter Burst Vals")</f>
        <v>Enter Burst Vals</v>
      </c>
      <c r="AM7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5" s="93" t="str" cm="1">
        <f t="array" ref="AN75">IF(ISNUMBER(BurstIgor[[#This Row],[BurstNum_temp2]]), IF(ISNUMBER(Temp2_length), BurstIgor[[#This Row],[BurstNum_temp2]]/Temp2_length*60, "Enter Length"), "Enter Burst Vals")</f>
        <v>Enter Burst Vals</v>
      </c>
      <c r="AO75" s="94" t="str" cm="1">
        <f t="array" ref="AO75">IF(ISNUMBER(BurstIgor[[#This Row],[BurstNum_temp3]]), IF(ISNUMBER(Temp3_length), BurstIgor[[#This Row],[BurstNum_temp3]]/Temp3_length*60, "Enter Length"), "Enter Burst Vals")</f>
        <v>Enter Burst Vals</v>
      </c>
      <c r="AQ75" s="88">
        <v>0.73</v>
      </c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C75" s="88">
        <v>0.73</v>
      </c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O75" s="88">
        <v>0.73</v>
      </c>
      <c r="BP75" s="93"/>
      <c r="BQ75" s="93"/>
      <c r="BR75" s="93"/>
      <c r="BS75" s="93"/>
      <c r="BT75" s="93"/>
      <c r="BU75" s="93"/>
      <c r="BV75" s="93"/>
      <c r="BW75" s="93"/>
      <c r="BX75" s="93"/>
      <c r="BY75" s="93"/>
    </row>
    <row r="76" spans="1:77" x14ac:dyDescent="0.2">
      <c r="A76" s="88">
        <v>0.74</v>
      </c>
      <c r="B76" s="6"/>
      <c r="C76" s="7"/>
      <c r="D76" s="8"/>
      <c r="E76" s="9"/>
      <c r="F76" s="6"/>
      <c r="G76" s="7"/>
      <c r="H76" s="8"/>
      <c r="I76" s="9"/>
      <c r="J76" s="6"/>
      <c r="K76" s="7"/>
      <c r="L76" s="8"/>
      <c r="M76" s="9"/>
      <c r="N76" s="6"/>
      <c r="O76" s="7"/>
      <c r="P76" s="8"/>
      <c r="Q76" s="9"/>
      <c r="R76" s="6"/>
      <c r="S76" s="7"/>
      <c r="T76" s="8"/>
      <c r="U76" s="9"/>
      <c r="V76" s="6"/>
      <c r="W76" s="7"/>
      <c r="X76" s="8"/>
      <c r="Y76" s="9"/>
      <c r="Z76" s="6"/>
      <c r="AA76" s="7"/>
      <c r="AB76" s="8"/>
      <c r="AC76" s="9"/>
      <c r="AD76" s="6"/>
      <c r="AE76" s="7"/>
      <c r="AF76" s="8"/>
      <c r="AG76" s="9"/>
      <c r="AH76" s="6"/>
      <c r="AI76" s="7"/>
      <c r="AJ76" s="8"/>
      <c r="AK76" s="9"/>
      <c r="AL76" s="89" t="str">
        <f>IF(ISNUMBER(BurstIgor[[#This Row],[BurstNum_spont]]), IF(ISNUMBER(SpontLength_min), BurstIgor[[#This Row],[BurstNum_spont]]/SpontLength_min*60, "Enter Length"), "Enter Burst Vals")</f>
        <v>Enter Burst Vals</v>
      </c>
      <c r="AM7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6" s="93" t="str" cm="1">
        <f t="array" ref="AN76">IF(ISNUMBER(BurstIgor[[#This Row],[BurstNum_temp2]]), IF(ISNUMBER(Temp2_length), BurstIgor[[#This Row],[BurstNum_temp2]]/Temp2_length*60, "Enter Length"), "Enter Burst Vals")</f>
        <v>Enter Burst Vals</v>
      </c>
      <c r="AO76" s="94" t="str" cm="1">
        <f t="array" ref="AO76">IF(ISNUMBER(BurstIgor[[#This Row],[BurstNum_temp3]]), IF(ISNUMBER(Temp3_length), BurstIgor[[#This Row],[BurstNum_temp3]]/Temp3_length*60, "Enter Length"), "Enter Burst Vals")</f>
        <v>Enter Burst Vals</v>
      </c>
      <c r="AQ76" s="88">
        <v>0.74</v>
      </c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C76" s="88">
        <v>0.74</v>
      </c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O76" s="88">
        <v>0.74</v>
      </c>
      <c r="BP76" s="93"/>
      <c r="BQ76" s="93"/>
      <c r="BR76" s="93"/>
      <c r="BS76" s="93"/>
      <c r="BT76" s="93"/>
      <c r="BU76" s="93"/>
      <c r="BV76" s="93"/>
      <c r="BW76" s="93"/>
      <c r="BX76" s="93"/>
      <c r="BY76" s="93"/>
    </row>
    <row r="77" spans="1:77" x14ac:dyDescent="0.2">
      <c r="A77" s="88">
        <v>0.75</v>
      </c>
      <c r="B77" s="6"/>
      <c r="C77" s="7"/>
      <c r="D77" s="8"/>
      <c r="E77" s="9"/>
      <c r="F77" s="6"/>
      <c r="G77" s="7"/>
      <c r="H77" s="8"/>
      <c r="I77" s="9"/>
      <c r="J77" s="6"/>
      <c r="K77" s="7"/>
      <c r="L77" s="8"/>
      <c r="M77" s="9"/>
      <c r="N77" s="6"/>
      <c r="O77" s="7"/>
      <c r="P77" s="8"/>
      <c r="Q77" s="9"/>
      <c r="R77" s="6"/>
      <c r="S77" s="7"/>
      <c r="T77" s="8"/>
      <c r="U77" s="9"/>
      <c r="V77" s="6"/>
      <c r="W77" s="7"/>
      <c r="X77" s="8"/>
      <c r="Y77" s="9"/>
      <c r="Z77" s="6"/>
      <c r="AA77" s="7"/>
      <c r="AB77" s="8"/>
      <c r="AC77" s="9"/>
      <c r="AD77" s="6"/>
      <c r="AE77" s="7"/>
      <c r="AF77" s="8"/>
      <c r="AG77" s="9"/>
      <c r="AH77" s="6"/>
      <c r="AI77" s="7"/>
      <c r="AJ77" s="8"/>
      <c r="AK77" s="9"/>
      <c r="AL77" s="89" t="str">
        <f>IF(ISNUMBER(BurstIgor[[#This Row],[BurstNum_spont]]), IF(ISNUMBER(SpontLength_min), BurstIgor[[#This Row],[BurstNum_spont]]/SpontLength_min*60, "Enter Length"), "Enter Burst Vals")</f>
        <v>Enter Burst Vals</v>
      </c>
      <c r="AM7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7" s="93" t="str" cm="1">
        <f t="array" ref="AN77">IF(ISNUMBER(BurstIgor[[#This Row],[BurstNum_temp2]]), IF(ISNUMBER(Temp2_length), BurstIgor[[#This Row],[BurstNum_temp2]]/Temp2_length*60, "Enter Length"), "Enter Burst Vals")</f>
        <v>Enter Burst Vals</v>
      </c>
      <c r="AO77" s="94" t="str" cm="1">
        <f t="array" ref="AO77">IF(ISNUMBER(BurstIgor[[#This Row],[BurstNum_temp3]]), IF(ISNUMBER(Temp3_length), BurstIgor[[#This Row],[BurstNum_temp3]]/Temp3_length*60, "Enter Length"), "Enter Burst Vals")</f>
        <v>Enter Burst Vals</v>
      </c>
      <c r="AQ77" s="88">
        <v>0.75</v>
      </c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C77" s="88">
        <v>0.75</v>
      </c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O77" s="88">
        <v>0.75</v>
      </c>
      <c r="BP77" s="93"/>
      <c r="BQ77" s="93"/>
      <c r="BR77" s="93"/>
      <c r="BS77" s="93"/>
      <c r="BT77" s="93"/>
      <c r="BU77" s="93"/>
      <c r="BV77" s="93"/>
      <c r="BW77" s="93"/>
      <c r="BX77" s="93"/>
      <c r="BY77" s="93"/>
    </row>
    <row r="78" spans="1:77" x14ac:dyDescent="0.2">
      <c r="A78" s="88">
        <v>0.76</v>
      </c>
      <c r="B78" s="6"/>
      <c r="C78" s="7"/>
      <c r="D78" s="8"/>
      <c r="E78" s="9"/>
      <c r="F78" s="6"/>
      <c r="G78" s="7"/>
      <c r="H78" s="8"/>
      <c r="I78" s="9"/>
      <c r="J78" s="6"/>
      <c r="K78" s="7"/>
      <c r="L78" s="8"/>
      <c r="M78" s="9"/>
      <c r="N78" s="6"/>
      <c r="O78" s="7"/>
      <c r="P78" s="8"/>
      <c r="Q78" s="9"/>
      <c r="R78" s="6"/>
      <c r="S78" s="7"/>
      <c r="T78" s="8"/>
      <c r="U78" s="9"/>
      <c r="V78" s="6"/>
      <c r="W78" s="7"/>
      <c r="X78" s="8"/>
      <c r="Y78" s="9"/>
      <c r="Z78" s="6"/>
      <c r="AA78" s="7"/>
      <c r="AB78" s="8"/>
      <c r="AC78" s="9"/>
      <c r="AD78" s="6"/>
      <c r="AE78" s="7"/>
      <c r="AF78" s="8"/>
      <c r="AG78" s="9"/>
      <c r="AH78" s="6"/>
      <c r="AI78" s="7"/>
      <c r="AJ78" s="8"/>
      <c r="AK78" s="9"/>
      <c r="AL78" s="89" t="str">
        <f>IF(ISNUMBER(BurstIgor[[#This Row],[BurstNum_spont]]), IF(ISNUMBER(SpontLength_min), BurstIgor[[#This Row],[BurstNum_spont]]/SpontLength_min*60, "Enter Length"), "Enter Burst Vals")</f>
        <v>Enter Burst Vals</v>
      </c>
      <c r="AM7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8" s="93" t="str" cm="1">
        <f t="array" ref="AN78">IF(ISNUMBER(BurstIgor[[#This Row],[BurstNum_temp2]]), IF(ISNUMBER(Temp2_length), BurstIgor[[#This Row],[BurstNum_temp2]]/Temp2_length*60, "Enter Length"), "Enter Burst Vals")</f>
        <v>Enter Burst Vals</v>
      </c>
      <c r="AO78" s="94" t="str" cm="1">
        <f t="array" ref="AO78">IF(ISNUMBER(BurstIgor[[#This Row],[BurstNum_temp3]]), IF(ISNUMBER(Temp3_length), BurstIgor[[#This Row],[BurstNum_temp3]]/Temp3_length*60, "Enter Length"), "Enter Burst Vals")</f>
        <v>Enter Burst Vals</v>
      </c>
      <c r="AQ78" s="88">
        <v>0.76</v>
      </c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C78" s="88">
        <v>0.76</v>
      </c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O78" s="88">
        <v>0.76</v>
      </c>
      <c r="BP78" s="93"/>
      <c r="BQ78" s="93"/>
      <c r="BR78" s="93"/>
      <c r="BS78" s="93"/>
      <c r="BT78" s="93"/>
      <c r="BU78" s="93"/>
      <c r="BV78" s="93"/>
      <c r="BW78" s="93"/>
      <c r="BX78" s="93"/>
      <c r="BY78" s="93"/>
    </row>
    <row r="79" spans="1:77" x14ac:dyDescent="0.2">
      <c r="A79" s="88">
        <v>0.77</v>
      </c>
      <c r="B79" s="6"/>
      <c r="C79" s="7"/>
      <c r="D79" s="8"/>
      <c r="E79" s="9"/>
      <c r="F79" s="6"/>
      <c r="G79" s="7"/>
      <c r="H79" s="8"/>
      <c r="I79" s="9"/>
      <c r="J79" s="6"/>
      <c r="K79" s="7"/>
      <c r="L79" s="8"/>
      <c r="M79" s="9"/>
      <c r="N79" s="6"/>
      <c r="O79" s="7"/>
      <c r="P79" s="8"/>
      <c r="Q79" s="9"/>
      <c r="R79" s="6"/>
      <c r="S79" s="7"/>
      <c r="T79" s="8"/>
      <c r="U79" s="9"/>
      <c r="V79" s="6"/>
      <c r="W79" s="7"/>
      <c r="X79" s="8"/>
      <c r="Y79" s="9"/>
      <c r="Z79" s="6"/>
      <c r="AA79" s="7"/>
      <c r="AB79" s="8"/>
      <c r="AC79" s="9"/>
      <c r="AD79" s="6"/>
      <c r="AE79" s="7"/>
      <c r="AF79" s="8"/>
      <c r="AG79" s="9"/>
      <c r="AH79" s="6"/>
      <c r="AI79" s="7"/>
      <c r="AJ79" s="8"/>
      <c r="AK79" s="9"/>
      <c r="AL79" s="89" t="str">
        <f>IF(ISNUMBER(BurstIgor[[#This Row],[BurstNum_spont]]), IF(ISNUMBER(SpontLength_min), BurstIgor[[#This Row],[BurstNum_spont]]/SpontLength_min*60, "Enter Length"), "Enter Burst Vals")</f>
        <v>Enter Burst Vals</v>
      </c>
      <c r="AM7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79" s="93" t="str" cm="1">
        <f t="array" ref="AN79">IF(ISNUMBER(BurstIgor[[#This Row],[BurstNum_temp2]]), IF(ISNUMBER(Temp2_length), BurstIgor[[#This Row],[BurstNum_temp2]]/Temp2_length*60, "Enter Length"), "Enter Burst Vals")</f>
        <v>Enter Burst Vals</v>
      </c>
      <c r="AO79" s="94" t="str" cm="1">
        <f t="array" ref="AO79">IF(ISNUMBER(BurstIgor[[#This Row],[BurstNum_temp3]]), IF(ISNUMBER(Temp3_length), BurstIgor[[#This Row],[BurstNum_temp3]]/Temp3_length*60, "Enter Length"), "Enter Burst Vals")</f>
        <v>Enter Burst Vals</v>
      </c>
      <c r="AQ79" s="88">
        <v>0.77</v>
      </c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C79" s="88">
        <v>0.77</v>
      </c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O79" s="88">
        <v>0.77</v>
      </c>
      <c r="BP79" s="93"/>
      <c r="BQ79" s="93"/>
      <c r="BR79" s="93"/>
      <c r="BS79" s="93"/>
      <c r="BT79" s="93"/>
      <c r="BU79" s="93"/>
      <c r="BV79" s="93"/>
      <c r="BW79" s="93"/>
      <c r="BX79" s="93"/>
      <c r="BY79" s="93"/>
    </row>
    <row r="80" spans="1:77" x14ac:dyDescent="0.2">
      <c r="A80" s="88">
        <v>0.78</v>
      </c>
      <c r="B80" s="6"/>
      <c r="C80" s="7"/>
      <c r="D80" s="8"/>
      <c r="E80" s="9"/>
      <c r="F80" s="6"/>
      <c r="G80" s="7"/>
      <c r="H80" s="8"/>
      <c r="I80" s="9"/>
      <c r="J80" s="6"/>
      <c r="K80" s="7"/>
      <c r="L80" s="8"/>
      <c r="M80" s="9"/>
      <c r="N80" s="6"/>
      <c r="O80" s="7"/>
      <c r="P80" s="8"/>
      <c r="Q80" s="9"/>
      <c r="R80" s="6"/>
      <c r="S80" s="7"/>
      <c r="T80" s="8"/>
      <c r="U80" s="9"/>
      <c r="V80" s="6"/>
      <c r="W80" s="7"/>
      <c r="X80" s="8"/>
      <c r="Y80" s="9"/>
      <c r="Z80" s="6"/>
      <c r="AA80" s="7"/>
      <c r="AB80" s="8"/>
      <c r="AC80" s="9"/>
      <c r="AD80" s="6"/>
      <c r="AE80" s="7"/>
      <c r="AF80" s="8"/>
      <c r="AG80" s="9"/>
      <c r="AH80" s="6"/>
      <c r="AI80" s="7"/>
      <c r="AJ80" s="8"/>
      <c r="AK80" s="9"/>
      <c r="AL80" s="89" t="str">
        <f>IF(ISNUMBER(BurstIgor[[#This Row],[BurstNum_spont]]), IF(ISNUMBER(SpontLength_min), BurstIgor[[#This Row],[BurstNum_spont]]/SpontLength_min*60, "Enter Length"), "Enter Burst Vals")</f>
        <v>Enter Burst Vals</v>
      </c>
      <c r="AM8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0" s="93" t="str" cm="1">
        <f t="array" ref="AN80">IF(ISNUMBER(BurstIgor[[#This Row],[BurstNum_temp2]]), IF(ISNUMBER(Temp2_length), BurstIgor[[#This Row],[BurstNum_temp2]]/Temp2_length*60, "Enter Length"), "Enter Burst Vals")</f>
        <v>Enter Burst Vals</v>
      </c>
      <c r="AO80" s="94" t="str" cm="1">
        <f t="array" ref="AO80">IF(ISNUMBER(BurstIgor[[#This Row],[BurstNum_temp3]]), IF(ISNUMBER(Temp3_length), BurstIgor[[#This Row],[BurstNum_temp3]]/Temp3_length*60, "Enter Length"), "Enter Burst Vals")</f>
        <v>Enter Burst Vals</v>
      </c>
      <c r="AQ80" s="88">
        <v>0.78</v>
      </c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C80" s="88">
        <v>0.78</v>
      </c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O80" s="88">
        <v>0.78</v>
      </c>
      <c r="BP80" s="93"/>
      <c r="BQ80" s="93"/>
      <c r="BR80" s="93"/>
      <c r="BS80" s="93"/>
      <c r="BT80" s="93"/>
      <c r="BU80" s="93"/>
      <c r="BV80" s="93"/>
      <c r="BW80" s="93"/>
      <c r="BX80" s="93"/>
      <c r="BY80" s="93"/>
    </row>
    <row r="81" spans="1:77" x14ac:dyDescent="0.2">
      <c r="A81" s="88">
        <v>0.79</v>
      </c>
      <c r="B81" s="6"/>
      <c r="C81" s="7"/>
      <c r="D81" s="8"/>
      <c r="E81" s="9"/>
      <c r="F81" s="6"/>
      <c r="G81" s="7"/>
      <c r="H81" s="8"/>
      <c r="I81" s="9"/>
      <c r="J81" s="6"/>
      <c r="K81" s="7"/>
      <c r="L81" s="8"/>
      <c r="M81" s="9"/>
      <c r="N81" s="6"/>
      <c r="O81" s="7"/>
      <c r="P81" s="8"/>
      <c r="Q81" s="9"/>
      <c r="R81" s="6"/>
      <c r="S81" s="7"/>
      <c r="T81" s="8"/>
      <c r="U81" s="9"/>
      <c r="V81" s="6"/>
      <c r="W81" s="7"/>
      <c r="X81" s="8"/>
      <c r="Y81" s="9"/>
      <c r="Z81" s="6"/>
      <c r="AA81" s="7"/>
      <c r="AB81" s="8"/>
      <c r="AC81" s="9"/>
      <c r="AD81" s="6"/>
      <c r="AE81" s="7"/>
      <c r="AF81" s="8"/>
      <c r="AG81" s="9"/>
      <c r="AH81" s="6"/>
      <c r="AI81" s="7"/>
      <c r="AJ81" s="8"/>
      <c r="AK81" s="9"/>
      <c r="AL81" s="89" t="str">
        <f>IF(ISNUMBER(BurstIgor[[#This Row],[BurstNum_spont]]), IF(ISNUMBER(SpontLength_min), BurstIgor[[#This Row],[BurstNum_spont]]/SpontLength_min*60, "Enter Length"), "Enter Burst Vals")</f>
        <v>Enter Burst Vals</v>
      </c>
      <c r="AM8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1" s="93" t="str" cm="1">
        <f t="array" ref="AN81">IF(ISNUMBER(BurstIgor[[#This Row],[BurstNum_temp2]]), IF(ISNUMBER(Temp2_length), BurstIgor[[#This Row],[BurstNum_temp2]]/Temp2_length*60, "Enter Length"), "Enter Burst Vals")</f>
        <v>Enter Burst Vals</v>
      </c>
      <c r="AO81" s="94" t="str" cm="1">
        <f t="array" ref="AO81">IF(ISNUMBER(BurstIgor[[#This Row],[BurstNum_temp3]]), IF(ISNUMBER(Temp3_length), BurstIgor[[#This Row],[BurstNum_temp3]]/Temp3_length*60, "Enter Length"), "Enter Burst Vals")</f>
        <v>Enter Burst Vals</v>
      </c>
      <c r="AQ81" s="88">
        <v>0.79</v>
      </c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C81" s="88">
        <v>0.79</v>
      </c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O81" s="88">
        <v>0.79</v>
      </c>
      <c r="BP81" s="93"/>
      <c r="BQ81" s="93"/>
      <c r="BR81" s="93"/>
      <c r="BS81" s="93"/>
      <c r="BT81" s="93"/>
      <c r="BU81" s="93"/>
      <c r="BV81" s="93"/>
      <c r="BW81" s="93"/>
      <c r="BX81" s="93"/>
      <c r="BY81" s="93"/>
    </row>
    <row r="82" spans="1:77" x14ac:dyDescent="0.2">
      <c r="A82" s="88">
        <v>0.8</v>
      </c>
      <c r="B82" s="6"/>
      <c r="C82" s="7"/>
      <c r="D82" s="8"/>
      <c r="E82" s="9"/>
      <c r="F82" s="6"/>
      <c r="G82" s="7"/>
      <c r="H82" s="8"/>
      <c r="I82" s="9"/>
      <c r="J82" s="6"/>
      <c r="K82" s="7"/>
      <c r="L82" s="8"/>
      <c r="M82" s="9"/>
      <c r="N82" s="6"/>
      <c r="O82" s="7"/>
      <c r="P82" s="8"/>
      <c r="Q82" s="9"/>
      <c r="R82" s="6"/>
      <c r="S82" s="7"/>
      <c r="T82" s="8"/>
      <c r="U82" s="9"/>
      <c r="V82" s="6"/>
      <c r="W82" s="7"/>
      <c r="X82" s="8"/>
      <c r="Y82" s="9"/>
      <c r="Z82" s="6"/>
      <c r="AA82" s="7"/>
      <c r="AB82" s="8"/>
      <c r="AC82" s="9"/>
      <c r="AD82" s="6"/>
      <c r="AE82" s="7"/>
      <c r="AF82" s="8"/>
      <c r="AG82" s="9"/>
      <c r="AH82" s="6"/>
      <c r="AI82" s="7"/>
      <c r="AJ82" s="8"/>
      <c r="AK82" s="9"/>
      <c r="AL82" s="89" t="str">
        <f>IF(ISNUMBER(BurstIgor[[#This Row],[BurstNum_spont]]), IF(ISNUMBER(SpontLength_min), BurstIgor[[#This Row],[BurstNum_spont]]/SpontLength_min*60, "Enter Length"), "Enter Burst Vals")</f>
        <v>Enter Burst Vals</v>
      </c>
      <c r="AM8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2" s="93" t="str" cm="1">
        <f t="array" ref="AN82">IF(ISNUMBER(BurstIgor[[#This Row],[BurstNum_temp2]]), IF(ISNUMBER(Temp2_length), BurstIgor[[#This Row],[BurstNum_temp2]]/Temp2_length*60, "Enter Length"), "Enter Burst Vals")</f>
        <v>Enter Burst Vals</v>
      </c>
      <c r="AO82" s="94" t="str" cm="1">
        <f t="array" ref="AO82">IF(ISNUMBER(BurstIgor[[#This Row],[BurstNum_temp3]]), IF(ISNUMBER(Temp3_length), BurstIgor[[#This Row],[BurstNum_temp3]]/Temp3_length*60, "Enter Length"), "Enter Burst Vals")</f>
        <v>Enter Burst Vals</v>
      </c>
      <c r="AQ82" s="88">
        <v>0.8</v>
      </c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C82" s="88">
        <v>0.8</v>
      </c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O82" s="88">
        <v>0.8</v>
      </c>
      <c r="BP82" s="93"/>
      <c r="BQ82" s="93"/>
      <c r="BR82" s="93"/>
      <c r="BS82" s="93"/>
      <c r="BT82" s="93"/>
      <c r="BU82" s="93"/>
      <c r="BV82" s="93"/>
      <c r="BW82" s="93"/>
      <c r="BX82" s="93"/>
      <c r="BY82" s="93"/>
    </row>
    <row r="83" spans="1:77" x14ac:dyDescent="0.2">
      <c r="A83" s="88">
        <v>0.81</v>
      </c>
      <c r="B83" s="6"/>
      <c r="C83" s="7"/>
      <c r="D83" s="8"/>
      <c r="E83" s="9"/>
      <c r="F83" s="6"/>
      <c r="G83" s="7"/>
      <c r="H83" s="8"/>
      <c r="I83" s="9"/>
      <c r="J83" s="6"/>
      <c r="K83" s="7"/>
      <c r="L83" s="8"/>
      <c r="M83" s="9"/>
      <c r="N83" s="6"/>
      <c r="O83" s="7"/>
      <c r="P83" s="8"/>
      <c r="Q83" s="9"/>
      <c r="R83" s="6"/>
      <c r="S83" s="7"/>
      <c r="T83" s="8"/>
      <c r="U83" s="9"/>
      <c r="V83" s="6"/>
      <c r="W83" s="7"/>
      <c r="X83" s="8"/>
      <c r="Y83" s="9"/>
      <c r="Z83" s="6"/>
      <c r="AA83" s="7"/>
      <c r="AB83" s="8"/>
      <c r="AC83" s="9"/>
      <c r="AD83" s="6"/>
      <c r="AE83" s="7"/>
      <c r="AF83" s="8"/>
      <c r="AG83" s="9"/>
      <c r="AH83" s="6"/>
      <c r="AI83" s="7"/>
      <c r="AJ83" s="8"/>
      <c r="AK83" s="9"/>
      <c r="AL83" s="89" t="str">
        <f>IF(ISNUMBER(BurstIgor[[#This Row],[BurstNum_spont]]), IF(ISNUMBER(SpontLength_min), BurstIgor[[#This Row],[BurstNum_spont]]/SpontLength_min*60, "Enter Length"), "Enter Burst Vals")</f>
        <v>Enter Burst Vals</v>
      </c>
      <c r="AM8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3" s="93" t="str" cm="1">
        <f t="array" ref="AN83">IF(ISNUMBER(BurstIgor[[#This Row],[BurstNum_temp2]]), IF(ISNUMBER(Temp2_length), BurstIgor[[#This Row],[BurstNum_temp2]]/Temp2_length*60, "Enter Length"), "Enter Burst Vals")</f>
        <v>Enter Burst Vals</v>
      </c>
      <c r="AO83" s="94" t="str" cm="1">
        <f t="array" ref="AO83">IF(ISNUMBER(BurstIgor[[#This Row],[BurstNum_temp3]]), IF(ISNUMBER(Temp3_length), BurstIgor[[#This Row],[BurstNum_temp3]]/Temp3_length*60, "Enter Length"), "Enter Burst Vals")</f>
        <v>Enter Burst Vals</v>
      </c>
      <c r="AQ83" s="88">
        <v>0.81</v>
      </c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C83" s="88">
        <v>0.81</v>
      </c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O83" s="88">
        <v>0.81</v>
      </c>
      <c r="BP83" s="93"/>
      <c r="BQ83" s="93"/>
      <c r="BR83" s="93"/>
      <c r="BS83" s="93"/>
      <c r="BT83" s="93"/>
      <c r="BU83" s="93"/>
      <c r="BV83" s="93"/>
      <c r="BW83" s="93"/>
      <c r="BX83" s="93"/>
      <c r="BY83" s="93"/>
    </row>
    <row r="84" spans="1:77" x14ac:dyDescent="0.2">
      <c r="A84" s="88">
        <v>0.82</v>
      </c>
      <c r="B84" s="6"/>
      <c r="C84" s="7"/>
      <c r="D84" s="8"/>
      <c r="E84" s="9"/>
      <c r="F84" s="6"/>
      <c r="G84" s="7"/>
      <c r="H84" s="8"/>
      <c r="I84" s="9"/>
      <c r="J84" s="6"/>
      <c r="K84" s="7"/>
      <c r="L84" s="8"/>
      <c r="M84" s="9"/>
      <c r="N84" s="6"/>
      <c r="O84" s="7"/>
      <c r="P84" s="8"/>
      <c r="Q84" s="9"/>
      <c r="R84" s="6"/>
      <c r="S84" s="7"/>
      <c r="T84" s="8"/>
      <c r="U84" s="9"/>
      <c r="V84" s="6"/>
      <c r="W84" s="7"/>
      <c r="X84" s="8"/>
      <c r="Y84" s="9"/>
      <c r="Z84" s="6"/>
      <c r="AA84" s="7"/>
      <c r="AB84" s="8"/>
      <c r="AC84" s="9"/>
      <c r="AD84" s="6"/>
      <c r="AE84" s="7"/>
      <c r="AF84" s="8"/>
      <c r="AG84" s="9"/>
      <c r="AH84" s="6"/>
      <c r="AI84" s="7"/>
      <c r="AJ84" s="8"/>
      <c r="AK84" s="9"/>
      <c r="AL84" s="89" t="str">
        <f>IF(ISNUMBER(BurstIgor[[#This Row],[BurstNum_spont]]), IF(ISNUMBER(SpontLength_min), BurstIgor[[#This Row],[BurstNum_spont]]/SpontLength_min*60, "Enter Length"), "Enter Burst Vals")</f>
        <v>Enter Burst Vals</v>
      </c>
      <c r="AM8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4" s="93" t="str" cm="1">
        <f t="array" ref="AN84">IF(ISNUMBER(BurstIgor[[#This Row],[BurstNum_temp2]]), IF(ISNUMBER(Temp2_length), BurstIgor[[#This Row],[BurstNum_temp2]]/Temp2_length*60, "Enter Length"), "Enter Burst Vals")</f>
        <v>Enter Burst Vals</v>
      </c>
      <c r="AO84" s="94" t="str" cm="1">
        <f t="array" ref="AO84">IF(ISNUMBER(BurstIgor[[#This Row],[BurstNum_temp3]]), IF(ISNUMBER(Temp3_length), BurstIgor[[#This Row],[BurstNum_temp3]]/Temp3_length*60, "Enter Length"), "Enter Burst Vals")</f>
        <v>Enter Burst Vals</v>
      </c>
      <c r="AQ84" s="88">
        <v>0.82</v>
      </c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C84" s="88">
        <v>0.82</v>
      </c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O84" s="88">
        <v>0.82</v>
      </c>
      <c r="BP84" s="93"/>
      <c r="BQ84" s="93"/>
      <c r="BR84" s="93"/>
      <c r="BS84" s="93"/>
      <c r="BT84" s="93"/>
      <c r="BU84" s="93"/>
      <c r="BV84" s="93"/>
      <c r="BW84" s="93"/>
      <c r="BX84" s="93"/>
      <c r="BY84" s="93"/>
    </row>
    <row r="85" spans="1:77" x14ac:dyDescent="0.2">
      <c r="A85" s="88">
        <v>0.83</v>
      </c>
      <c r="B85" s="6"/>
      <c r="C85" s="7"/>
      <c r="D85" s="8"/>
      <c r="E85" s="9"/>
      <c r="F85" s="6"/>
      <c r="G85" s="7"/>
      <c r="H85" s="8"/>
      <c r="I85" s="9"/>
      <c r="J85" s="6"/>
      <c r="K85" s="7"/>
      <c r="L85" s="8"/>
      <c r="M85" s="9"/>
      <c r="N85" s="6"/>
      <c r="O85" s="7"/>
      <c r="P85" s="8"/>
      <c r="Q85" s="9"/>
      <c r="R85" s="6"/>
      <c r="S85" s="7"/>
      <c r="T85" s="8"/>
      <c r="U85" s="9"/>
      <c r="V85" s="6"/>
      <c r="W85" s="7"/>
      <c r="X85" s="8"/>
      <c r="Y85" s="9"/>
      <c r="Z85" s="6"/>
      <c r="AA85" s="7"/>
      <c r="AB85" s="8"/>
      <c r="AC85" s="9"/>
      <c r="AD85" s="6"/>
      <c r="AE85" s="7"/>
      <c r="AF85" s="8"/>
      <c r="AG85" s="9"/>
      <c r="AH85" s="6"/>
      <c r="AI85" s="7"/>
      <c r="AJ85" s="8"/>
      <c r="AK85" s="9"/>
      <c r="AL85" s="89" t="str">
        <f>IF(ISNUMBER(BurstIgor[[#This Row],[BurstNum_spont]]), IF(ISNUMBER(SpontLength_min), BurstIgor[[#This Row],[BurstNum_spont]]/SpontLength_min*60, "Enter Length"), "Enter Burst Vals")</f>
        <v>Enter Burst Vals</v>
      </c>
      <c r="AM8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5" s="93" t="str" cm="1">
        <f t="array" ref="AN85">IF(ISNUMBER(BurstIgor[[#This Row],[BurstNum_temp2]]), IF(ISNUMBER(Temp2_length), BurstIgor[[#This Row],[BurstNum_temp2]]/Temp2_length*60, "Enter Length"), "Enter Burst Vals")</f>
        <v>Enter Burst Vals</v>
      </c>
      <c r="AO85" s="94" t="str" cm="1">
        <f t="array" ref="AO85">IF(ISNUMBER(BurstIgor[[#This Row],[BurstNum_temp3]]), IF(ISNUMBER(Temp3_length), BurstIgor[[#This Row],[BurstNum_temp3]]/Temp3_length*60, "Enter Length"), "Enter Burst Vals")</f>
        <v>Enter Burst Vals</v>
      </c>
      <c r="AQ85" s="88">
        <v>0.83</v>
      </c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C85" s="88">
        <v>0.83</v>
      </c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O85" s="88">
        <v>0.83</v>
      </c>
      <c r="BP85" s="93"/>
      <c r="BQ85" s="93"/>
      <c r="BR85" s="93"/>
      <c r="BS85" s="93"/>
      <c r="BT85" s="93"/>
      <c r="BU85" s="93"/>
      <c r="BV85" s="93"/>
      <c r="BW85" s="93"/>
      <c r="BX85" s="93"/>
      <c r="BY85" s="93"/>
    </row>
    <row r="86" spans="1:77" x14ac:dyDescent="0.2">
      <c r="A86" s="88">
        <v>0.84</v>
      </c>
      <c r="B86" s="6"/>
      <c r="C86" s="7"/>
      <c r="D86" s="8"/>
      <c r="E86" s="9"/>
      <c r="F86" s="6"/>
      <c r="G86" s="7"/>
      <c r="H86" s="8"/>
      <c r="I86" s="9"/>
      <c r="J86" s="6"/>
      <c r="K86" s="7"/>
      <c r="L86" s="8"/>
      <c r="M86" s="9"/>
      <c r="N86" s="6"/>
      <c r="O86" s="7"/>
      <c r="P86" s="8"/>
      <c r="Q86" s="9"/>
      <c r="R86" s="6"/>
      <c r="S86" s="7"/>
      <c r="T86" s="8"/>
      <c r="U86" s="9"/>
      <c r="V86" s="6"/>
      <c r="W86" s="7"/>
      <c r="X86" s="8"/>
      <c r="Y86" s="9"/>
      <c r="Z86" s="6"/>
      <c r="AA86" s="7"/>
      <c r="AB86" s="8"/>
      <c r="AC86" s="9"/>
      <c r="AD86" s="6"/>
      <c r="AE86" s="7"/>
      <c r="AF86" s="8"/>
      <c r="AG86" s="9"/>
      <c r="AH86" s="6"/>
      <c r="AI86" s="7"/>
      <c r="AJ86" s="8"/>
      <c r="AK86" s="9"/>
      <c r="AL86" s="89" t="str">
        <f>IF(ISNUMBER(BurstIgor[[#This Row],[BurstNum_spont]]), IF(ISNUMBER(SpontLength_min), BurstIgor[[#This Row],[BurstNum_spont]]/SpontLength_min*60, "Enter Length"), "Enter Burst Vals")</f>
        <v>Enter Burst Vals</v>
      </c>
      <c r="AM8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6" s="93" t="str" cm="1">
        <f t="array" ref="AN86">IF(ISNUMBER(BurstIgor[[#This Row],[BurstNum_temp2]]), IF(ISNUMBER(Temp2_length), BurstIgor[[#This Row],[BurstNum_temp2]]/Temp2_length*60, "Enter Length"), "Enter Burst Vals")</f>
        <v>Enter Burst Vals</v>
      </c>
      <c r="AO86" s="94" t="str" cm="1">
        <f t="array" ref="AO86">IF(ISNUMBER(BurstIgor[[#This Row],[BurstNum_temp3]]), IF(ISNUMBER(Temp3_length), BurstIgor[[#This Row],[BurstNum_temp3]]/Temp3_length*60, "Enter Length"), "Enter Burst Vals")</f>
        <v>Enter Burst Vals</v>
      </c>
      <c r="AQ86" s="88">
        <v>0.84</v>
      </c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C86" s="88">
        <v>0.84</v>
      </c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O86" s="88">
        <v>0.84</v>
      </c>
      <c r="BP86" s="93"/>
      <c r="BQ86" s="93"/>
      <c r="BR86" s="93"/>
      <c r="BS86" s="93"/>
      <c r="BT86" s="93"/>
      <c r="BU86" s="93"/>
      <c r="BV86" s="93"/>
      <c r="BW86" s="93"/>
      <c r="BX86" s="93"/>
      <c r="BY86" s="93"/>
    </row>
    <row r="87" spans="1:77" x14ac:dyDescent="0.2">
      <c r="A87" s="88">
        <v>0.85</v>
      </c>
      <c r="B87" s="6"/>
      <c r="C87" s="7"/>
      <c r="D87" s="8"/>
      <c r="E87" s="9"/>
      <c r="F87" s="6"/>
      <c r="G87" s="7"/>
      <c r="H87" s="8"/>
      <c r="I87" s="9"/>
      <c r="J87" s="6"/>
      <c r="K87" s="7"/>
      <c r="L87" s="8"/>
      <c r="M87" s="9"/>
      <c r="N87" s="6"/>
      <c r="O87" s="7"/>
      <c r="P87" s="8"/>
      <c r="Q87" s="9"/>
      <c r="R87" s="6"/>
      <c r="S87" s="7"/>
      <c r="T87" s="8"/>
      <c r="U87" s="9"/>
      <c r="V87" s="6"/>
      <c r="W87" s="7"/>
      <c r="X87" s="8"/>
      <c r="Y87" s="9"/>
      <c r="Z87" s="6"/>
      <c r="AA87" s="7"/>
      <c r="AB87" s="8"/>
      <c r="AC87" s="9"/>
      <c r="AD87" s="6"/>
      <c r="AE87" s="7"/>
      <c r="AF87" s="8"/>
      <c r="AG87" s="9"/>
      <c r="AH87" s="6"/>
      <c r="AI87" s="7"/>
      <c r="AJ87" s="8"/>
      <c r="AK87" s="9"/>
      <c r="AL87" s="89" t="str">
        <f>IF(ISNUMBER(BurstIgor[[#This Row],[BurstNum_spont]]), IF(ISNUMBER(SpontLength_min), BurstIgor[[#This Row],[BurstNum_spont]]/SpontLength_min*60, "Enter Length"), "Enter Burst Vals")</f>
        <v>Enter Burst Vals</v>
      </c>
      <c r="AM8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7" s="93" t="str" cm="1">
        <f t="array" ref="AN87">IF(ISNUMBER(BurstIgor[[#This Row],[BurstNum_temp2]]), IF(ISNUMBER(Temp2_length), BurstIgor[[#This Row],[BurstNum_temp2]]/Temp2_length*60, "Enter Length"), "Enter Burst Vals")</f>
        <v>Enter Burst Vals</v>
      </c>
      <c r="AO87" s="94" t="str" cm="1">
        <f t="array" ref="AO87">IF(ISNUMBER(BurstIgor[[#This Row],[BurstNum_temp3]]), IF(ISNUMBER(Temp3_length), BurstIgor[[#This Row],[BurstNum_temp3]]/Temp3_length*60, "Enter Length"), "Enter Burst Vals")</f>
        <v>Enter Burst Vals</v>
      </c>
      <c r="AQ87" s="88">
        <v>0.85</v>
      </c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C87" s="88">
        <v>0.85</v>
      </c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O87" s="88">
        <v>0.85</v>
      </c>
      <c r="BP87" s="93"/>
      <c r="BQ87" s="93"/>
      <c r="BR87" s="93"/>
      <c r="BS87" s="93"/>
      <c r="BT87" s="93"/>
      <c r="BU87" s="93"/>
      <c r="BV87" s="93"/>
      <c r="BW87" s="93"/>
      <c r="BX87" s="93"/>
      <c r="BY87" s="93"/>
    </row>
    <row r="88" spans="1:77" x14ac:dyDescent="0.2">
      <c r="A88" s="88">
        <v>0.86</v>
      </c>
      <c r="B88" s="6"/>
      <c r="C88" s="7"/>
      <c r="D88" s="8"/>
      <c r="E88" s="9"/>
      <c r="F88" s="6"/>
      <c r="G88" s="7"/>
      <c r="H88" s="8"/>
      <c r="I88" s="9"/>
      <c r="J88" s="6"/>
      <c r="K88" s="7"/>
      <c r="L88" s="8"/>
      <c r="M88" s="9"/>
      <c r="N88" s="6"/>
      <c r="O88" s="7"/>
      <c r="P88" s="8"/>
      <c r="Q88" s="9"/>
      <c r="R88" s="6"/>
      <c r="S88" s="7"/>
      <c r="T88" s="8"/>
      <c r="U88" s="9"/>
      <c r="V88" s="6"/>
      <c r="W88" s="7"/>
      <c r="X88" s="8"/>
      <c r="Y88" s="9"/>
      <c r="Z88" s="6"/>
      <c r="AA88" s="7"/>
      <c r="AB88" s="8"/>
      <c r="AC88" s="9"/>
      <c r="AD88" s="6"/>
      <c r="AE88" s="7"/>
      <c r="AF88" s="8"/>
      <c r="AG88" s="9"/>
      <c r="AH88" s="6"/>
      <c r="AI88" s="7"/>
      <c r="AJ88" s="8"/>
      <c r="AK88" s="9"/>
      <c r="AL88" s="89" t="str">
        <f>IF(ISNUMBER(BurstIgor[[#This Row],[BurstNum_spont]]), IF(ISNUMBER(SpontLength_min), BurstIgor[[#This Row],[BurstNum_spont]]/SpontLength_min*60, "Enter Length"), "Enter Burst Vals")</f>
        <v>Enter Burst Vals</v>
      </c>
      <c r="AM8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8" s="93" t="str" cm="1">
        <f t="array" ref="AN88">IF(ISNUMBER(BurstIgor[[#This Row],[BurstNum_temp2]]), IF(ISNUMBER(Temp2_length), BurstIgor[[#This Row],[BurstNum_temp2]]/Temp2_length*60, "Enter Length"), "Enter Burst Vals")</f>
        <v>Enter Burst Vals</v>
      </c>
      <c r="AO88" s="94" t="str" cm="1">
        <f t="array" ref="AO88">IF(ISNUMBER(BurstIgor[[#This Row],[BurstNum_temp3]]), IF(ISNUMBER(Temp3_length), BurstIgor[[#This Row],[BurstNum_temp3]]/Temp3_length*60, "Enter Length"), "Enter Burst Vals")</f>
        <v>Enter Burst Vals</v>
      </c>
      <c r="AQ88" s="88">
        <v>0.86</v>
      </c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C88" s="88">
        <v>0.86</v>
      </c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O88" s="88">
        <v>0.86</v>
      </c>
      <c r="BP88" s="93"/>
      <c r="BQ88" s="93"/>
      <c r="BR88" s="93"/>
      <c r="BS88" s="93"/>
      <c r="BT88" s="93"/>
      <c r="BU88" s="93"/>
      <c r="BV88" s="93"/>
      <c r="BW88" s="93"/>
      <c r="BX88" s="93"/>
      <c r="BY88" s="93"/>
    </row>
    <row r="89" spans="1:77" x14ac:dyDescent="0.2">
      <c r="A89" s="88">
        <v>0.87</v>
      </c>
      <c r="B89" s="6"/>
      <c r="C89" s="7"/>
      <c r="D89" s="8"/>
      <c r="E89" s="9"/>
      <c r="F89" s="6"/>
      <c r="G89" s="7"/>
      <c r="H89" s="8"/>
      <c r="I89" s="9"/>
      <c r="J89" s="6"/>
      <c r="K89" s="7"/>
      <c r="L89" s="8"/>
      <c r="M89" s="9"/>
      <c r="N89" s="6"/>
      <c r="O89" s="7"/>
      <c r="P89" s="8"/>
      <c r="Q89" s="9"/>
      <c r="R89" s="6"/>
      <c r="S89" s="7"/>
      <c r="T89" s="8"/>
      <c r="U89" s="9"/>
      <c r="V89" s="6"/>
      <c r="W89" s="7"/>
      <c r="X89" s="8"/>
      <c r="Y89" s="9"/>
      <c r="Z89" s="6"/>
      <c r="AA89" s="7"/>
      <c r="AB89" s="8"/>
      <c r="AC89" s="9"/>
      <c r="AD89" s="6"/>
      <c r="AE89" s="7"/>
      <c r="AF89" s="8"/>
      <c r="AG89" s="9"/>
      <c r="AH89" s="6"/>
      <c r="AI89" s="7"/>
      <c r="AJ89" s="8"/>
      <c r="AK89" s="9"/>
      <c r="AL89" s="89" t="str">
        <f>IF(ISNUMBER(BurstIgor[[#This Row],[BurstNum_spont]]), IF(ISNUMBER(SpontLength_min), BurstIgor[[#This Row],[BurstNum_spont]]/SpontLength_min*60, "Enter Length"), "Enter Burst Vals")</f>
        <v>Enter Burst Vals</v>
      </c>
      <c r="AM8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89" s="93" t="str" cm="1">
        <f t="array" ref="AN89">IF(ISNUMBER(BurstIgor[[#This Row],[BurstNum_temp2]]), IF(ISNUMBER(Temp2_length), BurstIgor[[#This Row],[BurstNum_temp2]]/Temp2_length*60, "Enter Length"), "Enter Burst Vals")</f>
        <v>Enter Burst Vals</v>
      </c>
      <c r="AO89" s="94" t="str" cm="1">
        <f t="array" ref="AO89">IF(ISNUMBER(BurstIgor[[#This Row],[BurstNum_temp3]]), IF(ISNUMBER(Temp3_length), BurstIgor[[#This Row],[BurstNum_temp3]]/Temp3_length*60, "Enter Length"), "Enter Burst Vals")</f>
        <v>Enter Burst Vals</v>
      </c>
      <c r="AQ89" s="88">
        <v>0.87</v>
      </c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C89" s="88">
        <v>0.87</v>
      </c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O89" s="88">
        <v>0.87</v>
      </c>
      <c r="BP89" s="93"/>
      <c r="BQ89" s="93"/>
      <c r="BR89" s="93"/>
      <c r="BS89" s="93"/>
      <c r="BT89" s="93"/>
      <c r="BU89" s="93"/>
      <c r="BV89" s="93"/>
      <c r="BW89" s="93"/>
      <c r="BX89" s="93"/>
      <c r="BY89" s="93"/>
    </row>
    <row r="90" spans="1:77" x14ac:dyDescent="0.2">
      <c r="A90" s="88">
        <v>0.88</v>
      </c>
      <c r="B90" s="6"/>
      <c r="C90" s="7"/>
      <c r="D90" s="8"/>
      <c r="E90" s="9"/>
      <c r="F90" s="6"/>
      <c r="G90" s="7"/>
      <c r="H90" s="8"/>
      <c r="I90" s="9"/>
      <c r="J90" s="6"/>
      <c r="K90" s="7"/>
      <c r="L90" s="8"/>
      <c r="M90" s="9"/>
      <c r="N90" s="6"/>
      <c r="O90" s="7"/>
      <c r="P90" s="8"/>
      <c r="Q90" s="9"/>
      <c r="R90" s="6"/>
      <c r="S90" s="7"/>
      <c r="T90" s="8"/>
      <c r="U90" s="9"/>
      <c r="V90" s="6"/>
      <c r="W90" s="7"/>
      <c r="X90" s="8"/>
      <c r="Y90" s="9"/>
      <c r="Z90" s="6"/>
      <c r="AA90" s="7"/>
      <c r="AB90" s="8"/>
      <c r="AC90" s="9"/>
      <c r="AD90" s="6"/>
      <c r="AE90" s="7"/>
      <c r="AF90" s="8"/>
      <c r="AG90" s="9"/>
      <c r="AH90" s="6"/>
      <c r="AI90" s="7"/>
      <c r="AJ90" s="8"/>
      <c r="AK90" s="9"/>
      <c r="AL90" s="89" t="str">
        <f>IF(ISNUMBER(BurstIgor[[#This Row],[BurstNum_spont]]), IF(ISNUMBER(SpontLength_min), BurstIgor[[#This Row],[BurstNum_spont]]/SpontLength_min*60, "Enter Length"), "Enter Burst Vals")</f>
        <v>Enter Burst Vals</v>
      </c>
      <c r="AM9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0" s="93" t="str" cm="1">
        <f t="array" ref="AN90">IF(ISNUMBER(BurstIgor[[#This Row],[BurstNum_temp2]]), IF(ISNUMBER(Temp2_length), BurstIgor[[#This Row],[BurstNum_temp2]]/Temp2_length*60, "Enter Length"), "Enter Burst Vals")</f>
        <v>Enter Burst Vals</v>
      </c>
      <c r="AO90" s="94" t="str" cm="1">
        <f t="array" ref="AO90">IF(ISNUMBER(BurstIgor[[#This Row],[BurstNum_temp3]]), IF(ISNUMBER(Temp3_length), BurstIgor[[#This Row],[BurstNum_temp3]]/Temp3_length*60, "Enter Length"), "Enter Burst Vals")</f>
        <v>Enter Burst Vals</v>
      </c>
      <c r="AQ90" s="88">
        <v>0.88</v>
      </c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C90" s="88">
        <v>0.88</v>
      </c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O90" s="88">
        <v>0.88</v>
      </c>
      <c r="BP90" s="93"/>
      <c r="BQ90" s="93"/>
      <c r="BR90" s="93"/>
      <c r="BS90" s="93"/>
      <c r="BT90" s="93"/>
      <c r="BU90" s="93"/>
      <c r="BV90" s="93"/>
      <c r="BW90" s="93"/>
      <c r="BX90" s="93"/>
      <c r="BY90" s="93"/>
    </row>
    <row r="91" spans="1:77" x14ac:dyDescent="0.2">
      <c r="A91" s="88">
        <v>0.89</v>
      </c>
      <c r="B91" s="6"/>
      <c r="C91" s="7"/>
      <c r="D91" s="8"/>
      <c r="E91" s="9"/>
      <c r="F91" s="6"/>
      <c r="G91" s="7"/>
      <c r="H91" s="8"/>
      <c r="I91" s="9"/>
      <c r="J91" s="6"/>
      <c r="K91" s="7"/>
      <c r="L91" s="8"/>
      <c r="M91" s="9"/>
      <c r="N91" s="6"/>
      <c r="O91" s="7"/>
      <c r="P91" s="8"/>
      <c r="Q91" s="9"/>
      <c r="R91" s="6"/>
      <c r="S91" s="7"/>
      <c r="T91" s="8"/>
      <c r="U91" s="9"/>
      <c r="V91" s="6"/>
      <c r="W91" s="7"/>
      <c r="X91" s="8"/>
      <c r="Y91" s="9"/>
      <c r="Z91" s="6"/>
      <c r="AA91" s="7"/>
      <c r="AB91" s="8"/>
      <c r="AC91" s="9"/>
      <c r="AD91" s="6"/>
      <c r="AE91" s="7"/>
      <c r="AF91" s="8"/>
      <c r="AG91" s="9"/>
      <c r="AH91" s="6"/>
      <c r="AI91" s="7"/>
      <c r="AJ91" s="8"/>
      <c r="AK91" s="9"/>
      <c r="AL91" s="89" t="str">
        <f>IF(ISNUMBER(BurstIgor[[#This Row],[BurstNum_spont]]), IF(ISNUMBER(SpontLength_min), BurstIgor[[#This Row],[BurstNum_spont]]/SpontLength_min*60, "Enter Length"), "Enter Burst Vals")</f>
        <v>Enter Burst Vals</v>
      </c>
      <c r="AM9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1" s="93" t="str" cm="1">
        <f t="array" ref="AN91">IF(ISNUMBER(BurstIgor[[#This Row],[BurstNum_temp2]]), IF(ISNUMBER(Temp2_length), BurstIgor[[#This Row],[BurstNum_temp2]]/Temp2_length*60, "Enter Length"), "Enter Burst Vals")</f>
        <v>Enter Burst Vals</v>
      </c>
      <c r="AO91" s="94" t="str" cm="1">
        <f t="array" ref="AO91">IF(ISNUMBER(BurstIgor[[#This Row],[BurstNum_temp3]]), IF(ISNUMBER(Temp3_length), BurstIgor[[#This Row],[BurstNum_temp3]]/Temp3_length*60, "Enter Length"), "Enter Burst Vals")</f>
        <v>Enter Burst Vals</v>
      </c>
      <c r="AQ91" s="88">
        <v>0.89</v>
      </c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C91" s="88">
        <v>0.89</v>
      </c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O91" s="88">
        <v>0.89</v>
      </c>
      <c r="BP91" s="93"/>
      <c r="BQ91" s="93"/>
      <c r="BR91" s="93"/>
      <c r="BS91" s="93"/>
      <c r="BT91" s="93"/>
      <c r="BU91" s="93"/>
      <c r="BV91" s="93"/>
      <c r="BW91" s="93"/>
      <c r="BX91" s="93"/>
      <c r="BY91" s="93"/>
    </row>
    <row r="92" spans="1:77" x14ac:dyDescent="0.2">
      <c r="A92" s="88">
        <v>0.9</v>
      </c>
      <c r="B92" s="6"/>
      <c r="C92" s="7"/>
      <c r="D92" s="8"/>
      <c r="E92" s="9"/>
      <c r="F92" s="6"/>
      <c r="G92" s="7"/>
      <c r="H92" s="8"/>
      <c r="I92" s="9"/>
      <c r="J92" s="6"/>
      <c r="K92" s="7"/>
      <c r="L92" s="8"/>
      <c r="M92" s="9"/>
      <c r="N92" s="6"/>
      <c r="O92" s="7"/>
      <c r="P92" s="8"/>
      <c r="Q92" s="9"/>
      <c r="R92" s="6"/>
      <c r="S92" s="7"/>
      <c r="T92" s="8"/>
      <c r="U92" s="9"/>
      <c r="V92" s="6"/>
      <c r="W92" s="7"/>
      <c r="X92" s="8"/>
      <c r="Y92" s="9"/>
      <c r="Z92" s="6"/>
      <c r="AA92" s="7"/>
      <c r="AB92" s="8"/>
      <c r="AC92" s="9"/>
      <c r="AD92" s="6"/>
      <c r="AE92" s="7"/>
      <c r="AF92" s="8"/>
      <c r="AG92" s="9"/>
      <c r="AH92" s="6"/>
      <c r="AI92" s="7"/>
      <c r="AJ92" s="8"/>
      <c r="AK92" s="9"/>
      <c r="AL92" s="89" t="str">
        <f>IF(ISNUMBER(BurstIgor[[#This Row],[BurstNum_spont]]), IF(ISNUMBER(SpontLength_min), BurstIgor[[#This Row],[BurstNum_spont]]/SpontLength_min*60, "Enter Length"), "Enter Burst Vals")</f>
        <v>Enter Burst Vals</v>
      </c>
      <c r="AM9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2" s="93" t="str" cm="1">
        <f t="array" ref="AN92">IF(ISNUMBER(BurstIgor[[#This Row],[BurstNum_temp2]]), IF(ISNUMBER(Temp2_length), BurstIgor[[#This Row],[BurstNum_temp2]]/Temp2_length*60, "Enter Length"), "Enter Burst Vals")</f>
        <v>Enter Burst Vals</v>
      </c>
      <c r="AO92" s="94" t="str" cm="1">
        <f t="array" ref="AO92">IF(ISNUMBER(BurstIgor[[#This Row],[BurstNum_temp3]]), IF(ISNUMBER(Temp3_length), BurstIgor[[#This Row],[BurstNum_temp3]]/Temp3_length*60, "Enter Length"), "Enter Burst Vals")</f>
        <v>Enter Burst Vals</v>
      </c>
      <c r="AQ92" s="88">
        <v>0.9</v>
      </c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C92" s="88">
        <v>0.9</v>
      </c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O92" s="88">
        <v>0.9</v>
      </c>
      <c r="BP92" s="93"/>
      <c r="BQ92" s="93"/>
      <c r="BR92" s="93"/>
      <c r="BS92" s="93"/>
      <c r="BT92" s="93"/>
      <c r="BU92" s="93"/>
      <c r="BV92" s="93"/>
      <c r="BW92" s="93"/>
      <c r="BX92" s="93"/>
      <c r="BY92" s="93"/>
    </row>
    <row r="93" spans="1:77" x14ac:dyDescent="0.2">
      <c r="A93" s="88">
        <v>0.91</v>
      </c>
      <c r="B93" s="6"/>
      <c r="C93" s="7"/>
      <c r="D93" s="8"/>
      <c r="E93" s="9"/>
      <c r="F93" s="6"/>
      <c r="G93" s="7"/>
      <c r="H93" s="8"/>
      <c r="I93" s="9"/>
      <c r="J93" s="6"/>
      <c r="K93" s="7"/>
      <c r="L93" s="8"/>
      <c r="M93" s="9"/>
      <c r="N93" s="6"/>
      <c r="O93" s="7"/>
      <c r="P93" s="8"/>
      <c r="Q93" s="9"/>
      <c r="R93" s="6"/>
      <c r="S93" s="7"/>
      <c r="T93" s="8"/>
      <c r="U93" s="9"/>
      <c r="V93" s="6"/>
      <c r="W93" s="7"/>
      <c r="X93" s="8"/>
      <c r="Y93" s="9"/>
      <c r="Z93" s="6"/>
      <c r="AA93" s="7"/>
      <c r="AB93" s="8"/>
      <c r="AC93" s="9"/>
      <c r="AD93" s="6"/>
      <c r="AE93" s="7"/>
      <c r="AF93" s="8"/>
      <c r="AG93" s="9"/>
      <c r="AH93" s="6"/>
      <c r="AI93" s="7"/>
      <c r="AJ93" s="8"/>
      <c r="AK93" s="9"/>
      <c r="AL93" s="89" t="str">
        <f>IF(ISNUMBER(BurstIgor[[#This Row],[BurstNum_spont]]), IF(ISNUMBER(SpontLength_min), BurstIgor[[#This Row],[BurstNum_spont]]/SpontLength_min*60, "Enter Length"), "Enter Burst Vals")</f>
        <v>Enter Burst Vals</v>
      </c>
      <c r="AM93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3" s="93" t="str" cm="1">
        <f t="array" ref="AN93">IF(ISNUMBER(BurstIgor[[#This Row],[BurstNum_temp2]]), IF(ISNUMBER(Temp2_length), BurstIgor[[#This Row],[BurstNum_temp2]]/Temp2_length*60, "Enter Length"), "Enter Burst Vals")</f>
        <v>Enter Burst Vals</v>
      </c>
      <c r="AO93" s="94" t="str" cm="1">
        <f t="array" ref="AO93">IF(ISNUMBER(BurstIgor[[#This Row],[BurstNum_temp3]]), IF(ISNUMBER(Temp3_length), BurstIgor[[#This Row],[BurstNum_temp3]]/Temp3_length*60, "Enter Length"), "Enter Burst Vals")</f>
        <v>Enter Burst Vals</v>
      </c>
      <c r="AQ93" s="88">
        <v>0.91</v>
      </c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C93" s="88">
        <v>0.91</v>
      </c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O93" s="88">
        <v>0.91</v>
      </c>
      <c r="BP93" s="93"/>
      <c r="BQ93" s="93"/>
      <c r="BR93" s="93"/>
      <c r="BS93" s="93"/>
      <c r="BT93" s="93"/>
      <c r="BU93" s="93"/>
      <c r="BV93" s="93"/>
      <c r="BW93" s="93"/>
      <c r="BX93" s="93"/>
      <c r="BY93" s="93"/>
    </row>
    <row r="94" spans="1:77" x14ac:dyDescent="0.2">
      <c r="A94" s="88">
        <v>0.92</v>
      </c>
      <c r="B94" s="6"/>
      <c r="C94" s="7"/>
      <c r="D94" s="8"/>
      <c r="E94" s="9"/>
      <c r="F94" s="6"/>
      <c r="G94" s="7"/>
      <c r="H94" s="8"/>
      <c r="I94" s="9"/>
      <c r="J94" s="6"/>
      <c r="K94" s="7"/>
      <c r="L94" s="8"/>
      <c r="M94" s="9"/>
      <c r="N94" s="6"/>
      <c r="O94" s="7"/>
      <c r="P94" s="8"/>
      <c r="Q94" s="9"/>
      <c r="R94" s="6"/>
      <c r="S94" s="7"/>
      <c r="T94" s="8"/>
      <c r="U94" s="9"/>
      <c r="V94" s="6"/>
      <c r="W94" s="7"/>
      <c r="X94" s="8"/>
      <c r="Y94" s="9"/>
      <c r="Z94" s="6"/>
      <c r="AA94" s="7"/>
      <c r="AB94" s="8"/>
      <c r="AC94" s="9"/>
      <c r="AD94" s="6"/>
      <c r="AE94" s="7"/>
      <c r="AF94" s="8"/>
      <c r="AG94" s="9"/>
      <c r="AH94" s="6"/>
      <c r="AI94" s="7"/>
      <c r="AJ94" s="8"/>
      <c r="AK94" s="9"/>
      <c r="AL94" s="89" t="str">
        <f>IF(ISNUMBER(BurstIgor[[#This Row],[BurstNum_spont]]), IF(ISNUMBER(SpontLength_min), BurstIgor[[#This Row],[BurstNum_spont]]/SpontLength_min*60, "Enter Length"), "Enter Burst Vals")</f>
        <v>Enter Burst Vals</v>
      </c>
      <c r="AM94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4" s="93" t="str" cm="1">
        <f t="array" ref="AN94">IF(ISNUMBER(BurstIgor[[#This Row],[BurstNum_temp2]]), IF(ISNUMBER(Temp2_length), BurstIgor[[#This Row],[BurstNum_temp2]]/Temp2_length*60, "Enter Length"), "Enter Burst Vals")</f>
        <v>Enter Burst Vals</v>
      </c>
      <c r="AO94" s="94" t="str" cm="1">
        <f t="array" ref="AO94">IF(ISNUMBER(BurstIgor[[#This Row],[BurstNum_temp3]]), IF(ISNUMBER(Temp3_length), BurstIgor[[#This Row],[BurstNum_temp3]]/Temp3_length*60, "Enter Length"), "Enter Burst Vals")</f>
        <v>Enter Burst Vals</v>
      </c>
      <c r="AQ94" s="88">
        <v>0.92</v>
      </c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C94" s="88">
        <v>0.92</v>
      </c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O94" s="88">
        <v>0.92</v>
      </c>
      <c r="BP94" s="93"/>
      <c r="BQ94" s="93"/>
      <c r="BR94" s="93"/>
      <c r="BS94" s="93"/>
      <c r="BT94" s="93"/>
      <c r="BU94" s="93"/>
      <c r="BV94" s="93"/>
      <c r="BW94" s="93"/>
      <c r="BX94" s="93"/>
      <c r="BY94" s="93"/>
    </row>
    <row r="95" spans="1:77" x14ac:dyDescent="0.2">
      <c r="A95" s="88">
        <v>0.93</v>
      </c>
      <c r="B95" s="6"/>
      <c r="C95" s="7"/>
      <c r="D95" s="8"/>
      <c r="E95" s="9"/>
      <c r="F95" s="6"/>
      <c r="G95" s="7"/>
      <c r="H95" s="8"/>
      <c r="I95" s="9"/>
      <c r="J95" s="6"/>
      <c r="K95" s="7"/>
      <c r="L95" s="8"/>
      <c r="M95" s="9"/>
      <c r="N95" s="6"/>
      <c r="O95" s="7"/>
      <c r="P95" s="8"/>
      <c r="Q95" s="9"/>
      <c r="R95" s="6"/>
      <c r="S95" s="7"/>
      <c r="T95" s="8"/>
      <c r="U95" s="9"/>
      <c r="V95" s="6"/>
      <c r="W95" s="7"/>
      <c r="X95" s="8"/>
      <c r="Y95" s="9"/>
      <c r="Z95" s="6"/>
      <c r="AA95" s="7"/>
      <c r="AB95" s="8"/>
      <c r="AC95" s="9"/>
      <c r="AD95" s="6"/>
      <c r="AE95" s="7"/>
      <c r="AF95" s="8"/>
      <c r="AG95" s="9"/>
      <c r="AH95" s="6"/>
      <c r="AI95" s="7"/>
      <c r="AJ95" s="8"/>
      <c r="AK95" s="9"/>
      <c r="AL95" s="89" t="str">
        <f>IF(ISNUMBER(BurstIgor[[#This Row],[BurstNum_spont]]), IF(ISNUMBER(SpontLength_min), BurstIgor[[#This Row],[BurstNum_spont]]/SpontLength_min*60, "Enter Length"), "Enter Burst Vals")</f>
        <v>Enter Burst Vals</v>
      </c>
      <c r="AM95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5" s="93" t="str" cm="1">
        <f t="array" ref="AN95">IF(ISNUMBER(BurstIgor[[#This Row],[BurstNum_temp2]]), IF(ISNUMBER(Temp2_length), BurstIgor[[#This Row],[BurstNum_temp2]]/Temp2_length*60, "Enter Length"), "Enter Burst Vals")</f>
        <v>Enter Burst Vals</v>
      </c>
      <c r="AO95" s="94" t="str" cm="1">
        <f t="array" ref="AO95">IF(ISNUMBER(BurstIgor[[#This Row],[BurstNum_temp3]]), IF(ISNUMBER(Temp3_length), BurstIgor[[#This Row],[BurstNum_temp3]]/Temp3_length*60, "Enter Length"), "Enter Burst Vals")</f>
        <v>Enter Burst Vals</v>
      </c>
      <c r="AQ95" s="88">
        <v>0.93</v>
      </c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C95" s="88">
        <v>0.93</v>
      </c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O95" s="88">
        <v>0.93</v>
      </c>
      <c r="BP95" s="93"/>
      <c r="BQ95" s="93"/>
      <c r="BR95" s="93"/>
      <c r="BS95" s="93"/>
      <c r="BT95" s="93"/>
      <c r="BU95" s="93"/>
      <c r="BV95" s="93"/>
      <c r="BW95" s="93"/>
      <c r="BX95" s="93"/>
      <c r="BY95" s="93"/>
    </row>
    <row r="96" spans="1:77" x14ac:dyDescent="0.2">
      <c r="A96" s="88">
        <v>0.94</v>
      </c>
      <c r="B96" s="6"/>
      <c r="C96" s="7"/>
      <c r="D96" s="8"/>
      <c r="E96" s="9"/>
      <c r="F96" s="6"/>
      <c r="G96" s="7"/>
      <c r="H96" s="8"/>
      <c r="I96" s="9"/>
      <c r="J96" s="6"/>
      <c r="K96" s="7"/>
      <c r="L96" s="8"/>
      <c r="M96" s="9"/>
      <c r="N96" s="6"/>
      <c r="O96" s="7"/>
      <c r="P96" s="8"/>
      <c r="Q96" s="9"/>
      <c r="R96" s="6"/>
      <c r="S96" s="7"/>
      <c r="T96" s="8"/>
      <c r="U96" s="9"/>
      <c r="V96" s="6"/>
      <c r="W96" s="7"/>
      <c r="X96" s="8"/>
      <c r="Y96" s="9"/>
      <c r="Z96" s="6"/>
      <c r="AA96" s="7"/>
      <c r="AB96" s="8"/>
      <c r="AC96" s="9"/>
      <c r="AD96" s="6"/>
      <c r="AE96" s="7"/>
      <c r="AF96" s="8"/>
      <c r="AG96" s="9"/>
      <c r="AH96" s="6"/>
      <c r="AI96" s="7"/>
      <c r="AJ96" s="8"/>
      <c r="AK96" s="9"/>
      <c r="AL96" s="89" t="str">
        <f>IF(ISNUMBER(BurstIgor[[#This Row],[BurstNum_spont]]), IF(ISNUMBER(SpontLength_min), BurstIgor[[#This Row],[BurstNum_spont]]/SpontLength_min*60, "Enter Length"), "Enter Burst Vals")</f>
        <v>Enter Burst Vals</v>
      </c>
      <c r="AM96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6" s="93" t="str" cm="1">
        <f t="array" ref="AN96">IF(ISNUMBER(BurstIgor[[#This Row],[BurstNum_temp2]]), IF(ISNUMBER(Temp2_length), BurstIgor[[#This Row],[BurstNum_temp2]]/Temp2_length*60, "Enter Length"), "Enter Burst Vals")</f>
        <v>Enter Burst Vals</v>
      </c>
      <c r="AO96" s="94" t="str" cm="1">
        <f t="array" ref="AO96">IF(ISNUMBER(BurstIgor[[#This Row],[BurstNum_temp3]]), IF(ISNUMBER(Temp3_length), BurstIgor[[#This Row],[BurstNum_temp3]]/Temp3_length*60, "Enter Length"), "Enter Burst Vals")</f>
        <v>Enter Burst Vals</v>
      </c>
      <c r="AQ96" s="88">
        <v>0.94</v>
      </c>
      <c r="AR96" s="89"/>
      <c r="AS96" s="89"/>
      <c r="AT96" s="89"/>
      <c r="AU96" s="89"/>
      <c r="AV96" s="89"/>
      <c r="AW96" s="89"/>
      <c r="AX96" s="89"/>
      <c r="AY96" s="89"/>
      <c r="AZ96" s="89"/>
      <c r="BA96" s="89"/>
      <c r="BC96" s="88">
        <v>0.94</v>
      </c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O96" s="88">
        <v>0.94</v>
      </c>
      <c r="BP96" s="93"/>
      <c r="BQ96" s="93"/>
      <c r="BR96" s="93"/>
      <c r="BS96" s="93"/>
      <c r="BT96" s="93"/>
      <c r="BU96" s="93"/>
      <c r="BV96" s="93"/>
      <c r="BW96" s="93"/>
      <c r="BX96" s="93"/>
      <c r="BY96" s="93"/>
    </row>
    <row r="97" spans="1:87" x14ac:dyDescent="0.2">
      <c r="A97" s="88">
        <v>0.95</v>
      </c>
      <c r="B97" s="6"/>
      <c r="C97" s="7"/>
      <c r="D97" s="8"/>
      <c r="E97" s="9"/>
      <c r="F97" s="6"/>
      <c r="G97" s="7"/>
      <c r="H97" s="8"/>
      <c r="I97" s="9"/>
      <c r="J97" s="6"/>
      <c r="K97" s="7"/>
      <c r="L97" s="8"/>
      <c r="M97" s="9"/>
      <c r="N97" s="6"/>
      <c r="O97" s="7"/>
      <c r="P97" s="8"/>
      <c r="Q97" s="9"/>
      <c r="R97" s="6"/>
      <c r="S97" s="7"/>
      <c r="T97" s="8"/>
      <c r="U97" s="9"/>
      <c r="V97" s="6"/>
      <c r="W97" s="7"/>
      <c r="X97" s="8"/>
      <c r="Y97" s="9"/>
      <c r="Z97" s="6"/>
      <c r="AA97" s="7"/>
      <c r="AB97" s="8"/>
      <c r="AC97" s="9"/>
      <c r="AD97" s="6"/>
      <c r="AE97" s="7"/>
      <c r="AF97" s="8"/>
      <c r="AG97" s="9"/>
      <c r="AH97" s="6"/>
      <c r="AI97" s="7"/>
      <c r="AJ97" s="8"/>
      <c r="AK97" s="9"/>
      <c r="AL97" s="89" t="str">
        <f>IF(ISNUMBER(BurstIgor[[#This Row],[BurstNum_spont]]), IF(ISNUMBER(SpontLength_min), BurstIgor[[#This Row],[BurstNum_spont]]/SpontLength_min*60, "Enter Length"), "Enter Burst Vals")</f>
        <v>Enter Burst Vals</v>
      </c>
      <c r="AM97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7" s="93" t="str" cm="1">
        <f t="array" ref="AN97">IF(ISNUMBER(BurstIgor[[#This Row],[BurstNum_temp2]]), IF(ISNUMBER(Temp2_length), BurstIgor[[#This Row],[BurstNum_temp2]]/Temp2_length*60, "Enter Length"), "Enter Burst Vals")</f>
        <v>Enter Burst Vals</v>
      </c>
      <c r="AO97" s="94" t="str" cm="1">
        <f t="array" ref="AO97">IF(ISNUMBER(BurstIgor[[#This Row],[BurstNum_temp3]]), IF(ISNUMBER(Temp3_length), BurstIgor[[#This Row],[BurstNum_temp3]]/Temp3_length*60, "Enter Length"), "Enter Burst Vals")</f>
        <v>Enter Burst Vals</v>
      </c>
      <c r="AQ97" s="88">
        <v>0.95</v>
      </c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C97" s="88">
        <v>0.95</v>
      </c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O97" s="88">
        <v>0.95</v>
      </c>
      <c r="BP97" s="93"/>
      <c r="BQ97" s="93"/>
      <c r="BR97" s="93"/>
      <c r="BS97" s="93"/>
      <c r="BT97" s="93"/>
      <c r="BU97" s="93"/>
      <c r="BV97" s="93"/>
      <c r="BW97" s="93"/>
      <c r="BX97" s="93"/>
      <c r="BY97" s="93"/>
    </row>
    <row r="98" spans="1:87" x14ac:dyDescent="0.2">
      <c r="A98" s="88">
        <v>0.96</v>
      </c>
      <c r="B98" s="6"/>
      <c r="C98" s="7"/>
      <c r="D98" s="8"/>
      <c r="E98" s="9"/>
      <c r="F98" s="6"/>
      <c r="G98" s="7"/>
      <c r="H98" s="8"/>
      <c r="I98" s="9"/>
      <c r="J98" s="6"/>
      <c r="K98" s="7"/>
      <c r="L98" s="8"/>
      <c r="M98" s="9"/>
      <c r="N98" s="6"/>
      <c r="O98" s="7"/>
      <c r="P98" s="8"/>
      <c r="Q98" s="9"/>
      <c r="R98" s="6"/>
      <c r="S98" s="7"/>
      <c r="T98" s="8"/>
      <c r="U98" s="9"/>
      <c r="V98" s="6"/>
      <c r="W98" s="7"/>
      <c r="X98" s="8"/>
      <c r="Y98" s="9"/>
      <c r="Z98" s="6"/>
      <c r="AA98" s="7"/>
      <c r="AB98" s="8"/>
      <c r="AC98" s="9"/>
      <c r="AD98" s="6"/>
      <c r="AE98" s="7"/>
      <c r="AF98" s="8"/>
      <c r="AG98" s="9"/>
      <c r="AH98" s="6"/>
      <c r="AI98" s="7"/>
      <c r="AJ98" s="8"/>
      <c r="AK98" s="9"/>
      <c r="AL98" s="89" t="str">
        <f>IF(ISNUMBER(BurstIgor[[#This Row],[BurstNum_spont]]), IF(ISNUMBER(SpontLength_min), BurstIgor[[#This Row],[BurstNum_spont]]/SpontLength_min*60, "Enter Length"), "Enter Burst Vals")</f>
        <v>Enter Burst Vals</v>
      </c>
      <c r="AM98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8" s="93" t="str" cm="1">
        <f t="array" ref="AN98">IF(ISNUMBER(BurstIgor[[#This Row],[BurstNum_temp2]]), IF(ISNUMBER(Temp2_length), BurstIgor[[#This Row],[BurstNum_temp2]]/Temp2_length*60, "Enter Length"), "Enter Burst Vals")</f>
        <v>Enter Burst Vals</v>
      </c>
      <c r="AO98" s="94" t="str" cm="1">
        <f t="array" ref="AO98">IF(ISNUMBER(BurstIgor[[#This Row],[BurstNum_temp3]]), IF(ISNUMBER(Temp3_length), BurstIgor[[#This Row],[BurstNum_temp3]]/Temp3_length*60, "Enter Length"), "Enter Burst Vals")</f>
        <v>Enter Burst Vals</v>
      </c>
      <c r="AQ98" s="88">
        <v>0.96</v>
      </c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C98" s="88">
        <v>0.96</v>
      </c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O98" s="88">
        <v>0.96</v>
      </c>
      <c r="BP98" s="93"/>
      <c r="BQ98" s="93"/>
      <c r="BR98" s="93"/>
      <c r="BS98" s="93"/>
      <c r="BT98" s="93"/>
      <c r="BU98" s="93"/>
      <c r="BV98" s="93"/>
      <c r="BW98" s="93"/>
      <c r="BX98" s="93"/>
      <c r="BY98" s="93"/>
    </row>
    <row r="99" spans="1:87" x14ac:dyDescent="0.2">
      <c r="A99" s="88">
        <v>0.97</v>
      </c>
      <c r="B99" s="6"/>
      <c r="C99" s="7"/>
      <c r="D99" s="8"/>
      <c r="E99" s="9"/>
      <c r="F99" s="6"/>
      <c r="G99" s="7"/>
      <c r="H99" s="8"/>
      <c r="I99" s="9"/>
      <c r="J99" s="6"/>
      <c r="K99" s="7"/>
      <c r="L99" s="8"/>
      <c r="M99" s="9"/>
      <c r="N99" s="6"/>
      <c r="O99" s="7"/>
      <c r="P99" s="8"/>
      <c r="Q99" s="9"/>
      <c r="R99" s="6"/>
      <c r="S99" s="7"/>
      <c r="T99" s="8"/>
      <c r="U99" s="9"/>
      <c r="V99" s="6"/>
      <c r="W99" s="7"/>
      <c r="X99" s="8"/>
      <c r="Y99" s="9"/>
      <c r="Z99" s="6"/>
      <c r="AA99" s="7"/>
      <c r="AB99" s="8"/>
      <c r="AC99" s="9"/>
      <c r="AD99" s="6"/>
      <c r="AE99" s="7"/>
      <c r="AF99" s="8"/>
      <c r="AG99" s="9"/>
      <c r="AH99" s="6"/>
      <c r="AI99" s="7"/>
      <c r="AJ99" s="8"/>
      <c r="AK99" s="9"/>
      <c r="AL99" s="89" t="str">
        <f>IF(ISNUMBER(BurstIgor[[#This Row],[BurstNum_spont]]), IF(ISNUMBER(SpontLength_min), BurstIgor[[#This Row],[BurstNum_spont]]/SpontLength_min*60, "Enter Length"), "Enter Burst Vals")</f>
        <v>Enter Burst Vals</v>
      </c>
      <c r="AM99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99" s="93" t="str" cm="1">
        <f t="array" ref="AN99">IF(ISNUMBER(BurstIgor[[#This Row],[BurstNum_temp2]]), IF(ISNUMBER(Temp2_length), BurstIgor[[#This Row],[BurstNum_temp2]]/Temp2_length*60, "Enter Length"), "Enter Burst Vals")</f>
        <v>Enter Burst Vals</v>
      </c>
      <c r="AO99" s="94" t="str" cm="1">
        <f t="array" ref="AO99">IF(ISNUMBER(BurstIgor[[#This Row],[BurstNum_temp3]]), IF(ISNUMBER(Temp3_length), BurstIgor[[#This Row],[BurstNum_temp3]]/Temp3_length*60, "Enter Length"), "Enter Burst Vals")</f>
        <v>Enter Burst Vals</v>
      </c>
      <c r="AQ99" s="88">
        <v>0.97</v>
      </c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C99" s="88">
        <v>0.97</v>
      </c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O99" s="88">
        <v>0.97</v>
      </c>
      <c r="BP99" s="93"/>
      <c r="BQ99" s="93"/>
      <c r="BR99" s="93"/>
      <c r="BS99" s="93"/>
      <c r="BT99" s="93"/>
      <c r="BU99" s="93"/>
      <c r="BV99" s="93"/>
      <c r="BW99" s="93"/>
      <c r="BX99" s="93"/>
      <c r="BY99" s="93"/>
    </row>
    <row r="100" spans="1:87" x14ac:dyDescent="0.2">
      <c r="A100" s="88">
        <v>0.98</v>
      </c>
      <c r="B100" s="6"/>
      <c r="C100" s="7"/>
      <c r="D100" s="8"/>
      <c r="E100" s="9"/>
      <c r="F100" s="6"/>
      <c r="G100" s="7"/>
      <c r="H100" s="8"/>
      <c r="I100" s="9"/>
      <c r="J100" s="6"/>
      <c r="K100" s="7"/>
      <c r="L100" s="8"/>
      <c r="M100" s="9"/>
      <c r="N100" s="6"/>
      <c r="O100" s="7"/>
      <c r="P100" s="8"/>
      <c r="Q100" s="9"/>
      <c r="R100" s="6"/>
      <c r="S100" s="7"/>
      <c r="T100" s="8"/>
      <c r="U100" s="9"/>
      <c r="V100" s="6"/>
      <c r="W100" s="7"/>
      <c r="X100" s="8"/>
      <c r="Y100" s="9"/>
      <c r="Z100" s="6"/>
      <c r="AA100" s="7"/>
      <c r="AB100" s="8"/>
      <c r="AC100" s="9"/>
      <c r="AD100" s="6"/>
      <c r="AE100" s="7"/>
      <c r="AF100" s="8"/>
      <c r="AG100" s="9"/>
      <c r="AH100" s="6"/>
      <c r="AI100" s="7"/>
      <c r="AJ100" s="8"/>
      <c r="AK100" s="9"/>
      <c r="AL100" s="89" t="str">
        <f>IF(ISNUMBER(BurstIgor[[#This Row],[BurstNum_spont]]), IF(ISNUMBER(SpontLength_min), BurstIgor[[#This Row],[BurstNum_spont]]/SpontLength_min*60, "Enter Length"), "Enter Burst Vals")</f>
        <v>Enter Burst Vals</v>
      </c>
      <c r="AM100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00" s="93" t="str" cm="1">
        <f t="array" ref="AN100">IF(ISNUMBER(BurstIgor[[#This Row],[BurstNum_temp2]]), IF(ISNUMBER(Temp2_length), BurstIgor[[#This Row],[BurstNum_temp2]]/Temp2_length*60, "Enter Length"), "Enter Burst Vals")</f>
        <v>Enter Burst Vals</v>
      </c>
      <c r="AO100" s="94" t="str" cm="1">
        <f t="array" ref="AO100">IF(ISNUMBER(BurstIgor[[#This Row],[BurstNum_temp3]]), IF(ISNUMBER(Temp3_length), BurstIgor[[#This Row],[BurstNum_temp3]]/Temp3_length*60, "Enter Length"), "Enter Burst Vals")</f>
        <v>Enter Burst Vals</v>
      </c>
      <c r="AQ100" s="88">
        <v>0.98</v>
      </c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C100" s="88">
        <v>0.98</v>
      </c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O100" s="88">
        <v>0.98</v>
      </c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</row>
    <row r="101" spans="1:87" x14ac:dyDescent="0.2">
      <c r="A101" s="88">
        <v>0.99</v>
      </c>
      <c r="B101" s="6"/>
      <c r="C101" s="7"/>
      <c r="D101" s="8"/>
      <c r="E101" s="9"/>
      <c r="F101" s="6"/>
      <c r="G101" s="7"/>
      <c r="H101" s="8"/>
      <c r="I101" s="9"/>
      <c r="J101" s="6"/>
      <c r="K101" s="7"/>
      <c r="L101" s="8"/>
      <c r="M101" s="9"/>
      <c r="N101" s="6"/>
      <c r="O101" s="7"/>
      <c r="P101" s="8"/>
      <c r="Q101" s="9"/>
      <c r="R101" s="6"/>
      <c r="S101" s="7"/>
      <c r="T101" s="8"/>
      <c r="U101" s="9"/>
      <c r="V101" s="6"/>
      <c r="W101" s="7"/>
      <c r="X101" s="8"/>
      <c r="Y101" s="9"/>
      <c r="Z101" s="6"/>
      <c r="AA101" s="7"/>
      <c r="AB101" s="8"/>
      <c r="AC101" s="9"/>
      <c r="AD101" s="6"/>
      <c r="AE101" s="7"/>
      <c r="AF101" s="8"/>
      <c r="AG101" s="9"/>
      <c r="AH101" s="6"/>
      <c r="AI101" s="7"/>
      <c r="AJ101" s="8"/>
      <c r="AK101" s="9"/>
      <c r="AL101" s="89" t="str">
        <f>IF(ISNUMBER(BurstIgor[[#This Row],[BurstNum_spont]]), IF(ISNUMBER(SpontLength_min), BurstIgor[[#This Row],[BurstNum_spont]]/SpontLength_min*60, "Enter Length"), "Enter Burst Vals")</f>
        <v>Enter Burst Vals</v>
      </c>
      <c r="AM101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01" s="93" t="str" cm="1">
        <f t="array" ref="AN101">IF(ISNUMBER(BurstIgor[[#This Row],[BurstNum_temp2]]), IF(ISNUMBER(Temp2_length), BurstIgor[[#This Row],[BurstNum_temp2]]/Temp2_length*60, "Enter Length"), "Enter Burst Vals")</f>
        <v>Enter Burst Vals</v>
      </c>
      <c r="AO101" s="94" t="str" cm="1">
        <f t="array" ref="AO101">IF(ISNUMBER(BurstIgor[[#This Row],[BurstNum_temp3]]), IF(ISNUMBER(Temp3_length), BurstIgor[[#This Row],[BurstNum_temp3]]/Temp3_length*60, "Enter Length"), "Enter Burst Vals")</f>
        <v>Enter Burst Vals</v>
      </c>
      <c r="AQ101" s="88">
        <v>0.99</v>
      </c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C101" s="88">
        <v>0.99</v>
      </c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O101" s="88">
        <v>0.99</v>
      </c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</row>
    <row r="102" spans="1:87" x14ac:dyDescent="0.2">
      <c r="A102" s="88">
        <v>1</v>
      </c>
      <c r="B102" s="6"/>
      <c r="C102" s="7"/>
      <c r="D102" s="8"/>
      <c r="E102" s="9"/>
      <c r="F102" s="6"/>
      <c r="G102" s="7"/>
      <c r="H102" s="8"/>
      <c r="I102" s="9"/>
      <c r="J102" s="6"/>
      <c r="K102" s="7"/>
      <c r="L102" s="8"/>
      <c r="M102" s="9"/>
      <c r="N102" s="6"/>
      <c r="O102" s="7"/>
      <c r="P102" s="8"/>
      <c r="Q102" s="9"/>
      <c r="R102" s="6"/>
      <c r="S102" s="7"/>
      <c r="T102" s="8"/>
      <c r="U102" s="9"/>
      <c r="V102" s="6"/>
      <c r="W102" s="7"/>
      <c r="X102" s="8"/>
      <c r="Y102" s="9"/>
      <c r="Z102" s="6"/>
      <c r="AA102" s="7"/>
      <c r="AB102" s="8"/>
      <c r="AC102" s="9"/>
      <c r="AD102" s="6"/>
      <c r="AE102" s="7"/>
      <c r="AF102" s="8"/>
      <c r="AG102" s="9"/>
      <c r="AH102" s="6"/>
      <c r="AI102" s="7"/>
      <c r="AJ102" s="8"/>
      <c r="AK102" s="9"/>
      <c r="AL102" s="89" t="str">
        <f>IF(ISNUMBER(BurstIgor[[#This Row],[BurstNum_spont]]), IF(ISNUMBER(SpontLength_min), BurstIgor[[#This Row],[BurstNum_spont]]/SpontLength_min*60, "Enter Length"), "Enter Burst Vals")</f>
        <v>Enter Burst Vals</v>
      </c>
      <c r="AM102" s="92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02" s="93" t="str" cm="1">
        <f t="array" ref="AN102">IF(ISNUMBER(BurstIgor[[#This Row],[BurstNum_temp2]]), IF(ISNUMBER(Temp2_length), BurstIgor[[#This Row],[BurstNum_temp2]]/Temp2_length*60, "Enter Length"), "Enter Burst Vals")</f>
        <v>Enter Burst Vals</v>
      </c>
      <c r="AO102" s="94" t="str" cm="1">
        <f t="array" ref="AO102">IF(ISNUMBER(BurstIgor[[#This Row],[BurstNum_temp3]]), IF(ISNUMBER(Temp3_length), BurstIgor[[#This Row],[BurstNum_temp3]]/Temp3_length*60, "Enter Length"), "Enter Burst Vals")</f>
        <v>Enter Burst Vals</v>
      </c>
      <c r="AQ102" s="88">
        <v>1</v>
      </c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C102" s="88">
        <v>1</v>
      </c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O102" s="88">
        <v>1</v>
      </c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</row>
    <row r="103" spans="1:87" x14ac:dyDescent="0.2">
      <c r="A103" s="29"/>
      <c r="B103" s="29"/>
      <c r="C103" s="33"/>
      <c r="D103" s="31"/>
      <c r="E103" s="26"/>
      <c r="F103" s="29"/>
      <c r="G103" s="33"/>
      <c r="H103" s="31"/>
      <c r="I103" s="26"/>
      <c r="J103" s="29"/>
      <c r="K103" s="33"/>
      <c r="L103" s="31"/>
      <c r="M103" s="26"/>
      <c r="N103" s="29"/>
      <c r="O103" s="33"/>
      <c r="P103" s="31"/>
      <c r="Q103" s="26"/>
      <c r="R103" s="29"/>
      <c r="S103" s="33"/>
      <c r="T103" s="31"/>
      <c r="U103" s="26"/>
      <c r="V103" s="29"/>
      <c r="W103" s="33"/>
      <c r="X103" s="31"/>
      <c r="Y103" s="26"/>
      <c r="Z103" s="29"/>
      <c r="AA103" s="33"/>
      <c r="AB103" s="31"/>
      <c r="AC103" s="26"/>
      <c r="AD103" s="29"/>
      <c r="AE103" s="33"/>
      <c r="AF103" s="31"/>
      <c r="AG103" s="26"/>
      <c r="AH103" s="29"/>
      <c r="AI103" s="33"/>
      <c r="AJ103" s="31"/>
      <c r="AK103" s="26"/>
      <c r="AL103" s="130" t="str">
        <f>IF(ISNUMBER(BurstIgor[[#This Row],[BurstNum_spont]]), IF(ISNUMBER(SpontLength_min), BurstIgor[[#This Row],[BurstNum_spont]]/SpontLength_min*60, "Enter Length"), "Enter Burst Vals")</f>
        <v>Enter Burst Vals</v>
      </c>
      <c r="AM103" s="131" t="str">
        <f>IF(Senktide_analysis, IF(ISNUMBER(BurstIgor[[#This Row],[BurstNum_senktide]]), IF(ISNUMBER(Senktide_length), BurstIgor[[#This Row],[BurstNum_senktide]]/Senktide_length*60, "Enter Length"), "Enter Burst Vals"), "NA")</f>
        <v>NA</v>
      </c>
      <c r="AN103" s="132" t="str" cm="1">
        <f t="array" ref="AN103">IF(ISNUMBER(BurstIgor[[#This Row],[BurstNum_temp2]]), IF(ISNUMBER(Temp2_length), BurstIgor[[#This Row],[BurstNum_temp2]]/Temp2_length*60, "Enter Length"), "Enter Burst Vals")</f>
        <v>Enter Burst Vals</v>
      </c>
      <c r="AO103" s="133" t="str" cm="1">
        <f t="array" ref="AO103">IF(ISNUMBER(BurstIgor[[#This Row],[BurstNum_temp3]]), IF(ISNUMBER(Temp3_length), BurstIgor[[#This Row],[BurstNum_temp3]]/Temp3_length*60, "Enter Length"), "Enter Burst Vals")</f>
        <v>Enter Burst Vals</v>
      </c>
    </row>
    <row r="104" spans="1:87" x14ac:dyDescent="0.2">
      <c r="B104" s="2" t="s">
        <v>33</v>
      </c>
      <c r="C104" s="13" cm="1">
        <f t="array" aca="1" ref="C104" ca="1">AvgBurstWindow</f>
        <v>0.4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AR104" s="2"/>
      <c r="AS104" s="2"/>
      <c r="AT104" s="2"/>
      <c r="AU104" s="2"/>
      <c r="AV104" s="2"/>
      <c r="AW104" s="2"/>
      <c r="AX104" s="2"/>
      <c r="AY104" s="2"/>
      <c r="AZ104" s="13" t="s">
        <v>34</v>
      </c>
      <c r="BA104" s="13">
        <f>MAX(BA3:BA102)</f>
        <v>0</v>
      </c>
      <c r="BB104" s="2"/>
      <c r="BL104" s="13" t="s">
        <v>34</v>
      </c>
      <c r="BM104" s="13">
        <f>MAX(BM3:BM102)</f>
        <v>0</v>
      </c>
      <c r="BX104" s="13" t="s">
        <v>34</v>
      </c>
      <c r="BY104" s="13">
        <f>MAX(BY3:BY102)</f>
        <v>0</v>
      </c>
    </row>
    <row r="105" spans="1:87" x14ac:dyDescent="0.2">
      <c r="B105" s="2"/>
      <c r="C105" s="89" t="str">
        <f>BurstIgor[[#Headers],[BurstNum_spont]]</f>
        <v>BurstNum_spont</v>
      </c>
      <c r="D105" s="89" t="str">
        <f>BurstIgor[[#Headers],[Mbd_spont]]</f>
        <v>Mbd_spont</v>
      </c>
      <c r="E105" s="89" t="str">
        <f>BurstIgor[[#Headers],[SpikesPerBurst_spont]]</f>
        <v>SpikesPerBurst_spont</v>
      </c>
      <c r="F105" s="89" t="str">
        <f>BurstIgor[[#Headers],[BurstFreq_spont]]</f>
        <v>BurstFreq_spont</v>
      </c>
      <c r="G105" s="89" t="str">
        <f>BurstIgor[[#Headers],[SingleSpikeNum_spont]]</f>
        <v>SingleSpikeNum_spont</v>
      </c>
      <c r="H105" s="89" t="str">
        <f>BurstIgor[[#Headers],[SingleSpikeFreq_spont]]</f>
        <v>SingleSpikeFreq_spont</v>
      </c>
      <c r="I105" s="89" t="str">
        <f>BurstIgor[[#Headers],[TotalFreq_spont]]</f>
        <v>TotalFreq_spont</v>
      </c>
      <c r="J105" s="89" t="str">
        <f>BurstIgor[[#Headers],[InterBurst_spont]]</f>
        <v>InterBurst_spont</v>
      </c>
      <c r="K105" s="89" t="str">
        <f>BurstIgor[[#Headers],[IntraBurst_spont]]</f>
        <v>IntraBurst_spont</v>
      </c>
      <c r="L105" s="89" t="str">
        <f>BurstIgor[[#Headers],[BurstsPerHour_spont]]</f>
        <v>BurstsPerHour_spont</v>
      </c>
      <c r="M105" s="14" t="s">
        <v>152</v>
      </c>
      <c r="O105" s="90" t="str">
        <f>BurstIgor[[#Headers],[BurstNum_senktide]]</f>
        <v>BurstNum_senktide</v>
      </c>
      <c r="P105" s="90" t="str">
        <f>BurstIgor[[#Headers],[Mbd_senktide]]</f>
        <v>Mbd_senktide</v>
      </c>
      <c r="Q105" s="90" t="str">
        <f>BurstIgor[[#Headers],[SpikesPerBurst_senktide]]</f>
        <v>SpikesPerBurst_senktide</v>
      </c>
      <c r="R105" s="90" t="str">
        <f>BurstIgor[[#Headers],[BurstFreq_senktide]]</f>
        <v>BurstFreq_senktide</v>
      </c>
      <c r="S105" s="90" t="str">
        <f>BurstIgor[[#Headers],[SingleSpikeNum_senktide]]</f>
        <v>SingleSpikeNum_senktide</v>
      </c>
      <c r="T105" s="90" t="str">
        <f>BurstIgor[[#Headers],[SingleSpikeFreq_senktide]]</f>
        <v>SingleSpikeFreq_senktide</v>
      </c>
      <c r="U105" s="90" t="str">
        <f>BurstIgor[[#Headers],[TotalFreq_senktide]]</f>
        <v>TotalFreq_senktide</v>
      </c>
      <c r="V105" s="90" t="str">
        <f>BurstIgor[[#Headers],[InterBurst_senktide]]</f>
        <v>InterBurst_senktide</v>
      </c>
      <c r="W105" s="90" t="str">
        <f>BurstIgor[[#Headers],[IntraBurst_senktide]]</f>
        <v>IntraBurst_senktide</v>
      </c>
      <c r="X105" s="90" t="str">
        <f>BurstIgor[[#Headers],[BurstsPerHour_senktide]]</f>
        <v>BurstsPerHour_senktide</v>
      </c>
      <c r="Y105" s="15" t="s">
        <v>227</v>
      </c>
      <c r="AA105" s="91" t="str">
        <f>BurstIgor[[#Headers],[BurstNum_temp2]]</f>
        <v>BurstNum_temp2</v>
      </c>
      <c r="AB105" s="91" t="str">
        <f>BurstIgor[[#Headers],[Mbd_temp2]]</f>
        <v>Mbd_temp2</v>
      </c>
      <c r="AC105" s="91" t="str">
        <f>BurstIgor[[#Headers],[SpikesPerBurst_senktide]]</f>
        <v>SpikesPerBurst_senktide</v>
      </c>
      <c r="AD105" s="91" t="str">
        <f>BurstIgor[[#Headers],[BurstFreq_temp2]]</f>
        <v>BurstFreq_temp2</v>
      </c>
      <c r="AE105" s="91" t="str">
        <f>BurstIgor[[#Headers],[SingleSpikeNum_temp2]]</f>
        <v>SingleSpikeNum_temp2</v>
      </c>
      <c r="AF105" s="91" t="str">
        <f>BurstIgor[[#Headers],[SingleSpikeFreq_temp2]]</f>
        <v>SingleSpikeFreq_temp2</v>
      </c>
      <c r="AG105" s="91" t="str">
        <f>BurstIgor[[#Headers],[TotalFreq_temp2]]</f>
        <v>TotalFreq_temp2</v>
      </c>
      <c r="AH105" s="91" t="str">
        <f>BurstIgor[[#Headers],[InterBurst_temp2]]</f>
        <v>InterBurst_temp2</v>
      </c>
      <c r="AI105" s="91" t="str">
        <f>BurstIgor[[#Headers],[IntraBurst_temp2]]</f>
        <v>IntraBurst_temp2</v>
      </c>
      <c r="AJ105" s="91" t="str">
        <f>BurstIgor[[#Headers],[BurstsPerHour_temp2]]</f>
        <v>BurstsPerHour_temp2</v>
      </c>
      <c r="AK105" s="93" t="s">
        <v>35</v>
      </c>
    </row>
    <row r="106" spans="1:87" x14ac:dyDescent="0.2">
      <c r="B106" s="2" t="s">
        <v>343</v>
      </c>
      <c r="C106" s="16" cm="1">
        <f t="array" aca="1" ref="C106" ca="1">_xlfn.XLOOKUP(AvgBurstWindow, BurstIgor[BurstWindow], BurstIgor[BurstNum_spont], "NA")</f>
        <v>0</v>
      </c>
      <c r="D106" s="16" cm="1">
        <f t="array" aca="1" ref="D106" ca="1">_xlfn.XLOOKUP(AvgBurstWindow, BurstIgor[BurstWindow], BurstIgor[Mbd_spont], "NA")</f>
        <v>0</v>
      </c>
      <c r="E106" s="16" cm="1">
        <f t="array" aca="1" ref="E106" ca="1">_xlfn.XLOOKUP(AvgBurstWindow, BurstIgor[BurstWindow], BurstIgor[SpikesPerBurst_spont], "NA")</f>
        <v>0</v>
      </c>
      <c r="F106" s="16" cm="1">
        <f t="array" aca="1" ref="F106" ca="1">_xlfn.XLOOKUP(AvgBurstWindow, BurstIgor[BurstWindow], BurstIgor[BurstFreq_spont], "NA")</f>
        <v>0</v>
      </c>
      <c r="G106" s="16" cm="1">
        <f t="array" aca="1" ref="G106" ca="1">_xlfn.XLOOKUP(AvgBurstWindow, BurstIgor[BurstWindow], BurstIgor[SingleSpikeNum_spont], "NA")</f>
        <v>0</v>
      </c>
      <c r="H106" s="16" cm="1">
        <f t="array" aca="1" ref="H106" ca="1">_xlfn.XLOOKUP(AvgBurstWindow, BurstIgor[BurstWindow], BurstIgor[SingleSpikeFreq_spont], "NA")</f>
        <v>0</v>
      </c>
      <c r="I106" s="16" cm="1">
        <f t="array" aca="1" ref="I106" ca="1">_xlfn.XLOOKUP(AvgBurstWindow, BurstIgor[BurstWindow], BurstIgor[TotalFreq_spont], "NA")</f>
        <v>0</v>
      </c>
      <c r="J106" s="16" cm="1">
        <f t="array" aca="1" ref="J106" ca="1">_xlfn.XLOOKUP(AvgBurstWindow, BurstIgor[BurstWindow], BurstIgor[InterBurst_spont], "NA")</f>
        <v>0</v>
      </c>
      <c r="K106" s="16" cm="1">
        <f t="array" aca="1" ref="K106" ca="1">_xlfn.XLOOKUP(AvgBurstWindow, BurstIgor[BurstWindow], BurstIgor[IntraBurst_spont], "NA")</f>
        <v>0</v>
      </c>
      <c r="L106" s="16" t="str" cm="1">
        <f t="array" aca="1" ref="L106" ca="1">_xlfn.XLOOKUP(AvgBurstWindow, BurstIgor[BurstWindow], BurstIgor[BurstsPerHour_spont], "NA")</f>
        <v>Enter Burst Vals</v>
      </c>
      <c r="M106" s="16" t="str">
        <f>IF(MAX(BurstIgor[BurstsPerHour_spont])&gt;0, _xlfn.XLOOKUP(MAX(BurstIgor[BurstsPerHour_spont]), BurstIgor[BurstsPerHour_spont], BurstIgor[BurstWindow], "NA"), "NA")</f>
        <v>NA</v>
      </c>
      <c r="O106" s="16" t="str" cm="1">
        <f t="array" ref="O106">IF(Senktide_analysis, _xlfn.XLOOKUP(AvgBurstWindow, BurstIgor[BurstWindow], BurstIgor[BurstNum_senktide], "NA"), "NA")</f>
        <v>NA</v>
      </c>
      <c r="P106" s="16" t="str" cm="1">
        <f t="array" ref="P106">IF(Senktide_analysis, _xlfn.XLOOKUP(AvgBurstWindow, BurstIgor[BurstWindow], BurstIgor[Mbd_senktide], "NA"), "NA")</f>
        <v>NA</v>
      </c>
      <c r="Q106" s="16" t="str" cm="1">
        <f t="array" ref="Q106">IF(Senktide_analysis, _xlfn.XLOOKUP(AvgBurstWindow, BurstIgor[BurstWindow], BurstIgor[SpikesPerBurst_senktide], "NA"), "NA")</f>
        <v>NA</v>
      </c>
      <c r="R106" s="16" t="str" cm="1">
        <f t="array" ref="R106">IF(Senktide_analysis, _xlfn.XLOOKUP(AvgBurstWindow, BurstIgor[BurstWindow], BurstIgor[BurstFreq_senktide], "NA"), "NA")</f>
        <v>NA</v>
      </c>
      <c r="S106" s="16" t="str" cm="1">
        <f t="array" ref="S106">IF(Senktide_analysis, _xlfn.XLOOKUP(AvgBurstWindow, BurstIgor[BurstWindow], BurstIgor[SingleSpikeNum_senktide], "NA"), "NA")</f>
        <v>NA</v>
      </c>
      <c r="T106" s="16" t="str" cm="1">
        <f t="array" ref="T106">IF(Senktide_analysis, _xlfn.XLOOKUP(AvgBurstWindow, BurstIgor[BurstWindow], BurstIgor[SingleSpikeFreq_senktide], "NA"), "NA")</f>
        <v>NA</v>
      </c>
      <c r="U106" s="16" t="str" cm="1">
        <f t="array" ref="U106">IF(Senktide_analysis, _xlfn.XLOOKUP(AvgBurstWindow, BurstIgor[BurstWindow], BurstIgor[TotalFreq_senktide], "NA"), "NA")</f>
        <v>NA</v>
      </c>
      <c r="V106" s="16" t="str" cm="1">
        <f t="array" ref="V106">IF(Senktide_analysis, _xlfn.XLOOKUP(AvgBurstWindow, BurstIgor[BurstWindow], BurstIgor[InterBurst_senktide], "NA"), "NA")</f>
        <v>NA</v>
      </c>
      <c r="W106" s="16" t="str" cm="1">
        <f t="array" ref="W106">IF(Senktide_analysis, _xlfn.XLOOKUP(AvgBurstWindow, BurstIgor[BurstWindow], BurstIgor[IntraBurst_senktide], "NA"), "NA")</f>
        <v>NA</v>
      </c>
      <c r="X106" s="16" t="str" cm="1">
        <f t="array" ref="X106">IF(Senktide_analysis, _xlfn.XLOOKUP(AvgBurstWindow, BurstIgor[BurstWindow], BurstIgor[BurstsPerHour_senktide], "NA"), "NA")</f>
        <v>NA</v>
      </c>
      <c r="Y106" s="16" t="str">
        <f>IF(Senktide_analysis, IF(MAX(BurstIgor[BurstsPerHour_senktide])&gt;0, _xlfn.XLOOKUP(MAX(BurstIgor[BurstsPerHour_senktide]), BurstIgor[BurstsPerHour_senktide], BurstIgor[BurstWindow], "NA"), "NA"), "NA")</f>
        <v>NA</v>
      </c>
      <c r="AA106" s="16" cm="1">
        <f t="array" aca="1" ref="AA106" ca="1">_xlfn.XLOOKUP(AvgBurstWindow, BurstIgor[BurstWindow], BurstIgor[BurstNum_temp2], "NA")</f>
        <v>0</v>
      </c>
      <c r="AB106" s="16" cm="1">
        <f t="array" aca="1" ref="AB106" ca="1">_xlfn.XLOOKUP(AvgBurstWindow, BurstIgor[BurstWindow], BurstIgor[Mbd_temp2], "NA")</f>
        <v>0</v>
      </c>
      <c r="AC106" s="16" cm="1">
        <f t="array" aca="1" ref="AC106" ca="1">_xlfn.XLOOKUP(AvgBurstWindow, BurstIgor[BurstWindow], BurstIgor[SpikesPerBurst_temp2], "NA")</f>
        <v>0</v>
      </c>
      <c r="AD106" s="16" cm="1">
        <f t="array" aca="1" ref="AD106" ca="1">_xlfn.XLOOKUP(AvgBurstWindow, BurstIgor[BurstWindow], BurstIgor[BurstFreq_temp2], "NA")</f>
        <v>0</v>
      </c>
      <c r="AE106" s="16" cm="1">
        <f t="array" aca="1" ref="AE106" ca="1">_xlfn.XLOOKUP(AvgBurstWindow, BurstIgor[BurstWindow], BurstIgor[SingleSpikeNum_temp2], "NA")</f>
        <v>0</v>
      </c>
      <c r="AF106" s="16" cm="1">
        <f t="array" aca="1" ref="AF106" ca="1">_xlfn.XLOOKUP(AvgBurstWindow, BurstIgor[BurstWindow], BurstIgor[SingleSpikeFreq_temp2], "NA")</f>
        <v>0</v>
      </c>
      <c r="AG106" s="16" cm="1">
        <f t="array" aca="1" ref="AG106" ca="1">_xlfn.XLOOKUP(AvgBurstWindow, BurstIgor[BurstWindow], BurstIgor[TotalFreq_temp2], "NA")</f>
        <v>0</v>
      </c>
      <c r="AH106" s="16" cm="1">
        <f t="array" aca="1" ref="AH106" ca="1">_xlfn.XLOOKUP(AvgBurstWindow, BurstIgor[BurstWindow], BurstIgor[InterBurst_temp2], "NA")</f>
        <v>0</v>
      </c>
      <c r="AI106" s="16" cm="1">
        <f t="array" aca="1" ref="AI106" ca="1">_xlfn.XLOOKUP(AvgBurstWindow, BurstIgor[BurstWindow], BurstIgor[IntraBurst_temp2], "NA")</f>
        <v>0</v>
      </c>
      <c r="AJ106" s="16" t="str" cm="1">
        <f t="array" aca="1" ref="AJ106" ca="1">_xlfn.XLOOKUP(AvgBurstWindow, BurstIgor[BurstWindow], BurstIgor[BurstsPerHour_temp2], "NA")</f>
        <v>Enter Burst Vals</v>
      </c>
      <c r="AK106" s="16" t="str">
        <f>IF(MAX(BurstIgor[BurstsPerHour_temp2])&gt;0, _xlfn.XLOOKUP(MAX(BurstIgor[BurstsPerHour_temp2]), BurstIgor[BurstsPerHour_temp2], BurstIgor[BurstWindow], "NA"), "NA")</f>
        <v>NA</v>
      </c>
    </row>
    <row r="107" spans="1:87" x14ac:dyDescent="0.2">
      <c r="B107" s="141" t="s">
        <v>344</v>
      </c>
      <c r="C107" s="16">
        <f>_xlfn.XLOOKUP(SelectedBW_1, BurstIgor[BurstWindow], BurstIgor[BurstNum_spont], "NA")</f>
        <v>0</v>
      </c>
      <c r="D107" s="16">
        <f>_xlfn.XLOOKUP(SelectedBW_1, BurstIgor[BurstWindow], BurstIgor[Mbd_spont], "NA")</f>
        <v>0</v>
      </c>
      <c r="E107" s="16">
        <f>_xlfn.XLOOKUP(SelectedBW_1, BurstIgor[BurstWindow], BurstIgor[SpikesPerBurst_spont], "NA")</f>
        <v>0</v>
      </c>
      <c r="F107" s="16">
        <f>_xlfn.XLOOKUP(SelectedBW_1, BurstIgor[BurstWindow], BurstIgor[BurstFreq_spont], "NA")</f>
        <v>0</v>
      </c>
      <c r="G107" s="16">
        <f>_xlfn.XLOOKUP(SelectedBW_1, BurstIgor[BurstWindow], BurstIgor[SingleSpikeNum_spont], "NA")</f>
        <v>0</v>
      </c>
      <c r="H107" s="16">
        <f>_xlfn.XLOOKUP(SelectedBW_1, BurstIgor[BurstWindow], BurstIgor[SingleSpikeFreq_spont], "NA")</f>
        <v>0</v>
      </c>
      <c r="I107" s="16">
        <f>_xlfn.XLOOKUP(SelectedBW_1, BurstIgor[BurstWindow], BurstIgor[TotalFreq_spont], "NA")</f>
        <v>0</v>
      </c>
      <c r="J107" s="16">
        <f>_xlfn.XLOOKUP(SelectedBW_1, BurstIgor[BurstWindow], BurstIgor[InterBurst_spont], "NA")</f>
        <v>0</v>
      </c>
      <c r="K107" s="16">
        <f>_xlfn.XLOOKUP(SelectedBW_1, BurstIgor[BurstWindow], BurstIgor[IntraBurst_spont], "NA")</f>
        <v>0</v>
      </c>
      <c r="L107" s="16" t="str">
        <f>_xlfn.XLOOKUP(SelectedBW_1, BurstIgor[BurstWindow], BurstIgor[BurstsPerHour_spont], "NA")</f>
        <v>Enter Burst Vals</v>
      </c>
      <c r="M107" s="16" t="str">
        <f>IF(MAX(BurstIgor[BurstsPerHour_spont])&gt;0, _xlfn.XLOOKUP(MAX(BurstIgor[BurstsPerHour_spont]), BurstIgor[BurstsPerHour_spont], BurstIgor[BurstWindow], "NA"), "NA")</f>
        <v>NA</v>
      </c>
      <c r="X107" s="2"/>
      <c r="AJ107" s="2"/>
    </row>
    <row r="108" spans="1:87" x14ac:dyDescent="0.2">
      <c r="B108" s="141" t="s">
        <v>345</v>
      </c>
      <c r="C108" s="16">
        <f>_xlfn.XLOOKUP(SelectedBW_2, BurstIgor[BurstWindow], BurstIgor[BurstNum_spont], "NA")</f>
        <v>0</v>
      </c>
      <c r="D108" s="16">
        <f>_xlfn.XLOOKUP(SelectedBW_2, BurstIgor[BurstWindow], BurstIgor[Mbd_spont], "NA")</f>
        <v>0</v>
      </c>
      <c r="E108" s="16">
        <f>_xlfn.XLOOKUP(SelectedBW_2, BurstIgor[BurstWindow], BurstIgor[SpikesPerBurst_spont], "NA")</f>
        <v>0</v>
      </c>
      <c r="F108" s="16">
        <f>_xlfn.XLOOKUP(SelectedBW_2, BurstIgor[BurstWindow], BurstIgor[BurstFreq_spont], "NA")</f>
        <v>0</v>
      </c>
      <c r="G108" s="16">
        <f>_xlfn.XLOOKUP(SelectedBW_2, BurstIgor[BurstWindow], BurstIgor[SingleSpikeNum_spont], "NA")</f>
        <v>0</v>
      </c>
      <c r="H108" s="16">
        <f>_xlfn.XLOOKUP(SelectedBW_2, BurstIgor[BurstWindow], BurstIgor[SingleSpikeFreq_spont], "NA")</f>
        <v>0</v>
      </c>
      <c r="I108" s="16">
        <f>_xlfn.XLOOKUP(SelectedBW_2, BurstIgor[BurstWindow], BurstIgor[TotalFreq_spont], "NA")</f>
        <v>0</v>
      </c>
      <c r="J108" s="16">
        <f>_xlfn.XLOOKUP(SelectedBW_2, BurstIgor[BurstWindow], BurstIgor[InterBurst_spont], "NA")</f>
        <v>0</v>
      </c>
      <c r="K108" s="16">
        <f>_xlfn.XLOOKUP(SelectedBW_2, BurstIgor[BurstWindow], BurstIgor[IntraBurst_spont], "NA")</f>
        <v>0</v>
      </c>
      <c r="L108" s="16" t="str">
        <f>_xlfn.XLOOKUP(SelectedBW_2, BurstIgor[BurstWindow], BurstIgor[BurstsPerHour_spont], "NA")</f>
        <v>Enter Burst Vals</v>
      </c>
      <c r="M108" s="16" t="str">
        <f>IF(MAX(BurstIgor[BurstsPerHour_spont])&gt;0, _xlfn.XLOOKUP(MAX(BurstIgor[BurstsPerHour_spont]), BurstIgor[BurstsPerHour_spont], BurstIgor[BurstWindow], "NA"), "NA")</f>
        <v>NA</v>
      </c>
    </row>
    <row r="109" spans="1:87" ht="31" x14ac:dyDescent="0.35">
      <c r="CA109" s="17"/>
      <c r="CB109" s="17"/>
      <c r="CC109" s="17"/>
      <c r="CD109" s="17"/>
      <c r="CE109" s="17"/>
      <c r="CF109" s="2"/>
      <c r="CG109" s="2"/>
      <c r="CH109" s="2"/>
      <c r="CI109" s="2"/>
    </row>
    <row r="110" spans="1:87" ht="92" x14ac:dyDescent="1">
      <c r="B110" s="165" t="s">
        <v>37</v>
      </c>
      <c r="C110" s="165"/>
      <c r="D110" s="165"/>
      <c r="E110" s="165"/>
      <c r="F110" s="165"/>
      <c r="G110" s="165"/>
      <c r="H110" s="165"/>
      <c r="I110" s="2"/>
      <c r="J110" s="2"/>
      <c r="K110" s="2"/>
      <c r="L110" s="2"/>
      <c r="M110" s="2"/>
      <c r="N110" s="2"/>
      <c r="O110" s="2"/>
      <c r="P110" s="2"/>
      <c r="W110" s="165" t="s">
        <v>38</v>
      </c>
      <c r="X110" s="165"/>
      <c r="Y110" s="165"/>
      <c r="Z110" s="165"/>
      <c r="AA110" s="165"/>
      <c r="AB110" s="165"/>
      <c r="AC110" s="165"/>
      <c r="AD110" s="2"/>
      <c r="AE110" s="95"/>
      <c r="AF110" s="95"/>
      <c r="AG110" s="95"/>
      <c r="AH110" s="95"/>
      <c r="CH110" s="2"/>
      <c r="CI110" s="2"/>
    </row>
    <row r="111" spans="1:87" x14ac:dyDescent="0.2">
      <c r="B111" s="88" t="s">
        <v>40</v>
      </c>
      <c r="C111" s="88" t="s">
        <v>41</v>
      </c>
      <c r="D111" s="88" t="s">
        <v>42</v>
      </c>
      <c r="E111" s="88" t="s">
        <v>43</v>
      </c>
      <c r="F111" s="88" t="s">
        <v>44</v>
      </c>
      <c r="G111" s="88" t="s">
        <v>45</v>
      </c>
      <c r="H111" s="88" t="s">
        <v>46</v>
      </c>
      <c r="I111" s="88" t="s">
        <v>47</v>
      </c>
      <c r="J111" s="88" t="s">
        <v>48</v>
      </c>
      <c r="K111" s="88" t="s">
        <v>49</v>
      </c>
      <c r="L111" s="88" t="s">
        <v>50</v>
      </c>
      <c r="N111" s="88" t="s">
        <v>51</v>
      </c>
      <c r="O111" s="88" t="s">
        <v>52</v>
      </c>
      <c r="P111" s="88" t="s">
        <v>53</v>
      </c>
      <c r="Q111" s="88" t="s">
        <v>54</v>
      </c>
      <c r="R111" s="88" t="s">
        <v>55</v>
      </c>
      <c r="S111" s="88" t="s">
        <v>56</v>
      </c>
      <c r="T111" s="88" t="s">
        <v>57</v>
      </c>
      <c r="W111" s="88" t="s">
        <v>42</v>
      </c>
      <c r="X111" s="88" t="s">
        <v>43</v>
      </c>
      <c r="Y111" s="88" t="s">
        <v>44</v>
      </c>
      <c r="Z111" s="88" t="s">
        <v>45</v>
      </c>
      <c r="AA111" s="88" t="s">
        <v>47</v>
      </c>
      <c r="AB111" s="88" t="s">
        <v>58</v>
      </c>
      <c r="AC111" s="88" t="s">
        <v>59</v>
      </c>
      <c r="AD111" s="88" t="s">
        <v>60</v>
      </c>
      <c r="AE111" s="88" t="s">
        <v>61</v>
      </c>
      <c r="AF111" s="88" t="s">
        <v>62</v>
      </c>
      <c r="AG111" s="88" t="s">
        <v>63</v>
      </c>
      <c r="AI111" s="88" t="s">
        <v>64</v>
      </c>
    </row>
    <row r="112" spans="1:87" ht="47" x14ac:dyDescent="0.55000000000000004">
      <c r="B112" s="88">
        <f>FirstSeries</f>
        <v>0</v>
      </c>
      <c r="C112" s="88">
        <v>0</v>
      </c>
      <c r="D112" s="96">
        <f>F112/60</f>
        <v>0</v>
      </c>
      <c r="E112" s="96">
        <f>IF(BinSize_sec &gt; 0, IF(F112 +BinSize_sec &gt;TotalLength_sec, "Greater than Total Length", G112/60), "No bin size")</f>
        <v>1</v>
      </c>
      <c r="F112" s="97">
        <v>0</v>
      </c>
      <c r="G112" s="97">
        <f>IF(BinSize_sec&gt; 0, IF(F112 + BinSize_sec &gt; TotalLength_sec, "Greater than Total Length", F112 + BinSize_sec), "No bin size")</f>
        <v>60</v>
      </c>
      <c r="H112" s="98"/>
      <c r="I112" s="99"/>
      <c r="J112" s="88" t="str">
        <f>IF(ISBLANK(FiringRate[[#This Row],[Event/bin]]), " ", FiringRate[[#This Row],[Event/bin]]/BinSize_sec)</f>
        <v xml:space="preserve"> </v>
      </c>
      <c r="K112" s="100" t="str">
        <f>IF(ISBLANK(FiringRate[[#This Row],[Conc events/bin]]), " ", FiringRate[[#This Row],[Conc events/bin]]/BinSize_sec)</f>
        <v xml:space="preserve"> </v>
      </c>
      <c r="N112" s="101"/>
      <c r="O112" s="101"/>
      <c r="P112" s="101">
        <v>10</v>
      </c>
      <c r="Q112" s="101">
        <v>60</v>
      </c>
      <c r="R112" s="102">
        <f>SeriesLength_min*(LastSeries-FirstSeries+1)</f>
        <v>10</v>
      </c>
      <c r="S112" s="102">
        <f>TotalLength_min*60</f>
        <v>600</v>
      </c>
      <c r="T112" s="102" cm="1">
        <f t="array" ref="T112">SeriesLength_min/(BinSize_sec/60)</f>
        <v>10</v>
      </c>
      <c r="W112" s="96">
        <f>Y112/60</f>
        <v>0</v>
      </c>
      <c r="X112" s="96" t="str">
        <f>IF(ClusterBinSize_sec &gt; 0, IF(W112 + (ClusterBinSize_sec / 60) &gt;EndTime_spont, "Enter Spont End", W112 + ClusterBinSize_sec / 60), "No bin size")</f>
        <v>Enter Spont End</v>
      </c>
      <c r="Y112" s="97">
        <f>StartTime_spont * 60</f>
        <v>0</v>
      </c>
      <c r="Z112" s="97" t="str">
        <f>IF(ClusterBinSize_sec&gt; 0, IF(Y112 + ClusterBinSize_sec &gt; (EndTime_spont * 60), "Enter Spont End", Y112 + ClusterBinSize_sec), "No bin size")</f>
        <v>Enter Spont End</v>
      </c>
      <c r="AA112" s="99"/>
      <c r="AB112" s="103">
        <v>0</v>
      </c>
      <c r="AC112" s="103">
        <v>1</v>
      </c>
      <c r="AD112" s="88">
        <f>IF(ISNUMBER(Cluster[[#This Row],[Bin_end]]), _xlfn.XLOOKUP(Cluster[[#This Row],[Bin_end]], ClusterCalc_2x2SD[Bin_end], ClusterCalc_2x2SD[Peak or Nadir], "fill ClusterCalc Table",1), "no bin")</f>
        <v>0</v>
      </c>
      <c r="AE112" s="88">
        <f>IF(ISNUMBER(Cluster[[#This Row],[Bin_end]]), _xlfn.XLOOKUP(Cluster[[#This Row],[Bin_end]], ClusterCalc_3x3SD[Bin_end], ClusterCalc_3x3SD[Peak or Nadir], "fill ClusterCalc Table",1), "no bin")</f>
        <v>0</v>
      </c>
      <c r="AF112" s="88">
        <f>IF(ISNUMBER(Cluster[[#This Row],[Bin_end]]), _xlfn.XLOOKUP(Cluster[[#This Row],[Bin_end]], ClusterCalc_2x2SE[Bin_end], ClusterCalc_2x2SE[Peak or Nadir], "fill ClusterCalc Table",1), "no bin")</f>
        <v>0</v>
      </c>
      <c r="AG112" s="88">
        <f>IF(ISNUMBER(Cluster[[#This Row],[Bin_end]]), _xlfn.XLOOKUP(Cluster[[#This Row],[Bin_end]], ClusterCalc_3x3SE[Bin_end], ClusterCalc_3x3SE[Peak or Nadir], "fill ClusterCalc Table",1), "no bin")</f>
        <v>0</v>
      </c>
      <c r="AI112" s="101">
        <v>120</v>
      </c>
      <c r="BK112" s="17" t="s">
        <v>39</v>
      </c>
      <c r="BQ112" s="2"/>
      <c r="BR112" s="2"/>
      <c r="BS112" s="2"/>
      <c r="BT112" s="2"/>
      <c r="BV112" s="76" t="s">
        <v>228</v>
      </c>
    </row>
    <row r="113" spans="2:87" x14ac:dyDescent="0.2">
      <c r="B113" s="88">
        <f t="shared" ref="B113:B144" si="0">IF(E112&lt;TotalLength_min, IF(ISNONTEXT(B112), IF(C113&gt;C112, B112, IF(B112&lt;LastSeries, B112+1)), B112), "&gt; Total Length")</f>
        <v>0</v>
      </c>
      <c r="C113" s="88">
        <f t="shared" ref="C113:C144" si="1">IF(E112&lt;TotalLength_min, IF(ISNONTEXT(C112), IF(C112&lt;(BinsPerSeries-1),C112+1,0), C112), "&gt; Total Length")</f>
        <v>1</v>
      </c>
      <c r="D113" s="96">
        <f t="shared" ref="D113:D144" si="2">IF(BinSize_sec &gt; 0, IF(ISNONTEXT(F112), IF(F112 + BinSize_sec &lt; TotalLength_sec, F113/60, "&gt; Total Length"), F112), "No bin size")</f>
        <v>1</v>
      </c>
      <c r="E113" s="96">
        <f t="shared" ref="E113:E144" si="3">IF(BinSize_sec &gt; 0, IF(ISNONTEXT(G112), IF(G112 + BinSize_sec &gt; TotalLength_sec, "&gt; Total Length", G113/60), G112), "No bin size")</f>
        <v>2</v>
      </c>
      <c r="F113" s="97">
        <f t="shared" ref="F113:F144" si="4">IF(BinSize_sec &gt; 0, IF(ISNONTEXT(F112), IF(F112 + BinSize_sec &lt; TotalLength_sec, F112 + BinSize_sec, "&gt; Total Length"), F112), "No bin size")</f>
        <v>60</v>
      </c>
      <c r="G113" s="97">
        <f t="shared" ref="G113:G144" si="5">IF(BinSize_sec &gt; 0, IF(ISNONTEXT(G112), IF(G112 + BinSize_sec &gt; TotalLength_sec, "&gt; Total Length", G112 + BinSize_sec), G112), "No bin size")</f>
        <v>120</v>
      </c>
      <c r="H113" s="98"/>
      <c r="I113" s="99"/>
      <c r="J113" s="88" t="str">
        <f>IF(ISBLANK(FiringRate[[#This Row],[Event/bin]]), " ", FiringRate[[#This Row],[Event/bin]]/BinSize_sec)</f>
        <v xml:space="preserve"> </v>
      </c>
      <c r="K113" s="100" t="str">
        <f>IF(ISBLANK(FiringRate[[#This Row],[Conc events/bin]]), " ", FiringRate[[#This Row],[Conc events/bin]]/BinSize_sec)</f>
        <v xml:space="preserve"> </v>
      </c>
      <c r="W113" s="96" t="str">
        <f t="shared" ref="W113:W144" si="6">IF(ClusterBinSize_sec &gt; 0, IF(ISNONTEXT(W112), IF(X112 &lt; EndTime_spont, W112 + (ClusterBinSize_sec / 60), "&gt; Spont Length"), W112), "No bin size")</f>
        <v>&gt; Spont Length</v>
      </c>
      <c r="X113" s="96" t="str">
        <f t="shared" ref="X113:X144" si="7">IF(ClusterBinSize_sec &gt; 0, IF(ISNONTEXT(X112), IF(X112 + (ClusterBinSize_sec / 60) &gt; EndTime_spont, "&gt; Spont Length", X112 + (ClusterBinSize_sec / 60)), X112), "No bin size")</f>
        <v>Enter Spont End</v>
      </c>
      <c r="Y113" s="97" t="str">
        <f t="shared" ref="Y113:Y144" si="8">IF(ClusterBinSize_sec &gt; 0, IF(ISNONTEXT(Y112), IF(Z112 &lt; (EndTime_spont *60), Y112 + ClusterBinSize_sec, "&gt; Spont Length"), Y112), "No bin size")</f>
        <v>&gt; Spont Length</v>
      </c>
      <c r="Z113" s="97" t="str">
        <f t="shared" ref="Z113:Z144" si="9">IF(ClusterBinSize_sec &gt; 0, IF(ISNONTEXT(Z112), IF(Z112 + ClusterBinSize_sec &gt; (EndTime_spont * 60), "&gt; Spont Length", Z112 + ClusterBinSize_sec), Z112), "No bin size")</f>
        <v>Enter Spont End</v>
      </c>
      <c r="AA113" s="99"/>
      <c r="AB113" s="103" t="str">
        <f>IF(ISNUMBER(Cluster[[#This Row],[Bin Start (min)]]), AB112+1, Cluster[[#This Row],[Bin Start (min)]])</f>
        <v>&gt; Spont Length</v>
      </c>
      <c r="AC113" s="103" t="str">
        <f>IF(ISNUMBER(Cluster[[#This Row],[Bin End (min)]]), AC112+1, Cluster[[#This Row],[Bin End (min)]])</f>
        <v>Enter Spont End</v>
      </c>
      <c r="AD113" s="88" t="str">
        <f>IF(ISNUMBER(Cluster[[#This Row],[Bin_end]]), _xlfn.XLOOKUP(Cluster[[#This Row],[Bin_end]], ClusterCalc_2x2SD[Bin_end], ClusterCalc_2x2SD[Peak or Nadir], "fill ClusterCalc Table",1), "no bin")</f>
        <v>no bin</v>
      </c>
      <c r="AE113" s="88" t="str">
        <f>IF(ISNUMBER(Cluster[[#This Row],[Bin_end]]), _xlfn.XLOOKUP(Cluster[[#This Row],[Bin_end]], ClusterCalc_3x3SD[Bin_end], ClusterCalc_3x3SD[Peak or Nadir], "fill ClusterCalc Table",1), "no bin")</f>
        <v>no bin</v>
      </c>
      <c r="AF113" s="88" t="str">
        <f>IF(ISNUMBER(Cluster[[#This Row],[Bin_end]]), _xlfn.XLOOKUP(Cluster[[#This Row],[Bin_end]], ClusterCalc_2x2SE[Bin_end], ClusterCalc_2x2SE[Peak or Nadir], "fill ClusterCalc Table",1), "no bin")</f>
        <v>no bin</v>
      </c>
      <c r="AG113" s="88" t="str">
        <f>IF(ISNUMBER(Cluster[[#This Row],[Bin_end]]), _xlfn.XLOOKUP(Cluster[[#This Row],[Bin_end]], ClusterCalc_3x3SE[Bin_end], ClusterCalc_3x3SE[Peak or Nadir], "fill ClusterCalc Table",1), "no bin")</f>
        <v>no bin</v>
      </c>
      <c r="AJ113" s="88" t="s">
        <v>234</v>
      </c>
      <c r="AK113" s="88" t="s">
        <v>236</v>
      </c>
      <c r="AQ113" s="88" t="s">
        <v>234</v>
      </c>
      <c r="AX113" s="88" t="s">
        <v>234</v>
      </c>
      <c r="BE113" s="88" t="s">
        <v>234</v>
      </c>
      <c r="BK113" s="94" t="s">
        <v>65</v>
      </c>
      <c r="BL113" s="94" t="s">
        <v>66</v>
      </c>
      <c r="BM113" s="94" t="s">
        <v>67</v>
      </c>
      <c r="BN113" s="94" t="s">
        <v>68</v>
      </c>
      <c r="BO113" s="94" t="s">
        <v>69</v>
      </c>
      <c r="BP113" s="94" t="s">
        <v>70</v>
      </c>
      <c r="BQ113" s="94" t="s">
        <v>71</v>
      </c>
      <c r="BR113" s="94" t="s">
        <v>72</v>
      </c>
      <c r="BS113" s="94" t="s">
        <v>73</v>
      </c>
      <c r="BT113" s="94" t="s">
        <v>74</v>
      </c>
      <c r="BV113"/>
      <c r="CH113" s="2"/>
      <c r="CI113" s="2"/>
    </row>
    <row r="114" spans="2:87" ht="19" x14ac:dyDescent="0.25">
      <c r="B114" s="88">
        <f t="shared" si="0"/>
        <v>0</v>
      </c>
      <c r="C114" s="88">
        <f t="shared" si="1"/>
        <v>2</v>
      </c>
      <c r="D114" s="96">
        <f t="shared" si="2"/>
        <v>2</v>
      </c>
      <c r="E114" s="96">
        <f t="shared" si="3"/>
        <v>3</v>
      </c>
      <c r="F114" s="97">
        <f t="shared" si="4"/>
        <v>120</v>
      </c>
      <c r="G114" s="97">
        <f t="shared" si="5"/>
        <v>180</v>
      </c>
      <c r="H114" s="98"/>
      <c r="I114" s="99"/>
      <c r="J114" s="88" t="str">
        <f>IF(ISBLANK(FiringRate[[#This Row],[Event/bin]]), " ", FiringRate[[#This Row],[Event/bin]]/BinSize_sec)</f>
        <v xml:space="preserve"> </v>
      </c>
      <c r="K114" s="100" t="str">
        <f>IF(ISBLANK(FiringRate[[#This Row],[Conc events/bin]]), " ", FiringRate[[#This Row],[Conc events/bin]]/BinSize_sec)</f>
        <v xml:space="preserve"> </v>
      </c>
      <c r="W114" s="96" t="str">
        <f t="shared" si="6"/>
        <v>&gt; Spont Length</v>
      </c>
      <c r="X114" s="96" t="str">
        <f t="shared" si="7"/>
        <v>Enter Spont End</v>
      </c>
      <c r="Y114" s="97" t="str">
        <f t="shared" si="8"/>
        <v>&gt; Spont Length</v>
      </c>
      <c r="Z114" s="97" t="str">
        <f t="shared" si="9"/>
        <v>Enter Spont End</v>
      </c>
      <c r="AA114" s="99"/>
      <c r="AB114" s="103" t="str">
        <f>IF(ISNUMBER(Cluster[[#This Row],[Bin Start (min)]]), AB113+1, Cluster[[#This Row],[Bin Start (min)]])</f>
        <v>&gt; Spont Length</v>
      </c>
      <c r="AC114" s="103" t="str">
        <f>IF(ISNUMBER(Cluster[[#This Row],[Bin End (min)]]), AC113+1, Cluster[[#This Row],[Bin End (min)]])</f>
        <v>Enter Spont End</v>
      </c>
      <c r="AD114" s="88" t="str">
        <f>IF(ISNUMBER(Cluster[[#This Row],[Bin_end]]), _xlfn.XLOOKUP(Cluster[[#This Row],[Bin_end]], ClusterCalc_2x2SD[Bin_end], ClusterCalc_2x2SD[Peak or Nadir], "fill ClusterCalc Table",1), "no bin")</f>
        <v>no bin</v>
      </c>
      <c r="AE114" s="88" t="str">
        <f>IF(ISNUMBER(Cluster[[#This Row],[Bin_end]]), _xlfn.XLOOKUP(Cluster[[#This Row],[Bin_end]], ClusterCalc_3x3SD[Bin_end], ClusterCalc_3x3SD[Peak or Nadir], "fill ClusterCalc Table",1), "no bin")</f>
        <v>no bin</v>
      </c>
      <c r="AF114" s="88" t="str">
        <f>IF(ISNUMBER(Cluster[[#This Row],[Bin_end]]), _xlfn.XLOOKUP(Cluster[[#This Row],[Bin_end]], ClusterCalc_2x2SE[Bin_end], ClusterCalc_2x2SE[Peak or Nadir], "fill ClusterCalc Table",1), "no bin")</f>
        <v>no bin</v>
      </c>
      <c r="AG114" s="88" t="str">
        <f>IF(ISNUMBER(Cluster[[#This Row],[Bin_end]]), _xlfn.XLOOKUP(Cluster[[#This Row],[Bin_end]], ClusterCalc_3x3SE[Bin_end], ClusterCalc_3x3SE[Peak or Nadir], "fill ClusterCalc Table",1), "no bin")</f>
        <v>no bin</v>
      </c>
      <c r="AI114" s="104" t="s">
        <v>60</v>
      </c>
      <c r="AJ114" s="99"/>
      <c r="AP114" s="104" t="s">
        <v>61</v>
      </c>
      <c r="AQ114" s="99"/>
      <c r="AW114" s="104" t="s">
        <v>62</v>
      </c>
      <c r="AX114" s="99"/>
      <c r="BD114" s="104" t="s">
        <v>63</v>
      </c>
      <c r="BE114" s="99"/>
      <c r="BK114" s="105"/>
      <c r="BL114" s="105"/>
      <c r="BM114" s="105"/>
      <c r="BN114" s="105"/>
      <c r="BO114" s="9"/>
      <c r="BP114" s="9"/>
      <c r="BQ114" s="9"/>
      <c r="BR114" s="9"/>
      <c r="BS114" s="9"/>
      <c r="BT114" s="9"/>
      <c r="BV114" t="s">
        <v>229</v>
      </c>
    </row>
    <row r="115" spans="2:87" ht="68" x14ac:dyDescent="0.2">
      <c r="B115" s="88">
        <f t="shared" si="0"/>
        <v>0</v>
      </c>
      <c r="C115" s="88">
        <f t="shared" si="1"/>
        <v>3</v>
      </c>
      <c r="D115" s="96">
        <f t="shared" si="2"/>
        <v>3</v>
      </c>
      <c r="E115" s="96">
        <f t="shared" si="3"/>
        <v>4</v>
      </c>
      <c r="F115" s="97">
        <f t="shared" si="4"/>
        <v>180</v>
      </c>
      <c r="G115" s="97">
        <f t="shared" si="5"/>
        <v>240</v>
      </c>
      <c r="H115" s="98"/>
      <c r="I115" s="99"/>
      <c r="J115" s="88" t="str">
        <f>IF(ISBLANK(FiringRate[[#This Row],[Event/bin]]), " ", FiringRate[[#This Row],[Event/bin]]/BinSize_sec)</f>
        <v xml:space="preserve"> </v>
      </c>
      <c r="K115" s="100" t="str">
        <f>IF(ISBLANK(FiringRate[[#This Row],[Conc events/bin]]), " ", FiringRate[[#This Row],[Conc events/bin]]/BinSize_sec)</f>
        <v xml:space="preserve"> </v>
      </c>
      <c r="O115" s="106" t="s">
        <v>75</v>
      </c>
      <c r="P115" s="107" t="s">
        <v>76</v>
      </c>
      <c r="Q115" s="88" t="s">
        <v>77</v>
      </c>
      <c r="R115" s="88" t="s">
        <v>78</v>
      </c>
      <c r="T115" s="106" t="s">
        <v>216</v>
      </c>
      <c r="W115" s="96" t="str">
        <f t="shared" si="6"/>
        <v>&gt; Spont Length</v>
      </c>
      <c r="X115" s="96" t="str">
        <f t="shared" si="7"/>
        <v>Enter Spont End</v>
      </c>
      <c r="Y115" s="97" t="str">
        <f t="shared" si="8"/>
        <v>&gt; Spont Length</v>
      </c>
      <c r="Z115" s="97" t="str">
        <f t="shared" si="9"/>
        <v>Enter Spont End</v>
      </c>
      <c r="AA115" s="99"/>
      <c r="AB115" s="103" t="str">
        <f>IF(ISNUMBER(Cluster[[#This Row],[Bin Start (min)]]), AB114+1, Cluster[[#This Row],[Bin Start (min)]])</f>
        <v>&gt; Spont Length</v>
      </c>
      <c r="AC115" s="103" t="str">
        <f>IF(ISNUMBER(Cluster[[#This Row],[Bin End (min)]]), AC114+1, Cluster[[#This Row],[Bin End (min)]])</f>
        <v>Enter Spont End</v>
      </c>
      <c r="AD115" s="88" t="str">
        <f>IF(ISNUMBER(Cluster[[#This Row],[Bin_end]]), _xlfn.XLOOKUP(Cluster[[#This Row],[Bin_end]], ClusterCalc_2x2SD[Bin_end], ClusterCalc_2x2SD[Peak or Nadir], "fill ClusterCalc Table",1), "no bin")</f>
        <v>no bin</v>
      </c>
      <c r="AE115" s="88" t="str">
        <f>IF(ISNUMBER(Cluster[[#This Row],[Bin_end]]), _xlfn.XLOOKUP(Cluster[[#This Row],[Bin_end]], ClusterCalc_3x3SD[Bin_end], ClusterCalc_3x3SD[Peak or Nadir], "fill ClusterCalc Table",1), "no bin")</f>
        <v>no bin</v>
      </c>
      <c r="AF115" s="88" t="str">
        <f>IF(ISNUMBER(Cluster[[#This Row],[Bin_end]]), _xlfn.XLOOKUP(Cluster[[#This Row],[Bin_end]], ClusterCalc_2x2SE[Bin_end], ClusterCalc_2x2SE[Peak or Nadir], "fill ClusterCalc Table",1), "no bin")</f>
        <v>no bin</v>
      </c>
      <c r="AG115" s="88" t="str">
        <f>IF(ISNUMBER(Cluster[[#This Row],[Bin_end]]), _xlfn.XLOOKUP(Cluster[[#This Row],[Bin_end]], ClusterCalc_3x3SE[Bin_end], ClusterCalc_3x3SE[Peak or Nadir], "fill ClusterCalc Table",1), "no bin")</f>
        <v>no bin</v>
      </c>
      <c r="AI115" s="108" t="s">
        <v>80</v>
      </c>
      <c r="AJ115" s="108" t="s">
        <v>83</v>
      </c>
      <c r="AK115" s="108" t="s">
        <v>84</v>
      </c>
      <c r="AL115" s="108" t="s">
        <v>85</v>
      </c>
      <c r="AM115" s="108" t="s">
        <v>86</v>
      </c>
      <c r="AP115" s="100" t="s">
        <v>80</v>
      </c>
      <c r="AQ115" s="100" t="s">
        <v>83</v>
      </c>
      <c r="AR115" s="100" t="s">
        <v>84</v>
      </c>
      <c r="AS115" s="100" t="s">
        <v>85</v>
      </c>
      <c r="AT115" s="100" t="s">
        <v>86</v>
      </c>
      <c r="AW115" s="109" t="s">
        <v>80</v>
      </c>
      <c r="AX115" s="109" t="s">
        <v>83</v>
      </c>
      <c r="AY115" s="109" t="s">
        <v>84</v>
      </c>
      <c r="AZ115" s="109" t="s">
        <v>85</v>
      </c>
      <c r="BA115" s="109" t="s">
        <v>86</v>
      </c>
      <c r="BD115" s="110" t="s">
        <v>80</v>
      </c>
      <c r="BE115" s="110" t="s">
        <v>83</v>
      </c>
      <c r="BF115" s="110" t="s">
        <v>84</v>
      </c>
      <c r="BG115" s="110" t="s">
        <v>85</v>
      </c>
      <c r="BH115" s="110" t="s">
        <v>86</v>
      </c>
      <c r="BO115" s="2"/>
      <c r="BP115" s="2"/>
      <c r="BQ115" s="2"/>
      <c r="BR115" s="2"/>
      <c r="BS115" s="2"/>
      <c r="BT115" s="2"/>
      <c r="BV115"/>
    </row>
    <row r="116" spans="2:87" x14ac:dyDescent="0.2">
      <c r="B116" s="88">
        <f t="shared" si="0"/>
        <v>0</v>
      </c>
      <c r="C116" s="88">
        <f t="shared" si="1"/>
        <v>4</v>
      </c>
      <c r="D116" s="96">
        <f t="shared" si="2"/>
        <v>4</v>
      </c>
      <c r="E116" s="96">
        <f t="shared" si="3"/>
        <v>5</v>
      </c>
      <c r="F116" s="97">
        <f t="shared" si="4"/>
        <v>240</v>
      </c>
      <c r="G116" s="97">
        <f t="shared" si="5"/>
        <v>300</v>
      </c>
      <c r="H116" s="98"/>
      <c r="I116" s="99"/>
      <c r="J116" s="88" t="str">
        <f>IF(ISBLANK(FiringRate[[#This Row],[Event/bin]]), " ", FiringRate[[#This Row],[Event/bin]]/BinSize_sec)</f>
        <v xml:space="preserve"> </v>
      </c>
      <c r="K116" s="100" t="str">
        <f>IF(ISBLANK(FiringRate[[#This Row],[Conc events/bin]]), " ", FiringRate[[#This Row],[Conc events/bin]]/BinSize_sec)</f>
        <v xml:space="preserve"> </v>
      </c>
      <c r="N116" s="88" t="s">
        <v>10</v>
      </c>
      <c r="O116" s="111"/>
      <c r="P116" s="111"/>
      <c r="Q116" s="89" t="str">
        <f>IF(ISBLANK(O116), "Enter Time", (P116-O116))</f>
        <v>Enter Time</v>
      </c>
      <c r="R116" s="112" t="str">
        <f>IF(ISNUMBER(O116), IF(ISNUMBER(P116), AVERAGE(_xlfn.XLOOKUP(O116, FiringRate[Bin Start (min)], FiringRate[Freq conc (in Hz)], "NA", 1):_xlfn.XLOOKUP(P116, FiringRate[Bin End (min)], FiringRate[Freq conc (in Hz)], "NA", 1)), "Enter End Time"), "Enter Start Time")</f>
        <v>Enter Start Time</v>
      </c>
      <c r="T116" s="113" t="b">
        <v>0</v>
      </c>
      <c r="W116" s="96" t="str">
        <f t="shared" si="6"/>
        <v>&gt; Spont Length</v>
      </c>
      <c r="X116" s="96" t="str">
        <f t="shared" si="7"/>
        <v>Enter Spont End</v>
      </c>
      <c r="Y116" s="97" t="str">
        <f t="shared" si="8"/>
        <v>&gt; Spont Length</v>
      </c>
      <c r="Z116" s="97" t="str">
        <f t="shared" si="9"/>
        <v>Enter Spont End</v>
      </c>
      <c r="AA116" s="99"/>
      <c r="AB116" s="103" t="str">
        <f>IF(ISNUMBER(Cluster[[#This Row],[Bin Start (min)]]), AB115+1, Cluster[[#This Row],[Bin Start (min)]])</f>
        <v>&gt; Spont Length</v>
      </c>
      <c r="AC116" s="103" t="str">
        <f>IF(ISNUMBER(Cluster[[#This Row],[Bin End (min)]]), AC115+1, Cluster[[#This Row],[Bin End (min)]])</f>
        <v>Enter Spont End</v>
      </c>
      <c r="AD116" s="88" t="str">
        <f>IF(ISNUMBER(Cluster[[#This Row],[Bin_end]]), _xlfn.XLOOKUP(Cluster[[#This Row],[Bin_end]], ClusterCalc_2x2SD[Bin_end], ClusterCalc_2x2SD[Peak or Nadir], "fill ClusterCalc Table",1), "no bin")</f>
        <v>no bin</v>
      </c>
      <c r="AE116" s="88" t="str">
        <f>IF(ISNUMBER(Cluster[[#This Row],[Bin_end]]), _xlfn.XLOOKUP(Cluster[[#This Row],[Bin_end]], ClusterCalc_3x3SD[Bin_end], ClusterCalc_3x3SD[Peak or Nadir], "fill ClusterCalc Table",1), "no bin")</f>
        <v>no bin</v>
      </c>
      <c r="AF116" s="88" t="str">
        <f>IF(ISNUMBER(Cluster[[#This Row],[Bin_end]]), _xlfn.XLOOKUP(Cluster[[#This Row],[Bin_end]], ClusterCalc_2x2SE[Bin_end], ClusterCalc_2x2SE[Peak or Nadir], "fill ClusterCalc Table",1), "no bin")</f>
        <v>no bin</v>
      </c>
      <c r="AG116" s="88" t="str">
        <f>IF(ISNUMBER(Cluster[[#This Row],[Bin_end]]), _xlfn.XLOOKUP(Cluster[[#This Row],[Bin_end]], ClusterCalc_3x3SE[Bin_end], ClusterCalc_3x3SE[Peak or Nadir], "fill ClusterCalc Table",1), "no bin")</f>
        <v>no bin</v>
      </c>
      <c r="AI116" s="114" t="s">
        <v>88</v>
      </c>
      <c r="AJ116" s="114" t="str">
        <f>IF(Analysis_2x2SD, SUMIF(ClusterCalc_2x2SD[Peak or Nadir], ClusterVals_2x2SD[[#This Row],[Peak or Nadir]], ClusterCalc_2x2SD[Duration (min)])/ SpontLength_min / 60, "NA")</f>
        <v>NA</v>
      </c>
      <c r="AK116" s="114" t="str">
        <f>IF(Analysis_2x2SD, AVERAGEIF(ClusterCalc_2x2SD[Peak or Nadir], ClusterVals_2x2SD[[#This Row],[Peak or Nadir]], ClusterCalc_2x2SD[Duration (min)]), "NA")</f>
        <v>NA</v>
      </c>
      <c r="AL116" s="114" t="str">
        <f>IF(Analysis_2x2SD, AVERAGEIF(ClusterCalc_2x2SD[Peak or Nadir], ClusterVals_2x2SD[[#This Row],[Peak or Nadir]], ClusterCalc_2x2SD[Mean Firing (Hz)]), "NA")</f>
        <v>NA</v>
      </c>
      <c r="AM116" s="114" t="str">
        <f>IF(Analysis_2x2SD, COUNTIF(ClusterCalc_2x2SD[Peak or Nadir],ClusterVals_2x2SD[[#This Row],[Peak or Nadir]])/ SpontLength_min / 60, "NA")</f>
        <v>NA</v>
      </c>
      <c r="AP116" s="114" t="s">
        <v>88</v>
      </c>
      <c r="AQ116" s="114" t="str">
        <f>IF(Analysis_3x3SD, SUMIF(ClusterCalc_3x3SD[Peak or Nadir], ClusterVals_3x3SD[[#This Row],[Peak or Nadir]], ClusterCalc_3x3SD[Duration (min)])/ SpontLength_min / 60, "NA")</f>
        <v>NA</v>
      </c>
      <c r="AR116" s="114" t="str">
        <f>IF(Analysis_3x3SD, AVERAGEIF(ClusterCalc_3x3SD[Peak or Nadir], ClusterVals_3x3SD[[#This Row],[Peak or Nadir]], ClusterCalc_3x3SD[Duration (min)]), "NA")</f>
        <v>NA</v>
      </c>
      <c r="AS116" s="114" t="str">
        <f>IF(Analysis_3x3SD, AVERAGEIF(ClusterCalc_3x3SD[Peak or Nadir], ClusterVals_3x3SD[[#This Row],[Peak or Nadir]], ClusterCalc_3x3SD[Mean Firing (Hz)]), "NA")</f>
        <v>NA</v>
      </c>
      <c r="AT116" s="114" t="str">
        <f>IF(Analysis_3x3SD, COUNTIF(ClusterCalc_3x3SD[Peak or Nadir],ClusterVals_3x3SD[[#This Row],[Peak or Nadir]])/ SpontLength_min / 60, "NA")</f>
        <v>NA</v>
      </c>
      <c r="AW116" s="114" t="s">
        <v>88</v>
      </c>
      <c r="AX116" s="114" t="str">
        <f>IF(Analysis_2x2SE, SUMIF(ClusterCalc_2x2SE[Peak or Nadir], ClusterVals_2x2SE[[#This Row],[Peak or Nadir]], ClusterCalc_2x2SE[Duration (min)])/ SpontLength_min / 60, "NA")</f>
        <v>NA</v>
      </c>
      <c r="AY116" s="114" t="str">
        <f>IF(Analysis_2x2SE, AVERAGEIF(ClusterCalc_2x2SE[Peak or Nadir], ClusterVals_2x2SE[[#This Row],[Peak or Nadir]], ClusterCalc_2x2SE[Duration (min)]), "NA")</f>
        <v>NA</v>
      </c>
      <c r="AZ116" s="114" t="str">
        <f>IF(Analysis_2x2SE, AVERAGEIF(ClusterCalc_2x2SE[Peak or Nadir], ClusterVals_2x2SE[[#This Row],[Peak or Nadir]], ClusterCalc_2x2SE[Mean Firing (Hz)]), "NA")</f>
        <v>NA</v>
      </c>
      <c r="BA116" s="114" t="str">
        <f>IF(Analysis_2x2SE, COUNTIF(ClusterCalc_2x2SE[Peak or Nadir],ClusterVals_2x2SE[[#This Row],[Peak or Nadir]])/ SpontLength_min / 60, "NA")</f>
        <v>NA</v>
      </c>
      <c r="BD116" s="114" t="s">
        <v>88</v>
      </c>
      <c r="BE116" s="114" t="str">
        <f>IF(Analysis_3x3SE, SUMIF(ClusterCalc_3x3SE[Peak or Nadir], ClusterVals_3x3SE[[#This Row],[Peak or Nadir]], ClusterCalc_3x3SE[Duration (min)])/ SpontLength_min / 60, "NA")</f>
        <v>NA</v>
      </c>
      <c r="BF116" s="114" t="str">
        <f>IF(Analysis_3x3SE, AVERAGEIF(ClusterCalc_3x3SE[Peak or Nadir], ClusterVals_3x3SE[[#This Row],[Peak or Nadir]], ClusterCalc_3x3SE[Duration (min)]), "NA")</f>
        <v>NA</v>
      </c>
      <c r="BG116" s="114" t="str">
        <f>IF(Analysis_3x3SE, AVERAGEIF(ClusterCalc_3x3SE[Peak or Nadir], ClusterVals_3x3SE[[#This Row],[Peak or Nadir]], ClusterCalc_3x3SE[Mean Firing (Hz)]), "NA")</f>
        <v>NA</v>
      </c>
      <c r="BH116" s="114" t="str">
        <f>IF(Analysis_3x3SE, COUNTIF(ClusterCalc_3x3SE[Peak or Nadir],ClusterVals_3x3SE[[#This Row],[Peak or Nadir]])/ SpontLength_min / 60, "NA")</f>
        <v>NA</v>
      </c>
      <c r="BK116" s="115" t="s">
        <v>89</v>
      </c>
      <c r="BL116" s="115" t="s">
        <v>90</v>
      </c>
      <c r="BM116" s="115" t="s">
        <v>91</v>
      </c>
      <c r="BN116" s="115" t="s">
        <v>92</v>
      </c>
      <c r="BO116" s="115" t="s">
        <v>93</v>
      </c>
      <c r="BP116" s="115" t="s">
        <v>94</v>
      </c>
      <c r="BQ116" s="115" t="s">
        <v>95</v>
      </c>
      <c r="BR116" s="115" t="s">
        <v>96</v>
      </c>
      <c r="BS116" s="115" t="s">
        <v>97</v>
      </c>
      <c r="BT116" s="115" t="s">
        <v>98</v>
      </c>
      <c r="BV116"/>
    </row>
    <row r="117" spans="2:87" x14ac:dyDescent="0.2">
      <c r="B117" s="88">
        <f t="shared" si="0"/>
        <v>0</v>
      </c>
      <c r="C117" s="88">
        <f t="shared" si="1"/>
        <v>5</v>
      </c>
      <c r="D117" s="96">
        <f t="shared" si="2"/>
        <v>5</v>
      </c>
      <c r="E117" s="96">
        <f t="shared" si="3"/>
        <v>6</v>
      </c>
      <c r="F117" s="97">
        <f t="shared" si="4"/>
        <v>300</v>
      </c>
      <c r="G117" s="97">
        <f t="shared" si="5"/>
        <v>360</v>
      </c>
      <c r="H117" s="98"/>
      <c r="I117" s="99"/>
      <c r="J117" s="88" t="str">
        <f>IF(ISBLANK(FiringRate[[#This Row],[Event/bin]]), " ", FiringRate[[#This Row],[Event/bin]]/BinSize_sec)</f>
        <v xml:space="preserve"> </v>
      </c>
      <c r="K117" s="100" t="str">
        <f>IF(ISBLANK(FiringRate[[#This Row],[Conc events/bin]]), " ", FiringRate[[#This Row],[Conc events/bin]]/BinSize_sec)</f>
        <v xml:space="preserve"> </v>
      </c>
      <c r="N117" s="88" t="s">
        <v>99</v>
      </c>
      <c r="O117" s="116"/>
      <c r="P117" s="116"/>
      <c r="Q117" s="92" t="str">
        <f>IF(Senktide_analysis, IF(ISBLANK(O117), "Enter Time", (P117-O117)), "NA")</f>
        <v>NA</v>
      </c>
      <c r="R117" s="112" t="str">
        <f>IF(Senktide_analysis, IF(ISNUMBER(O117), IF(ISNUMBER(P117), AVERAGE(_xlfn.XLOOKUP(O117, FiringRate[Bin Start (min)], FiringRate[Freq conc (in Hz)], "NA", 1):_xlfn.XLOOKUP(P117, FiringRate[Bin End (min)], FiringRate[Freq conc (in Hz)], "NA", 1)), "Enter End Time"), "Enter Start Time"), "NA")</f>
        <v>NA</v>
      </c>
      <c r="W117" s="96" t="str">
        <f t="shared" si="6"/>
        <v>&gt; Spont Length</v>
      </c>
      <c r="X117" s="96" t="str">
        <f t="shared" si="7"/>
        <v>Enter Spont End</v>
      </c>
      <c r="Y117" s="97" t="str">
        <f t="shared" si="8"/>
        <v>&gt; Spont Length</v>
      </c>
      <c r="Z117" s="97" t="str">
        <f t="shared" si="9"/>
        <v>Enter Spont End</v>
      </c>
      <c r="AA117" s="99"/>
      <c r="AB117" s="103" t="str">
        <f>IF(ISNUMBER(Cluster[[#This Row],[Bin Start (min)]]), AB116+1, Cluster[[#This Row],[Bin Start (min)]])</f>
        <v>&gt; Spont Length</v>
      </c>
      <c r="AC117" s="103" t="str">
        <f>IF(ISNUMBER(Cluster[[#This Row],[Bin End (min)]]), AC116+1, Cluster[[#This Row],[Bin End (min)]])</f>
        <v>Enter Spont End</v>
      </c>
      <c r="AD117" s="88" t="str">
        <f>IF(ISNUMBER(Cluster[[#This Row],[Bin_end]]), _xlfn.XLOOKUP(Cluster[[#This Row],[Bin_end]], ClusterCalc_2x2SD[Bin_end], ClusterCalc_2x2SD[Peak or Nadir], "fill ClusterCalc Table",1), "no bin")</f>
        <v>no bin</v>
      </c>
      <c r="AE117" s="88" t="str">
        <f>IF(ISNUMBER(Cluster[[#This Row],[Bin_end]]), _xlfn.XLOOKUP(Cluster[[#This Row],[Bin_end]], ClusterCalc_3x3SD[Bin_end], ClusterCalc_3x3SD[Peak or Nadir], "fill ClusterCalc Table",1), "no bin")</f>
        <v>no bin</v>
      </c>
      <c r="AF117" s="88" t="str">
        <f>IF(ISNUMBER(Cluster[[#This Row],[Bin_end]]), _xlfn.XLOOKUP(Cluster[[#This Row],[Bin_end]], ClusterCalc_2x2SE[Bin_end], ClusterCalc_2x2SE[Peak or Nadir], "fill ClusterCalc Table",1), "no bin")</f>
        <v>no bin</v>
      </c>
      <c r="AG117" s="88" t="str">
        <f>IF(ISNUMBER(Cluster[[#This Row],[Bin_end]]), _xlfn.XLOOKUP(Cluster[[#This Row],[Bin_end]], ClusterCalc_3x3SE[Bin_end], ClusterCalc_3x3SE[Peak or Nadir], "fill ClusterCalc Table",1), "no bin")</f>
        <v>no bin</v>
      </c>
      <c r="AI117" s="117" t="s">
        <v>101</v>
      </c>
      <c r="AJ117" s="117" t="str">
        <f>IF(Analysis_2x2SD, SUMIF(ClusterCalc_2x2SD[Peak or Nadir], ClusterVals_2x2SD[[#This Row],[Peak or Nadir]], ClusterCalc_2x2SD[Duration (min)])/ SpontLength_min / 60, "NA")</f>
        <v>NA</v>
      </c>
      <c r="AK117" s="117" t="str">
        <f>IF(Analysis_2x2SD, AVERAGEIF(ClusterCalc_2x2SD[Peak or Nadir], ClusterVals_2x2SD[[#This Row],[Peak or Nadir]], ClusterCalc_2x2SD[Duration (min)]), "NA")</f>
        <v>NA</v>
      </c>
      <c r="AL117" s="117" t="str">
        <f>IF(Analysis_2x2SD, AVERAGEIF(ClusterCalc_2x2SD[Peak or Nadir], ClusterVals_2x2SD[[#This Row],[Peak or Nadir]], ClusterCalc_2x2SD[Mean Firing (Hz)]), "NA")</f>
        <v>NA</v>
      </c>
      <c r="AM117" s="117" t="str">
        <f>IF(Analysis_2x2SD, COUNTIF(ClusterCalc_2x2SD[Peak or Nadir],ClusterVals_2x2SD[[#This Row],[Peak or Nadir]])/ SpontLength_min / 60, "NA")</f>
        <v>NA</v>
      </c>
      <c r="AP117" s="117" t="s">
        <v>101</v>
      </c>
      <c r="AQ117" s="117" t="str">
        <f>IF(Analysis_3x3SD, SUMIF(ClusterCalc_3x3SD[Peak or Nadir], ClusterVals_3x3SD[[#This Row],[Peak or Nadir]], ClusterCalc_3x3SD[Duration (min)])/ SpontLength_min / 60, "NA")</f>
        <v>NA</v>
      </c>
      <c r="AR117" s="117" t="str">
        <f>IF(Analysis_3x3SD, AVERAGEIF(ClusterCalc_3x3SD[Peak or Nadir], ClusterVals_3x3SD[[#This Row],[Peak or Nadir]], ClusterCalc_3x3SD[Duration (min)]), "NA")</f>
        <v>NA</v>
      </c>
      <c r="AS117" s="117" t="str">
        <f>IF(Analysis_3x3SD, AVERAGEIF(ClusterCalc_3x3SD[Peak or Nadir], ClusterVals_3x3SD[[#This Row],[Peak or Nadir]], ClusterCalc_3x3SD[Mean Firing (Hz)]), "NA")</f>
        <v>NA</v>
      </c>
      <c r="AT117" s="117" t="str">
        <f>IF(Analysis_3x3SD, COUNTIF(ClusterCalc_3x3SD[Peak or Nadir],ClusterVals_3x3SD[[#This Row],[Peak or Nadir]])/ SpontLength_min / 60, "NA")</f>
        <v>NA</v>
      </c>
      <c r="AW117" s="117" t="s">
        <v>101</v>
      </c>
      <c r="AX117" s="117" t="str">
        <f>IF(Analysis_2x2SE, SUMIF(ClusterCalc_2x2SE[Peak or Nadir], ClusterVals_2x2SE[[#This Row],[Peak or Nadir]], ClusterCalc_2x2SE[Duration (min)])/ SpontLength_min / 60, "NA")</f>
        <v>NA</v>
      </c>
      <c r="AY117" s="117" t="str">
        <f>IF(Analysis_2x2SE, AVERAGEIF(ClusterCalc_2x2SE[Peak or Nadir], ClusterVals_2x2SE[[#This Row],[Peak or Nadir]], ClusterCalc_2x2SE[Duration (min)]), "NA")</f>
        <v>NA</v>
      </c>
      <c r="AZ117" s="117" t="str">
        <f>IF(Analysis_2x2SE, AVERAGEIF(ClusterCalc_2x2SE[Peak or Nadir], ClusterVals_2x2SE[[#This Row],[Peak or Nadir]], ClusterCalc_2x2SE[Mean Firing (Hz)]), "NA")</f>
        <v>NA</v>
      </c>
      <c r="BA117" s="117" t="str">
        <f>IF(Analysis_2x2SE, COUNTIF(ClusterCalc_2x2SE[Peak or Nadir],ClusterVals_2x2SE[[#This Row],[Peak or Nadir]])/ SpontLength_min / 60, "NA")</f>
        <v>NA</v>
      </c>
      <c r="BD117" s="117" t="s">
        <v>101</v>
      </c>
      <c r="BE117" s="117" t="str">
        <f>IF(Analysis_3x3SE, SUMIF(ClusterCalc_3x3SE[Peak or Nadir], ClusterVals_3x3SE[[#This Row],[Peak or Nadir]], ClusterCalc_3x3SE[Duration (min)])/ SpontLength_min / 60, "NA")</f>
        <v>NA</v>
      </c>
      <c r="BF117" s="117" t="str">
        <f>IF(Analysis_3x3SE, AVERAGEIF(ClusterCalc_3x3SE[Peak or Nadir], ClusterVals_3x3SE[[#This Row],[Peak or Nadir]], ClusterCalc_3x3SE[Duration (min)]), "NA")</f>
        <v>NA</v>
      </c>
      <c r="BG117" s="117" t="str">
        <f>IF(Analysis_3x3SE, AVERAGEIF(ClusterCalc_3x3SE[Peak or Nadir], ClusterVals_3x3SE[[#This Row],[Peak or Nadir]], ClusterCalc_3x3SE[Mean Firing (Hz)]), "NA")</f>
        <v>NA</v>
      </c>
      <c r="BH117" s="117" t="str">
        <f>IF(Analysis_3x3SE, COUNTIF(ClusterCalc_3x3SE[Peak or Nadir],ClusterVals_3x3SE[[#This Row],[Peak or Nadir]])/ SpontLength_min / 60, "NA")</f>
        <v>NA</v>
      </c>
      <c r="BK117" s="105"/>
      <c r="BL117" s="105"/>
      <c r="BM117" s="105"/>
      <c r="BN117" s="105"/>
      <c r="BO117" s="9"/>
      <c r="BP117" s="9"/>
      <c r="BQ117" s="9"/>
      <c r="BR117" s="9"/>
      <c r="BS117" s="9"/>
      <c r="BT117" s="9"/>
      <c r="BV117"/>
    </row>
    <row r="118" spans="2:87" x14ac:dyDescent="0.2">
      <c r="B118" s="88">
        <f t="shared" si="0"/>
        <v>0</v>
      </c>
      <c r="C118" s="88">
        <f t="shared" si="1"/>
        <v>6</v>
      </c>
      <c r="D118" s="96">
        <f t="shared" si="2"/>
        <v>6</v>
      </c>
      <c r="E118" s="96">
        <f t="shared" si="3"/>
        <v>7</v>
      </c>
      <c r="F118" s="97">
        <f t="shared" si="4"/>
        <v>360</v>
      </c>
      <c r="G118" s="97">
        <f t="shared" si="5"/>
        <v>420</v>
      </c>
      <c r="H118" s="98"/>
      <c r="I118" s="99"/>
      <c r="J118" s="88" t="str">
        <f>IF(ISBLANK(FiringRate[[#This Row],[Event/bin]]), " ", FiringRate[[#This Row],[Event/bin]]/BinSize_sec)</f>
        <v xml:space="preserve"> </v>
      </c>
      <c r="K118" s="100" t="str">
        <f>IF(ISBLANK(FiringRate[[#This Row],[Conc events/bin]]), " ", FiringRate[[#This Row],[Conc events/bin]]/BinSize_sec)</f>
        <v xml:space="preserve"> </v>
      </c>
      <c r="N118" s="88" t="s">
        <v>102</v>
      </c>
      <c r="O118" s="118"/>
      <c r="P118" s="118"/>
      <c r="Q118" s="93" t="str">
        <f>IF(ISBLANK(O118), "Enter Time", (P118-O118))</f>
        <v>Enter Time</v>
      </c>
      <c r="R118" s="112" t="str">
        <f>IF(ISNUMBER(O118), IF(ISNUMBER(P118), AVERAGE(_xlfn.XLOOKUP(O118, FiringRate[Bin Start (min)], FiringRate[Freq conc (in Hz)], "NA", 1):_xlfn.XLOOKUP(P118, FiringRate[Bin End (min)], FiringRate[Freq conc (in Hz)], "NA", 1)), "Enter End Time"), "Enter Start Time")</f>
        <v>Enter Start Time</v>
      </c>
      <c r="T118" s="88" t="b">
        <v>1</v>
      </c>
      <c r="W118" s="96" t="str">
        <f t="shared" si="6"/>
        <v>&gt; Spont Length</v>
      </c>
      <c r="X118" s="96" t="str">
        <f t="shared" si="7"/>
        <v>Enter Spont End</v>
      </c>
      <c r="Y118" s="97" t="str">
        <f t="shared" si="8"/>
        <v>&gt; Spont Length</v>
      </c>
      <c r="Z118" s="97" t="str">
        <f t="shared" si="9"/>
        <v>Enter Spont End</v>
      </c>
      <c r="AA118" s="99"/>
      <c r="AB118" s="103" t="str">
        <f>IF(ISNUMBER(Cluster[[#This Row],[Bin Start (min)]]), AB117+1, Cluster[[#This Row],[Bin Start (min)]])</f>
        <v>&gt; Spont Length</v>
      </c>
      <c r="AC118" s="103" t="str">
        <f>IF(ISNUMBER(Cluster[[#This Row],[Bin End (min)]]), AC117+1, Cluster[[#This Row],[Bin End (min)]])</f>
        <v>Enter Spont End</v>
      </c>
      <c r="AD118" s="88" t="str">
        <f>IF(ISNUMBER(Cluster[[#This Row],[Bin_end]]), _xlfn.XLOOKUP(Cluster[[#This Row],[Bin_end]], ClusterCalc_2x2SD[Bin_end], ClusterCalc_2x2SD[Peak or Nadir], "fill ClusterCalc Table",1), "no bin")</f>
        <v>no bin</v>
      </c>
      <c r="AE118" s="88" t="str">
        <f>IF(ISNUMBER(Cluster[[#This Row],[Bin_end]]), _xlfn.XLOOKUP(Cluster[[#This Row],[Bin_end]], ClusterCalc_3x3SD[Bin_end], ClusterCalc_3x3SD[Peak or Nadir], "fill ClusterCalc Table",1), "no bin")</f>
        <v>no bin</v>
      </c>
      <c r="AF118" s="88" t="str">
        <f>IF(ISNUMBER(Cluster[[#This Row],[Bin_end]]), _xlfn.XLOOKUP(Cluster[[#This Row],[Bin_end]], ClusterCalc_2x2SE[Bin_end], ClusterCalc_2x2SE[Peak or Nadir], "fill ClusterCalc Table",1), "no bin")</f>
        <v>no bin</v>
      </c>
      <c r="AG118" s="88" t="str">
        <f>IF(ISNUMBER(Cluster[[#This Row],[Bin_end]]), _xlfn.XLOOKUP(Cluster[[#This Row],[Bin_end]], ClusterCalc_3x3SE[Bin_end], ClusterCalc_3x3SE[Peak or Nadir], "fill ClusterCalc Table",1), "no bin")</f>
        <v>no bin</v>
      </c>
      <c r="BO118" s="2"/>
      <c r="BP118" s="2"/>
      <c r="BQ118" s="2"/>
      <c r="BR118" s="2"/>
      <c r="BS118" s="2"/>
      <c r="BT118" s="2"/>
      <c r="BV118"/>
    </row>
    <row r="119" spans="2:87" ht="19" x14ac:dyDescent="0.25">
      <c r="B119" s="88">
        <f t="shared" si="0"/>
        <v>0</v>
      </c>
      <c r="C119" s="88">
        <f t="shared" si="1"/>
        <v>7</v>
      </c>
      <c r="D119" s="96">
        <f t="shared" si="2"/>
        <v>7</v>
      </c>
      <c r="E119" s="96">
        <f t="shared" si="3"/>
        <v>8</v>
      </c>
      <c r="F119" s="97">
        <f t="shared" si="4"/>
        <v>420</v>
      </c>
      <c r="G119" s="97">
        <f t="shared" si="5"/>
        <v>480</v>
      </c>
      <c r="H119" s="98"/>
      <c r="I119" s="99"/>
      <c r="J119" s="88" t="str">
        <f>IF(ISBLANK(FiringRate[[#This Row],[Event/bin]]), " ", FiringRate[[#This Row],[Event/bin]]/BinSize_sec)</f>
        <v xml:space="preserve"> </v>
      </c>
      <c r="K119" s="100" t="str">
        <f>IF(ISBLANK(FiringRate[[#This Row],[Conc events/bin]]), " ", FiringRate[[#This Row],[Conc events/bin]]/BinSize_sec)</f>
        <v xml:space="preserve"> </v>
      </c>
      <c r="N119" s="88" t="s">
        <v>104</v>
      </c>
      <c r="O119" s="98"/>
      <c r="P119" s="98"/>
      <c r="Q119" s="98" t="str">
        <f>IF(ISBLANK(O119), "Enter Time", (P119-O119))</f>
        <v>Enter Time</v>
      </c>
      <c r="R119" s="112" t="str">
        <f>IF(ISNUMBER(O119), IF(ISNUMBER(P119), AVERAGE(_xlfn.XLOOKUP(O119, FiringRate[Bin Start (min)], FiringRate[Freq conc (in Hz)], "NA", 1):_xlfn.XLOOKUP(P119, FiringRate[Bin End (min)], FiringRate[Freq conc (in Hz)], "NA", 1)), "Enter End Time"), "Enter Start Time")</f>
        <v>Enter Start Time</v>
      </c>
      <c r="T119" s="88" t="b">
        <v>0</v>
      </c>
      <c r="W119" s="96" t="str">
        <f t="shared" si="6"/>
        <v>&gt; Spont Length</v>
      </c>
      <c r="X119" s="96" t="str">
        <f t="shared" si="7"/>
        <v>Enter Spont End</v>
      </c>
      <c r="Y119" s="97" t="str">
        <f t="shared" si="8"/>
        <v>&gt; Spont Length</v>
      </c>
      <c r="Z119" s="97" t="str">
        <f t="shared" si="9"/>
        <v>Enter Spont End</v>
      </c>
      <c r="AA119" s="99"/>
      <c r="AB119" s="103" t="str">
        <f>IF(ISNUMBER(Cluster[[#This Row],[Bin Start (min)]]), AB118+1, Cluster[[#This Row],[Bin Start (min)]])</f>
        <v>&gt; Spont Length</v>
      </c>
      <c r="AC119" s="103" t="str">
        <f>IF(ISNUMBER(Cluster[[#This Row],[Bin End (min)]]), AC118+1, Cluster[[#This Row],[Bin End (min)]])</f>
        <v>Enter Spont End</v>
      </c>
      <c r="AD119" s="88" t="str">
        <f>IF(ISNUMBER(Cluster[[#This Row],[Bin_end]]), _xlfn.XLOOKUP(Cluster[[#This Row],[Bin_end]], ClusterCalc_2x2SD[Bin_end], ClusterCalc_2x2SD[Peak or Nadir], "fill ClusterCalc Table",1), "no bin")</f>
        <v>no bin</v>
      </c>
      <c r="AE119" s="88" t="str">
        <f>IF(ISNUMBER(Cluster[[#This Row],[Bin_end]]), _xlfn.XLOOKUP(Cluster[[#This Row],[Bin_end]], ClusterCalc_3x3SD[Bin_end], ClusterCalc_3x3SD[Peak or Nadir], "fill ClusterCalc Table",1), "no bin")</f>
        <v>no bin</v>
      </c>
      <c r="AF119" s="88" t="str">
        <f>IF(ISNUMBER(Cluster[[#This Row],[Bin_end]]), _xlfn.XLOOKUP(Cluster[[#This Row],[Bin_end]], ClusterCalc_2x2SE[Bin_end], ClusterCalc_2x2SE[Peak or Nadir], "fill ClusterCalc Table",1), "no bin")</f>
        <v>no bin</v>
      </c>
      <c r="AG119" s="88" t="str">
        <f>IF(ISNUMBER(Cluster[[#This Row],[Bin_end]]), _xlfn.XLOOKUP(Cluster[[#This Row],[Bin_end]], ClusterCalc_3x3SE[Bin_end], ClusterCalc_3x3SE[Peak or Nadir], "fill ClusterCalc Table",1), "no bin")</f>
        <v>no bin</v>
      </c>
      <c r="AI119" s="104" t="s">
        <v>60</v>
      </c>
      <c r="AP119" s="104" t="s">
        <v>61</v>
      </c>
      <c r="AW119" s="104" t="s">
        <v>62</v>
      </c>
      <c r="BD119" s="104" t="s">
        <v>63</v>
      </c>
      <c r="BK119" s="119" t="s">
        <v>107</v>
      </c>
      <c r="BL119" s="119" t="s">
        <v>108</v>
      </c>
      <c r="BM119" s="119" t="s">
        <v>109</v>
      </c>
      <c r="BN119" s="119" t="s">
        <v>110</v>
      </c>
      <c r="BO119" s="119" t="s">
        <v>111</v>
      </c>
      <c r="BP119" s="119" t="s">
        <v>112</v>
      </c>
      <c r="BQ119" s="119" t="s">
        <v>113</v>
      </c>
      <c r="BR119" s="119" t="s">
        <v>114</v>
      </c>
      <c r="BS119" s="119" t="s">
        <v>115</v>
      </c>
      <c r="BT119" s="119" t="s">
        <v>116</v>
      </c>
      <c r="BV119"/>
    </row>
    <row r="120" spans="2:87" x14ac:dyDescent="0.2">
      <c r="B120" s="88">
        <f t="shared" si="0"/>
        <v>0</v>
      </c>
      <c r="C120" s="88">
        <f t="shared" si="1"/>
        <v>8</v>
      </c>
      <c r="D120" s="96">
        <f t="shared" si="2"/>
        <v>8</v>
      </c>
      <c r="E120" s="96">
        <f t="shared" si="3"/>
        <v>9</v>
      </c>
      <c r="F120" s="97">
        <f t="shared" si="4"/>
        <v>480</v>
      </c>
      <c r="G120" s="97">
        <f t="shared" si="5"/>
        <v>540</v>
      </c>
      <c r="H120" s="98"/>
      <c r="I120" s="99"/>
      <c r="J120" s="88" t="str">
        <f>IF(ISBLANK(FiringRate[[#This Row],[Event/bin]]), " ", FiringRate[[#This Row],[Event/bin]]/BinSize_sec)</f>
        <v xml:space="preserve"> </v>
      </c>
      <c r="K120" s="100" t="str">
        <f>IF(ISBLANK(FiringRate[[#This Row],[Conc events/bin]]), " ", FiringRate[[#This Row],[Conc events/bin]]/BinSize_sec)</f>
        <v xml:space="preserve"> </v>
      </c>
      <c r="W120" s="96" t="str">
        <f t="shared" si="6"/>
        <v>&gt; Spont Length</v>
      </c>
      <c r="X120" s="96" t="str">
        <f t="shared" si="7"/>
        <v>Enter Spont End</v>
      </c>
      <c r="Y120" s="97" t="str">
        <f t="shared" si="8"/>
        <v>&gt; Spont Length</v>
      </c>
      <c r="Z120" s="97" t="str">
        <f t="shared" si="9"/>
        <v>Enter Spont End</v>
      </c>
      <c r="AA120" s="99"/>
      <c r="AB120" s="103" t="str">
        <f>IF(ISNUMBER(Cluster[[#This Row],[Bin Start (min)]]), AB119+1, Cluster[[#This Row],[Bin Start (min)]])</f>
        <v>&gt; Spont Length</v>
      </c>
      <c r="AC120" s="103" t="str">
        <f>IF(ISNUMBER(Cluster[[#This Row],[Bin End (min)]]), AC119+1, Cluster[[#This Row],[Bin End (min)]])</f>
        <v>Enter Spont End</v>
      </c>
      <c r="AD120" s="88" t="str">
        <f>IF(ISNUMBER(Cluster[[#This Row],[Bin_end]]), _xlfn.XLOOKUP(Cluster[[#This Row],[Bin_end]], ClusterCalc_2x2SD[Bin_end], ClusterCalc_2x2SD[Peak or Nadir], "fill ClusterCalc Table",1), "no bin")</f>
        <v>no bin</v>
      </c>
      <c r="AE120" s="88" t="str">
        <f>IF(ISNUMBER(Cluster[[#This Row],[Bin_end]]), _xlfn.XLOOKUP(Cluster[[#This Row],[Bin_end]], ClusterCalc_3x3SD[Bin_end], ClusterCalc_3x3SD[Peak or Nadir], "fill ClusterCalc Table",1), "no bin")</f>
        <v>no bin</v>
      </c>
      <c r="AF120" s="88" t="str">
        <f>IF(ISNUMBER(Cluster[[#This Row],[Bin_end]]), _xlfn.XLOOKUP(Cluster[[#This Row],[Bin_end]], ClusterCalc_2x2SE[Bin_end], ClusterCalc_2x2SE[Peak or Nadir], "fill ClusterCalc Table",1), "no bin")</f>
        <v>no bin</v>
      </c>
      <c r="AG120" s="88" t="str">
        <f>IF(ISNUMBER(Cluster[[#This Row],[Bin_end]]), _xlfn.XLOOKUP(Cluster[[#This Row],[Bin_end]], ClusterCalc_3x3SE[Bin_end], ClusterCalc_3x3SE[Peak or Nadir], "fill ClusterCalc Table",1), "no bin")</f>
        <v>no bin</v>
      </c>
      <c r="AI120" s="88" t="s">
        <v>79</v>
      </c>
      <c r="AJ120" s="88" t="s">
        <v>80</v>
      </c>
      <c r="AK120" s="88" t="s">
        <v>58</v>
      </c>
      <c r="AL120" s="88" t="s">
        <v>59</v>
      </c>
      <c r="AM120" s="88" t="s">
        <v>81</v>
      </c>
      <c r="AN120" s="88" t="s">
        <v>82</v>
      </c>
      <c r="AP120" s="88" t="s">
        <v>79</v>
      </c>
      <c r="AQ120" s="88" t="s">
        <v>80</v>
      </c>
      <c r="AR120" s="88" t="s">
        <v>58</v>
      </c>
      <c r="AS120" s="88" t="s">
        <v>59</v>
      </c>
      <c r="AT120" s="88" t="s">
        <v>81</v>
      </c>
      <c r="AU120" s="88" t="s">
        <v>82</v>
      </c>
      <c r="AW120" s="88" t="s">
        <v>79</v>
      </c>
      <c r="AX120" s="88" t="s">
        <v>80</v>
      </c>
      <c r="AY120" s="88" t="s">
        <v>58</v>
      </c>
      <c r="AZ120" s="88" t="s">
        <v>59</v>
      </c>
      <c r="BA120" s="88" t="s">
        <v>81</v>
      </c>
      <c r="BB120" s="88" t="s">
        <v>82</v>
      </c>
      <c r="BD120" s="88" t="s">
        <v>79</v>
      </c>
      <c r="BE120" s="88" t="s">
        <v>80</v>
      </c>
      <c r="BF120" s="88" t="s">
        <v>58</v>
      </c>
      <c r="BG120" s="88" t="s">
        <v>59</v>
      </c>
      <c r="BH120" s="88" t="s">
        <v>81</v>
      </c>
      <c r="BI120" s="88" t="s">
        <v>82</v>
      </c>
      <c r="BK120" s="105"/>
      <c r="BL120" s="105"/>
      <c r="BM120" s="105"/>
      <c r="BN120" s="105"/>
      <c r="BO120" s="9"/>
      <c r="BP120" s="9"/>
      <c r="BQ120" s="9"/>
      <c r="BR120" s="9"/>
      <c r="BS120" s="9"/>
      <c r="BT120" s="9"/>
      <c r="BV120"/>
    </row>
    <row r="121" spans="2:87" x14ac:dyDescent="0.2">
      <c r="B121" s="88">
        <f t="shared" si="0"/>
        <v>0</v>
      </c>
      <c r="C121" s="88">
        <f t="shared" si="1"/>
        <v>9</v>
      </c>
      <c r="D121" s="96">
        <f t="shared" si="2"/>
        <v>9</v>
      </c>
      <c r="E121" s="96">
        <f t="shared" si="3"/>
        <v>10</v>
      </c>
      <c r="F121" s="97">
        <f t="shared" si="4"/>
        <v>540</v>
      </c>
      <c r="G121" s="97">
        <f t="shared" si="5"/>
        <v>600</v>
      </c>
      <c r="H121" s="98"/>
      <c r="I121" s="99"/>
      <c r="J121" s="88" t="str">
        <f>IF(ISBLANK(FiringRate[[#This Row],[Event/bin]]), " ", FiringRate[[#This Row],[Event/bin]]/BinSize_sec)</f>
        <v xml:space="preserve"> </v>
      </c>
      <c r="K121" s="100" t="str">
        <f>IF(ISBLANK(FiringRate[[#This Row],[Conc events/bin]]), " ", FiringRate[[#This Row],[Conc events/bin]]/BinSize_sec)</f>
        <v xml:space="preserve"> </v>
      </c>
      <c r="W121" s="96" t="str">
        <f t="shared" si="6"/>
        <v>&gt; Spont Length</v>
      </c>
      <c r="X121" s="96" t="str">
        <f t="shared" si="7"/>
        <v>Enter Spont End</v>
      </c>
      <c r="Y121" s="97" t="str">
        <f t="shared" si="8"/>
        <v>&gt; Spont Length</v>
      </c>
      <c r="Z121" s="97" t="str">
        <f t="shared" si="9"/>
        <v>Enter Spont End</v>
      </c>
      <c r="AA121" s="99"/>
      <c r="AB121" s="103" t="str">
        <f>IF(ISNUMBER(Cluster[[#This Row],[Bin Start (min)]]), AB120+1, Cluster[[#This Row],[Bin Start (min)]])</f>
        <v>&gt; Spont Length</v>
      </c>
      <c r="AC121" s="103" t="str">
        <f>IF(ISNUMBER(Cluster[[#This Row],[Bin End (min)]]), AC120+1, Cluster[[#This Row],[Bin End (min)]])</f>
        <v>Enter Spont End</v>
      </c>
      <c r="AD121" s="88" t="str">
        <f>IF(ISNUMBER(Cluster[[#This Row],[Bin_end]]), _xlfn.XLOOKUP(Cluster[[#This Row],[Bin_end]], ClusterCalc_2x2SD[Bin_end], ClusterCalc_2x2SD[Peak or Nadir], "fill ClusterCalc Table",1), "no bin")</f>
        <v>no bin</v>
      </c>
      <c r="AE121" s="88" t="str">
        <f>IF(ISNUMBER(Cluster[[#This Row],[Bin_end]]), _xlfn.XLOOKUP(Cluster[[#This Row],[Bin_end]], ClusterCalc_3x3SD[Bin_end], ClusterCalc_3x3SD[Peak or Nadir], "fill ClusterCalc Table",1), "no bin")</f>
        <v>no bin</v>
      </c>
      <c r="AF121" s="88" t="str">
        <f>IF(ISNUMBER(Cluster[[#This Row],[Bin_end]]), _xlfn.XLOOKUP(Cluster[[#This Row],[Bin_end]], ClusterCalc_2x2SE[Bin_end], ClusterCalc_2x2SE[Peak or Nadir], "fill ClusterCalc Table",1), "no bin")</f>
        <v>no bin</v>
      </c>
      <c r="AG121" s="88" t="str">
        <f>IF(ISNUMBER(Cluster[[#This Row],[Bin_end]]), _xlfn.XLOOKUP(Cluster[[#This Row],[Bin_end]], ClusterCalc_3x3SE[Bin_end], ClusterCalc_3x3SE[Peak or Nadir], "fill ClusterCalc Table",1), "no bin")</f>
        <v>no bin</v>
      </c>
      <c r="AI121" s="88" t="s">
        <v>87</v>
      </c>
      <c r="AJ121" s="118"/>
      <c r="AK121" s="118">
        <v>0</v>
      </c>
      <c r="AL121" s="118"/>
      <c r="AM121" s="88" t="str">
        <f>IF(ISNUMBER(ClusterCalc_2x2SD[[#This Row],[Bin_end]]), (ClusterCalc_2x2SD[[#This Row],[Bin_end]]-ClusterCalc_2x2SD[[#This Row],[Bin_start]]) * (ClusterBinSize_sec / 60), "NA")</f>
        <v>NA</v>
      </c>
      <c r="AN121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1" s="88" t="s">
        <v>87</v>
      </c>
      <c r="AQ121" s="118"/>
      <c r="AR121" s="118">
        <v>0</v>
      </c>
      <c r="AS121" s="118"/>
      <c r="AT121" s="88" t="str">
        <f>IF(ISNUMBER(ClusterCalc_3x3SD[[#This Row],[Bin_end]]), (ClusterCalc_3x3SD[[#This Row],[Bin_end]]-ClusterCalc_3x3SD[[#This Row],[Bin_start]]) * (ClusterBinSize_sec / 60), "NA")</f>
        <v>NA</v>
      </c>
      <c r="AU121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1" s="88" t="s">
        <v>87</v>
      </c>
      <c r="AX121" s="118"/>
      <c r="AY121" s="118">
        <v>0</v>
      </c>
      <c r="AZ121" s="118"/>
      <c r="BA121" s="88" t="str">
        <f>IF(ISNUMBER(ClusterCalc_2x2SE[[#This Row],[Bin_end]]), (ClusterCalc_2x2SE[[#This Row],[Bin_end]]-ClusterCalc_2x2SE[[#This Row],[Bin_start]]) * (ClusterBinSize_sec / 60), "NA")</f>
        <v>NA</v>
      </c>
      <c r="BB121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1" s="88" t="s">
        <v>87</v>
      </c>
      <c r="BE121" s="118"/>
      <c r="BF121" s="118">
        <v>0</v>
      </c>
      <c r="BG121" s="118"/>
      <c r="BI121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V121"/>
    </row>
    <row r="122" spans="2:87" x14ac:dyDescent="0.2">
      <c r="B122" s="88" t="str">
        <f t="shared" si="0"/>
        <v>&gt; Total Length</v>
      </c>
      <c r="C122" s="88" t="str">
        <f t="shared" si="1"/>
        <v>&gt; Total Length</v>
      </c>
      <c r="D122" s="96" t="str">
        <f t="shared" si="2"/>
        <v>&gt; Total Length</v>
      </c>
      <c r="E122" s="96" t="str">
        <f t="shared" si="3"/>
        <v>&gt; Total Length</v>
      </c>
      <c r="F122" s="97" t="str">
        <f t="shared" si="4"/>
        <v>&gt; Total Length</v>
      </c>
      <c r="G122" s="97" t="str">
        <f t="shared" si="5"/>
        <v>&gt; Total Length</v>
      </c>
      <c r="H122" s="98"/>
      <c r="I122" s="99"/>
      <c r="J122" s="88" t="str">
        <f>IF(ISBLANK(FiringRate[[#This Row],[Event/bin]]), " ", FiringRate[[#This Row],[Event/bin]]/BinSize_sec)</f>
        <v xml:space="preserve"> </v>
      </c>
      <c r="K122" s="100" t="str">
        <f>IF(ISBLANK(FiringRate[[#This Row],[Conc events/bin]]), " ", FiringRate[[#This Row],[Conc events/bin]]/BinSize_sec)</f>
        <v xml:space="preserve"> </v>
      </c>
      <c r="O122" s="88" t="s">
        <v>237</v>
      </c>
      <c r="P122" s="88" t="s">
        <v>238</v>
      </c>
      <c r="W122" s="96" t="str">
        <f t="shared" si="6"/>
        <v>&gt; Spont Length</v>
      </c>
      <c r="X122" s="96" t="str">
        <f t="shared" si="7"/>
        <v>Enter Spont End</v>
      </c>
      <c r="Y122" s="97" t="str">
        <f t="shared" si="8"/>
        <v>&gt; Spont Length</v>
      </c>
      <c r="Z122" s="97" t="str">
        <f t="shared" si="9"/>
        <v>Enter Spont End</v>
      </c>
      <c r="AA122" s="99"/>
      <c r="AB122" s="103" t="str">
        <f>IF(ISNUMBER(Cluster[[#This Row],[Bin Start (min)]]), AB121+1, Cluster[[#This Row],[Bin Start (min)]])</f>
        <v>&gt; Spont Length</v>
      </c>
      <c r="AC122" s="103" t="str">
        <f>IF(ISNUMBER(Cluster[[#This Row],[Bin End (min)]]), AC121+1, Cluster[[#This Row],[Bin End (min)]])</f>
        <v>Enter Spont End</v>
      </c>
      <c r="AD122" s="88" t="str">
        <f>IF(ISNUMBER(Cluster[[#This Row],[Bin_end]]), _xlfn.XLOOKUP(Cluster[[#This Row],[Bin_end]], ClusterCalc_2x2SD[Bin_end], ClusterCalc_2x2SD[Peak or Nadir], "fill ClusterCalc Table",1), "no bin")</f>
        <v>no bin</v>
      </c>
      <c r="AE122" s="88" t="str">
        <f>IF(ISNUMBER(Cluster[[#This Row],[Bin_end]]), _xlfn.XLOOKUP(Cluster[[#This Row],[Bin_end]], ClusterCalc_3x3SD[Bin_end], ClusterCalc_3x3SD[Peak or Nadir], "fill ClusterCalc Table",1), "no bin")</f>
        <v>no bin</v>
      </c>
      <c r="AF122" s="88" t="str">
        <f>IF(ISNUMBER(Cluster[[#This Row],[Bin_end]]), _xlfn.XLOOKUP(Cluster[[#This Row],[Bin_end]], ClusterCalc_2x2SE[Bin_end], ClusterCalc_2x2SE[Peak or Nadir], "fill ClusterCalc Table",1), "no bin")</f>
        <v>no bin</v>
      </c>
      <c r="AG122" s="88" t="str">
        <f>IF(ISNUMBER(Cluster[[#This Row],[Bin_end]]), _xlfn.XLOOKUP(Cluster[[#This Row],[Bin_end]], ClusterCalc_3x3SE[Bin_end], ClusterCalc_3x3SE[Peak or Nadir], "fill ClusterCalc Table",1), "no bin")</f>
        <v>no bin</v>
      </c>
      <c r="AI122" s="88" t="s">
        <v>100</v>
      </c>
      <c r="AJ122" s="118"/>
      <c r="AK122" s="120" t="str">
        <f>IF(ISNUMBER(AL121), AL121, "")</f>
        <v/>
      </c>
      <c r="AL122" s="118"/>
      <c r="AM122" s="88" t="str">
        <f>IF(ISNUMBER(ClusterCalc_2x2SD[[#This Row],[Bin_end]]), (ClusterCalc_2x2SD[[#This Row],[Bin_end]]-ClusterCalc_2x2SD[[#This Row],[Bin_start]]) * (ClusterBinSize_sec / 60), "NA")</f>
        <v>NA</v>
      </c>
      <c r="AN122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2" s="88" t="s">
        <v>100</v>
      </c>
      <c r="AQ122" s="118"/>
      <c r="AR122" s="120" t="str">
        <f t="shared" ref="AR122:AR136" si="10">IF(ISNUMBER(AS121), AS121, "")</f>
        <v/>
      </c>
      <c r="AS122" s="118"/>
      <c r="AT122" s="88" t="str">
        <f>IF(ISNUMBER(ClusterCalc_3x3SD[[#This Row],[Bin_end]]), (ClusterCalc_3x3SD[[#This Row],[Bin_end]]-ClusterCalc_3x3SD[[#This Row],[Bin_start]]) * (ClusterBinSize_sec / 60), "NA")</f>
        <v>NA</v>
      </c>
      <c r="AU122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2" s="88" t="s">
        <v>100</v>
      </c>
      <c r="AX122" s="118"/>
      <c r="AY122" s="120" t="str">
        <f>IF(ISNUMBER(AZ121), AZ121, "")</f>
        <v/>
      </c>
      <c r="AZ122" s="118"/>
      <c r="BA122" s="88" t="str">
        <f>IF(ISNUMBER(ClusterCalc_2x2SE[[#This Row],[Bin_end]]), (ClusterCalc_2x2SE[[#This Row],[Bin_end]]-ClusterCalc_2x2SE[[#This Row],[Bin_start]]) * (ClusterBinSize_sec / 60), "NA")</f>
        <v>NA</v>
      </c>
      <c r="BB122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2" s="88" t="s">
        <v>100</v>
      </c>
      <c r="BE122" s="118"/>
      <c r="BF122" s="120" t="str">
        <f t="shared" ref="BF122:BF136" si="11">IF(ISNUMBER(BG121), BG121, "")</f>
        <v/>
      </c>
      <c r="BG122" s="118"/>
      <c r="BI122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2" s="121" t="s">
        <v>122</v>
      </c>
      <c r="BL122" s="121" t="s">
        <v>123</v>
      </c>
      <c r="BM122" s="121" t="s">
        <v>124</v>
      </c>
      <c r="BN122" s="121" t="s">
        <v>125</v>
      </c>
      <c r="BO122" s="121" t="s">
        <v>126</v>
      </c>
      <c r="BP122" s="121" t="s">
        <v>127</v>
      </c>
      <c r="BQ122" s="121" t="s">
        <v>128</v>
      </c>
      <c r="BR122" s="121" t="s">
        <v>129</v>
      </c>
      <c r="BS122" s="121" t="s">
        <v>130</v>
      </c>
      <c r="BT122" s="121" t="s">
        <v>131</v>
      </c>
      <c r="BV122"/>
    </row>
    <row r="123" spans="2:87" x14ac:dyDescent="0.2">
      <c r="B123" s="88" t="str">
        <f t="shared" si="0"/>
        <v>&gt; Total Length</v>
      </c>
      <c r="C123" s="88" t="str">
        <f t="shared" si="1"/>
        <v>&gt; Total Length</v>
      </c>
      <c r="D123" s="96" t="str">
        <f t="shared" si="2"/>
        <v>&gt; Total Length</v>
      </c>
      <c r="E123" s="96" t="str">
        <f t="shared" si="3"/>
        <v>&gt; Total Length</v>
      </c>
      <c r="F123" s="97" t="str">
        <f t="shared" si="4"/>
        <v>&gt; Total Length</v>
      </c>
      <c r="G123" s="97" t="str">
        <f t="shared" si="5"/>
        <v>&gt; Total Length</v>
      </c>
      <c r="H123" s="98"/>
      <c r="I123" s="99"/>
      <c r="J123" s="88" t="str">
        <f>IF(ISBLANK(FiringRate[[#This Row],[Event/bin]]), " ", FiringRate[[#This Row],[Event/bin]]/BinSize_sec)</f>
        <v xml:space="preserve"> </v>
      </c>
      <c r="K123" s="100" t="str">
        <f>IF(ISBLANK(FiringRate[[#This Row],[Conc events/bin]]), " ", FiringRate[[#This Row],[Conc events/bin]]/BinSize_sec)</f>
        <v xml:space="preserve"> </v>
      </c>
      <c r="N123" s="88" t="s">
        <v>10</v>
      </c>
      <c r="O123" s="89" t="str">
        <f>IF(ISBLANK(StartTime_spont), "Enter Time", StartTime_spont * 60)</f>
        <v>Enter Time</v>
      </c>
      <c r="P123" s="89" t="str">
        <f>IF(ISBLANK(EndTime_spont), "Enter Time", EndTime_spont * 60)</f>
        <v>Enter Time</v>
      </c>
      <c r="R123" s="134"/>
      <c r="W123" s="96" t="str">
        <f t="shared" si="6"/>
        <v>&gt; Spont Length</v>
      </c>
      <c r="X123" s="96" t="str">
        <f t="shared" si="7"/>
        <v>Enter Spont End</v>
      </c>
      <c r="Y123" s="97" t="str">
        <f t="shared" si="8"/>
        <v>&gt; Spont Length</v>
      </c>
      <c r="Z123" s="97" t="str">
        <f t="shared" si="9"/>
        <v>Enter Spont End</v>
      </c>
      <c r="AA123" s="99"/>
      <c r="AB123" s="103" t="str">
        <f>IF(ISNUMBER(Cluster[[#This Row],[Bin Start (min)]]), AB122+1, Cluster[[#This Row],[Bin Start (min)]])</f>
        <v>&gt; Spont Length</v>
      </c>
      <c r="AC123" s="103" t="str">
        <f>IF(ISNUMBER(Cluster[[#This Row],[Bin End (min)]]), AC122+1, Cluster[[#This Row],[Bin End (min)]])</f>
        <v>Enter Spont End</v>
      </c>
      <c r="AD123" s="88" t="str">
        <f>IF(ISNUMBER(Cluster[[#This Row],[Bin_end]]), _xlfn.XLOOKUP(Cluster[[#This Row],[Bin_end]], ClusterCalc_2x2SD[Bin_end], ClusterCalc_2x2SD[Peak or Nadir], "fill ClusterCalc Table",1), "no bin")</f>
        <v>no bin</v>
      </c>
      <c r="AE123" s="88" t="str">
        <f>IF(ISNUMBER(Cluster[[#This Row],[Bin_end]]), _xlfn.XLOOKUP(Cluster[[#This Row],[Bin_end]], ClusterCalc_3x3SD[Bin_end], ClusterCalc_3x3SD[Peak or Nadir], "fill ClusterCalc Table",1), "no bin")</f>
        <v>no bin</v>
      </c>
      <c r="AF123" s="88" t="str">
        <f>IF(ISNUMBER(Cluster[[#This Row],[Bin_end]]), _xlfn.XLOOKUP(Cluster[[#This Row],[Bin_end]], ClusterCalc_2x2SE[Bin_end], ClusterCalc_2x2SE[Peak or Nadir], "fill ClusterCalc Table",1), "no bin")</f>
        <v>no bin</v>
      </c>
      <c r="AG123" s="88" t="str">
        <f>IF(ISNUMBER(Cluster[[#This Row],[Bin_end]]), _xlfn.XLOOKUP(Cluster[[#This Row],[Bin_end]], ClusterCalc_3x3SE[Bin_end], ClusterCalc_3x3SE[Peak or Nadir], "fill ClusterCalc Table",1), "no bin")</f>
        <v>no bin</v>
      </c>
      <c r="AI123" s="88" t="s">
        <v>103</v>
      </c>
      <c r="AJ123" s="118"/>
      <c r="AK123" s="120" t="str">
        <f t="shared" ref="AK123:AK136" si="12">IF(ISNUMBER(AL122), AL122, "")</f>
        <v/>
      </c>
      <c r="AL123" s="118"/>
      <c r="AM123" s="88" t="str">
        <f>IF(ISNUMBER(ClusterCalc_2x2SD[[#This Row],[Bin_end]]), (ClusterCalc_2x2SD[[#This Row],[Bin_end]]-ClusterCalc_2x2SD[[#This Row],[Bin_start]]) * (ClusterBinSize_sec / 60), "NA")</f>
        <v>NA</v>
      </c>
      <c r="AN123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3" s="88" t="s">
        <v>103</v>
      </c>
      <c r="AQ123" s="118"/>
      <c r="AR123" s="120" t="str">
        <f t="shared" si="10"/>
        <v/>
      </c>
      <c r="AS123" s="118"/>
      <c r="AT123" s="88" t="str">
        <f>IF(ISNUMBER(ClusterCalc_3x3SD[[#This Row],[Bin_end]]), (ClusterCalc_3x3SD[[#This Row],[Bin_end]]-ClusterCalc_3x3SD[[#This Row],[Bin_start]]) * (ClusterBinSize_sec / 60), "NA")</f>
        <v>NA</v>
      </c>
      <c r="AU123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3" s="88" t="s">
        <v>103</v>
      </c>
      <c r="AX123" s="118"/>
      <c r="AY123" s="120" t="str">
        <f t="shared" ref="AY123:AY136" si="13">IF(ISNUMBER(AZ122), AZ122, "")</f>
        <v/>
      </c>
      <c r="AZ123" s="118"/>
      <c r="BA123" s="88" t="str">
        <f>IF(ISNUMBER(ClusterCalc_2x2SE[[#This Row],[Bin_end]]), (ClusterCalc_2x2SE[[#This Row],[Bin_end]]-ClusterCalc_2x2SE[[#This Row],[Bin_start]]) * (ClusterBinSize_sec / 60), "NA")</f>
        <v>NA</v>
      </c>
      <c r="BB123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3" s="88" t="s">
        <v>103</v>
      </c>
      <c r="BE123" s="118"/>
      <c r="BF123" s="120" t="str">
        <f t="shared" si="11"/>
        <v/>
      </c>
      <c r="BG123" s="118"/>
      <c r="BI123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3" s="105"/>
      <c r="BL123" s="105"/>
      <c r="BM123" s="105"/>
      <c r="BN123" s="105"/>
      <c r="BO123" s="9"/>
      <c r="BP123" s="9"/>
      <c r="BQ123" s="9"/>
      <c r="BR123" s="9"/>
      <c r="BS123" s="9"/>
      <c r="BT123" s="9"/>
      <c r="BV123"/>
    </row>
    <row r="124" spans="2:87" x14ac:dyDescent="0.2">
      <c r="B124" s="88" t="str">
        <f t="shared" si="0"/>
        <v>&gt; Total Length</v>
      </c>
      <c r="C124" s="88" t="str">
        <f t="shared" si="1"/>
        <v>&gt; Total Length</v>
      </c>
      <c r="D124" s="96" t="str">
        <f t="shared" si="2"/>
        <v>&gt; Total Length</v>
      </c>
      <c r="E124" s="96" t="str">
        <f t="shared" si="3"/>
        <v>&gt; Total Length</v>
      </c>
      <c r="F124" s="97" t="str">
        <f t="shared" si="4"/>
        <v>&gt; Total Length</v>
      </c>
      <c r="G124" s="97" t="str">
        <f t="shared" si="5"/>
        <v>&gt; Total Length</v>
      </c>
      <c r="H124" s="98"/>
      <c r="I124" s="99"/>
      <c r="J124" s="88" t="str">
        <f>IF(ISBLANK(FiringRate[[#This Row],[Event/bin]]), " ", FiringRate[[#This Row],[Event/bin]]/BinSize_sec)</f>
        <v xml:space="preserve"> </v>
      </c>
      <c r="K124" s="100" t="str">
        <f>IF(ISBLANK(FiringRate[[#This Row],[Conc events/bin]]), " ", FiringRate[[#This Row],[Conc events/bin]]/BinSize_sec)</f>
        <v xml:space="preserve"> </v>
      </c>
      <c r="N124" s="88" t="s">
        <v>99</v>
      </c>
      <c r="O124" s="92" t="str">
        <f>IF(ISBLANK(O117), "Enter Time", O117 * 60)</f>
        <v>Enter Time</v>
      </c>
      <c r="P124" s="92" t="str">
        <f>IF(ISBLANK(P117), "Enter Time", P117 * 60)</f>
        <v>Enter Time</v>
      </c>
      <c r="W124" s="96" t="str">
        <f t="shared" si="6"/>
        <v>&gt; Spont Length</v>
      </c>
      <c r="X124" s="96" t="str">
        <f t="shared" si="7"/>
        <v>Enter Spont End</v>
      </c>
      <c r="Y124" s="97" t="str">
        <f t="shared" si="8"/>
        <v>&gt; Spont Length</v>
      </c>
      <c r="Z124" s="97" t="str">
        <f t="shared" si="9"/>
        <v>Enter Spont End</v>
      </c>
      <c r="AA124" s="99"/>
      <c r="AB124" s="103" t="str">
        <f>IF(ISNUMBER(Cluster[[#This Row],[Bin Start (min)]]), AB123+1, Cluster[[#This Row],[Bin Start (min)]])</f>
        <v>&gt; Spont Length</v>
      </c>
      <c r="AC124" s="103" t="str">
        <f>IF(ISNUMBER(Cluster[[#This Row],[Bin End (min)]]), AC123+1, Cluster[[#This Row],[Bin End (min)]])</f>
        <v>Enter Spont End</v>
      </c>
      <c r="AD124" s="88" t="str">
        <f>IF(ISNUMBER(Cluster[[#This Row],[Bin_end]]), _xlfn.XLOOKUP(Cluster[[#This Row],[Bin_end]], ClusterCalc_2x2SD[Bin_end], ClusterCalc_2x2SD[Peak or Nadir], "fill ClusterCalc Table",1), "no bin")</f>
        <v>no bin</v>
      </c>
      <c r="AE124" s="88" t="str">
        <f>IF(ISNUMBER(Cluster[[#This Row],[Bin_end]]), _xlfn.XLOOKUP(Cluster[[#This Row],[Bin_end]], ClusterCalc_3x3SD[Bin_end], ClusterCalc_3x3SD[Peak or Nadir], "fill ClusterCalc Table",1), "no bin")</f>
        <v>no bin</v>
      </c>
      <c r="AF124" s="88" t="str">
        <f>IF(ISNUMBER(Cluster[[#This Row],[Bin_end]]), _xlfn.XLOOKUP(Cluster[[#This Row],[Bin_end]], ClusterCalc_2x2SE[Bin_end], ClusterCalc_2x2SE[Peak or Nadir], "fill ClusterCalc Table",1), "no bin")</f>
        <v>no bin</v>
      </c>
      <c r="AG124" s="88" t="str">
        <f>IF(ISNUMBER(Cluster[[#This Row],[Bin_end]]), _xlfn.XLOOKUP(Cluster[[#This Row],[Bin_end]], ClusterCalc_3x3SE[Bin_end], ClusterCalc_3x3SE[Peak or Nadir], "fill ClusterCalc Table",1), "no bin")</f>
        <v>no bin</v>
      </c>
      <c r="AI124" s="88" t="s">
        <v>105</v>
      </c>
      <c r="AJ124" s="118"/>
      <c r="AK124" s="120" t="str">
        <f t="shared" si="12"/>
        <v/>
      </c>
      <c r="AL124" s="118"/>
      <c r="AM124" s="88" t="str">
        <f>IF(ISNUMBER(ClusterCalc_2x2SD[[#This Row],[Bin_end]]), (ClusterCalc_2x2SD[[#This Row],[Bin_end]]-ClusterCalc_2x2SD[[#This Row],[Bin_start]]) * (ClusterBinSize_sec / 60), "NA")</f>
        <v>NA</v>
      </c>
      <c r="AN124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4" s="88" t="s">
        <v>105</v>
      </c>
      <c r="AQ124" s="118"/>
      <c r="AR124" s="120" t="str">
        <f t="shared" si="10"/>
        <v/>
      </c>
      <c r="AS124" s="118"/>
      <c r="AT124" s="88" t="str">
        <f>IF(ISNUMBER(ClusterCalc_3x3SD[[#This Row],[Bin_end]]), (ClusterCalc_3x3SD[[#This Row],[Bin_end]]-ClusterCalc_3x3SD[[#This Row],[Bin_start]]) * (ClusterBinSize_sec / 60), "NA")</f>
        <v>NA</v>
      </c>
      <c r="AU124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4" s="88" t="s">
        <v>105</v>
      </c>
      <c r="AX124" s="118"/>
      <c r="AY124" s="120" t="str">
        <f t="shared" si="13"/>
        <v/>
      </c>
      <c r="AZ124" s="118"/>
      <c r="BA124" s="88" t="str">
        <f>IF(ISNUMBER(ClusterCalc_2x2SE[[#This Row],[Bin_end]]), (ClusterCalc_2x2SE[[#This Row],[Bin_end]]-ClusterCalc_2x2SE[[#This Row],[Bin_start]]) * (ClusterBinSize_sec / 60), "NA")</f>
        <v>NA</v>
      </c>
      <c r="BB124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4" s="88" t="s">
        <v>105</v>
      </c>
      <c r="BE124" s="118"/>
      <c r="BF124" s="120" t="str">
        <f t="shared" si="11"/>
        <v/>
      </c>
      <c r="BG124" s="118"/>
      <c r="BI124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V124"/>
    </row>
    <row r="125" spans="2:87" ht="31" x14ac:dyDescent="0.35">
      <c r="B125" s="88" t="str">
        <f t="shared" si="0"/>
        <v>&gt; Total Length</v>
      </c>
      <c r="C125" s="88" t="str">
        <f t="shared" si="1"/>
        <v>&gt; Total Length</v>
      </c>
      <c r="D125" s="96" t="str">
        <f t="shared" si="2"/>
        <v>&gt; Total Length</v>
      </c>
      <c r="E125" s="96" t="str">
        <f t="shared" si="3"/>
        <v>&gt; Total Length</v>
      </c>
      <c r="F125" s="97" t="str">
        <f t="shared" si="4"/>
        <v>&gt; Total Length</v>
      </c>
      <c r="G125" s="97" t="str">
        <f t="shared" si="5"/>
        <v>&gt; Total Length</v>
      </c>
      <c r="H125" s="98"/>
      <c r="I125" s="99"/>
      <c r="J125" s="88" t="str">
        <f>IF(ISBLANK(FiringRate[[#This Row],[Event/bin]]), " ", FiringRate[[#This Row],[Event/bin]]/BinSize_sec)</f>
        <v xml:space="preserve"> </v>
      </c>
      <c r="K125" s="100" t="str">
        <f>IF(ISBLANK(FiringRate[[#This Row],[Conc events/bin]]), " ", FiringRate[[#This Row],[Conc events/bin]]/BinSize_sec)</f>
        <v xml:space="preserve"> </v>
      </c>
      <c r="N125" s="88" t="s">
        <v>102</v>
      </c>
      <c r="O125" s="93" t="str">
        <f>IF(ISBLANK(O118), "Enter Time", O118* 60)</f>
        <v>Enter Time</v>
      </c>
      <c r="P125" s="93" t="str">
        <f>IF(ISBLANK(P118), "Enter Time", P118 * 60)</f>
        <v>Enter Time</v>
      </c>
      <c r="W125" s="96" t="str">
        <f t="shared" si="6"/>
        <v>&gt; Spont Length</v>
      </c>
      <c r="X125" s="96" t="str">
        <f t="shared" si="7"/>
        <v>Enter Spont End</v>
      </c>
      <c r="Y125" s="97" t="str">
        <f t="shared" si="8"/>
        <v>&gt; Spont Length</v>
      </c>
      <c r="Z125" s="97" t="str">
        <f t="shared" si="9"/>
        <v>Enter Spont End</v>
      </c>
      <c r="AA125" s="99"/>
      <c r="AB125" s="103" t="str">
        <f>IF(ISNUMBER(Cluster[[#This Row],[Bin Start (min)]]), AB124+1, Cluster[[#This Row],[Bin Start (min)]])</f>
        <v>&gt; Spont Length</v>
      </c>
      <c r="AC125" s="103" t="str">
        <f>IF(ISNUMBER(Cluster[[#This Row],[Bin End (min)]]), AC124+1, Cluster[[#This Row],[Bin End (min)]])</f>
        <v>Enter Spont End</v>
      </c>
      <c r="AD125" s="88" t="str">
        <f>IF(ISNUMBER(Cluster[[#This Row],[Bin_end]]), _xlfn.XLOOKUP(Cluster[[#This Row],[Bin_end]], ClusterCalc_2x2SD[Bin_end], ClusterCalc_2x2SD[Peak or Nadir], "fill ClusterCalc Table",1), "no bin")</f>
        <v>no bin</v>
      </c>
      <c r="AE125" s="88" t="str">
        <f>IF(ISNUMBER(Cluster[[#This Row],[Bin_end]]), _xlfn.XLOOKUP(Cluster[[#This Row],[Bin_end]], ClusterCalc_3x3SD[Bin_end], ClusterCalc_3x3SD[Peak or Nadir], "fill ClusterCalc Table",1), "no bin")</f>
        <v>no bin</v>
      </c>
      <c r="AF125" s="88" t="str">
        <f>IF(ISNUMBER(Cluster[[#This Row],[Bin_end]]), _xlfn.XLOOKUP(Cluster[[#This Row],[Bin_end]], ClusterCalc_2x2SE[Bin_end], ClusterCalc_2x2SE[Peak or Nadir], "fill ClusterCalc Table",1), "no bin")</f>
        <v>no bin</v>
      </c>
      <c r="AG125" s="88" t="str">
        <f>IF(ISNUMBER(Cluster[[#This Row],[Bin_end]]), _xlfn.XLOOKUP(Cluster[[#This Row],[Bin_end]], ClusterCalc_3x3SE[Bin_end], ClusterCalc_3x3SE[Peak or Nadir], "fill ClusterCalc Table",1), "no bin")</f>
        <v>no bin</v>
      </c>
      <c r="AI125" s="88" t="s">
        <v>106</v>
      </c>
      <c r="AJ125" s="118"/>
      <c r="AK125" s="120" t="str">
        <f t="shared" si="12"/>
        <v/>
      </c>
      <c r="AL125" s="118"/>
      <c r="AM125" s="88" t="str">
        <f>IF(ISNUMBER(ClusterCalc_2x2SD[[#This Row],[Bin_end]]), (ClusterCalc_2x2SD[[#This Row],[Bin_end]]-ClusterCalc_2x2SD[[#This Row],[Bin_start]]) * (ClusterBinSize_sec / 60), "NA")</f>
        <v>NA</v>
      </c>
      <c r="AN125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5" s="88" t="s">
        <v>106</v>
      </c>
      <c r="AQ125" s="118"/>
      <c r="AR125" s="120" t="str">
        <f t="shared" si="10"/>
        <v/>
      </c>
      <c r="AS125" s="118"/>
      <c r="AT125" s="88" t="str">
        <f>IF(ISNUMBER(ClusterCalc_3x3SD[[#This Row],[Bin_end]]), (ClusterCalc_3x3SD[[#This Row],[Bin_end]]-ClusterCalc_3x3SD[[#This Row],[Bin_start]]) * (ClusterBinSize_sec / 60), "NA")</f>
        <v>NA</v>
      </c>
      <c r="AU125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5" s="88" t="s">
        <v>106</v>
      </c>
      <c r="AX125" s="118"/>
      <c r="AY125" s="120" t="str">
        <f t="shared" si="13"/>
        <v/>
      </c>
      <c r="AZ125" s="118"/>
      <c r="BA125" s="88" t="str">
        <f>IF(ISNUMBER(ClusterCalc_2x2SE[[#This Row],[Bin_end]]), (ClusterCalc_2x2SE[[#This Row],[Bin_end]]-ClusterCalc_2x2SE[[#This Row],[Bin_start]]) * (ClusterBinSize_sec / 60), "NA")</f>
        <v>NA</v>
      </c>
      <c r="BB125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5" s="88" t="s">
        <v>106</v>
      </c>
      <c r="BE125" s="118"/>
      <c r="BF125" s="120" t="str">
        <f t="shared" si="11"/>
        <v/>
      </c>
      <c r="BG125" s="118"/>
      <c r="BI125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5" s="122" t="s">
        <v>201</v>
      </c>
      <c r="BV125"/>
    </row>
    <row r="126" spans="2:87" x14ac:dyDescent="0.2">
      <c r="B126" s="88" t="str">
        <f t="shared" si="0"/>
        <v>&gt; Total Length</v>
      </c>
      <c r="C126" s="88" t="str">
        <f t="shared" si="1"/>
        <v>&gt; Total Length</v>
      </c>
      <c r="D126" s="96" t="str">
        <f t="shared" si="2"/>
        <v>&gt; Total Length</v>
      </c>
      <c r="E126" s="96" t="str">
        <f t="shared" si="3"/>
        <v>&gt; Total Length</v>
      </c>
      <c r="F126" s="97" t="str">
        <f t="shared" si="4"/>
        <v>&gt; Total Length</v>
      </c>
      <c r="G126" s="97" t="str">
        <f t="shared" si="5"/>
        <v>&gt; Total Length</v>
      </c>
      <c r="H126" s="98"/>
      <c r="I126" s="99"/>
      <c r="J126" s="88" t="str">
        <f>IF(ISBLANK(FiringRate[[#This Row],[Event/bin]]), " ", FiringRate[[#This Row],[Event/bin]]/BinSize_sec)</f>
        <v xml:space="preserve"> </v>
      </c>
      <c r="K126" s="100" t="str">
        <f>IF(ISBLANK(FiringRate[[#This Row],[Conc events/bin]]), " ", FiringRate[[#This Row],[Conc events/bin]]/BinSize_sec)</f>
        <v xml:space="preserve"> </v>
      </c>
      <c r="N126" s="88" t="s">
        <v>104</v>
      </c>
      <c r="O126" s="98" t="str">
        <f>IF(ISBLANK(O119), "Enter Time", O119 * 60)</f>
        <v>Enter Time</v>
      </c>
      <c r="P126" s="98" t="str">
        <f>IF(ISBLANK(P119), "Enter Time", P119 * 60)</f>
        <v>Enter Time</v>
      </c>
      <c r="W126" s="96" t="str">
        <f t="shared" si="6"/>
        <v>&gt; Spont Length</v>
      </c>
      <c r="X126" s="96" t="str">
        <f t="shared" si="7"/>
        <v>Enter Spont End</v>
      </c>
      <c r="Y126" s="97" t="str">
        <f t="shared" si="8"/>
        <v>&gt; Spont Length</v>
      </c>
      <c r="Z126" s="97" t="str">
        <f t="shared" si="9"/>
        <v>Enter Spont End</v>
      </c>
      <c r="AA126" s="99"/>
      <c r="AB126" s="103" t="str">
        <f>IF(ISNUMBER(Cluster[[#This Row],[Bin Start (min)]]), AB125+1, Cluster[[#This Row],[Bin Start (min)]])</f>
        <v>&gt; Spont Length</v>
      </c>
      <c r="AC126" s="103" t="str">
        <f>IF(ISNUMBER(Cluster[[#This Row],[Bin End (min)]]), AC125+1, Cluster[[#This Row],[Bin End (min)]])</f>
        <v>Enter Spont End</v>
      </c>
      <c r="AD126" s="88" t="str">
        <f>IF(ISNUMBER(Cluster[[#This Row],[Bin_end]]), _xlfn.XLOOKUP(Cluster[[#This Row],[Bin_end]], ClusterCalc_2x2SD[Bin_end], ClusterCalc_2x2SD[Peak or Nadir], "fill ClusterCalc Table",1), "no bin")</f>
        <v>no bin</v>
      </c>
      <c r="AE126" s="88" t="str">
        <f>IF(ISNUMBER(Cluster[[#This Row],[Bin_end]]), _xlfn.XLOOKUP(Cluster[[#This Row],[Bin_end]], ClusterCalc_3x3SD[Bin_end], ClusterCalc_3x3SD[Peak or Nadir], "fill ClusterCalc Table",1), "no bin")</f>
        <v>no bin</v>
      </c>
      <c r="AF126" s="88" t="str">
        <f>IF(ISNUMBER(Cluster[[#This Row],[Bin_end]]), _xlfn.XLOOKUP(Cluster[[#This Row],[Bin_end]], ClusterCalc_2x2SE[Bin_end], ClusterCalc_2x2SE[Peak or Nadir], "fill ClusterCalc Table",1), "no bin")</f>
        <v>no bin</v>
      </c>
      <c r="AG126" s="88" t="str">
        <f>IF(ISNUMBER(Cluster[[#This Row],[Bin_end]]), _xlfn.XLOOKUP(Cluster[[#This Row],[Bin_end]], ClusterCalc_3x3SE[Bin_end], ClusterCalc_3x3SE[Peak or Nadir], "fill ClusterCalc Table",1), "no bin")</f>
        <v>no bin</v>
      </c>
      <c r="AI126" s="88" t="s">
        <v>117</v>
      </c>
      <c r="AJ126" s="118"/>
      <c r="AK126" s="120" t="str">
        <f t="shared" si="12"/>
        <v/>
      </c>
      <c r="AL126" s="118"/>
      <c r="AM126" s="88" t="str">
        <f>IF(ISNUMBER(ClusterCalc_2x2SD[[#This Row],[Bin_end]]), (ClusterCalc_2x2SD[[#This Row],[Bin_end]]-ClusterCalc_2x2SD[[#This Row],[Bin_start]]) * (ClusterBinSize_sec / 60), "NA")</f>
        <v>NA</v>
      </c>
      <c r="AN126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6" s="88" t="s">
        <v>117</v>
      </c>
      <c r="AQ126" s="118"/>
      <c r="AR126" s="120" t="str">
        <f t="shared" si="10"/>
        <v/>
      </c>
      <c r="AS126" s="118"/>
      <c r="AT126" s="88" t="str">
        <f>IF(ISNUMBER(ClusterCalc_3x3SD[[#This Row],[Bin_end]]), (ClusterCalc_3x3SD[[#This Row],[Bin_end]]-ClusterCalc_3x3SD[[#This Row],[Bin_start]]) * (ClusterBinSize_sec / 60), "NA")</f>
        <v>NA</v>
      </c>
      <c r="AU126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6" s="88" t="s">
        <v>117</v>
      </c>
      <c r="AX126" s="118"/>
      <c r="AY126" s="120" t="str">
        <f t="shared" si="13"/>
        <v/>
      </c>
      <c r="AZ126" s="118"/>
      <c r="BA126" s="88" t="str">
        <f>IF(ISNUMBER(ClusterCalc_2x2SE[[#This Row],[Bin_end]]), (ClusterCalc_2x2SE[[#This Row],[Bin_end]]-ClusterCalc_2x2SE[[#This Row],[Bin_start]]) * (ClusterBinSize_sec / 60), "NA")</f>
        <v>NA</v>
      </c>
      <c r="BB126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6" s="88" t="s">
        <v>117</v>
      </c>
      <c r="BE126" s="118"/>
      <c r="BF126" s="120" t="str">
        <f t="shared" si="11"/>
        <v/>
      </c>
      <c r="BG126" s="118"/>
      <c r="BI126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6" s="94" t="s">
        <v>155</v>
      </c>
      <c r="BL126" s="94" t="s">
        <v>154</v>
      </c>
      <c r="BM126" s="94" t="s">
        <v>156</v>
      </c>
      <c r="BN126" s="94" t="s">
        <v>157</v>
      </c>
      <c r="BO126" s="94" t="s">
        <v>158</v>
      </c>
      <c r="BP126" s="94" t="s">
        <v>153</v>
      </c>
      <c r="BQ126" s="94" t="s">
        <v>159</v>
      </c>
      <c r="BR126" s="94" t="s">
        <v>160</v>
      </c>
      <c r="BS126" s="94" t="s">
        <v>161</v>
      </c>
      <c r="BT126" s="123" t="s">
        <v>162</v>
      </c>
      <c r="BV126"/>
    </row>
    <row r="127" spans="2:87" x14ac:dyDescent="0.2">
      <c r="B127" s="88" t="str">
        <f t="shared" si="0"/>
        <v>&gt; Total Length</v>
      </c>
      <c r="C127" s="88" t="str">
        <f t="shared" si="1"/>
        <v>&gt; Total Length</v>
      </c>
      <c r="D127" s="96" t="str">
        <f t="shared" si="2"/>
        <v>&gt; Total Length</v>
      </c>
      <c r="E127" s="96" t="str">
        <f t="shared" si="3"/>
        <v>&gt; Total Length</v>
      </c>
      <c r="F127" s="97" t="str">
        <f t="shared" si="4"/>
        <v>&gt; Total Length</v>
      </c>
      <c r="G127" s="97" t="str">
        <f t="shared" si="5"/>
        <v>&gt; Total Length</v>
      </c>
      <c r="H127" s="98"/>
      <c r="I127" s="99"/>
      <c r="J127" s="88" t="str">
        <f>IF(ISBLANK(FiringRate[[#This Row],[Event/bin]]), " ", FiringRate[[#This Row],[Event/bin]]/BinSize_sec)</f>
        <v xml:space="preserve"> </v>
      </c>
      <c r="K127" s="100" t="str">
        <f>IF(ISBLANK(FiringRate[[#This Row],[Conc events/bin]]), " ", FiringRate[[#This Row],[Conc events/bin]]/BinSize_sec)</f>
        <v xml:space="preserve"> </v>
      </c>
      <c r="N127" s="166" t="s">
        <v>119</v>
      </c>
      <c r="O127" s="166"/>
      <c r="P127" s="166"/>
      <c r="Q127" s="166"/>
      <c r="W127" s="96" t="str">
        <f t="shared" si="6"/>
        <v>&gt; Spont Length</v>
      </c>
      <c r="X127" s="96" t="str">
        <f t="shared" si="7"/>
        <v>Enter Spont End</v>
      </c>
      <c r="Y127" s="97" t="str">
        <f t="shared" si="8"/>
        <v>&gt; Spont Length</v>
      </c>
      <c r="Z127" s="97" t="str">
        <f t="shared" si="9"/>
        <v>Enter Spont End</v>
      </c>
      <c r="AA127" s="99"/>
      <c r="AB127" s="103" t="str">
        <f>IF(ISNUMBER(Cluster[[#This Row],[Bin Start (min)]]), AB126+1, Cluster[[#This Row],[Bin Start (min)]])</f>
        <v>&gt; Spont Length</v>
      </c>
      <c r="AC127" s="103" t="str">
        <f>IF(ISNUMBER(Cluster[[#This Row],[Bin End (min)]]), AC126+1, Cluster[[#This Row],[Bin End (min)]])</f>
        <v>Enter Spont End</v>
      </c>
      <c r="AD127" s="88" t="str">
        <f>IF(ISNUMBER(Cluster[[#This Row],[Bin_end]]), _xlfn.XLOOKUP(Cluster[[#This Row],[Bin_end]], ClusterCalc_2x2SD[Bin_end], ClusterCalc_2x2SD[Peak or Nadir], "fill ClusterCalc Table",1), "no bin")</f>
        <v>no bin</v>
      </c>
      <c r="AE127" s="88" t="str">
        <f>IF(ISNUMBER(Cluster[[#This Row],[Bin_end]]), _xlfn.XLOOKUP(Cluster[[#This Row],[Bin_end]], ClusterCalc_3x3SD[Bin_end], ClusterCalc_3x3SD[Peak or Nadir], "fill ClusterCalc Table",1), "no bin")</f>
        <v>no bin</v>
      </c>
      <c r="AF127" s="88" t="str">
        <f>IF(ISNUMBER(Cluster[[#This Row],[Bin_end]]), _xlfn.XLOOKUP(Cluster[[#This Row],[Bin_end]], ClusterCalc_2x2SE[Bin_end], ClusterCalc_2x2SE[Peak or Nadir], "fill ClusterCalc Table",1), "no bin")</f>
        <v>no bin</v>
      </c>
      <c r="AG127" s="88" t="str">
        <f>IF(ISNUMBER(Cluster[[#This Row],[Bin_end]]), _xlfn.XLOOKUP(Cluster[[#This Row],[Bin_end]], ClusterCalc_3x3SE[Bin_end], ClusterCalc_3x3SE[Peak or Nadir], "fill ClusterCalc Table",1), "no bin")</f>
        <v>no bin</v>
      </c>
      <c r="AI127" s="88" t="s">
        <v>118</v>
      </c>
      <c r="AJ127" s="118"/>
      <c r="AK127" s="120" t="str">
        <f t="shared" si="12"/>
        <v/>
      </c>
      <c r="AL127" s="118"/>
      <c r="AM127" s="88" t="str">
        <f>IF(ISNUMBER(ClusterCalc_2x2SD[[#This Row],[Bin_end]]), (ClusterCalc_2x2SD[[#This Row],[Bin_end]]-ClusterCalc_2x2SD[[#This Row],[Bin_start]]) * (ClusterBinSize_sec / 60), "NA")</f>
        <v>NA</v>
      </c>
      <c r="AN127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7" s="88" t="s">
        <v>118</v>
      </c>
      <c r="AQ127" s="118"/>
      <c r="AR127" s="120" t="str">
        <f t="shared" si="10"/>
        <v/>
      </c>
      <c r="AS127" s="118"/>
      <c r="AT127" s="88" t="str">
        <f>IF(ISNUMBER(ClusterCalc_3x3SD[[#This Row],[Bin_end]]), (ClusterCalc_3x3SD[[#This Row],[Bin_end]]-ClusterCalc_3x3SD[[#This Row],[Bin_start]]) * (ClusterBinSize_sec / 60), "NA")</f>
        <v>NA</v>
      </c>
      <c r="AU127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7" s="88" t="s">
        <v>118</v>
      </c>
      <c r="AX127" s="118"/>
      <c r="AY127" s="120" t="str">
        <f t="shared" si="13"/>
        <v/>
      </c>
      <c r="AZ127" s="118"/>
      <c r="BA127" s="88" t="str">
        <f>IF(ISNUMBER(ClusterCalc_2x2SE[[#This Row],[Bin_end]]), (ClusterCalc_2x2SE[[#This Row],[Bin_end]]-ClusterCalc_2x2SE[[#This Row],[Bin_start]]) * (ClusterBinSize_sec / 60), "NA")</f>
        <v>NA</v>
      </c>
      <c r="BB127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7" s="88" t="s">
        <v>118</v>
      </c>
      <c r="BE127" s="118"/>
      <c r="BF127" s="120" t="str">
        <f t="shared" si="11"/>
        <v/>
      </c>
      <c r="BG127" s="118"/>
      <c r="BI127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7" s="124" t="str">
        <f>IF(ISNUMBER(SpontLength_min), IF(SpontLength_min &gt; 0, SpontLength_min, "NA"), "NA")</f>
        <v>NA</v>
      </c>
      <c r="BL127" s="124" t="str">
        <f>IF(ISNUMBER(SpontAvgFiring), SpontAvgFiring, "NA")</f>
        <v>NA</v>
      </c>
      <c r="BM127" s="124" t="str">
        <f>IF(ISNUMBER(numPeaks_2x2SD), numPeaks_2x2SD, "NA")</f>
        <v>NA</v>
      </c>
      <c r="BN127" s="124" t="str">
        <f>IF(ISNUMBER(numNadirs_2x2SD), numNadirs_2x2SD, "NA")</f>
        <v>NA</v>
      </c>
      <c r="BO127" s="124" t="str">
        <f>IF(ISNUMBER(meanPeakDur_2x2SD), meanPeakDur_2x2SD, "NA")</f>
        <v>NA</v>
      </c>
      <c r="BP127" s="124" t="str">
        <f>IF(ISNUMBER(totalPeakDur_2x2SD), totalPeakDur_2x2SD, "NA")</f>
        <v>NA</v>
      </c>
      <c r="BQ127" s="124" t="str">
        <f>IF(ISNUMBER(meanNadirDur_2x2SD), meanNadirDur_2x2SD, "NA")</f>
        <v>NA</v>
      </c>
      <c r="BR127" s="124" t="str">
        <f>IF(ISNUMBER(totalNadirDur_2x2SD), totalNadirDur_2x2SD, "NA")</f>
        <v>NA</v>
      </c>
      <c r="BS127" s="124" t="str">
        <f>IF(ISNUMBER(meanPeakFiring_2x2SD), meanPeakFiring_2x2SD, "NA")</f>
        <v>NA</v>
      </c>
      <c r="BT127" s="124" t="str">
        <f>IF(ISNUMBER(meanNadirFiring_2x2SD), meanNadirFiring_2x2SD, "NA")</f>
        <v>NA</v>
      </c>
      <c r="BV127"/>
    </row>
    <row r="128" spans="2:87" x14ac:dyDescent="0.2">
      <c r="B128" s="88" t="str">
        <f t="shared" si="0"/>
        <v>&gt; Total Length</v>
      </c>
      <c r="C128" s="88" t="str">
        <f t="shared" si="1"/>
        <v>&gt; Total Length</v>
      </c>
      <c r="D128" s="96" t="str">
        <f t="shared" si="2"/>
        <v>&gt; Total Length</v>
      </c>
      <c r="E128" s="96" t="str">
        <f t="shared" si="3"/>
        <v>&gt; Total Length</v>
      </c>
      <c r="F128" s="97" t="str">
        <f t="shared" si="4"/>
        <v>&gt; Total Length</v>
      </c>
      <c r="G128" s="97" t="str">
        <f t="shared" si="5"/>
        <v>&gt; Total Length</v>
      </c>
      <c r="H128" s="98"/>
      <c r="I128" s="99"/>
      <c r="J128" s="88" t="str">
        <f>IF(ISBLANK(FiringRate[[#This Row],[Event/bin]]), " ", FiringRate[[#This Row],[Event/bin]]/BinSize_sec)</f>
        <v xml:space="preserve"> </v>
      </c>
      <c r="K128" s="100" t="str">
        <f>IF(ISBLANK(FiringRate[[#This Row],[Conc events/bin]]), " ", FiringRate[[#This Row],[Conc events/bin]]/BinSize_sec)</f>
        <v xml:space="preserve"> </v>
      </c>
      <c r="N128" s="166"/>
      <c r="O128" s="166"/>
      <c r="P128" s="166"/>
      <c r="Q128" s="166"/>
      <c r="W128" s="96" t="str">
        <f t="shared" si="6"/>
        <v>&gt; Spont Length</v>
      </c>
      <c r="X128" s="96" t="str">
        <f t="shared" si="7"/>
        <v>Enter Spont End</v>
      </c>
      <c r="Y128" s="97" t="str">
        <f t="shared" si="8"/>
        <v>&gt; Spont Length</v>
      </c>
      <c r="Z128" s="97" t="str">
        <f t="shared" si="9"/>
        <v>Enter Spont End</v>
      </c>
      <c r="AA128" s="99"/>
      <c r="AB128" s="103" t="str">
        <f>IF(ISNUMBER(Cluster[[#This Row],[Bin Start (min)]]), AB127+1, Cluster[[#This Row],[Bin Start (min)]])</f>
        <v>&gt; Spont Length</v>
      </c>
      <c r="AC128" s="103" t="str">
        <f>IF(ISNUMBER(Cluster[[#This Row],[Bin End (min)]]), AC127+1, Cluster[[#This Row],[Bin End (min)]])</f>
        <v>Enter Spont End</v>
      </c>
      <c r="AD128" s="88" t="str">
        <f>IF(ISNUMBER(Cluster[[#This Row],[Bin_end]]), _xlfn.XLOOKUP(Cluster[[#This Row],[Bin_end]], ClusterCalc_2x2SD[Bin_end], ClusterCalc_2x2SD[Peak or Nadir], "fill ClusterCalc Table",1), "no bin")</f>
        <v>no bin</v>
      </c>
      <c r="AE128" s="88" t="str">
        <f>IF(ISNUMBER(Cluster[[#This Row],[Bin_end]]), _xlfn.XLOOKUP(Cluster[[#This Row],[Bin_end]], ClusterCalc_3x3SD[Bin_end], ClusterCalc_3x3SD[Peak or Nadir], "fill ClusterCalc Table",1), "no bin")</f>
        <v>no bin</v>
      </c>
      <c r="AF128" s="88" t="str">
        <f>IF(ISNUMBER(Cluster[[#This Row],[Bin_end]]), _xlfn.XLOOKUP(Cluster[[#This Row],[Bin_end]], ClusterCalc_2x2SE[Bin_end], ClusterCalc_2x2SE[Peak or Nadir], "fill ClusterCalc Table",1), "no bin")</f>
        <v>no bin</v>
      </c>
      <c r="AG128" s="88" t="str">
        <f>IF(ISNUMBER(Cluster[[#This Row],[Bin_end]]), _xlfn.XLOOKUP(Cluster[[#This Row],[Bin_end]], ClusterCalc_3x3SE[Bin_end], ClusterCalc_3x3SE[Peak or Nadir], "fill ClusterCalc Table",1), "no bin")</f>
        <v>no bin</v>
      </c>
      <c r="AI128" s="88" t="s">
        <v>120</v>
      </c>
      <c r="AJ128" s="118"/>
      <c r="AK128" s="120" t="str">
        <f t="shared" si="12"/>
        <v/>
      </c>
      <c r="AL128" s="118"/>
      <c r="AM128" s="88" t="str">
        <f>IF(ISNUMBER(ClusterCalc_2x2SD[[#This Row],[Bin_end]]), (ClusterCalc_2x2SD[[#This Row],[Bin_end]]-ClusterCalc_2x2SD[[#This Row],[Bin_start]]) * (ClusterBinSize_sec / 60), "NA")</f>
        <v>NA</v>
      </c>
      <c r="AN128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8" s="88" t="s">
        <v>120</v>
      </c>
      <c r="AQ128" s="118"/>
      <c r="AR128" s="120" t="str">
        <f t="shared" si="10"/>
        <v/>
      </c>
      <c r="AS128" s="118"/>
      <c r="AT128" s="88" t="str">
        <f>IF(ISNUMBER(ClusterCalc_3x3SD[[#This Row],[Bin_end]]), (ClusterCalc_3x3SD[[#This Row],[Bin_end]]-ClusterCalc_3x3SD[[#This Row],[Bin_start]]) * (ClusterBinSize_sec / 60), "NA")</f>
        <v>NA</v>
      </c>
      <c r="AU128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8" s="88" t="s">
        <v>120</v>
      </c>
      <c r="AX128" s="118"/>
      <c r="AY128" s="120" t="str">
        <f t="shared" si="13"/>
        <v/>
      </c>
      <c r="AZ128" s="118"/>
      <c r="BA128" s="88" t="str">
        <f>IF(ISNUMBER(ClusterCalc_2x2SE[[#This Row],[Bin_end]]), (ClusterCalc_2x2SE[[#This Row],[Bin_end]]-ClusterCalc_2x2SE[[#This Row],[Bin_start]]) * (ClusterBinSize_sec / 60), "NA")</f>
        <v>NA</v>
      </c>
      <c r="BB128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8" s="88" t="s">
        <v>120</v>
      </c>
      <c r="BE128" s="118"/>
      <c r="BF128" s="120" t="str">
        <f t="shared" si="11"/>
        <v/>
      </c>
      <c r="BG128" s="118"/>
      <c r="BH128" s="88" t="str">
        <f>IF(ISNUMBER(ClusterCalc_3x3SE[[#This Row],[Bin_end]]), (ClusterCalc_3x3SE[[#This Row],[Bin_end]]-ClusterCalc_3x3SE[[#This Row],[Bin_start]]) * (ClusterBinSize_sec / 60), "NA")</f>
        <v>NA</v>
      </c>
      <c r="BI128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V128"/>
    </row>
    <row r="129" spans="2:74" x14ac:dyDescent="0.2">
      <c r="B129" s="88" t="str">
        <f t="shared" si="0"/>
        <v>&gt; Total Length</v>
      </c>
      <c r="C129" s="88" t="str">
        <f t="shared" si="1"/>
        <v>&gt; Total Length</v>
      </c>
      <c r="D129" s="96" t="str">
        <f t="shared" si="2"/>
        <v>&gt; Total Length</v>
      </c>
      <c r="E129" s="96" t="str">
        <f t="shared" si="3"/>
        <v>&gt; Total Length</v>
      </c>
      <c r="F129" s="97" t="str">
        <f t="shared" si="4"/>
        <v>&gt; Total Length</v>
      </c>
      <c r="G129" s="97" t="str">
        <f t="shared" si="5"/>
        <v>&gt; Total Length</v>
      </c>
      <c r="H129" s="98"/>
      <c r="I129" s="99"/>
      <c r="J129" s="88" t="str">
        <f>IF(ISBLANK(FiringRate[[#This Row],[Event/bin]]), " ", FiringRate[[#This Row],[Event/bin]]/BinSize_sec)</f>
        <v xml:space="preserve"> </v>
      </c>
      <c r="K129" s="100" t="str">
        <f>IF(ISBLANK(FiringRate[[#This Row],[Conc events/bin]]), " ", FiringRate[[#This Row],[Conc events/bin]]/BinSize_sec)</f>
        <v xml:space="preserve"> </v>
      </c>
      <c r="N129" s="166"/>
      <c r="O129" s="166"/>
      <c r="P129" s="166"/>
      <c r="Q129" s="166"/>
      <c r="W129" s="96" t="str">
        <f t="shared" si="6"/>
        <v>&gt; Spont Length</v>
      </c>
      <c r="X129" s="96" t="str">
        <f t="shared" si="7"/>
        <v>Enter Spont End</v>
      </c>
      <c r="Y129" s="97" t="str">
        <f t="shared" si="8"/>
        <v>&gt; Spont Length</v>
      </c>
      <c r="Z129" s="97" t="str">
        <f t="shared" si="9"/>
        <v>Enter Spont End</v>
      </c>
      <c r="AA129" s="99"/>
      <c r="AB129" s="103" t="str">
        <f>IF(ISNUMBER(Cluster[[#This Row],[Bin Start (min)]]), AB128+1, Cluster[[#This Row],[Bin Start (min)]])</f>
        <v>&gt; Spont Length</v>
      </c>
      <c r="AC129" s="103" t="str">
        <f>IF(ISNUMBER(Cluster[[#This Row],[Bin End (min)]]), AC128+1, Cluster[[#This Row],[Bin End (min)]])</f>
        <v>Enter Spont End</v>
      </c>
      <c r="AD129" s="88" t="str">
        <f>IF(ISNUMBER(Cluster[[#This Row],[Bin_end]]), _xlfn.XLOOKUP(Cluster[[#This Row],[Bin_end]], ClusterCalc_2x2SD[Bin_end], ClusterCalc_2x2SD[Peak or Nadir], "fill ClusterCalc Table",1), "no bin")</f>
        <v>no bin</v>
      </c>
      <c r="AE129" s="88" t="str">
        <f>IF(ISNUMBER(Cluster[[#This Row],[Bin_end]]), _xlfn.XLOOKUP(Cluster[[#This Row],[Bin_end]], ClusterCalc_3x3SD[Bin_end], ClusterCalc_3x3SD[Peak or Nadir], "fill ClusterCalc Table",1), "no bin")</f>
        <v>no bin</v>
      </c>
      <c r="AF129" s="88" t="str">
        <f>IF(ISNUMBER(Cluster[[#This Row],[Bin_end]]), _xlfn.XLOOKUP(Cluster[[#This Row],[Bin_end]], ClusterCalc_2x2SE[Bin_end], ClusterCalc_2x2SE[Peak or Nadir], "fill ClusterCalc Table",1), "no bin")</f>
        <v>no bin</v>
      </c>
      <c r="AG129" s="88" t="str">
        <f>IF(ISNUMBER(Cluster[[#This Row],[Bin_end]]), _xlfn.XLOOKUP(Cluster[[#This Row],[Bin_end]], ClusterCalc_3x3SE[Bin_end], ClusterCalc_3x3SE[Peak or Nadir], "fill ClusterCalc Table",1), "no bin")</f>
        <v>no bin</v>
      </c>
      <c r="AI129" s="88" t="s">
        <v>121</v>
      </c>
      <c r="AJ129" s="118"/>
      <c r="AK129" s="120" t="str">
        <f t="shared" si="12"/>
        <v/>
      </c>
      <c r="AL129" s="118"/>
      <c r="AM129" s="88" t="str">
        <f>IF(ISNUMBER(ClusterCalc_2x2SD[[#This Row],[Bin_end]]), (ClusterCalc_2x2SD[[#This Row],[Bin_end]]-ClusterCalc_2x2SD[[#This Row],[Bin_start]]) * (ClusterBinSize_sec / 60), "NA")</f>
        <v>NA</v>
      </c>
      <c r="AN129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29" s="88" t="s">
        <v>121</v>
      </c>
      <c r="AQ129" s="118"/>
      <c r="AR129" s="120" t="str">
        <f t="shared" si="10"/>
        <v/>
      </c>
      <c r="AS129" s="118"/>
      <c r="AT129" s="88" t="str">
        <f>IF(ISNUMBER(ClusterCalc_3x3SD[[#This Row],[Bin_end]]), (ClusterCalc_3x3SD[[#This Row],[Bin_end]]-ClusterCalc_3x3SD[[#This Row],[Bin_start]]) * (ClusterBinSize_sec / 60), "NA")</f>
        <v>NA</v>
      </c>
      <c r="AU129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29" s="88" t="s">
        <v>121</v>
      </c>
      <c r="AX129" s="118"/>
      <c r="AY129" s="120" t="str">
        <f t="shared" si="13"/>
        <v/>
      </c>
      <c r="AZ129" s="118"/>
      <c r="BA129" s="88" t="str">
        <f>IF(ISNUMBER(ClusterCalc_2x2SE[[#This Row],[Bin_end]]), (ClusterCalc_2x2SE[[#This Row],[Bin_end]]-ClusterCalc_2x2SE[[#This Row],[Bin_start]]) * (ClusterBinSize_sec / 60), "NA")</f>
        <v>NA</v>
      </c>
      <c r="BB129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29" s="88" t="s">
        <v>121</v>
      </c>
      <c r="BE129" s="118"/>
      <c r="BF129" s="120" t="str">
        <f t="shared" si="11"/>
        <v/>
      </c>
      <c r="BG129" s="118"/>
      <c r="BH129" s="88" t="str">
        <f>IF(ISNUMBER(ClusterCalc_3x3SE[[#This Row],[Bin_end]]), (ClusterCalc_3x3SE[[#This Row],[Bin_end]]-ClusterCalc_3x3SE[[#This Row],[Bin_start]]) * (ClusterBinSize_sec / 60), "NA")</f>
        <v>NA</v>
      </c>
      <c r="BI129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29" s="115" t="s">
        <v>163</v>
      </c>
      <c r="BL129" s="115" t="s">
        <v>164</v>
      </c>
      <c r="BM129" s="115" t="s">
        <v>165</v>
      </c>
      <c r="BN129" s="115" t="s">
        <v>166</v>
      </c>
      <c r="BO129" s="115" t="s">
        <v>167</v>
      </c>
      <c r="BP129" s="115" t="s">
        <v>168</v>
      </c>
      <c r="BQ129" s="115" t="s">
        <v>169</v>
      </c>
      <c r="BR129" s="115" t="s">
        <v>170</v>
      </c>
      <c r="BS129" s="115" t="s">
        <v>171</v>
      </c>
      <c r="BT129" s="125" t="s">
        <v>172</v>
      </c>
      <c r="BV129"/>
    </row>
    <row r="130" spans="2:74" x14ac:dyDescent="0.2">
      <c r="B130" s="88" t="str">
        <f t="shared" si="0"/>
        <v>&gt; Total Length</v>
      </c>
      <c r="C130" s="88" t="str">
        <f t="shared" si="1"/>
        <v>&gt; Total Length</v>
      </c>
      <c r="D130" s="96" t="str">
        <f t="shared" si="2"/>
        <v>&gt; Total Length</v>
      </c>
      <c r="E130" s="96" t="str">
        <f t="shared" si="3"/>
        <v>&gt; Total Length</v>
      </c>
      <c r="F130" s="97" t="str">
        <f t="shared" si="4"/>
        <v>&gt; Total Length</v>
      </c>
      <c r="G130" s="97" t="str">
        <f t="shared" si="5"/>
        <v>&gt; Total Length</v>
      </c>
      <c r="H130" s="98"/>
      <c r="I130" s="99"/>
      <c r="J130" s="88" t="str">
        <f>IF(ISBLANK(FiringRate[[#This Row],[Event/bin]]), " ", FiringRate[[#This Row],[Event/bin]]/BinSize_sec)</f>
        <v xml:space="preserve"> </v>
      </c>
      <c r="K130" s="100" t="str">
        <f>IF(ISBLANK(FiringRate[[#This Row],[Conc events/bin]]), " ", FiringRate[[#This Row],[Conc events/bin]]/BinSize_sec)</f>
        <v xml:space="preserve"> </v>
      </c>
      <c r="W130" s="96" t="str">
        <f t="shared" si="6"/>
        <v>&gt; Spont Length</v>
      </c>
      <c r="X130" s="96" t="str">
        <f t="shared" si="7"/>
        <v>Enter Spont End</v>
      </c>
      <c r="Y130" s="97" t="str">
        <f t="shared" si="8"/>
        <v>&gt; Spont Length</v>
      </c>
      <c r="Z130" s="97" t="str">
        <f t="shared" si="9"/>
        <v>Enter Spont End</v>
      </c>
      <c r="AA130" s="99"/>
      <c r="AB130" s="103" t="str">
        <f>IF(ISNUMBER(Cluster[[#This Row],[Bin Start (min)]]), AB129+1, Cluster[[#This Row],[Bin Start (min)]])</f>
        <v>&gt; Spont Length</v>
      </c>
      <c r="AC130" s="103" t="str">
        <f>IF(ISNUMBER(Cluster[[#This Row],[Bin End (min)]]), AC129+1, Cluster[[#This Row],[Bin End (min)]])</f>
        <v>Enter Spont End</v>
      </c>
      <c r="AD130" s="88" t="str">
        <f>IF(ISNUMBER(Cluster[[#This Row],[Bin_end]]), _xlfn.XLOOKUP(Cluster[[#This Row],[Bin_end]], ClusterCalc_2x2SD[Bin_end], ClusterCalc_2x2SD[Peak or Nadir], "fill ClusterCalc Table",1), "no bin")</f>
        <v>no bin</v>
      </c>
      <c r="AE130" s="88" t="str">
        <f>IF(ISNUMBER(Cluster[[#This Row],[Bin_end]]), _xlfn.XLOOKUP(Cluster[[#This Row],[Bin_end]], ClusterCalc_3x3SD[Bin_end], ClusterCalc_3x3SD[Peak or Nadir], "fill ClusterCalc Table",1), "no bin")</f>
        <v>no bin</v>
      </c>
      <c r="AF130" s="88" t="str">
        <f>IF(ISNUMBER(Cluster[[#This Row],[Bin_end]]), _xlfn.XLOOKUP(Cluster[[#This Row],[Bin_end]], ClusterCalc_2x2SE[Bin_end], ClusterCalc_2x2SE[Peak or Nadir], "fill ClusterCalc Table",1), "no bin")</f>
        <v>no bin</v>
      </c>
      <c r="AG130" s="88" t="str">
        <f>IF(ISNUMBER(Cluster[[#This Row],[Bin_end]]), _xlfn.XLOOKUP(Cluster[[#This Row],[Bin_end]], ClusterCalc_3x3SE[Bin_end], ClusterCalc_3x3SE[Peak or Nadir], "fill ClusterCalc Table",1), "no bin")</f>
        <v>no bin</v>
      </c>
      <c r="AI130" s="88" t="s">
        <v>132</v>
      </c>
      <c r="AJ130" s="118"/>
      <c r="AK130" s="120" t="str">
        <f t="shared" si="12"/>
        <v/>
      </c>
      <c r="AL130" s="118"/>
      <c r="AM130" s="88" t="str">
        <f>IF(ISNUMBER(ClusterCalc_2x2SD[[#This Row],[Bin_end]]), (ClusterCalc_2x2SD[[#This Row],[Bin_end]]-ClusterCalc_2x2SD[[#This Row],[Bin_start]]) * (ClusterBinSize_sec / 60), "NA")</f>
        <v>NA</v>
      </c>
      <c r="AN130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0" s="88" t="s">
        <v>132</v>
      </c>
      <c r="AQ130" s="118"/>
      <c r="AR130" s="120" t="str">
        <f t="shared" si="10"/>
        <v/>
      </c>
      <c r="AS130" s="118"/>
      <c r="AT130" s="88" t="str">
        <f>IF(ISNUMBER(ClusterCalc_3x3SD[[#This Row],[Bin_end]]), (ClusterCalc_3x3SD[[#This Row],[Bin_end]]-ClusterCalc_3x3SD[[#This Row],[Bin_start]]) * (ClusterBinSize_sec / 60), "NA")</f>
        <v>NA</v>
      </c>
      <c r="AU130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0" s="88" t="s">
        <v>132</v>
      </c>
      <c r="AX130" s="118"/>
      <c r="AY130" s="120" t="str">
        <f t="shared" si="13"/>
        <v/>
      </c>
      <c r="AZ130" s="118"/>
      <c r="BA130" s="88" t="str">
        <f>IF(ISNUMBER(ClusterCalc_2x2SE[[#This Row],[Bin_end]]), (ClusterCalc_2x2SE[[#This Row],[Bin_end]]-ClusterCalc_2x2SE[[#This Row],[Bin_start]]) * (ClusterBinSize_sec / 60), "NA")</f>
        <v>NA</v>
      </c>
      <c r="BB130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0" s="88" t="s">
        <v>132</v>
      </c>
      <c r="BE130" s="118"/>
      <c r="BF130" s="120" t="str">
        <f t="shared" si="11"/>
        <v/>
      </c>
      <c r="BG130" s="118"/>
      <c r="BH130" s="88" t="str">
        <f>IF(ISNUMBER(ClusterCalc_3x3SE[[#This Row],[Bin_end]]), (ClusterCalc_3x3SE[[#This Row],[Bin_end]]-ClusterCalc_3x3SE[[#This Row],[Bin_start]]) * (ClusterBinSize_sec / 60), "NA")</f>
        <v>NA</v>
      </c>
      <c r="BI130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30" s="124" t="str">
        <f>IF(ISNUMBER(SpontLength_min), IF(SpontLength_min &gt; 0, SpontLength_min, "NA"), "NA")</f>
        <v>NA</v>
      </c>
      <c r="BL130" s="124" t="str">
        <f>IF(ISNUMBER(SpontAvgFiring), SpontAvgFiring, "NA")</f>
        <v>NA</v>
      </c>
      <c r="BM130" s="124" t="str">
        <f>IF(ISNUMBER(numPeaks_3x3SD), numPeaks_3x3SD, "NA")</f>
        <v>NA</v>
      </c>
      <c r="BN130" s="124" t="str">
        <f>IF(ISNUMBER(numNadirs_3x3SD), numNadirs_3x3SD, "NA")</f>
        <v>NA</v>
      </c>
      <c r="BO130" s="124" t="str">
        <f>IF(ISNUMBER(meanPeakDur_3x3SD), meanPeakDur_3x3SD, "NA")</f>
        <v>NA</v>
      </c>
      <c r="BP130" s="124" t="str">
        <f>IF(ISNUMBER(totalPeakDur_3x3SD), totalPeakDur_3x3SD, "NA")</f>
        <v>NA</v>
      </c>
      <c r="BQ130" s="124" t="str">
        <f>IF(ISNUMBER(meanNadirDur_3x3SD), meanNadirDur_3x3SD, "NA")</f>
        <v>NA</v>
      </c>
      <c r="BR130" s="124" t="str">
        <f>IF(ISNUMBER(totalNadirDur_3x3SD), totalNadirDur_3x3SD, "NA")</f>
        <v>NA</v>
      </c>
      <c r="BS130" s="124" t="str">
        <f>IF(ISNUMBER(meanPeakFiring_3x3SD), meanPeakFiring_3x3SD, "NA")</f>
        <v>NA</v>
      </c>
      <c r="BT130" s="124" t="str">
        <f>IF(ISNUMBER(meanNadirFiring_3x3SD), meanNadirFiring_3x3SD, "NA")</f>
        <v>NA</v>
      </c>
      <c r="BV130"/>
    </row>
    <row r="131" spans="2:74" x14ac:dyDescent="0.2">
      <c r="B131" s="88" t="str">
        <f t="shared" si="0"/>
        <v>&gt; Total Length</v>
      </c>
      <c r="C131" s="88" t="str">
        <f t="shared" si="1"/>
        <v>&gt; Total Length</v>
      </c>
      <c r="D131" s="96" t="str">
        <f t="shared" si="2"/>
        <v>&gt; Total Length</v>
      </c>
      <c r="E131" s="96" t="str">
        <f t="shared" si="3"/>
        <v>&gt; Total Length</v>
      </c>
      <c r="F131" s="97" t="str">
        <f t="shared" si="4"/>
        <v>&gt; Total Length</v>
      </c>
      <c r="G131" s="97" t="str">
        <f t="shared" si="5"/>
        <v>&gt; Total Length</v>
      </c>
      <c r="H131" s="98"/>
      <c r="I131" s="99"/>
      <c r="J131" s="88" t="str">
        <f>IF(ISBLANK(FiringRate[[#This Row],[Event/bin]]), " ", FiringRate[[#This Row],[Event/bin]]/BinSize_sec)</f>
        <v xml:space="preserve"> </v>
      </c>
      <c r="K131" s="100" t="str">
        <f>IF(ISBLANK(FiringRate[[#This Row],[Conc events/bin]]), " ", FiringRate[[#This Row],[Conc events/bin]]/BinSize_sec)</f>
        <v xml:space="preserve"> </v>
      </c>
      <c r="W131" s="96" t="str">
        <f t="shared" si="6"/>
        <v>&gt; Spont Length</v>
      </c>
      <c r="X131" s="96" t="str">
        <f t="shared" si="7"/>
        <v>Enter Spont End</v>
      </c>
      <c r="Y131" s="97" t="str">
        <f t="shared" si="8"/>
        <v>&gt; Spont Length</v>
      </c>
      <c r="Z131" s="97" t="str">
        <f t="shared" si="9"/>
        <v>Enter Spont End</v>
      </c>
      <c r="AA131" s="99"/>
      <c r="AB131" s="103" t="str">
        <f>IF(ISNUMBER(Cluster[[#This Row],[Bin Start (min)]]), AB130+1, Cluster[[#This Row],[Bin Start (min)]])</f>
        <v>&gt; Spont Length</v>
      </c>
      <c r="AC131" s="103" t="str">
        <f>IF(ISNUMBER(Cluster[[#This Row],[Bin End (min)]]), AC130+1, Cluster[[#This Row],[Bin End (min)]])</f>
        <v>Enter Spont End</v>
      </c>
      <c r="AD131" s="88" t="str">
        <f>IF(ISNUMBER(Cluster[[#This Row],[Bin_end]]), _xlfn.XLOOKUP(Cluster[[#This Row],[Bin_end]], ClusterCalc_2x2SD[Bin_end], ClusterCalc_2x2SD[Peak or Nadir], "fill ClusterCalc Table",1), "no bin")</f>
        <v>no bin</v>
      </c>
      <c r="AE131" s="88" t="str">
        <f>IF(ISNUMBER(Cluster[[#This Row],[Bin_end]]), _xlfn.XLOOKUP(Cluster[[#This Row],[Bin_end]], ClusterCalc_3x3SD[Bin_end], ClusterCalc_3x3SD[Peak or Nadir], "fill ClusterCalc Table",1), "no bin")</f>
        <v>no bin</v>
      </c>
      <c r="AF131" s="88" t="str">
        <f>IF(ISNUMBER(Cluster[[#This Row],[Bin_end]]), _xlfn.XLOOKUP(Cluster[[#This Row],[Bin_end]], ClusterCalc_2x2SE[Bin_end], ClusterCalc_2x2SE[Peak or Nadir], "fill ClusterCalc Table",1), "no bin")</f>
        <v>no bin</v>
      </c>
      <c r="AG131" s="88" t="str">
        <f>IF(ISNUMBER(Cluster[[#This Row],[Bin_end]]), _xlfn.XLOOKUP(Cluster[[#This Row],[Bin_end]], ClusterCalc_3x3SE[Bin_end], ClusterCalc_3x3SE[Peak or Nadir], "fill ClusterCalc Table",1), "no bin")</f>
        <v>no bin</v>
      </c>
      <c r="AI131" s="88" t="s">
        <v>133</v>
      </c>
      <c r="AJ131" s="118"/>
      <c r="AK131" s="120" t="str">
        <f t="shared" si="12"/>
        <v/>
      </c>
      <c r="AL131" s="118"/>
      <c r="AM131" s="88" t="str">
        <f>IF(ISNUMBER(ClusterCalc_2x2SD[[#This Row],[Bin_end]]), (ClusterCalc_2x2SD[[#This Row],[Bin_end]]-ClusterCalc_2x2SD[[#This Row],[Bin_start]]) * (ClusterBinSize_sec / 60), "NA")</f>
        <v>NA</v>
      </c>
      <c r="AN131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1" s="88" t="s">
        <v>133</v>
      </c>
      <c r="AQ131" s="118"/>
      <c r="AR131" s="120" t="str">
        <f t="shared" si="10"/>
        <v/>
      </c>
      <c r="AS131" s="118"/>
      <c r="AT131" s="88" t="str">
        <f>IF(ISNUMBER(ClusterCalc_3x3SD[[#This Row],[Bin_end]]), (ClusterCalc_3x3SD[[#This Row],[Bin_end]]-ClusterCalc_3x3SD[[#This Row],[Bin_start]]) * (ClusterBinSize_sec / 60), "NA")</f>
        <v>NA</v>
      </c>
      <c r="AU131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1" s="88" t="s">
        <v>133</v>
      </c>
      <c r="AX131" s="118"/>
      <c r="AY131" s="120" t="str">
        <f t="shared" si="13"/>
        <v/>
      </c>
      <c r="AZ131" s="118"/>
      <c r="BA131" s="88" t="str">
        <f>IF(ISNUMBER(ClusterCalc_2x2SE[[#This Row],[Bin_end]]), (ClusterCalc_2x2SE[[#This Row],[Bin_end]]-ClusterCalc_2x2SE[[#This Row],[Bin_start]]) * (ClusterBinSize_sec / 60), "NA")</f>
        <v>NA</v>
      </c>
      <c r="BB131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1" s="88" t="s">
        <v>133</v>
      </c>
      <c r="BE131" s="118"/>
      <c r="BF131" s="120" t="str">
        <f t="shared" si="11"/>
        <v/>
      </c>
      <c r="BG131" s="118"/>
      <c r="BH131" s="88" t="str">
        <f>IF(ISNUMBER(ClusterCalc_3x3SE[[#This Row],[Bin_end]]), (ClusterCalc_3x3SE[[#This Row],[Bin_end]]-ClusterCalc_3x3SE[[#This Row],[Bin_start]]) * (ClusterBinSize_sec / 60), "NA")</f>
        <v>NA</v>
      </c>
      <c r="BI131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V131"/>
    </row>
    <row r="132" spans="2:74" x14ac:dyDescent="0.2">
      <c r="B132" s="88" t="str">
        <f t="shared" si="0"/>
        <v>&gt; Total Length</v>
      </c>
      <c r="C132" s="88" t="str">
        <f t="shared" si="1"/>
        <v>&gt; Total Length</v>
      </c>
      <c r="D132" s="96" t="str">
        <f t="shared" si="2"/>
        <v>&gt; Total Length</v>
      </c>
      <c r="E132" s="96" t="str">
        <f t="shared" si="3"/>
        <v>&gt; Total Length</v>
      </c>
      <c r="F132" s="97" t="str">
        <f t="shared" si="4"/>
        <v>&gt; Total Length</v>
      </c>
      <c r="G132" s="97" t="str">
        <f t="shared" si="5"/>
        <v>&gt; Total Length</v>
      </c>
      <c r="H132" s="98"/>
      <c r="I132" s="99"/>
      <c r="J132" s="88" t="str">
        <f>IF(ISBLANK(FiringRate[[#This Row],[Event/bin]]), " ", FiringRate[[#This Row],[Event/bin]]/BinSize_sec)</f>
        <v xml:space="preserve"> </v>
      </c>
      <c r="K132" s="100" t="str">
        <f>IF(ISBLANK(FiringRate[[#This Row],[Conc events/bin]]), " ", FiringRate[[#This Row],[Conc events/bin]]/BinSize_sec)</f>
        <v xml:space="preserve"> </v>
      </c>
      <c r="W132" s="96" t="str">
        <f t="shared" si="6"/>
        <v>&gt; Spont Length</v>
      </c>
      <c r="X132" s="96" t="str">
        <f t="shared" si="7"/>
        <v>Enter Spont End</v>
      </c>
      <c r="Y132" s="97" t="str">
        <f t="shared" si="8"/>
        <v>&gt; Spont Length</v>
      </c>
      <c r="Z132" s="97" t="str">
        <f t="shared" si="9"/>
        <v>Enter Spont End</v>
      </c>
      <c r="AA132" s="99"/>
      <c r="AB132" s="103" t="str">
        <f>IF(ISNUMBER(Cluster[[#This Row],[Bin Start (min)]]), AB131+1, Cluster[[#This Row],[Bin Start (min)]])</f>
        <v>&gt; Spont Length</v>
      </c>
      <c r="AC132" s="103" t="str">
        <f>IF(ISNUMBER(Cluster[[#This Row],[Bin End (min)]]), AC131+1, Cluster[[#This Row],[Bin End (min)]])</f>
        <v>Enter Spont End</v>
      </c>
      <c r="AD132" s="88" t="str">
        <f>IF(ISNUMBER(Cluster[[#This Row],[Bin_end]]), _xlfn.XLOOKUP(Cluster[[#This Row],[Bin_end]], ClusterCalc_2x2SD[Bin_end], ClusterCalc_2x2SD[Peak or Nadir], "fill ClusterCalc Table",1), "no bin")</f>
        <v>no bin</v>
      </c>
      <c r="AE132" s="88" t="str">
        <f>IF(ISNUMBER(Cluster[[#This Row],[Bin_end]]), _xlfn.XLOOKUP(Cluster[[#This Row],[Bin_end]], ClusterCalc_3x3SD[Bin_end], ClusterCalc_3x3SD[Peak or Nadir], "fill ClusterCalc Table",1), "no bin")</f>
        <v>no bin</v>
      </c>
      <c r="AF132" s="88" t="str">
        <f>IF(ISNUMBER(Cluster[[#This Row],[Bin_end]]), _xlfn.XLOOKUP(Cluster[[#This Row],[Bin_end]], ClusterCalc_2x2SE[Bin_end], ClusterCalc_2x2SE[Peak or Nadir], "fill ClusterCalc Table",1), "no bin")</f>
        <v>no bin</v>
      </c>
      <c r="AG132" s="88" t="str">
        <f>IF(ISNUMBER(Cluster[[#This Row],[Bin_end]]), _xlfn.XLOOKUP(Cluster[[#This Row],[Bin_end]], ClusterCalc_3x3SE[Bin_end], ClusterCalc_3x3SE[Peak or Nadir], "fill ClusterCalc Table",1), "no bin")</f>
        <v>no bin</v>
      </c>
      <c r="AI132" s="88" t="s">
        <v>134</v>
      </c>
      <c r="AJ132" s="118"/>
      <c r="AK132" s="120" t="str">
        <f t="shared" si="12"/>
        <v/>
      </c>
      <c r="AL132" s="118"/>
      <c r="AM132" s="88" t="str">
        <f>IF(ISNUMBER(ClusterCalc_2x2SD[[#This Row],[Bin_end]]), (ClusterCalc_2x2SD[[#This Row],[Bin_end]]-ClusterCalc_2x2SD[[#This Row],[Bin_start]]) * (ClusterBinSize_sec / 60), "NA")</f>
        <v>NA</v>
      </c>
      <c r="AN132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2" s="88" t="s">
        <v>134</v>
      </c>
      <c r="AQ132" s="118"/>
      <c r="AR132" s="120" t="str">
        <f t="shared" si="10"/>
        <v/>
      </c>
      <c r="AS132" s="118"/>
      <c r="AT132" s="88" t="str">
        <f>IF(ISNUMBER(ClusterCalc_3x3SD[[#This Row],[Bin_end]]), (ClusterCalc_3x3SD[[#This Row],[Bin_end]]-ClusterCalc_3x3SD[[#This Row],[Bin_start]]) * (ClusterBinSize_sec / 60), "NA")</f>
        <v>NA</v>
      </c>
      <c r="AU132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2" s="88" t="s">
        <v>134</v>
      </c>
      <c r="AX132" s="118"/>
      <c r="AY132" s="120" t="str">
        <f t="shared" si="13"/>
        <v/>
      </c>
      <c r="AZ132" s="118"/>
      <c r="BA132" s="88" t="str">
        <f>IF(ISNUMBER(ClusterCalc_2x2SE[[#This Row],[Bin_end]]), (ClusterCalc_2x2SE[[#This Row],[Bin_end]]-ClusterCalc_2x2SE[[#This Row],[Bin_start]]) * (ClusterBinSize_sec / 60), "NA")</f>
        <v>NA</v>
      </c>
      <c r="BB132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2" s="88" t="s">
        <v>134</v>
      </c>
      <c r="BE132" s="118"/>
      <c r="BF132" s="120" t="str">
        <f t="shared" si="11"/>
        <v/>
      </c>
      <c r="BG132" s="118"/>
      <c r="BH132" s="88" t="str">
        <f>IF(ISNUMBER(ClusterCalc_3x3SE[[#This Row],[Bin_end]]), (ClusterCalc_3x3SE[[#This Row],[Bin_end]]-ClusterCalc_3x3SE[[#This Row],[Bin_start]]) * (ClusterBinSize_sec / 60), "NA")</f>
        <v>NA</v>
      </c>
      <c r="BI132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32" s="126" t="s">
        <v>173</v>
      </c>
      <c r="BL132" s="126" t="s">
        <v>174</v>
      </c>
      <c r="BM132" s="126" t="s">
        <v>175</v>
      </c>
      <c r="BN132" s="126" t="s">
        <v>176</v>
      </c>
      <c r="BO132" s="126" t="s">
        <v>177</v>
      </c>
      <c r="BP132" s="126" t="s">
        <v>178</v>
      </c>
      <c r="BQ132" s="126" t="s">
        <v>179</v>
      </c>
      <c r="BR132" s="126" t="s">
        <v>180</v>
      </c>
      <c r="BS132" s="126" t="s">
        <v>181</v>
      </c>
      <c r="BT132" s="127" t="s">
        <v>182</v>
      </c>
      <c r="BV132"/>
    </row>
    <row r="133" spans="2:74" ht="22" customHeight="1" x14ac:dyDescent="0.45">
      <c r="B133" s="88" t="str">
        <f t="shared" si="0"/>
        <v>&gt; Total Length</v>
      </c>
      <c r="C133" s="88" t="str">
        <f t="shared" si="1"/>
        <v>&gt; Total Length</v>
      </c>
      <c r="D133" s="96" t="str">
        <f t="shared" si="2"/>
        <v>&gt; Total Length</v>
      </c>
      <c r="E133" s="96" t="str">
        <f t="shared" si="3"/>
        <v>&gt; Total Length</v>
      </c>
      <c r="F133" s="97" t="str">
        <f t="shared" si="4"/>
        <v>&gt; Total Length</v>
      </c>
      <c r="G133" s="97" t="str">
        <f t="shared" si="5"/>
        <v>&gt; Total Length</v>
      </c>
      <c r="H133" s="98"/>
      <c r="I133" s="99"/>
      <c r="J133" s="88" t="str">
        <f>IF(ISBLANK(FiringRate[[#This Row],[Event/bin]]), " ", FiringRate[[#This Row],[Event/bin]]/BinSize_sec)</f>
        <v xml:space="preserve"> </v>
      </c>
      <c r="K133" s="100" t="str">
        <f>IF(ISBLANK(FiringRate[[#This Row],[Conc events/bin]]), " ", FiringRate[[#This Row],[Conc events/bin]]/BinSize_sec)</f>
        <v xml:space="preserve"> </v>
      </c>
      <c r="M133" s="128"/>
      <c r="N133" s="128"/>
      <c r="O133" s="128"/>
      <c r="P133" s="128"/>
      <c r="W133" s="96" t="str">
        <f t="shared" si="6"/>
        <v>&gt; Spont Length</v>
      </c>
      <c r="X133" s="96" t="str">
        <f t="shared" si="7"/>
        <v>Enter Spont End</v>
      </c>
      <c r="Y133" s="97" t="str">
        <f t="shared" si="8"/>
        <v>&gt; Spont Length</v>
      </c>
      <c r="Z133" s="97" t="str">
        <f t="shared" si="9"/>
        <v>Enter Spont End</v>
      </c>
      <c r="AA133" s="99"/>
      <c r="AB133" s="103" t="str">
        <f>IF(ISNUMBER(Cluster[[#This Row],[Bin Start (min)]]), AB132+1, Cluster[[#This Row],[Bin Start (min)]])</f>
        <v>&gt; Spont Length</v>
      </c>
      <c r="AC133" s="103" t="str">
        <f>IF(ISNUMBER(Cluster[[#This Row],[Bin End (min)]]), AC132+1, Cluster[[#This Row],[Bin End (min)]])</f>
        <v>Enter Spont End</v>
      </c>
      <c r="AD133" s="88" t="str">
        <f>IF(ISNUMBER(Cluster[[#This Row],[Bin_end]]), _xlfn.XLOOKUP(Cluster[[#This Row],[Bin_end]], ClusterCalc_2x2SD[Bin_end], ClusterCalc_2x2SD[Peak or Nadir], "fill ClusterCalc Table",1), "no bin")</f>
        <v>no bin</v>
      </c>
      <c r="AE133" s="88" t="str">
        <f>IF(ISNUMBER(Cluster[[#This Row],[Bin_end]]), _xlfn.XLOOKUP(Cluster[[#This Row],[Bin_end]], ClusterCalc_3x3SD[Bin_end], ClusterCalc_3x3SD[Peak or Nadir], "fill ClusterCalc Table",1), "no bin")</f>
        <v>no bin</v>
      </c>
      <c r="AF133" s="88" t="str">
        <f>IF(ISNUMBER(Cluster[[#This Row],[Bin_end]]), _xlfn.XLOOKUP(Cluster[[#This Row],[Bin_end]], ClusterCalc_2x2SE[Bin_end], ClusterCalc_2x2SE[Peak or Nadir], "fill ClusterCalc Table",1), "no bin")</f>
        <v>no bin</v>
      </c>
      <c r="AG133" s="88" t="str">
        <f>IF(ISNUMBER(Cluster[[#This Row],[Bin_end]]), _xlfn.XLOOKUP(Cluster[[#This Row],[Bin_end]], ClusterCalc_3x3SE[Bin_end], ClusterCalc_3x3SE[Peak or Nadir], "fill ClusterCalc Table",1), "no bin")</f>
        <v>no bin</v>
      </c>
      <c r="AI133" s="88" t="s">
        <v>135</v>
      </c>
      <c r="AJ133" s="118"/>
      <c r="AK133" s="120" t="str">
        <f t="shared" si="12"/>
        <v/>
      </c>
      <c r="AL133" s="118"/>
      <c r="AM133" s="88" t="str">
        <f>IF(ISNUMBER(ClusterCalc_2x2SD[[#This Row],[Bin_end]]), (ClusterCalc_2x2SD[[#This Row],[Bin_end]]-ClusterCalc_2x2SD[[#This Row],[Bin_start]]) * (ClusterBinSize_sec / 60), "NA")</f>
        <v>NA</v>
      </c>
      <c r="AN133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3" s="88" t="s">
        <v>135</v>
      </c>
      <c r="AQ133" s="118"/>
      <c r="AR133" s="120" t="str">
        <f t="shared" si="10"/>
        <v/>
      </c>
      <c r="AS133" s="118"/>
      <c r="AT133" s="88" t="str">
        <f>IF(ISNUMBER(ClusterCalc_3x3SD[[#This Row],[Bin_end]]), (ClusterCalc_3x3SD[[#This Row],[Bin_end]]-ClusterCalc_3x3SD[[#This Row],[Bin_start]]) * (ClusterBinSize_sec / 60), "NA")</f>
        <v>NA</v>
      </c>
      <c r="AU133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3" s="88" t="s">
        <v>135</v>
      </c>
      <c r="AX133" s="118"/>
      <c r="AY133" s="120" t="str">
        <f t="shared" si="13"/>
        <v/>
      </c>
      <c r="AZ133" s="118"/>
      <c r="BA133" s="88" t="str">
        <f>IF(ISNUMBER(ClusterCalc_2x2SE[[#This Row],[Bin_end]]), (ClusterCalc_2x2SE[[#This Row],[Bin_end]]-ClusterCalc_2x2SE[[#This Row],[Bin_start]]) * (ClusterBinSize_sec / 60), "NA")</f>
        <v>NA</v>
      </c>
      <c r="BB133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3" s="88" t="s">
        <v>135</v>
      </c>
      <c r="BE133" s="118"/>
      <c r="BF133" s="120" t="str">
        <f t="shared" si="11"/>
        <v/>
      </c>
      <c r="BG133" s="118"/>
      <c r="BH133" s="88" t="str">
        <f>IF(ISNUMBER(ClusterCalc_3x3SE[[#This Row],[Bin_end]]), (ClusterCalc_3x3SE[[#This Row],[Bin_end]]-ClusterCalc_3x3SE[[#This Row],[Bin_start]]) * (ClusterBinSize_sec / 60), "NA")</f>
        <v>NA</v>
      </c>
      <c r="BI133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33" s="124" t="str">
        <f>IF(ISNUMBER(SpontLength_min), IF(SpontLength_min &gt; 0, SpontLength_min, "NA"), "NA")</f>
        <v>NA</v>
      </c>
      <c r="BL133" s="124" t="str">
        <f>IF(ISNUMBER(SpontAvgFiring), SpontAvgFiring, "NA")</f>
        <v>NA</v>
      </c>
      <c r="BM133" s="124" t="str">
        <f>IF(ISNUMBER(numPeaks_2x2SE), numPeaks_2x2SE, "NA")</f>
        <v>NA</v>
      </c>
      <c r="BN133" s="124" t="str">
        <f>IF(ISNUMBER(numNadirs_2x2SE), numNadirs_2x2SE, "NA")</f>
        <v>NA</v>
      </c>
      <c r="BO133" s="124" t="str">
        <f>IF(ISNUMBER(meanPeakDur_2x2SE), meanPeakDur_2x2SE, "NA")</f>
        <v>NA</v>
      </c>
      <c r="BP133" s="124" t="str">
        <f>IF(ISNUMBER(totalPeakDur_2x2SE), totalPeakDur_2x2SE, "NA")</f>
        <v>NA</v>
      </c>
      <c r="BQ133" s="124" t="str">
        <f>IF(ISNUMBER(meanNadirDur_2x2SE), meanNadirDur_2x2SE, "NA")</f>
        <v>NA</v>
      </c>
      <c r="BR133" s="124" t="str">
        <f>IF(ISNUMBER(totalNadirDur_2x2SE), totalNadirDur_2x2SE, "NA")</f>
        <v>NA</v>
      </c>
      <c r="BS133" s="124" t="str">
        <f>IF(ISNUMBER(meanPeakFiring_2x2SE), meanPeakFiring_2x2SE, "NA")</f>
        <v>NA</v>
      </c>
      <c r="BT133" s="124" t="str">
        <f>IF(ISNUMBER(meanNadirFiring_2x2SE), meanNadirFiring_2x2SE, "NA")</f>
        <v>NA</v>
      </c>
      <c r="BV133"/>
    </row>
    <row r="134" spans="2:74" ht="37" x14ac:dyDescent="0.45">
      <c r="B134" s="88" t="str">
        <f t="shared" si="0"/>
        <v>&gt; Total Length</v>
      </c>
      <c r="C134" s="88" t="str">
        <f t="shared" si="1"/>
        <v>&gt; Total Length</v>
      </c>
      <c r="D134" s="96" t="str">
        <f t="shared" si="2"/>
        <v>&gt; Total Length</v>
      </c>
      <c r="E134" s="96" t="str">
        <f t="shared" si="3"/>
        <v>&gt; Total Length</v>
      </c>
      <c r="F134" s="97" t="str">
        <f t="shared" si="4"/>
        <v>&gt; Total Length</v>
      </c>
      <c r="G134" s="97" t="str">
        <f t="shared" si="5"/>
        <v>&gt; Total Length</v>
      </c>
      <c r="H134" s="98"/>
      <c r="I134" s="99"/>
      <c r="J134" s="88" t="str">
        <f>IF(ISBLANK(FiringRate[[#This Row],[Event/bin]]), " ", FiringRate[[#This Row],[Event/bin]]/BinSize_sec)</f>
        <v xml:space="preserve"> </v>
      </c>
      <c r="K134" s="100" t="str">
        <f>IF(ISBLANK(FiringRate[[#This Row],[Conc events/bin]]), " ", FiringRate[[#This Row],[Conc events/bin]]/BinSize_sec)</f>
        <v xml:space="preserve"> </v>
      </c>
      <c r="M134" s="128"/>
      <c r="N134" s="128"/>
      <c r="O134" s="128"/>
      <c r="P134" s="128"/>
      <c r="W134" s="96" t="str">
        <f t="shared" si="6"/>
        <v>&gt; Spont Length</v>
      </c>
      <c r="X134" s="96" t="str">
        <f t="shared" si="7"/>
        <v>Enter Spont End</v>
      </c>
      <c r="Y134" s="97" t="str">
        <f t="shared" si="8"/>
        <v>&gt; Spont Length</v>
      </c>
      <c r="Z134" s="97" t="str">
        <f t="shared" si="9"/>
        <v>Enter Spont End</v>
      </c>
      <c r="AA134" s="99"/>
      <c r="AB134" s="103" t="str">
        <f>IF(ISNUMBER(Cluster[[#This Row],[Bin Start (min)]]), AB133+1, Cluster[[#This Row],[Bin Start (min)]])</f>
        <v>&gt; Spont Length</v>
      </c>
      <c r="AC134" s="103" t="str">
        <f>IF(ISNUMBER(Cluster[[#This Row],[Bin End (min)]]), AC133+1, Cluster[[#This Row],[Bin End (min)]])</f>
        <v>Enter Spont End</v>
      </c>
      <c r="AD134" s="88" t="str">
        <f>IF(ISNUMBER(Cluster[[#This Row],[Bin_end]]), _xlfn.XLOOKUP(Cluster[[#This Row],[Bin_end]], ClusterCalc_2x2SD[Bin_end], ClusterCalc_2x2SD[Peak or Nadir], "fill ClusterCalc Table",1), "no bin")</f>
        <v>no bin</v>
      </c>
      <c r="AE134" s="88" t="str">
        <f>IF(ISNUMBER(Cluster[[#This Row],[Bin_end]]), _xlfn.XLOOKUP(Cluster[[#This Row],[Bin_end]], ClusterCalc_3x3SD[Bin_end], ClusterCalc_3x3SD[Peak or Nadir], "fill ClusterCalc Table",1), "no bin")</f>
        <v>no bin</v>
      </c>
      <c r="AF134" s="88" t="str">
        <f>IF(ISNUMBER(Cluster[[#This Row],[Bin_end]]), _xlfn.XLOOKUP(Cluster[[#This Row],[Bin_end]], ClusterCalc_2x2SE[Bin_end], ClusterCalc_2x2SE[Peak or Nadir], "fill ClusterCalc Table",1), "no bin")</f>
        <v>no bin</v>
      </c>
      <c r="AG134" s="88" t="str">
        <f>IF(ISNUMBER(Cluster[[#This Row],[Bin_end]]), _xlfn.XLOOKUP(Cluster[[#This Row],[Bin_end]], ClusterCalc_3x3SE[Bin_end], ClusterCalc_3x3SE[Peak or Nadir], "fill ClusterCalc Table",1), "no bin")</f>
        <v>no bin</v>
      </c>
      <c r="AI134" s="88" t="s">
        <v>136</v>
      </c>
      <c r="AJ134" s="118"/>
      <c r="AK134" s="120" t="str">
        <f t="shared" si="12"/>
        <v/>
      </c>
      <c r="AL134" s="118"/>
      <c r="AM134" s="88" t="str">
        <f>IF(ISNUMBER(ClusterCalc_2x2SD[[#This Row],[Bin_end]]), (ClusterCalc_2x2SD[[#This Row],[Bin_end]]-ClusterCalc_2x2SD[[#This Row],[Bin_start]]) * (ClusterBinSize_sec / 60), "NA")</f>
        <v>NA</v>
      </c>
      <c r="AN134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4" s="88" t="s">
        <v>136</v>
      </c>
      <c r="AQ134" s="118"/>
      <c r="AR134" s="120" t="str">
        <f t="shared" si="10"/>
        <v/>
      </c>
      <c r="AS134" s="118"/>
      <c r="AT134" s="88" t="str">
        <f>IF(ISNUMBER(ClusterCalc_3x3SD[[#This Row],[Bin_end]]), (ClusterCalc_3x3SD[[#This Row],[Bin_end]]-ClusterCalc_3x3SD[[#This Row],[Bin_start]]) * (ClusterBinSize_sec / 60), "NA")</f>
        <v>NA</v>
      </c>
      <c r="AU134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4" s="88" t="s">
        <v>136</v>
      </c>
      <c r="AX134" s="118"/>
      <c r="AY134" s="120" t="str">
        <f t="shared" si="13"/>
        <v/>
      </c>
      <c r="AZ134" s="118"/>
      <c r="BA134" s="88" t="str">
        <f>IF(ISNUMBER(ClusterCalc_2x2SE[[#This Row],[Bin_end]]), (ClusterCalc_2x2SE[[#This Row],[Bin_end]]-ClusterCalc_2x2SE[[#This Row],[Bin_start]]) * (ClusterBinSize_sec / 60), "NA")</f>
        <v>NA</v>
      </c>
      <c r="BB134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4" s="88" t="s">
        <v>136</v>
      </c>
      <c r="BE134" s="118"/>
      <c r="BF134" s="120" t="str">
        <f t="shared" si="11"/>
        <v/>
      </c>
      <c r="BG134" s="118"/>
      <c r="BH134" s="88" t="str">
        <f>IF(ISNUMBER(ClusterCalc_3x3SE[[#This Row],[Bin_end]]), (ClusterCalc_3x3SE[[#This Row],[Bin_end]]-ClusterCalc_3x3SE[[#This Row],[Bin_start]]) * (ClusterBinSize_sec / 60), "NA")</f>
        <v>NA</v>
      </c>
      <c r="BI134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V134"/>
    </row>
    <row r="135" spans="2:74" ht="37" x14ac:dyDescent="0.45">
      <c r="B135" s="88" t="str">
        <f t="shared" si="0"/>
        <v>&gt; Total Length</v>
      </c>
      <c r="C135" s="88" t="str">
        <f t="shared" si="1"/>
        <v>&gt; Total Length</v>
      </c>
      <c r="D135" s="96" t="str">
        <f t="shared" si="2"/>
        <v>&gt; Total Length</v>
      </c>
      <c r="E135" s="96" t="str">
        <f t="shared" si="3"/>
        <v>&gt; Total Length</v>
      </c>
      <c r="F135" s="97" t="str">
        <f t="shared" si="4"/>
        <v>&gt; Total Length</v>
      </c>
      <c r="G135" s="97" t="str">
        <f t="shared" si="5"/>
        <v>&gt; Total Length</v>
      </c>
      <c r="H135" s="98"/>
      <c r="I135" s="99"/>
      <c r="J135" s="88" t="str">
        <f>IF(ISBLANK(FiringRate[[#This Row],[Event/bin]]), " ", FiringRate[[#This Row],[Event/bin]]/BinSize_sec)</f>
        <v xml:space="preserve"> </v>
      </c>
      <c r="K135" s="100" t="str">
        <f>IF(ISBLANK(FiringRate[[#This Row],[Conc events/bin]]), " ", FiringRate[[#This Row],[Conc events/bin]]/BinSize_sec)</f>
        <v xml:space="preserve"> </v>
      </c>
      <c r="M135" s="128"/>
      <c r="N135" s="128"/>
      <c r="O135" s="128"/>
      <c r="P135" s="128"/>
      <c r="W135" s="96" t="str">
        <f t="shared" si="6"/>
        <v>&gt; Spont Length</v>
      </c>
      <c r="X135" s="96" t="str">
        <f t="shared" si="7"/>
        <v>Enter Spont End</v>
      </c>
      <c r="Y135" s="97" t="str">
        <f t="shared" si="8"/>
        <v>&gt; Spont Length</v>
      </c>
      <c r="Z135" s="97" t="str">
        <f t="shared" si="9"/>
        <v>Enter Spont End</v>
      </c>
      <c r="AA135" s="99"/>
      <c r="AB135" s="103" t="str">
        <f>IF(ISNUMBER(Cluster[[#This Row],[Bin Start (min)]]), AB134+1, Cluster[[#This Row],[Bin Start (min)]])</f>
        <v>&gt; Spont Length</v>
      </c>
      <c r="AC135" s="103" t="str">
        <f>IF(ISNUMBER(Cluster[[#This Row],[Bin End (min)]]), AC134+1, Cluster[[#This Row],[Bin End (min)]])</f>
        <v>Enter Spont End</v>
      </c>
      <c r="AD135" s="88" t="str">
        <f>IF(ISNUMBER(Cluster[[#This Row],[Bin_end]]), _xlfn.XLOOKUP(Cluster[[#This Row],[Bin_end]], ClusterCalc_2x2SD[Bin_end], ClusterCalc_2x2SD[Peak or Nadir], "fill ClusterCalc Table",1), "no bin")</f>
        <v>no bin</v>
      </c>
      <c r="AE135" s="88" t="str">
        <f>IF(ISNUMBER(Cluster[[#This Row],[Bin_end]]), _xlfn.XLOOKUP(Cluster[[#This Row],[Bin_end]], ClusterCalc_3x3SD[Bin_end], ClusterCalc_3x3SD[Peak or Nadir], "fill ClusterCalc Table",1), "no bin")</f>
        <v>no bin</v>
      </c>
      <c r="AF135" s="88" t="str">
        <f>IF(ISNUMBER(Cluster[[#This Row],[Bin_end]]), _xlfn.XLOOKUP(Cluster[[#This Row],[Bin_end]], ClusterCalc_2x2SE[Bin_end], ClusterCalc_2x2SE[Peak or Nadir], "fill ClusterCalc Table",1), "no bin")</f>
        <v>no bin</v>
      </c>
      <c r="AG135" s="88" t="str">
        <f>IF(ISNUMBER(Cluster[[#This Row],[Bin_end]]), _xlfn.XLOOKUP(Cluster[[#This Row],[Bin_end]], ClusterCalc_3x3SE[Bin_end], ClusterCalc_3x3SE[Peak or Nadir], "fill ClusterCalc Table",1), "no bin")</f>
        <v>no bin</v>
      </c>
      <c r="AI135" s="88" t="s">
        <v>137</v>
      </c>
      <c r="AJ135" s="118"/>
      <c r="AK135" s="120" t="str">
        <f t="shared" si="12"/>
        <v/>
      </c>
      <c r="AL135" s="118"/>
      <c r="AM135" s="88" t="str">
        <f>IF(ISNUMBER(ClusterCalc_2x2SD[[#This Row],[Bin_end]]), (ClusterCalc_2x2SD[[#This Row],[Bin_end]]-ClusterCalc_2x2SD[[#This Row],[Bin_start]]) * (ClusterBinSize_sec / 60), "NA")</f>
        <v>NA</v>
      </c>
      <c r="AN135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5" s="88" t="s">
        <v>137</v>
      </c>
      <c r="AQ135" s="118"/>
      <c r="AR135" s="120" t="str">
        <f t="shared" si="10"/>
        <v/>
      </c>
      <c r="AS135" s="118"/>
      <c r="AT135" s="88" t="str">
        <f>IF(ISNUMBER(ClusterCalc_3x3SD[[#This Row],[Bin_end]]), (ClusterCalc_3x3SD[[#This Row],[Bin_end]]-ClusterCalc_3x3SD[[#This Row],[Bin_start]]) * (ClusterBinSize_sec / 60), "NA")</f>
        <v>NA</v>
      </c>
      <c r="AU135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5" s="88" t="s">
        <v>137</v>
      </c>
      <c r="AX135" s="118"/>
      <c r="AY135" s="120" t="str">
        <f t="shared" si="13"/>
        <v/>
      </c>
      <c r="AZ135" s="118"/>
      <c r="BA135" s="88" t="str">
        <f>IF(ISNUMBER(ClusterCalc_2x2SE[[#This Row],[Bin_end]]), (ClusterCalc_2x2SE[[#This Row],[Bin_end]]-ClusterCalc_2x2SE[[#This Row],[Bin_start]]) * (ClusterBinSize_sec / 60), "NA")</f>
        <v>NA</v>
      </c>
      <c r="BB135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5" s="88" t="s">
        <v>137</v>
      </c>
      <c r="BE135" s="118"/>
      <c r="BF135" s="120" t="str">
        <f t="shared" si="11"/>
        <v/>
      </c>
      <c r="BG135" s="118"/>
      <c r="BH135" s="88" t="str">
        <f>IF(ISNUMBER(ClusterCalc_3x3SE[[#This Row],[Bin_end]]), (ClusterCalc_3x3SE[[#This Row],[Bin_end]]-ClusterCalc_3x3SE[[#This Row],[Bin_start]]) * (ClusterBinSize_sec / 60), "NA")</f>
        <v>NA</v>
      </c>
      <c r="BI135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35" s="121" t="s">
        <v>204</v>
      </c>
      <c r="BL135" s="121" t="s">
        <v>205</v>
      </c>
      <c r="BM135" s="121" t="s">
        <v>206</v>
      </c>
      <c r="BN135" s="121" t="s">
        <v>207</v>
      </c>
      <c r="BO135" s="121" t="s">
        <v>208</v>
      </c>
      <c r="BP135" s="121" t="s">
        <v>209</v>
      </c>
      <c r="BQ135" s="121" t="s">
        <v>210</v>
      </c>
      <c r="BR135" s="121" t="s">
        <v>211</v>
      </c>
      <c r="BS135" s="121" t="s">
        <v>212</v>
      </c>
      <c r="BT135" s="129" t="s">
        <v>213</v>
      </c>
      <c r="BV135"/>
    </row>
    <row r="136" spans="2:74" x14ac:dyDescent="0.2">
      <c r="B136" s="88" t="str">
        <f t="shared" si="0"/>
        <v>&gt; Total Length</v>
      </c>
      <c r="C136" s="88" t="str">
        <f t="shared" si="1"/>
        <v>&gt; Total Length</v>
      </c>
      <c r="D136" s="96" t="str">
        <f t="shared" si="2"/>
        <v>&gt; Total Length</v>
      </c>
      <c r="E136" s="96" t="str">
        <f t="shared" si="3"/>
        <v>&gt; Total Length</v>
      </c>
      <c r="F136" s="97" t="str">
        <f t="shared" si="4"/>
        <v>&gt; Total Length</v>
      </c>
      <c r="G136" s="97" t="str">
        <f t="shared" si="5"/>
        <v>&gt; Total Length</v>
      </c>
      <c r="H136" s="98"/>
      <c r="I136" s="99"/>
      <c r="J136" s="88" t="str">
        <f>IF(ISBLANK(FiringRate[[#This Row],[Event/bin]]), " ", FiringRate[[#This Row],[Event/bin]]/BinSize_sec)</f>
        <v xml:space="preserve"> </v>
      </c>
      <c r="K136" s="100" t="str">
        <f>IF(ISBLANK(FiringRate[[#This Row],[Conc events/bin]]), " ", FiringRate[[#This Row],[Conc events/bin]]/BinSize_sec)</f>
        <v xml:space="preserve"> </v>
      </c>
      <c r="W136" s="96" t="str">
        <f t="shared" si="6"/>
        <v>&gt; Spont Length</v>
      </c>
      <c r="X136" s="96" t="str">
        <f t="shared" si="7"/>
        <v>Enter Spont End</v>
      </c>
      <c r="Y136" s="97" t="str">
        <f t="shared" si="8"/>
        <v>&gt; Spont Length</v>
      </c>
      <c r="Z136" s="97" t="str">
        <f t="shared" si="9"/>
        <v>Enter Spont End</v>
      </c>
      <c r="AA136" s="99"/>
      <c r="AB136" s="103" t="str">
        <f>IF(ISNUMBER(Cluster[[#This Row],[Bin Start (min)]]), AB135+1, Cluster[[#This Row],[Bin Start (min)]])</f>
        <v>&gt; Spont Length</v>
      </c>
      <c r="AC136" s="103" t="str">
        <f>IF(ISNUMBER(Cluster[[#This Row],[Bin End (min)]]), AC135+1, Cluster[[#This Row],[Bin End (min)]])</f>
        <v>Enter Spont End</v>
      </c>
      <c r="AD136" s="88" t="str">
        <f>IF(ISNUMBER(Cluster[[#This Row],[Bin_end]]), _xlfn.XLOOKUP(Cluster[[#This Row],[Bin_end]], ClusterCalc_2x2SD[Bin_end], ClusterCalc_2x2SD[Peak or Nadir], "fill ClusterCalc Table",1), "no bin")</f>
        <v>no bin</v>
      </c>
      <c r="AE136" s="88" t="str">
        <f>IF(ISNUMBER(Cluster[[#This Row],[Bin_end]]), _xlfn.XLOOKUP(Cluster[[#This Row],[Bin_end]], ClusterCalc_3x3SD[Bin_end], ClusterCalc_3x3SD[Peak or Nadir], "fill ClusterCalc Table",1), "no bin")</f>
        <v>no bin</v>
      </c>
      <c r="AF136" s="88" t="str">
        <f>IF(ISNUMBER(Cluster[[#This Row],[Bin_end]]), _xlfn.XLOOKUP(Cluster[[#This Row],[Bin_end]], ClusterCalc_2x2SE[Bin_end], ClusterCalc_2x2SE[Peak or Nadir], "fill ClusterCalc Table",1), "no bin")</f>
        <v>no bin</v>
      </c>
      <c r="AG136" s="88" t="str">
        <f>IF(ISNUMBER(Cluster[[#This Row],[Bin_end]]), _xlfn.XLOOKUP(Cluster[[#This Row],[Bin_end]], ClusterCalc_3x3SE[Bin_end], ClusterCalc_3x3SE[Peak or Nadir], "fill ClusterCalc Table",1), "no bin")</f>
        <v>no bin</v>
      </c>
      <c r="AI136" s="88" t="s">
        <v>138</v>
      </c>
      <c r="AJ136" s="118"/>
      <c r="AK136" s="120" t="str">
        <f t="shared" si="12"/>
        <v/>
      </c>
      <c r="AL136" s="118"/>
      <c r="AM136" s="88" t="str">
        <f>IF(ISNUMBER(ClusterCalc_2x2SD[[#This Row],[Bin_end]]), (ClusterCalc_2x2SD[[#This Row],[Bin_end]]-ClusterCalc_2x2SD[[#This Row],[Bin_start]]) * (ClusterBinSize_sec / 60), "NA")</f>
        <v>NA</v>
      </c>
      <c r="AN136" s="88" t="str">
        <f>IF(ISNUMBER(ClusterCalc_2x2SD[[#This Row],[Bin_end]]), (AVERAGE(_xlfn.XLOOKUP(ClusterCalc_2x2SD[[#This Row],[Bin_start]], Cluster[Bin_start], Cluster[Conc events/bin]):_xlfn.XLOOKUP(ClusterCalc_2x2SD[[#This Row],[Bin_end]], Cluster[Bin_end], Cluster[Conc events/bin])))/ClusterBinSize_sec, "NA")</f>
        <v>NA</v>
      </c>
      <c r="AP136" s="88" t="s">
        <v>138</v>
      </c>
      <c r="AQ136" s="118"/>
      <c r="AR136" s="120" t="str">
        <f t="shared" si="10"/>
        <v/>
      </c>
      <c r="AS136" s="118"/>
      <c r="AT136" s="88" t="str">
        <f>IF(ISNUMBER(ClusterCalc_3x3SD[[#This Row],[Bin_end]]), (ClusterCalc_3x3SD[[#This Row],[Bin_end]]-ClusterCalc_3x3SD[[#This Row],[Bin_start]]) * (ClusterBinSize_sec / 60), "NA")</f>
        <v>NA</v>
      </c>
      <c r="AU136" s="88" t="str">
        <f>IF(ISNUMBER(ClusterCalc_3x3SD[[#This Row],[Bin_end]]), (AVERAGE(_xlfn.XLOOKUP(ClusterCalc_3x3SD[[#This Row],[Bin_start]], Cluster[Bin_start], Cluster[Conc events/bin]):_xlfn.XLOOKUP(ClusterCalc_3x3SD[[#This Row],[Bin_end]], Cluster[Bin_end], Cluster[Conc events/bin])))/ClusterBinSize_sec, "NA")</f>
        <v>NA</v>
      </c>
      <c r="AW136" s="88" t="s">
        <v>138</v>
      </c>
      <c r="AX136" s="118"/>
      <c r="AY136" s="120" t="str">
        <f t="shared" si="13"/>
        <v/>
      </c>
      <c r="AZ136" s="118"/>
      <c r="BA136" s="88" t="str">
        <f>IF(ISNUMBER(ClusterCalc_2x2SE[[#This Row],[Bin_end]]), (ClusterCalc_2x2SE[[#This Row],[Bin_end]]-ClusterCalc_2x2SE[[#This Row],[Bin_start]]) * (ClusterBinSize_sec / 60), "NA")</f>
        <v>NA</v>
      </c>
      <c r="BB136" s="88" t="str">
        <f>IF(ISNUMBER(ClusterCalc_2x2SE[[#This Row],[Bin_end]]), (AVERAGE(_xlfn.XLOOKUP(ClusterCalc_2x2SE[[#This Row],[Bin_start]], Cluster[Bin_start], Cluster[Conc events/bin]):_xlfn.XLOOKUP(ClusterCalc_2x2SE[[#This Row],[Bin_end]], Cluster[Bin_end], Cluster[Conc events/bin])))/ClusterBinSize_sec, "NA")</f>
        <v>NA</v>
      </c>
      <c r="BD136" s="88" t="s">
        <v>138</v>
      </c>
      <c r="BE136" s="118"/>
      <c r="BF136" s="120" t="str">
        <f t="shared" si="11"/>
        <v/>
      </c>
      <c r="BG136" s="118"/>
      <c r="BH136" s="88" t="str">
        <f>IF(ISNUMBER(ClusterCalc_3x3SE[[#This Row],[Bin_end]]), (ClusterCalc_3x3SE[[#This Row],[Bin_end]]-ClusterCalc_3x3SE[[#This Row],[Bin_start]]) * (ClusterBinSize_sec / 60), "NA")</f>
        <v>NA</v>
      </c>
      <c r="BI136" s="88" t="str">
        <f>IF(ISNUMBER(ClusterCalc_3x3SE[[#This Row],[Bin_end]]), (AVERAGE(_xlfn.XLOOKUP(ClusterCalc_3x3SE[[#This Row],[Bin_start]], Cluster[Bin_start], Cluster[Conc events/bin]):_xlfn.XLOOKUP(ClusterCalc_3x3SE[[#This Row],[Bin_end]], Cluster[Bin_end], Cluster[Conc events/bin])))/ClusterBinSize_sec, "NA")</f>
        <v>NA</v>
      </c>
      <c r="BK136" s="124" t="str">
        <f>IF(ISNUMBER(SpontLength_min), IF(SpontLength_min &gt; 0, SpontLength_min, "NA"), "NA")</f>
        <v>NA</v>
      </c>
      <c r="BL136" s="124" t="str">
        <f>IF(ISNUMBER(SpontAvgFiring), SpontAvgFiring, "NA")</f>
        <v>NA</v>
      </c>
      <c r="BM136" s="124" t="str">
        <f>IF(ISNUMBER(numPeaks_3x3SE), numPeaks_3x3SE, "NA")</f>
        <v>NA</v>
      </c>
      <c r="BN136" s="124" t="str">
        <f>IF(ISNUMBER(numNadirs_3x3SE), numNadirs_3x3SE, "NA")</f>
        <v>NA</v>
      </c>
      <c r="BO136" s="124" t="str">
        <f>IF(ISNUMBER(meanPeakDur_3x3SE), meanPeakDur_3x3SE, "NA")</f>
        <v>NA</v>
      </c>
      <c r="BP136" s="124" t="str">
        <f>IF(ISNUMBER(totalPeakDur_3x3SE), totalPeakDur_3x3SE, "NA")</f>
        <v>NA</v>
      </c>
      <c r="BQ136" s="124" t="str">
        <f>IF(ISNUMBER(meanNadirDur_3x3SE), meanNadirDur_3x3SE, "NA")</f>
        <v>NA</v>
      </c>
      <c r="BR136" s="124" t="str">
        <f>IF(ISNUMBER(totalNadirDur_3x3SE), totalNadirDur_3x3SE, "NA")</f>
        <v>NA</v>
      </c>
      <c r="BS136" s="124" t="str">
        <f>IF(ISNUMBER(meanPeakFiring_3x3SE), meanPeakFiring_3x3SE, "NA")</f>
        <v>NA</v>
      </c>
      <c r="BT136" s="124" t="str">
        <f>IF(ISNUMBER(meanNadirFiring_3x3SE), meanNadirFiring_3x3SE, "NA")</f>
        <v>NA</v>
      </c>
      <c r="BV136"/>
    </row>
    <row r="137" spans="2:74" x14ac:dyDescent="0.2">
      <c r="B137" s="88" t="str">
        <f t="shared" si="0"/>
        <v>&gt; Total Length</v>
      </c>
      <c r="C137" s="88" t="str">
        <f t="shared" si="1"/>
        <v>&gt; Total Length</v>
      </c>
      <c r="D137" s="96" t="str">
        <f t="shared" si="2"/>
        <v>&gt; Total Length</v>
      </c>
      <c r="E137" s="96" t="str">
        <f t="shared" si="3"/>
        <v>&gt; Total Length</v>
      </c>
      <c r="F137" s="97" t="str">
        <f t="shared" si="4"/>
        <v>&gt; Total Length</v>
      </c>
      <c r="G137" s="97" t="str">
        <f t="shared" si="5"/>
        <v>&gt; Total Length</v>
      </c>
      <c r="H137" s="98"/>
      <c r="I137" s="99"/>
      <c r="J137" s="88" t="str">
        <f>IF(ISBLANK(FiringRate[[#This Row],[Event/bin]]), " ", FiringRate[[#This Row],[Event/bin]]/BinSize_sec)</f>
        <v xml:space="preserve"> </v>
      </c>
      <c r="K137" s="100" t="str">
        <f>IF(ISBLANK(FiringRate[[#This Row],[Conc events/bin]]), " ", FiringRate[[#This Row],[Conc events/bin]]/BinSize_sec)</f>
        <v xml:space="preserve"> </v>
      </c>
      <c r="W137" s="96" t="str">
        <f t="shared" si="6"/>
        <v>&gt; Spont Length</v>
      </c>
      <c r="X137" s="96" t="str">
        <f t="shared" si="7"/>
        <v>Enter Spont End</v>
      </c>
      <c r="Y137" s="97" t="str">
        <f t="shared" si="8"/>
        <v>&gt; Spont Length</v>
      </c>
      <c r="Z137" s="97" t="str">
        <f t="shared" si="9"/>
        <v>Enter Spont End</v>
      </c>
      <c r="AA137" s="99"/>
      <c r="AB137" s="103" t="str">
        <f>IF(ISNUMBER(Cluster[[#This Row],[Bin Start (min)]]), AB136+1, Cluster[[#This Row],[Bin Start (min)]])</f>
        <v>&gt; Spont Length</v>
      </c>
      <c r="AC137" s="103" t="str">
        <f>IF(ISNUMBER(Cluster[[#This Row],[Bin End (min)]]), AC136+1, Cluster[[#This Row],[Bin End (min)]])</f>
        <v>Enter Spont End</v>
      </c>
      <c r="AD137" s="88" t="str">
        <f>IF(ISNUMBER(Cluster[[#This Row],[Bin_end]]), _xlfn.XLOOKUP(Cluster[[#This Row],[Bin_end]], ClusterCalc_2x2SD[Bin_end], ClusterCalc_2x2SD[Peak or Nadir], "fill ClusterCalc Table",1), "no bin")</f>
        <v>no bin</v>
      </c>
      <c r="AE137" s="88" t="str">
        <f>IF(ISNUMBER(Cluster[[#This Row],[Bin_end]]), _xlfn.XLOOKUP(Cluster[[#This Row],[Bin_end]], ClusterCalc_3x3SD[Bin_end], ClusterCalc_3x3SD[Peak or Nadir], "fill ClusterCalc Table",1), "no bin")</f>
        <v>no bin</v>
      </c>
      <c r="AF137" s="88" t="str">
        <f>IF(ISNUMBER(Cluster[[#This Row],[Bin_end]]), _xlfn.XLOOKUP(Cluster[[#This Row],[Bin_end]], ClusterCalc_2x2SE[Bin_end], ClusterCalc_2x2SE[Peak or Nadir], "fill ClusterCalc Table",1), "no bin")</f>
        <v>no bin</v>
      </c>
      <c r="AG137" s="88" t="str">
        <f>IF(ISNUMBER(Cluster[[#This Row],[Bin_end]]), _xlfn.XLOOKUP(Cluster[[#This Row],[Bin_end]], ClusterCalc_3x3SE[Bin_end], ClusterCalc_3x3SE[Peak or Nadir], "fill ClusterCalc Table",1), "no bin")</f>
        <v>no bin</v>
      </c>
      <c r="BV137"/>
    </row>
    <row r="138" spans="2:74" x14ac:dyDescent="0.2">
      <c r="B138" s="88" t="str">
        <f t="shared" si="0"/>
        <v>&gt; Total Length</v>
      </c>
      <c r="C138" s="88" t="str">
        <f t="shared" si="1"/>
        <v>&gt; Total Length</v>
      </c>
      <c r="D138" s="96" t="str">
        <f t="shared" si="2"/>
        <v>&gt; Total Length</v>
      </c>
      <c r="E138" s="96" t="str">
        <f t="shared" si="3"/>
        <v>&gt; Total Length</v>
      </c>
      <c r="F138" s="97" t="str">
        <f t="shared" si="4"/>
        <v>&gt; Total Length</v>
      </c>
      <c r="G138" s="97" t="str">
        <f t="shared" si="5"/>
        <v>&gt; Total Length</v>
      </c>
      <c r="H138" s="98"/>
      <c r="I138" s="99"/>
      <c r="J138" s="88" t="str">
        <f>IF(ISBLANK(FiringRate[[#This Row],[Event/bin]]), " ", FiringRate[[#This Row],[Event/bin]]/BinSize_sec)</f>
        <v xml:space="preserve"> </v>
      </c>
      <c r="K138" s="100" t="str">
        <f>IF(ISBLANK(FiringRate[[#This Row],[Conc events/bin]]), " ", FiringRate[[#This Row],[Conc events/bin]]/BinSize_sec)</f>
        <v xml:space="preserve"> </v>
      </c>
      <c r="W138" s="96" t="str">
        <f t="shared" si="6"/>
        <v>&gt; Spont Length</v>
      </c>
      <c r="X138" s="96" t="str">
        <f t="shared" si="7"/>
        <v>Enter Spont End</v>
      </c>
      <c r="Y138" s="97" t="str">
        <f t="shared" si="8"/>
        <v>&gt; Spont Length</v>
      </c>
      <c r="Z138" s="97" t="str">
        <f t="shared" si="9"/>
        <v>Enter Spont End</v>
      </c>
      <c r="AA138" s="99"/>
      <c r="AB138" s="103" t="str">
        <f>IF(ISNUMBER(Cluster[[#This Row],[Bin Start (min)]]), AB137+1, Cluster[[#This Row],[Bin Start (min)]])</f>
        <v>&gt; Spont Length</v>
      </c>
      <c r="AC138" s="103" t="str">
        <f>IF(ISNUMBER(Cluster[[#This Row],[Bin End (min)]]), AC137+1, Cluster[[#This Row],[Bin End (min)]])</f>
        <v>Enter Spont End</v>
      </c>
      <c r="AD138" s="88" t="str">
        <f>IF(ISNUMBER(Cluster[[#This Row],[Bin_end]]), _xlfn.XLOOKUP(Cluster[[#This Row],[Bin_end]], ClusterCalc_2x2SD[Bin_end], ClusterCalc_2x2SD[Peak or Nadir], "fill ClusterCalc Table",1), "no bin")</f>
        <v>no bin</v>
      </c>
      <c r="AE138" s="88" t="str">
        <f>IF(ISNUMBER(Cluster[[#This Row],[Bin_end]]), _xlfn.XLOOKUP(Cluster[[#This Row],[Bin_end]], ClusterCalc_3x3SD[Bin_end], ClusterCalc_3x3SD[Peak or Nadir], "fill ClusterCalc Table",1), "no bin")</f>
        <v>no bin</v>
      </c>
      <c r="AF138" s="88" t="str">
        <f>IF(ISNUMBER(Cluster[[#This Row],[Bin_end]]), _xlfn.XLOOKUP(Cluster[[#This Row],[Bin_end]], ClusterCalc_2x2SE[Bin_end], ClusterCalc_2x2SE[Peak or Nadir], "fill ClusterCalc Table",1), "no bin")</f>
        <v>no bin</v>
      </c>
      <c r="AG138" s="88" t="str">
        <f>IF(ISNUMBER(Cluster[[#This Row],[Bin_end]]), _xlfn.XLOOKUP(Cluster[[#This Row],[Bin_end]], ClusterCalc_3x3SE[Bin_end], ClusterCalc_3x3SE[Peak or Nadir], "fill ClusterCalc Table",1), "no bin")</f>
        <v>no bin</v>
      </c>
      <c r="BV138"/>
    </row>
    <row r="139" spans="2:74" x14ac:dyDescent="0.2">
      <c r="B139" s="88" t="str">
        <f t="shared" si="0"/>
        <v>&gt; Total Length</v>
      </c>
      <c r="C139" s="88" t="str">
        <f t="shared" si="1"/>
        <v>&gt; Total Length</v>
      </c>
      <c r="D139" s="96" t="str">
        <f t="shared" si="2"/>
        <v>&gt; Total Length</v>
      </c>
      <c r="E139" s="96" t="str">
        <f t="shared" si="3"/>
        <v>&gt; Total Length</v>
      </c>
      <c r="F139" s="97" t="str">
        <f t="shared" si="4"/>
        <v>&gt; Total Length</v>
      </c>
      <c r="G139" s="97" t="str">
        <f t="shared" si="5"/>
        <v>&gt; Total Length</v>
      </c>
      <c r="H139" s="98"/>
      <c r="I139" s="99"/>
      <c r="J139" s="88" t="str">
        <f>IF(ISBLANK(FiringRate[[#This Row],[Event/bin]]), " ", FiringRate[[#This Row],[Event/bin]]/BinSize_sec)</f>
        <v xml:space="preserve"> </v>
      </c>
      <c r="K139" s="100" t="str">
        <f>IF(ISBLANK(FiringRate[[#This Row],[Conc events/bin]]), " ", FiringRate[[#This Row],[Conc events/bin]]/BinSize_sec)</f>
        <v xml:space="preserve"> </v>
      </c>
      <c r="W139" s="96" t="str">
        <f t="shared" si="6"/>
        <v>&gt; Spont Length</v>
      </c>
      <c r="X139" s="96" t="str">
        <f t="shared" si="7"/>
        <v>Enter Spont End</v>
      </c>
      <c r="Y139" s="97" t="str">
        <f t="shared" si="8"/>
        <v>&gt; Spont Length</v>
      </c>
      <c r="Z139" s="97" t="str">
        <f t="shared" si="9"/>
        <v>Enter Spont End</v>
      </c>
      <c r="AA139" s="99"/>
      <c r="AB139" s="103" t="str">
        <f>IF(ISNUMBER(Cluster[[#This Row],[Bin Start (min)]]), AB138+1, Cluster[[#This Row],[Bin Start (min)]])</f>
        <v>&gt; Spont Length</v>
      </c>
      <c r="AC139" s="103" t="str">
        <f>IF(ISNUMBER(Cluster[[#This Row],[Bin End (min)]]), AC138+1, Cluster[[#This Row],[Bin End (min)]])</f>
        <v>Enter Spont End</v>
      </c>
      <c r="AD139" s="88" t="str">
        <f>IF(ISNUMBER(Cluster[[#This Row],[Bin_end]]), _xlfn.XLOOKUP(Cluster[[#This Row],[Bin_end]], ClusterCalc_2x2SD[Bin_end], ClusterCalc_2x2SD[Peak or Nadir], "fill ClusterCalc Table",1), "no bin")</f>
        <v>no bin</v>
      </c>
      <c r="AE139" s="88" t="str">
        <f>IF(ISNUMBER(Cluster[[#This Row],[Bin_end]]), _xlfn.XLOOKUP(Cluster[[#This Row],[Bin_end]], ClusterCalc_3x3SD[Bin_end], ClusterCalc_3x3SD[Peak or Nadir], "fill ClusterCalc Table",1), "no bin")</f>
        <v>no bin</v>
      </c>
      <c r="AF139" s="88" t="str">
        <f>IF(ISNUMBER(Cluster[[#This Row],[Bin_end]]), _xlfn.XLOOKUP(Cluster[[#This Row],[Bin_end]], ClusterCalc_2x2SE[Bin_end], ClusterCalc_2x2SE[Peak or Nadir], "fill ClusterCalc Table",1), "no bin")</f>
        <v>no bin</v>
      </c>
      <c r="AG139" s="88" t="str">
        <f>IF(ISNUMBER(Cluster[[#This Row],[Bin_end]]), _xlfn.XLOOKUP(Cluster[[#This Row],[Bin_end]], ClusterCalc_3x3SE[Bin_end], ClusterCalc_3x3SE[Peak or Nadir], "fill ClusterCalc Table",1), "no bin")</f>
        <v>no bin</v>
      </c>
      <c r="BV139"/>
    </row>
    <row r="140" spans="2:74" x14ac:dyDescent="0.2">
      <c r="B140" s="88" t="str">
        <f t="shared" si="0"/>
        <v>&gt; Total Length</v>
      </c>
      <c r="C140" s="88" t="str">
        <f t="shared" si="1"/>
        <v>&gt; Total Length</v>
      </c>
      <c r="D140" s="96" t="str">
        <f t="shared" si="2"/>
        <v>&gt; Total Length</v>
      </c>
      <c r="E140" s="96" t="str">
        <f t="shared" si="3"/>
        <v>&gt; Total Length</v>
      </c>
      <c r="F140" s="97" t="str">
        <f t="shared" si="4"/>
        <v>&gt; Total Length</v>
      </c>
      <c r="G140" s="97" t="str">
        <f t="shared" si="5"/>
        <v>&gt; Total Length</v>
      </c>
      <c r="H140" s="98"/>
      <c r="I140" s="99"/>
      <c r="J140" s="88" t="str">
        <f>IF(ISBLANK(FiringRate[[#This Row],[Event/bin]]), " ", FiringRate[[#This Row],[Event/bin]]/BinSize_sec)</f>
        <v xml:space="preserve"> </v>
      </c>
      <c r="K140" s="100" t="str">
        <f>IF(ISBLANK(FiringRate[[#This Row],[Conc events/bin]]), " ", FiringRate[[#This Row],[Conc events/bin]]/BinSize_sec)</f>
        <v xml:space="preserve"> </v>
      </c>
      <c r="W140" s="96" t="str">
        <f t="shared" si="6"/>
        <v>&gt; Spont Length</v>
      </c>
      <c r="X140" s="96" t="str">
        <f t="shared" si="7"/>
        <v>Enter Spont End</v>
      </c>
      <c r="Y140" s="97" t="str">
        <f t="shared" si="8"/>
        <v>&gt; Spont Length</v>
      </c>
      <c r="Z140" s="97" t="str">
        <f t="shared" si="9"/>
        <v>Enter Spont End</v>
      </c>
      <c r="AA140" s="99"/>
      <c r="AB140" s="103" t="str">
        <f>IF(ISNUMBER(Cluster[[#This Row],[Bin Start (min)]]), AB139+1, Cluster[[#This Row],[Bin Start (min)]])</f>
        <v>&gt; Spont Length</v>
      </c>
      <c r="AC140" s="103" t="str">
        <f>IF(ISNUMBER(Cluster[[#This Row],[Bin End (min)]]), AC139+1, Cluster[[#This Row],[Bin End (min)]])</f>
        <v>Enter Spont End</v>
      </c>
      <c r="AD140" s="88" t="str">
        <f>IF(ISNUMBER(Cluster[[#This Row],[Bin_end]]), _xlfn.XLOOKUP(Cluster[[#This Row],[Bin_end]], ClusterCalc_2x2SD[Bin_end], ClusterCalc_2x2SD[Peak or Nadir], "fill ClusterCalc Table",1), "no bin")</f>
        <v>no bin</v>
      </c>
      <c r="AE140" s="88" t="str">
        <f>IF(ISNUMBER(Cluster[[#This Row],[Bin_end]]), _xlfn.XLOOKUP(Cluster[[#This Row],[Bin_end]], ClusterCalc_3x3SD[Bin_end], ClusterCalc_3x3SD[Peak or Nadir], "fill ClusterCalc Table",1), "no bin")</f>
        <v>no bin</v>
      </c>
      <c r="AF140" s="88" t="str">
        <f>IF(ISNUMBER(Cluster[[#This Row],[Bin_end]]), _xlfn.XLOOKUP(Cluster[[#This Row],[Bin_end]], ClusterCalc_2x2SE[Bin_end], ClusterCalc_2x2SE[Peak or Nadir], "fill ClusterCalc Table",1), "no bin")</f>
        <v>no bin</v>
      </c>
      <c r="AG140" s="88" t="str">
        <f>IF(ISNUMBER(Cluster[[#This Row],[Bin_end]]), _xlfn.XLOOKUP(Cluster[[#This Row],[Bin_end]], ClusterCalc_3x3SE[Bin_end], ClusterCalc_3x3SE[Peak or Nadir], "fill ClusterCalc Table",1), "no bin")</f>
        <v>no bin</v>
      </c>
      <c r="BV140"/>
    </row>
    <row r="141" spans="2:74" x14ac:dyDescent="0.2">
      <c r="B141" s="88" t="str">
        <f t="shared" si="0"/>
        <v>&gt; Total Length</v>
      </c>
      <c r="C141" s="88" t="str">
        <f t="shared" si="1"/>
        <v>&gt; Total Length</v>
      </c>
      <c r="D141" s="96" t="str">
        <f t="shared" si="2"/>
        <v>&gt; Total Length</v>
      </c>
      <c r="E141" s="96" t="str">
        <f t="shared" si="3"/>
        <v>&gt; Total Length</v>
      </c>
      <c r="F141" s="97" t="str">
        <f t="shared" si="4"/>
        <v>&gt; Total Length</v>
      </c>
      <c r="G141" s="97" t="str">
        <f t="shared" si="5"/>
        <v>&gt; Total Length</v>
      </c>
      <c r="H141" s="98"/>
      <c r="I141" s="99"/>
      <c r="J141" s="88" t="str">
        <f>IF(ISBLANK(FiringRate[[#This Row],[Event/bin]]), " ", FiringRate[[#This Row],[Event/bin]]/BinSize_sec)</f>
        <v xml:space="preserve"> </v>
      </c>
      <c r="K141" s="100" t="str">
        <f>IF(ISBLANK(FiringRate[[#This Row],[Conc events/bin]]), " ", FiringRate[[#This Row],[Conc events/bin]]/BinSize_sec)</f>
        <v xml:space="preserve"> </v>
      </c>
      <c r="W141" s="96" t="str">
        <f t="shared" si="6"/>
        <v>&gt; Spont Length</v>
      </c>
      <c r="X141" s="96" t="str">
        <f t="shared" si="7"/>
        <v>Enter Spont End</v>
      </c>
      <c r="Y141" s="97" t="str">
        <f t="shared" si="8"/>
        <v>&gt; Spont Length</v>
      </c>
      <c r="Z141" s="97" t="str">
        <f t="shared" si="9"/>
        <v>Enter Spont End</v>
      </c>
      <c r="AA141" s="99"/>
      <c r="AB141" s="103" t="str">
        <f>IF(ISNUMBER(Cluster[[#This Row],[Bin Start (min)]]), AB140+1, Cluster[[#This Row],[Bin Start (min)]])</f>
        <v>&gt; Spont Length</v>
      </c>
      <c r="AC141" s="103" t="str">
        <f>IF(ISNUMBER(Cluster[[#This Row],[Bin End (min)]]), AC140+1, Cluster[[#This Row],[Bin End (min)]])</f>
        <v>Enter Spont End</v>
      </c>
      <c r="AD141" s="88" t="str">
        <f>IF(ISNUMBER(Cluster[[#This Row],[Bin_end]]), _xlfn.XLOOKUP(Cluster[[#This Row],[Bin_end]], ClusterCalc_2x2SD[Bin_end], ClusterCalc_2x2SD[Peak or Nadir], "fill ClusterCalc Table",1), "no bin")</f>
        <v>no bin</v>
      </c>
      <c r="AE141" s="88" t="str">
        <f>IF(ISNUMBER(Cluster[[#This Row],[Bin_end]]), _xlfn.XLOOKUP(Cluster[[#This Row],[Bin_end]], ClusterCalc_3x3SD[Bin_end], ClusterCalc_3x3SD[Peak or Nadir], "fill ClusterCalc Table",1), "no bin")</f>
        <v>no bin</v>
      </c>
      <c r="AF141" s="88" t="str">
        <f>IF(ISNUMBER(Cluster[[#This Row],[Bin_end]]), _xlfn.XLOOKUP(Cluster[[#This Row],[Bin_end]], ClusterCalc_2x2SE[Bin_end], ClusterCalc_2x2SE[Peak or Nadir], "fill ClusterCalc Table",1), "no bin")</f>
        <v>no bin</v>
      </c>
      <c r="AG141" s="88" t="str">
        <f>IF(ISNUMBER(Cluster[[#This Row],[Bin_end]]), _xlfn.XLOOKUP(Cluster[[#This Row],[Bin_end]], ClusterCalc_3x3SE[Bin_end], ClusterCalc_3x3SE[Peak or Nadir], "fill ClusterCalc Table",1), "no bin")</f>
        <v>no bin</v>
      </c>
      <c r="BV141"/>
    </row>
    <row r="142" spans="2:74" x14ac:dyDescent="0.2">
      <c r="B142" s="88" t="str">
        <f t="shared" si="0"/>
        <v>&gt; Total Length</v>
      </c>
      <c r="C142" s="88" t="str">
        <f t="shared" si="1"/>
        <v>&gt; Total Length</v>
      </c>
      <c r="D142" s="96" t="str">
        <f t="shared" si="2"/>
        <v>&gt; Total Length</v>
      </c>
      <c r="E142" s="96" t="str">
        <f t="shared" si="3"/>
        <v>&gt; Total Length</v>
      </c>
      <c r="F142" s="97" t="str">
        <f t="shared" si="4"/>
        <v>&gt; Total Length</v>
      </c>
      <c r="G142" s="97" t="str">
        <f t="shared" si="5"/>
        <v>&gt; Total Length</v>
      </c>
      <c r="H142" s="98"/>
      <c r="I142" s="99"/>
      <c r="J142" s="88" t="str">
        <f>IF(ISBLANK(FiringRate[[#This Row],[Event/bin]]), " ", FiringRate[[#This Row],[Event/bin]]/BinSize_sec)</f>
        <v xml:space="preserve"> </v>
      </c>
      <c r="K142" s="100" t="str">
        <f>IF(ISBLANK(FiringRate[[#This Row],[Conc events/bin]]), " ", FiringRate[[#This Row],[Conc events/bin]]/BinSize_sec)</f>
        <v xml:space="preserve"> </v>
      </c>
      <c r="W142" s="96" t="str">
        <f t="shared" si="6"/>
        <v>&gt; Spont Length</v>
      </c>
      <c r="X142" s="96" t="str">
        <f t="shared" si="7"/>
        <v>Enter Spont End</v>
      </c>
      <c r="Y142" s="97" t="str">
        <f t="shared" si="8"/>
        <v>&gt; Spont Length</v>
      </c>
      <c r="Z142" s="97" t="str">
        <f t="shared" si="9"/>
        <v>Enter Spont End</v>
      </c>
      <c r="AA142" s="99"/>
      <c r="AB142" s="103" t="str">
        <f>IF(ISNUMBER(Cluster[[#This Row],[Bin Start (min)]]), AB141+1, Cluster[[#This Row],[Bin Start (min)]])</f>
        <v>&gt; Spont Length</v>
      </c>
      <c r="AC142" s="103" t="str">
        <f>IF(ISNUMBER(Cluster[[#This Row],[Bin End (min)]]), AC141+1, Cluster[[#This Row],[Bin End (min)]])</f>
        <v>Enter Spont End</v>
      </c>
      <c r="AD142" s="88" t="str">
        <f>IF(ISNUMBER(Cluster[[#This Row],[Bin_end]]), _xlfn.XLOOKUP(Cluster[[#This Row],[Bin_end]], ClusterCalc_2x2SD[Bin_end], ClusterCalc_2x2SD[Peak or Nadir], "fill ClusterCalc Table",1), "no bin")</f>
        <v>no bin</v>
      </c>
      <c r="AE142" s="88" t="str">
        <f>IF(ISNUMBER(Cluster[[#This Row],[Bin_end]]), _xlfn.XLOOKUP(Cluster[[#This Row],[Bin_end]], ClusterCalc_3x3SD[Bin_end], ClusterCalc_3x3SD[Peak or Nadir], "fill ClusterCalc Table",1), "no bin")</f>
        <v>no bin</v>
      </c>
      <c r="AF142" s="88" t="str">
        <f>IF(ISNUMBER(Cluster[[#This Row],[Bin_end]]), _xlfn.XLOOKUP(Cluster[[#This Row],[Bin_end]], ClusterCalc_2x2SE[Bin_end], ClusterCalc_2x2SE[Peak or Nadir], "fill ClusterCalc Table",1), "no bin")</f>
        <v>no bin</v>
      </c>
      <c r="AG142" s="88" t="str">
        <f>IF(ISNUMBER(Cluster[[#This Row],[Bin_end]]), _xlfn.XLOOKUP(Cluster[[#This Row],[Bin_end]], ClusterCalc_3x3SE[Bin_end], ClusterCalc_3x3SE[Peak or Nadir], "fill ClusterCalc Table",1), "no bin")</f>
        <v>no bin</v>
      </c>
      <c r="BV142"/>
    </row>
    <row r="143" spans="2:74" x14ac:dyDescent="0.2">
      <c r="B143" s="88" t="str">
        <f t="shared" si="0"/>
        <v>&gt; Total Length</v>
      </c>
      <c r="C143" s="88" t="str">
        <f t="shared" si="1"/>
        <v>&gt; Total Length</v>
      </c>
      <c r="D143" s="96" t="str">
        <f t="shared" si="2"/>
        <v>&gt; Total Length</v>
      </c>
      <c r="E143" s="96" t="str">
        <f t="shared" si="3"/>
        <v>&gt; Total Length</v>
      </c>
      <c r="F143" s="97" t="str">
        <f t="shared" si="4"/>
        <v>&gt; Total Length</v>
      </c>
      <c r="G143" s="97" t="str">
        <f t="shared" si="5"/>
        <v>&gt; Total Length</v>
      </c>
      <c r="H143" s="98"/>
      <c r="I143" s="99"/>
      <c r="J143" s="88" t="str">
        <f>IF(ISBLANK(FiringRate[[#This Row],[Event/bin]]), " ", FiringRate[[#This Row],[Event/bin]]/BinSize_sec)</f>
        <v xml:space="preserve"> </v>
      </c>
      <c r="K143" s="100" t="str">
        <f>IF(ISBLANK(FiringRate[[#This Row],[Conc events/bin]]), " ", FiringRate[[#This Row],[Conc events/bin]]/BinSize_sec)</f>
        <v xml:space="preserve"> </v>
      </c>
      <c r="W143" s="96" t="str">
        <f t="shared" si="6"/>
        <v>&gt; Spont Length</v>
      </c>
      <c r="X143" s="96" t="str">
        <f t="shared" si="7"/>
        <v>Enter Spont End</v>
      </c>
      <c r="Y143" s="97" t="str">
        <f t="shared" si="8"/>
        <v>&gt; Spont Length</v>
      </c>
      <c r="Z143" s="97" t="str">
        <f t="shared" si="9"/>
        <v>Enter Spont End</v>
      </c>
      <c r="AA143" s="99"/>
      <c r="AB143" s="103" t="str">
        <f>IF(ISNUMBER(Cluster[[#This Row],[Bin Start (min)]]), AB142+1, Cluster[[#This Row],[Bin Start (min)]])</f>
        <v>&gt; Spont Length</v>
      </c>
      <c r="AC143" s="103" t="str">
        <f>IF(ISNUMBER(Cluster[[#This Row],[Bin End (min)]]), AC142+1, Cluster[[#This Row],[Bin End (min)]])</f>
        <v>Enter Spont End</v>
      </c>
      <c r="AD143" s="88" t="str">
        <f>IF(ISNUMBER(Cluster[[#This Row],[Bin_end]]), _xlfn.XLOOKUP(Cluster[[#This Row],[Bin_end]], ClusterCalc_2x2SD[Bin_end], ClusterCalc_2x2SD[Peak or Nadir], "fill ClusterCalc Table",1), "no bin")</f>
        <v>no bin</v>
      </c>
      <c r="AE143" s="88" t="str">
        <f>IF(ISNUMBER(Cluster[[#This Row],[Bin_end]]), _xlfn.XLOOKUP(Cluster[[#This Row],[Bin_end]], ClusterCalc_3x3SD[Bin_end], ClusterCalc_3x3SD[Peak or Nadir], "fill ClusterCalc Table",1), "no bin")</f>
        <v>no bin</v>
      </c>
      <c r="AF143" s="88" t="str">
        <f>IF(ISNUMBER(Cluster[[#This Row],[Bin_end]]), _xlfn.XLOOKUP(Cluster[[#This Row],[Bin_end]], ClusterCalc_2x2SE[Bin_end], ClusterCalc_2x2SE[Peak or Nadir], "fill ClusterCalc Table",1), "no bin")</f>
        <v>no bin</v>
      </c>
      <c r="AG143" s="88" t="str">
        <f>IF(ISNUMBER(Cluster[[#This Row],[Bin_end]]), _xlfn.XLOOKUP(Cluster[[#This Row],[Bin_end]], ClusterCalc_3x3SE[Bin_end], ClusterCalc_3x3SE[Peak or Nadir], "fill ClusterCalc Table",1), "no bin")</f>
        <v>no bin</v>
      </c>
      <c r="BV143"/>
    </row>
    <row r="144" spans="2:74" x14ac:dyDescent="0.2">
      <c r="B144" s="88" t="str">
        <f t="shared" si="0"/>
        <v>&gt; Total Length</v>
      </c>
      <c r="C144" s="88" t="str">
        <f t="shared" si="1"/>
        <v>&gt; Total Length</v>
      </c>
      <c r="D144" s="96" t="str">
        <f t="shared" si="2"/>
        <v>&gt; Total Length</v>
      </c>
      <c r="E144" s="96" t="str">
        <f t="shared" si="3"/>
        <v>&gt; Total Length</v>
      </c>
      <c r="F144" s="97" t="str">
        <f t="shared" si="4"/>
        <v>&gt; Total Length</v>
      </c>
      <c r="G144" s="97" t="str">
        <f t="shared" si="5"/>
        <v>&gt; Total Length</v>
      </c>
      <c r="H144" s="98"/>
      <c r="I144" s="99"/>
      <c r="J144" s="88" t="str">
        <f>IF(ISBLANK(FiringRate[[#This Row],[Event/bin]]), " ", FiringRate[[#This Row],[Event/bin]]/BinSize_sec)</f>
        <v xml:space="preserve"> </v>
      </c>
      <c r="K144" s="100" t="str">
        <f>IF(ISBLANK(FiringRate[[#This Row],[Conc events/bin]]), " ", FiringRate[[#This Row],[Conc events/bin]]/BinSize_sec)</f>
        <v xml:space="preserve"> </v>
      </c>
      <c r="W144" s="96" t="str">
        <f t="shared" si="6"/>
        <v>&gt; Spont Length</v>
      </c>
      <c r="X144" s="96" t="str">
        <f t="shared" si="7"/>
        <v>Enter Spont End</v>
      </c>
      <c r="Y144" s="97" t="str">
        <f t="shared" si="8"/>
        <v>&gt; Spont Length</v>
      </c>
      <c r="Z144" s="97" t="str">
        <f t="shared" si="9"/>
        <v>Enter Spont End</v>
      </c>
      <c r="AA144" s="99"/>
      <c r="AB144" s="103" t="str">
        <f>IF(ISNUMBER(Cluster[[#This Row],[Bin Start (min)]]), AB143+1, Cluster[[#This Row],[Bin Start (min)]])</f>
        <v>&gt; Spont Length</v>
      </c>
      <c r="AC144" s="103" t="str">
        <f>IF(ISNUMBER(Cluster[[#This Row],[Bin End (min)]]), AC143+1, Cluster[[#This Row],[Bin End (min)]])</f>
        <v>Enter Spont End</v>
      </c>
      <c r="AD144" s="88" t="str">
        <f>IF(ISNUMBER(Cluster[[#This Row],[Bin_end]]), _xlfn.XLOOKUP(Cluster[[#This Row],[Bin_end]], ClusterCalc_2x2SD[Bin_end], ClusterCalc_2x2SD[Peak or Nadir], "fill ClusterCalc Table",1), "no bin")</f>
        <v>no bin</v>
      </c>
      <c r="AE144" s="88" t="str">
        <f>IF(ISNUMBER(Cluster[[#This Row],[Bin_end]]), _xlfn.XLOOKUP(Cluster[[#This Row],[Bin_end]], ClusterCalc_3x3SD[Bin_end], ClusterCalc_3x3SD[Peak or Nadir], "fill ClusterCalc Table",1), "no bin")</f>
        <v>no bin</v>
      </c>
      <c r="AF144" s="88" t="str">
        <f>IF(ISNUMBER(Cluster[[#This Row],[Bin_end]]), _xlfn.XLOOKUP(Cluster[[#This Row],[Bin_end]], ClusterCalc_2x2SE[Bin_end], ClusterCalc_2x2SE[Peak or Nadir], "fill ClusterCalc Table",1), "no bin")</f>
        <v>no bin</v>
      </c>
      <c r="AG144" s="88" t="str">
        <f>IF(ISNUMBER(Cluster[[#This Row],[Bin_end]]), _xlfn.XLOOKUP(Cluster[[#This Row],[Bin_end]], ClusterCalc_3x3SE[Bin_end], ClusterCalc_3x3SE[Peak or Nadir], "fill ClusterCalc Table",1), "no bin")</f>
        <v>no bin</v>
      </c>
      <c r="BV144"/>
    </row>
    <row r="145" spans="2:74" x14ac:dyDescent="0.2">
      <c r="B145" s="88" t="str">
        <f t="shared" ref="B145:B176" si="14">IF(E144&lt;TotalLength_min, IF(ISNONTEXT(B144), IF(C145&gt;C144, B144, IF(B144&lt;LastSeries, B144+1)), B144), "&gt; Total Length")</f>
        <v>&gt; Total Length</v>
      </c>
      <c r="C145" s="88" t="str">
        <f t="shared" ref="C145:C176" si="15">IF(E144&lt;TotalLength_min, IF(ISNONTEXT(C144), IF(C144&lt;(BinsPerSeries-1),C144+1,0), C144), "&gt; Total Length")</f>
        <v>&gt; Total Length</v>
      </c>
      <c r="D145" s="96" t="str">
        <f t="shared" ref="D145:D176" si="16">IF(BinSize_sec &gt; 0, IF(ISNONTEXT(F144), IF(F144 + BinSize_sec &lt; TotalLength_sec, F145/60, "&gt; Total Length"), F144), "No bin size")</f>
        <v>&gt; Total Length</v>
      </c>
      <c r="E145" s="96" t="str">
        <f t="shared" ref="E145:E176" si="17">IF(BinSize_sec &gt; 0, IF(ISNONTEXT(G144), IF(G144 + BinSize_sec &gt; TotalLength_sec, "&gt; Total Length", G145/60), G144), "No bin size")</f>
        <v>&gt; Total Length</v>
      </c>
      <c r="F145" s="97" t="str">
        <f t="shared" ref="F145:F176" si="18">IF(BinSize_sec &gt; 0, IF(ISNONTEXT(F144), IF(F144 + BinSize_sec &lt; TotalLength_sec, F144 + BinSize_sec, "&gt; Total Length"), F144), "No bin size")</f>
        <v>&gt; Total Length</v>
      </c>
      <c r="G145" s="97" t="str">
        <f t="shared" ref="G145:G176" si="19">IF(BinSize_sec &gt; 0, IF(ISNONTEXT(G144), IF(G144 + BinSize_sec &gt; TotalLength_sec, "&gt; Total Length", G144 + BinSize_sec), G144), "No bin size")</f>
        <v>&gt; Total Length</v>
      </c>
      <c r="H145" s="98"/>
      <c r="I145" s="99"/>
      <c r="J145" s="88" t="str">
        <f>IF(ISBLANK(FiringRate[[#This Row],[Event/bin]]), " ", FiringRate[[#This Row],[Event/bin]]/BinSize_sec)</f>
        <v xml:space="preserve"> </v>
      </c>
      <c r="K145" s="100" t="str">
        <f>IF(ISBLANK(FiringRate[[#This Row],[Conc events/bin]]), " ", FiringRate[[#This Row],[Conc events/bin]]/BinSize_sec)</f>
        <v xml:space="preserve"> </v>
      </c>
      <c r="W145" s="96" t="str">
        <f t="shared" ref="W145:W176" si="20">IF(ClusterBinSize_sec &gt; 0, IF(ISNONTEXT(W144), IF(X144 &lt; EndTime_spont, W144 + (ClusterBinSize_sec / 60), "&gt; Spont Length"), W144), "No bin size")</f>
        <v>&gt; Spont Length</v>
      </c>
      <c r="X145" s="96" t="str">
        <f t="shared" ref="X145:X176" si="21">IF(ClusterBinSize_sec &gt; 0, IF(ISNONTEXT(X144), IF(X144 + (ClusterBinSize_sec / 60) &gt; EndTime_spont, "&gt; Spont Length", X144 + (ClusterBinSize_sec / 60)), X144), "No bin size")</f>
        <v>Enter Spont End</v>
      </c>
      <c r="Y145" s="97" t="str">
        <f t="shared" ref="Y145:Y176" si="22">IF(ClusterBinSize_sec &gt; 0, IF(ISNONTEXT(Y144), IF(Z144 &lt; (EndTime_spont *60), Y144 + ClusterBinSize_sec, "&gt; Spont Length"), Y144), "No bin size")</f>
        <v>&gt; Spont Length</v>
      </c>
      <c r="Z145" s="97" t="str">
        <f t="shared" ref="Z145:Z176" si="23">IF(ClusterBinSize_sec &gt; 0, IF(ISNONTEXT(Z144), IF(Z144 + ClusterBinSize_sec &gt; (EndTime_spont * 60), "&gt; Spont Length", Z144 + ClusterBinSize_sec), Z144), "No bin size")</f>
        <v>Enter Spont End</v>
      </c>
      <c r="AA145" s="99"/>
      <c r="AB145" s="103" t="str">
        <f>IF(ISNUMBER(Cluster[[#This Row],[Bin Start (min)]]), AB144+1, Cluster[[#This Row],[Bin Start (min)]])</f>
        <v>&gt; Spont Length</v>
      </c>
      <c r="AC145" s="103" t="str">
        <f>IF(ISNUMBER(Cluster[[#This Row],[Bin End (min)]]), AC144+1, Cluster[[#This Row],[Bin End (min)]])</f>
        <v>Enter Spont End</v>
      </c>
      <c r="AD145" s="88" t="str">
        <f>IF(ISNUMBER(Cluster[[#This Row],[Bin_end]]), _xlfn.XLOOKUP(Cluster[[#This Row],[Bin_end]], ClusterCalc_2x2SD[Bin_end], ClusterCalc_2x2SD[Peak or Nadir], "fill ClusterCalc Table",1), "no bin")</f>
        <v>no bin</v>
      </c>
      <c r="AE145" s="88" t="str">
        <f>IF(ISNUMBER(Cluster[[#This Row],[Bin_end]]), _xlfn.XLOOKUP(Cluster[[#This Row],[Bin_end]], ClusterCalc_3x3SD[Bin_end], ClusterCalc_3x3SD[Peak or Nadir], "fill ClusterCalc Table",1), "no bin")</f>
        <v>no bin</v>
      </c>
      <c r="AF145" s="88" t="str">
        <f>IF(ISNUMBER(Cluster[[#This Row],[Bin_end]]), _xlfn.XLOOKUP(Cluster[[#This Row],[Bin_end]], ClusterCalc_2x2SE[Bin_end], ClusterCalc_2x2SE[Peak or Nadir], "fill ClusterCalc Table",1), "no bin")</f>
        <v>no bin</v>
      </c>
      <c r="AG145" s="88" t="str">
        <f>IF(ISNUMBER(Cluster[[#This Row],[Bin_end]]), _xlfn.XLOOKUP(Cluster[[#This Row],[Bin_end]], ClusterCalc_3x3SE[Bin_end], ClusterCalc_3x3SE[Peak or Nadir], "fill ClusterCalc Table",1), "no bin")</f>
        <v>no bin</v>
      </c>
      <c r="BV145"/>
    </row>
    <row r="146" spans="2:74" x14ac:dyDescent="0.2">
      <c r="B146" s="88" t="str">
        <f t="shared" si="14"/>
        <v>&gt; Total Length</v>
      </c>
      <c r="C146" s="88" t="str">
        <f t="shared" si="15"/>
        <v>&gt; Total Length</v>
      </c>
      <c r="D146" s="96" t="str">
        <f t="shared" si="16"/>
        <v>&gt; Total Length</v>
      </c>
      <c r="E146" s="96" t="str">
        <f t="shared" si="17"/>
        <v>&gt; Total Length</v>
      </c>
      <c r="F146" s="97" t="str">
        <f t="shared" si="18"/>
        <v>&gt; Total Length</v>
      </c>
      <c r="G146" s="97" t="str">
        <f t="shared" si="19"/>
        <v>&gt; Total Length</v>
      </c>
      <c r="H146" s="98"/>
      <c r="I146" s="99"/>
      <c r="J146" s="88" t="str">
        <f>IF(ISBLANK(FiringRate[[#This Row],[Event/bin]]), " ", FiringRate[[#This Row],[Event/bin]]/BinSize_sec)</f>
        <v xml:space="preserve"> </v>
      </c>
      <c r="K146" s="100" t="str">
        <f>IF(ISBLANK(FiringRate[[#This Row],[Conc events/bin]]), " ", FiringRate[[#This Row],[Conc events/bin]]/BinSize_sec)</f>
        <v xml:space="preserve"> </v>
      </c>
      <c r="W146" s="96" t="str">
        <f t="shared" si="20"/>
        <v>&gt; Spont Length</v>
      </c>
      <c r="X146" s="96" t="str">
        <f t="shared" si="21"/>
        <v>Enter Spont End</v>
      </c>
      <c r="Y146" s="97" t="str">
        <f t="shared" si="22"/>
        <v>&gt; Spont Length</v>
      </c>
      <c r="Z146" s="97" t="str">
        <f t="shared" si="23"/>
        <v>Enter Spont End</v>
      </c>
      <c r="AA146" s="99"/>
      <c r="AB146" s="103" t="str">
        <f>IF(ISNUMBER(Cluster[[#This Row],[Bin Start (min)]]), AB145+1, Cluster[[#This Row],[Bin Start (min)]])</f>
        <v>&gt; Spont Length</v>
      </c>
      <c r="AC146" s="103" t="str">
        <f>IF(ISNUMBER(Cluster[[#This Row],[Bin End (min)]]), AC145+1, Cluster[[#This Row],[Bin End (min)]])</f>
        <v>Enter Spont End</v>
      </c>
      <c r="AD146" s="88" t="str">
        <f>IF(ISNUMBER(Cluster[[#This Row],[Bin_end]]), _xlfn.XLOOKUP(Cluster[[#This Row],[Bin_end]], ClusterCalc_2x2SD[Bin_end], ClusterCalc_2x2SD[Peak or Nadir], "fill ClusterCalc Table",1), "no bin")</f>
        <v>no bin</v>
      </c>
      <c r="AE146" s="88" t="str">
        <f>IF(ISNUMBER(Cluster[[#This Row],[Bin_end]]), _xlfn.XLOOKUP(Cluster[[#This Row],[Bin_end]], ClusterCalc_3x3SD[Bin_end], ClusterCalc_3x3SD[Peak or Nadir], "fill ClusterCalc Table",1), "no bin")</f>
        <v>no bin</v>
      </c>
      <c r="AF146" s="88" t="str">
        <f>IF(ISNUMBER(Cluster[[#This Row],[Bin_end]]), _xlfn.XLOOKUP(Cluster[[#This Row],[Bin_end]], ClusterCalc_2x2SE[Bin_end], ClusterCalc_2x2SE[Peak or Nadir], "fill ClusterCalc Table",1), "no bin")</f>
        <v>no bin</v>
      </c>
      <c r="AG146" s="88" t="str">
        <f>IF(ISNUMBER(Cluster[[#This Row],[Bin_end]]), _xlfn.XLOOKUP(Cluster[[#This Row],[Bin_end]], ClusterCalc_3x3SE[Bin_end], ClusterCalc_3x3SE[Peak or Nadir], "fill ClusterCalc Table",1), "no bin")</f>
        <v>no bin</v>
      </c>
      <c r="BV146"/>
    </row>
    <row r="147" spans="2:74" x14ac:dyDescent="0.2">
      <c r="B147" s="88" t="str">
        <f t="shared" si="14"/>
        <v>&gt; Total Length</v>
      </c>
      <c r="C147" s="88" t="str">
        <f t="shared" si="15"/>
        <v>&gt; Total Length</v>
      </c>
      <c r="D147" s="96" t="str">
        <f t="shared" si="16"/>
        <v>&gt; Total Length</v>
      </c>
      <c r="E147" s="96" t="str">
        <f t="shared" si="17"/>
        <v>&gt; Total Length</v>
      </c>
      <c r="F147" s="97" t="str">
        <f t="shared" si="18"/>
        <v>&gt; Total Length</v>
      </c>
      <c r="G147" s="97" t="str">
        <f t="shared" si="19"/>
        <v>&gt; Total Length</v>
      </c>
      <c r="H147" s="98"/>
      <c r="I147" s="99"/>
      <c r="J147" s="88" t="str">
        <f>IF(ISBLANK(FiringRate[[#This Row],[Event/bin]]), " ", FiringRate[[#This Row],[Event/bin]]/BinSize_sec)</f>
        <v xml:space="preserve"> </v>
      </c>
      <c r="K147" s="100" t="str">
        <f>IF(ISBLANK(FiringRate[[#This Row],[Conc events/bin]]), " ", FiringRate[[#This Row],[Conc events/bin]]/BinSize_sec)</f>
        <v xml:space="preserve"> </v>
      </c>
      <c r="W147" s="96" t="str">
        <f t="shared" si="20"/>
        <v>&gt; Spont Length</v>
      </c>
      <c r="X147" s="96" t="str">
        <f t="shared" si="21"/>
        <v>Enter Spont End</v>
      </c>
      <c r="Y147" s="97" t="str">
        <f t="shared" si="22"/>
        <v>&gt; Spont Length</v>
      </c>
      <c r="Z147" s="97" t="str">
        <f t="shared" si="23"/>
        <v>Enter Spont End</v>
      </c>
      <c r="AA147" s="99"/>
      <c r="AB147" s="103" t="str">
        <f>IF(ISNUMBER(Cluster[[#This Row],[Bin Start (min)]]), AB146+1, Cluster[[#This Row],[Bin Start (min)]])</f>
        <v>&gt; Spont Length</v>
      </c>
      <c r="AC147" s="103" t="str">
        <f>IF(ISNUMBER(Cluster[[#This Row],[Bin End (min)]]), AC146+1, Cluster[[#This Row],[Bin End (min)]])</f>
        <v>Enter Spont End</v>
      </c>
      <c r="AD147" s="88" t="str">
        <f>IF(ISNUMBER(Cluster[[#This Row],[Bin_end]]), _xlfn.XLOOKUP(Cluster[[#This Row],[Bin_end]], ClusterCalc_2x2SD[Bin_end], ClusterCalc_2x2SD[Peak or Nadir], "fill ClusterCalc Table",1), "no bin")</f>
        <v>no bin</v>
      </c>
      <c r="AE147" s="88" t="str">
        <f>IF(ISNUMBER(Cluster[[#This Row],[Bin_end]]), _xlfn.XLOOKUP(Cluster[[#This Row],[Bin_end]], ClusterCalc_3x3SD[Bin_end], ClusterCalc_3x3SD[Peak or Nadir], "fill ClusterCalc Table",1), "no bin")</f>
        <v>no bin</v>
      </c>
      <c r="AF147" s="88" t="str">
        <f>IF(ISNUMBER(Cluster[[#This Row],[Bin_end]]), _xlfn.XLOOKUP(Cluster[[#This Row],[Bin_end]], ClusterCalc_2x2SE[Bin_end], ClusterCalc_2x2SE[Peak or Nadir], "fill ClusterCalc Table",1), "no bin")</f>
        <v>no bin</v>
      </c>
      <c r="AG147" s="88" t="str">
        <f>IF(ISNUMBER(Cluster[[#This Row],[Bin_end]]), _xlfn.XLOOKUP(Cluster[[#This Row],[Bin_end]], ClusterCalc_3x3SE[Bin_end], ClusterCalc_3x3SE[Peak or Nadir], "fill ClusterCalc Table",1), "no bin")</f>
        <v>no bin</v>
      </c>
      <c r="BV147"/>
    </row>
    <row r="148" spans="2:74" x14ac:dyDescent="0.2">
      <c r="B148" s="88" t="str">
        <f t="shared" si="14"/>
        <v>&gt; Total Length</v>
      </c>
      <c r="C148" s="88" t="str">
        <f t="shared" si="15"/>
        <v>&gt; Total Length</v>
      </c>
      <c r="D148" s="96" t="str">
        <f t="shared" si="16"/>
        <v>&gt; Total Length</v>
      </c>
      <c r="E148" s="96" t="str">
        <f t="shared" si="17"/>
        <v>&gt; Total Length</v>
      </c>
      <c r="F148" s="97" t="str">
        <f t="shared" si="18"/>
        <v>&gt; Total Length</v>
      </c>
      <c r="G148" s="97" t="str">
        <f t="shared" si="19"/>
        <v>&gt; Total Length</v>
      </c>
      <c r="H148" s="98"/>
      <c r="I148" s="99"/>
      <c r="J148" s="88" t="str">
        <f>IF(ISBLANK(FiringRate[[#This Row],[Event/bin]]), " ", FiringRate[[#This Row],[Event/bin]]/BinSize_sec)</f>
        <v xml:space="preserve"> </v>
      </c>
      <c r="K148" s="100" t="str">
        <f>IF(ISBLANK(FiringRate[[#This Row],[Conc events/bin]]), " ", FiringRate[[#This Row],[Conc events/bin]]/BinSize_sec)</f>
        <v xml:space="preserve"> </v>
      </c>
      <c r="W148" s="96" t="str">
        <f t="shared" si="20"/>
        <v>&gt; Spont Length</v>
      </c>
      <c r="X148" s="96" t="str">
        <f t="shared" si="21"/>
        <v>Enter Spont End</v>
      </c>
      <c r="Y148" s="97" t="str">
        <f t="shared" si="22"/>
        <v>&gt; Spont Length</v>
      </c>
      <c r="Z148" s="97" t="str">
        <f t="shared" si="23"/>
        <v>Enter Spont End</v>
      </c>
      <c r="AA148" s="99"/>
      <c r="AB148" s="103" t="str">
        <f>IF(ISNUMBER(Cluster[[#This Row],[Bin Start (min)]]), AB147+1, Cluster[[#This Row],[Bin Start (min)]])</f>
        <v>&gt; Spont Length</v>
      </c>
      <c r="AC148" s="103" t="str">
        <f>IF(ISNUMBER(Cluster[[#This Row],[Bin End (min)]]), AC147+1, Cluster[[#This Row],[Bin End (min)]])</f>
        <v>Enter Spont End</v>
      </c>
      <c r="AD148" s="88" t="str">
        <f>IF(ISNUMBER(Cluster[[#This Row],[Bin_end]]), _xlfn.XLOOKUP(Cluster[[#This Row],[Bin_end]], ClusterCalc_2x2SD[Bin_end], ClusterCalc_2x2SD[Peak or Nadir], "fill ClusterCalc Table",1), "no bin")</f>
        <v>no bin</v>
      </c>
      <c r="AE148" s="88" t="str">
        <f>IF(ISNUMBER(Cluster[[#This Row],[Bin_end]]), _xlfn.XLOOKUP(Cluster[[#This Row],[Bin_end]], ClusterCalc_3x3SD[Bin_end], ClusterCalc_3x3SD[Peak or Nadir], "fill ClusterCalc Table",1), "no bin")</f>
        <v>no bin</v>
      </c>
      <c r="AF148" s="88" t="str">
        <f>IF(ISNUMBER(Cluster[[#This Row],[Bin_end]]), _xlfn.XLOOKUP(Cluster[[#This Row],[Bin_end]], ClusterCalc_2x2SE[Bin_end], ClusterCalc_2x2SE[Peak or Nadir], "fill ClusterCalc Table",1), "no bin")</f>
        <v>no bin</v>
      </c>
      <c r="AG148" s="88" t="str">
        <f>IF(ISNUMBER(Cluster[[#This Row],[Bin_end]]), _xlfn.XLOOKUP(Cluster[[#This Row],[Bin_end]], ClusterCalc_3x3SE[Bin_end], ClusterCalc_3x3SE[Peak or Nadir], "fill ClusterCalc Table",1), "no bin")</f>
        <v>no bin</v>
      </c>
      <c r="BV148"/>
    </row>
    <row r="149" spans="2:74" x14ac:dyDescent="0.2">
      <c r="B149" s="88" t="str">
        <f t="shared" si="14"/>
        <v>&gt; Total Length</v>
      </c>
      <c r="C149" s="88" t="str">
        <f t="shared" si="15"/>
        <v>&gt; Total Length</v>
      </c>
      <c r="D149" s="96" t="str">
        <f t="shared" si="16"/>
        <v>&gt; Total Length</v>
      </c>
      <c r="E149" s="96" t="str">
        <f t="shared" si="17"/>
        <v>&gt; Total Length</v>
      </c>
      <c r="F149" s="97" t="str">
        <f t="shared" si="18"/>
        <v>&gt; Total Length</v>
      </c>
      <c r="G149" s="97" t="str">
        <f t="shared" si="19"/>
        <v>&gt; Total Length</v>
      </c>
      <c r="H149" s="98"/>
      <c r="I149" s="99"/>
      <c r="J149" s="88" t="str">
        <f>IF(ISBLANK(FiringRate[[#This Row],[Event/bin]]), " ", FiringRate[[#This Row],[Event/bin]]/BinSize_sec)</f>
        <v xml:space="preserve"> </v>
      </c>
      <c r="K149" s="100" t="str">
        <f>IF(ISBLANK(FiringRate[[#This Row],[Conc events/bin]]), " ", FiringRate[[#This Row],[Conc events/bin]]/BinSize_sec)</f>
        <v xml:space="preserve"> </v>
      </c>
      <c r="W149" s="96" t="str">
        <f t="shared" si="20"/>
        <v>&gt; Spont Length</v>
      </c>
      <c r="X149" s="96" t="str">
        <f t="shared" si="21"/>
        <v>Enter Spont End</v>
      </c>
      <c r="Y149" s="97" t="str">
        <f t="shared" si="22"/>
        <v>&gt; Spont Length</v>
      </c>
      <c r="Z149" s="97" t="str">
        <f t="shared" si="23"/>
        <v>Enter Spont End</v>
      </c>
      <c r="AA149" s="99"/>
      <c r="AB149" s="103" t="str">
        <f>IF(ISNUMBER(Cluster[[#This Row],[Bin Start (min)]]), AB148+1, Cluster[[#This Row],[Bin Start (min)]])</f>
        <v>&gt; Spont Length</v>
      </c>
      <c r="AC149" s="103" t="str">
        <f>IF(ISNUMBER(Cluster[[#This Row],[Bin End (min)]]), AC148+1, Cluster[[#This Row],[Bin End (min)]])</f>
        <v>Enter Spont End</v>
      </c>
      <c r="AD149" s="88" t="str">
        <f>IF(ISNUMBER(Cluster[[#This Row],[Bin_end]]), _xlfn.XLOOKUP(Cluster[[#This Row],[Bin_end]], ClusterCalc_2x2SD[Bin_end], ClusterCalc_2x2SD[Peak or Nadir], "fill ClusterCalc Table",1), "no bin")</f>
        <v>no bin</v>
      </c>
      <c r="AE149" s="88" t="str">
        <f>IF(ISNUMBER(Cluster[[#This Row],[Bin_end]]), _xlfn.XLOOKUP(Cluster[[#This Row],[Bin_end]], ClusterCalc_3x3SD[Bin_end], ClusterCalc_3x3SD[Peak or Nadir], "fill ClusterCalc Table",1), "no bin")</f>
        <v>no bin</v>
      </c>
      <c r="AF149" s="88" t="str">
        <f>IF(ISNUMBER(Cluster[[#This Row],[Bin_end]]), _xlfn.XLOOKUP(Cluster[[#This Row],[Bin_end]], ClusterCalc_2x2SE[Bin_end], ClusterCalc_2x2SE[Peak or Nadir], "fill ClusterCalc Table",1), "no bin")</f>
        <v>no bin</v>
      </c>
      <c r="AG149" s="88" t="str">
        <f>IF(ISNUMBER(Cluster[[#This Row],[Bin_end]]), _xlfn.XLOOKUP(Cluster[[#This Row],[Bin_end]], ClusterCalc_3x3SE[Bin_end], ClusterCalc_3x3SE[Peak or Nadir], "fill ClusterCalc Table",1), "no bin")</f>
        <v>no bin</v>
      </c>
      <c r="BV149"/>
    </row>
    <row r="150" spans="2:74" x14ac:dyDescent="0.2">
      <c r="B150" s="88" t="str">
        <f t="shared" si="14"/>
        <v>&gt; Total Length</v>
      </c>
      <c r="C150" s="88" t="str">
        <f t="shared" si="15"/>
        <v>&gt; Total Length</v>
      </c>
      <c r="D150" s="96" t="str">
        <f t="shared" si="16"/>
        <v>&gt; Total Length</v>
      </c>
      <c r="E150" s="96" t="str">
        <f t="shared" si="17"/>
        <v>&gt; Total Length</v>
      </c>
      <c r="F150" s="97" t="str">
        <f t="shared" si="18"/>
        <v>&gt; Total Length</v>
      </c>
      <c r="G150" s="97" t="str">
        <f t="shared" si="19"/>
        <v>&gt; Total Length</v>
      </c>
      <c r="H150" s="98"/>
      <c r="I150" s="99"/>
      <c r="J150" s="88" t="str">
        <f>IF(ISBLANK(FiringRate[[#This Row],[Event/bin]]), " ", FiringRate[[#This Row],[Event/bin]]/BinSize_sec)</f>
        <v xml:space="preserve"> </v>
      </c>
      <c r="K150" s="100" t="str">
        <f>IF(ISBLANK(FiringRate[[#This Row],[Conc events/bin]]), " ", FiringRate[[#This Row],[Conc events/bin]]/BinSize_sec)</f>
        <v xml:space="preserve"> </v>
      </c>
      <c r="W150" s="96" t="str">
        <f t="shared" si="20"/>
        <v>&gt; Spont Length</v>
      </c>
      <c r="X150" s="96" t="str">
        <f t="shared" si="21"/>
        <v>Enter Spont End</v>
      </c>
      <c r="Y150" s="97" t="str">
        <f t="shared" si="22"/>
        <v>&gt; Spont Length</v>
      </c>
      <c r="Z150" s="97" t="str">
        <f t="shared" si="23"/>
        <v>Enter Spont End</v>
      </c>
      <c r="AA150" s="99"/>
      <c r="AB150" s="103" t="str">
        <f>IF(ISNUMBER(Cluster[[#This Row],[Bin Start (min)]]), AB149+1, Cluster[[#This Row],[Bin Start (min)]])</f>
        <v>&gt; Spont Length</v>
      </c>
      <c r="AC150" s="103" t="str">
        <f>IF(ISNUMBER(Cluster[[#This Row],[Bin End (min)]]), AC149+1, Cluster[[#This Row],[Bin End (min)]])</f>
        <v>Enter Spont End</v>
      </c>
      <c r="AD150" s="88" t="str">
        <f>IF(ISNUMBER(Cluster[[#This Row],[Bin_end]]), _xlfn.XLOOKUP(Cluster[[#This Row],[Bin_end]], ClusterCalc_2x2SD[Bin_end], ClusterCalc_2x2SD[Peak or Nadir], "fill ClusterCalc Table",1), "no bin")</f>
        <v>no bin</v>
      </c>
      <c r="AE150" s="88" t="str">
        <f>IF(ISNUMBER(Cluster[[#This Row],[Bin_end]]), _xlfn.XLOOKUP(Cluster[[#This Row],[Bin_end]], ClusterCalc_3x3SD[Bin_end], ClusterCalc_3x3SD[Peak or Nadir], "fill ClusterCalc Table",1), "no bin")</f>
        <v>no bin</v>
      </c>
      <c r="AF150" s="88" t="str">
        <f>IF(ISNUMBER(Cluster[[#This Row],[Bin_end]]), _xlfn.XLOOKUP(Cluster[[#This Row],[Bin_end]], ClusterCalc_2x2SE[Bin_end], ClusterCalc_2x2SE[Peak or Nadir], "fill ClusterCalc Table",1), "no bin")</f>
        <v>no bin</v>
      </c>
      <c r="AG150" s="88" t="str">
        <f>IF(ISNUMBER(Cluster[[#This Row],[Bin_end]]), _xlfn.XLOOKUP(Cluster[[#This Row],[Bin_end]], ClusterCalc_3x3SE[Bin_end], ClusterCalc_3x3SE[Peak or Nadir], "fill ClusterCalc Table",1), "no bin")</f>
        <v>no bin</v>
      </c>
      <c r="AP150"/>
      <c r="AQ150"/>
      <c r="AR150"/>
      <c r="AS150"/>
      <c r="AT150"/>
      <c r="AU150"/>
      <c r="AV150"/>
      <c r="AW150"/>
      <c r="AX150"/>
      <c r="BV150"/>
    </row>
    <row r="151" spans="2:74" x14ac:dyDescent="0.2">
      <c r="B151" s="88" t="str">
        <f t="shared" si="14"/>
        <v>&gt; Total Length</v>
      </c>
      <c r="C151" s="88" t="str">
        <f t="shared" si="15"/>
        <v>&gt; Total Length</v>
      </c>
      <c r="D151" s="96" t="str">
        <f t="shared" si="16"/>
        <v>&gt; Total Length</v>
      </c>
      <c r="E151" s="96" t="str">
        <f t="shared" si="17"/>
        <v>&gt; Total Length</v>
      </c>
      <c r="F151" s="97" t="str">
        <f t="shared" si="18"/>
        <v>&gt; Total Length</v>
      </c>
      <c r="G151" s="97" t="str">
        <f t="shared" si="19"/>
        <v>&gt; Total Length</v>
      </c>
      <c r="H151" s="98"/>
      <c r="I151" s="99"/>
      <c r="J151" s="88" t="str">
        <f>IF(ISBLANK(FiringRate[[#This Row],[Event/bin]]), " ", FiringRate[[#This Row],[Event/bin]]/BinSize_sec)</f>
        <v xml:space="preserve"> </v>
      </c>
      <c r="K151" s="100" t="str">
        <f>IF(ISBLANK(FiringRate[[#This Row],[Conc events/bin]]), " ", FiringRate[[#This Row],[Conc events/bin]]/BinSize_sec)</f>
        <v xml:space="preserve"> </v>
      </c>
      <c r="W151" s="96" t="str">
        <f t="shared" si="20"/>
        <v>&gt; Spont Length</v>
      </c>
      <c r="X151" s="96" t="str">
        <f t="shared" si="21"/>
        <v>Enter Spont End</v>
      </c>
      <c r="Y151" s="97" t="str">
        <f t="shared" si="22"/>
        <v>&gt; Spont Length</v>
      </c>
      <c r="Z151" s="97" t="str">
        <f t="shared" si="23"/>
        <v>Enter Spont End</v>
      </c>
      <c r="AA151" s="99"/>
      <c r="AB151" s="103" t="str">
        <f>IF(ISNUMBER(Cluster[[#This Row],[Bin Start (min)]]), AB150+1, Cluster[[#This Row],[Bin Start (min)]])</f>
        <v>&gt; Spont Length</v>
      </c>
      <c r="AC151" s="103" t="str">
        <f>IF(ISNUMBER(Cluster[[#This Row],[Bin End (min)]]), AC150+1, Cluster[[#This Row],[Bin End (min)]])</f>
        <v>Enter Spont End</v>
      </c>
      <c r="AD151" s="88" t="str">
        <f>IF(ISNUMBER(Cluster[[#This Row],[Bin_end]]), _xlfn.XLOOKUP(Cluster[[#This Row],[Bin_end]], ClusterCalc_2x2SD[Bin_end], ClusterCalc_2x2SD[Peak or Nadir], "fill ClusterCalc Table",1), "no bin")</f>
        <v>no bin</v>
      </c>
      <c r="AE151" s="88" t="str">
        <f>IF(ISNUMBER(Cluster[[#This Row],[Bin_end]]), _xlfn.XLOOKUP(Cluster[[#This Row],[Bin_end]], ClusterCalc_3x3SD[Bin_end], ClusterCalc_3x3SD[Peak or Nadir], "fill ClusterCalc Table",1), "no bin")</f>
        <v>no bin</v>
      </c>
      <c r="AF151" s="88" t="str">
        <f>IF(ISNUMBER(Cluster[[#This Row],[Bin_end]]), _xlfn.XLOOKUP(Cluster[[#This Row],[Bin_end]], ClusterCalc_2x2SE[Bin_end], ClusterCalc_2x2SE[Peak or Nadir], "fill ClusterCalc Table",1), "no bin")</f>
        <v>no bin</v>
      </c>
      <c r="AG151" s="88" t="str">
        <f>IF(ISNUMBER(Cluster[[#This Row],[Bin_end]]), _xlfn.XLOOKUP(Cluster[[#This Row],[Bin_end]], ClusterCalc_3x3SE[Bin_end], ClusterCalc_3x3SE[Peak or Nadir], "fill ClusterCalc Table",1), "no bin")</f>
        <v>no bin</v>
      </c>
      <c r="BV151"/>
    </row>
    <row r="152" spans="2:74" x14ac:dyDescent="0.2">
      <c r="B152" s="88" t="str">
        <f t="shared" si="14"/>
        <v>&gt; Total Length</v>
      </c>
      <c r="C152" s="88" t="str">
        <f t="shared" si="15"/>
        <v>&gt; Total Length</v>
      </c>
      <c r="D152" s="96" t="str">
        <f t="shared" si="16"/>
        <v>&gt; Total Length</v>
      </c>
      <c r="E152" s="96" t="str">
        <f t="shared" si="17"/>
        <v>&gt; Total Length</v>
      </c>
      <c r="F152" s="97" t="str">
        <f t="shared" si="18"/>
        <v>&gt; Total Length</v>
      </c>
      <c r="G152" s="97" t="str">
        <f t="shared" si="19"/>
        <v>&gt; Total Length</v>
      </c>
      <c r="H152" s="98"/>
      <c r="I152" s="99"/>
      <c r="J152" s="88" t="str">
        <f>IF(ISBLANK(FiringRate[[#This Row],[Event/bin]]), " ", FiringRate[[#This Row],[Event/bin]]/BinSize_sec)</f>
        <v xml:space="preserve"> </v>
      </c>
      <c r="K152" s="100" t="str">
        <f>IF(ISBLANK(FiringRate[[#This Row],[Conc events/bin]]), " ", FiringRate[[#This Row],[Conc events/bin]]/BinSize_sec)</f>
        <v xml:space="preserve"> </v>
      </c>
      <c r="W152" s="96" t="str">
        <f t="shared" si="20"/>
        <v>&gt; Spont Length</v>
      </c>
      <c r="X152" s="96" t="str">
        <f t="shared" si="21"/>
        <v>Enter Spont End</v>
      </c>
      <c r="Y152" s="97" t="str">
        <f t="shared" si="22"/>
        <v>&gt; Spont Length</v>
      </c>
      <c r="Z152" s="97" t="str">
        <f t="shared" si="23"/>
        <v>Enter Spont End</v>
      </c>
      <c r="AA152" s="99"/>
      <c r="AB152" s="103" t="str">
        <f>IF(ISNUMBER(Cluster[[#This Row],[Bin Start (min)]]), AB151+1, Cluster[[#This Row],[Bin Start (min)]])</f>
        <v>&gt; Spont Length</v>
      </c>
      <c r="AC152" s="103" t="str">
        <f>IF(ISNUMBER(Cluster[[#This Row],[Bin End (min)]]), AC151+1, Cluster[[#This Row],[Bin End (min)]])</f>
        <v>Enter Spont End</v>
      </c>
      <c r="AD152" s="88" t="str">
        <f>IF(ISNUMBER(Cluster[[#This Row],[Bin_end]]), _xlfn.XLOOKUP(Cluster[[#This Row],[Bin_end]], ClusterCalc_2x2SD[Bin_end], ClusterCalc_2x2SD[Peak or Nadir], "fill ClusterCalc Table",1), "no bin")</f>
        <v>no bin</v>
      </c>
      <c r="AE152" s="88" t="str">
        <f>IF(ISNUMBER(Cluster[[#This Row],[Bin_end]]), _xlfn.XLOOKUP(Cluster[[#This Row],[Bin_end]], ClusterCalc_3x3SD[Bin_end], ClusterCalc_3x3SD[Peak or Nadir], "fill ClusterCalc Table",1), "no bin")</f>
        <v>no bin</v>
      </c>
      <c r="AF152" s="88" t="str">
        <f>IF(ISNUMBER(Cluster[[#This Row],[Bin_end]]), _xlfn.XLOOKUP(Cluster[[#This Row],[Bin_end]], ClusterCalc_2x2SE[Bin_end], ClusterCalc_2x2SE[Peak or Nadir], "fill ClusterCalc Table",1), "no bin")</f>
        <v>no bin</v>
      </c>
      <c r="AG152" s="88" t="str">
        <f>IF(ISNUMBER(Cluster[[#This Row],[Bin_end]]), _xlfn.XLOOKUP(Cluster[[#This Row],[Bin_end]], ClusterCalc_3x3SE[Bin_end], ClusterCalc_3x3SE[Peak or Nadir], "fill ClusterCalc Table",1), "no bin")</f>
        <v>no bin</v>
      </c>
      <c r="BV152"/>
    </row>
    <row r="153" spans="2:74" x14ac:dyDescent="0.2">
      <c r="B153" s="88" t="str">
        <f t="shared" si="14"/>
        <v>&gt; Total Length</v>
      </c>
      <c r="C153" s="88" t="str">
        <f t="shared" si="15"/>
        <v>&gt; Total Length</v>
      </c>
      <c r="D153" s="96" t="str">
        <f t="shared" si="16"/>
        <v>&gt; Total Length</v>
      </c>
      <c r="E153" s="96" t="str">
        <f t="shared" si="17"/>
        <v>&gt; Total Length</v>
      </c>
      <c r="F153" s="97" t="str">
        <f t="shared" si="18"/>
        <v>&gt; Total Length</v>
      </c>
      <c r="G153" s="97" t="str">
        <f t="shared" si="19"/>
        <v>&gt; Total Length</v>
      </c>
      <c r="H153" s="98"/>
      <c r="I153" s="99"/>
      <c r="J153" s="88" t="str">
        <f>IF(ISBLANK(FiringRate[[#This Row],[Event/bin]]), " ", FiringRate[[#This Row],[Event/bin]]/BinSize_sec)</f>
        <v xml:space="preserve"> </v>
      </c>
      <c r="K153" s="100" t="str">
        <f>IF(ISBLANK(FiringRate[[#This Row],[Conc events/bin]]), " ", FiringRate[[#This Row],[Conc events/bin]]/BinSize_sec)</f>
        <v xml:space="preserve"> </v>
      </c>
      <c r="M153" s="2"/>
      <c r="N153" s="2"/>
      <c r="O153" s="2"/>
      <c r="P153" s="2"/>
      <c r="W153" s="96" t="str">
        <f t="shared" si="20"/>
        <v>&gt; Spont Length</v>
      </c>
      <c r="X153" s="96" t="str">
        <f t="shared" si="21"/>
        <v>Enter Spont End</v>
      </c>
      <c r="Y153" s="97" t="str">
        <f t="shared" si="22"/>
        <v>&gt; Spont Length</v>
      </c>
      <c r="Z153" s="97" t="str">
        <f t="shared" si="23"/>
        <v>Enter Spont End</v>
      </c>
      <c r="AA153" s="99"/>
      <c r="AB153" s="103" t="str">
        <f>IF(ISNUMBER(Cluster[[#This Row],[Bin Start (min)]]), AB152+1, Cluster[[#This Row],[Bin Start (min)]])</f>
        <v>&gt; Spont Length</v>
      </c>
      <c r="AC153" s="103" t="str">
        <f>IF(ISNUMBER(Cluster[[#This Row],[Bin End (min)]]), AC152+1, Cluster[[#This Row],[Bin End (min)]])</f>
        <v>Enter Spont End</v>
      </c>
      <c r="AD153" s="88" t="str">
        <f>IF(ISNUMBER(Cluster[[#This Row],[Bin_end]]), _xlfn.XLOOKUP(Cluster[[#This Row],[Bin_end]], ClusterCalc_2x2SD[Bin_end], ClusterCalc_2x2SD[Peak or Nadir], "fill ClusterCalc Table",1), "no bin")</f>
        <v>no bin</v>
      </c>
      <c r="AE153" s="88" t="str">
        <f>IF(ISNUMBER(Cluster[[#This Row],[Bin_end]]), _xlfn.XLOOKUP(Cluster[[#This Row],[Bin_end]], ClusterCalc_3x3SD[Bin_end], ClusterCalc_3x3SD[Peak or Nadir], "fill ClusterCalc Table",1), "no bin")</f>
        <v>no bin</v>
      </c>
      <c r="AF153" s="88" t="str">
        <f>IF(ISNUMBER(Cluster[[#This Row],[Bin_end]]), _xlfn.XLOOKUP(Cluster[[#This Row],[Bin_end]], ClusterCalc_2x2SE[Bin_end], ClusterCalc_2x2SE[Peak or Nadir], "fill ClusterCalc Table",1), "no bin")</f>
        <v>no bin</v>
      </c>
      <c r="AG153" s="88" t="str">
        <f>IF(ISNUMBER(Cluster[[#This Row],[Bin_end]]), _xlfn.XLOOKUP(Cluster[[#This Row],[Bin_end]], ClusterCalc_3x3SE[Bin_end], ClusterCalc_3x3SE[Peak or Nadir], "fill ClusterCalc Table",1), "no bin")</f>
        <v>no bin</v>
      </c>
      <c r="BV153"/>
    </row>
    <row r="154" spans="2:74" x14ac:dyDescent="0.2">
      <c r="B154" s="88" t="str">
        <f t="shared" si="14"/>
        <v>&gt; Total Length</v>
      </c>
      <c r="C154" s="88" t="str">
        <f t="shared" si="15"/>
        <v>&gt; Total Length</v>
      </c>
      <c r="D154" s="96" t="str">
        <f t="shared" si="16"/>
        <v>&gt; Total Length</v>
      </c>
      <c r="E154" s="96" t="str">
        <f t="shared" si="17"/>
        <v>&gt; Total Length</v>
      </c>
      <c r="F154" s="97" t="str">
        <f t="shared" si="18"/>
        <v>&gt; Total Length</v>
      </c>
      <c r="G154" s="97" t="str">
        <f t="shared" si="19"/>
        <v>&gt; Total Length</v>
      </c>
      <c r="H154" s="98"/>
      <c r="I154" s="99"/>
      <c r="J154" s="88" t="str">
        <f>IF(ISBLANK(FiringRate[[#This Row],[Event/bin]]), " ", FiringRate[[#This Row],[Event/bin]]/BinSize_sec)</f>
        <v xml:space="preserve"> </v>
      </c>
      <c r="K154" s="100" t="str">
        <f>IF(ISBLANK(FiringRate[[#This Row],[Conc events/bin]]), " ", FiringRate[[#This Row],[Conc events/bin]]/BinSize_sec)</f>
        <v xml:space="preserve"> </v>
      </c>
      <c r="M154" s="2"/>
      <c r="N154" s="2"/>
      <c r="O154" s="2"/>
      <c r="P154" s="2"/>
      <c r="W154" s="96" t="str">
        <f t="shared" si="20"/>
        <v>&gt; Spont Length</v>
      </c>
      <c r="X154" s="96" t="str">
        <f t="shared" si="21"/>
        <v>Enter Spont End</v>
      </c>
      <c r="Y154" s="97" t="str">
        <f t="shared" si="22"/>
        <v>&gt; Spont Length</v>
      </c>
      <c r="Z154" s="97" t="str">
        <f t="shared" si="23"/>
        <v>Enter Spont End</v>
      </c>
      <c r="AA154" s="99"/>
      <c r="AB154" s="103" t="str">
        <f>IF(ISNUMBER(Cluster[[#This Row],[Bin Start (min)]]), AB153+1, Cluster[[#This Row],[Bin Start (min)]])</f>
        <v>&gt; Spont Length</v>
      </c>
      <c r="AC154" s="103" t="str">
        <f>IF(ISNUMBER(Cluster[[#This Row],[Bin End (min)]]), AC153+1, Cluster[[#This Row],[Bin End (min)]])</f>
        <v>Enter Spont End</v>
      </c>
      <c r="AD154" s="88" t="str">
        <f>IF(ISNUMBER(Cluster[[#This Row],[Bin_end]]), _xlfn.XLOOKUP(Cluster[[#This Row],[Bin_end]], ClusterCalc_2x2SD[Bin_end], ClusterCalc_2x2SD[Peak or Nadir], "fill ClusterCalc Table",1), "no bin")</f>
        <v>no bin</v>
      </c>
      <c r="AE154" s="88" t="str">
        <f>IF(ISNUMBER(Cluster[[#This Row],[Bin_end]]), _xlfn.XLOOKUP(Cluster[[#This Row],[Bin_end]], ClusterCalc_3x3SD[Bin_end], ClusterCalc_3x3SD[Peak or Nadir], "fill ClusterCalc Table",1), "no bin")</f>
        <v>no bin</v>
      </c>
      <c r="AF154" s="88" t="str">
        <f>IF(ISNUMBER(Cluster[[#This Row],[Bin_end]]), _xlfn.XLOOKUP(Cluster[[#This Row],[Bin_end]], ClusterCalc_2x2SE[Bin_end], ClusterCalc_2x2SE[Peak or Nadir], "fill ClusterCalc Table",1), "no bin")</f>
        <v>no bin</v>
      </c>
      <c r="AG154" s="88" t="str">
        <f>IF(ISNUMBER(Cluster[[#This Row],[Bin_end]]), _xlfn.XLOOKUP(Cluster[[#This Row],[Bin_end]], ClusterCalc_3x3SE[Bin_end], ClusterCalc_3x3SE[Peak or Nadir], "fill ClusterCalc Table",1), "no bin")</f>
        <v>no bin</v>
      </c>
      <c r="BV154"/>
    </row>
    <row r="155" spans="2:74" x14ac:dyDescent="0.2">
      <c r="B155" s="88" t="str">
        <f t="shared" si="14"/>
        <v>&gt; Total Length</v>
      </c>
      <c r="C155" s="88" t="str">
        <f t="shared" si="15"/>
        <v>&gt; Total Length</v>
      </c>
      <c r="D155" s="96" t="str">
        <f t="shared" si="16"/>
        <v>&gt; Total Length</v>
      </c>
      <c r="E155" s="96" t="str">
        <f t="shared" si="17"/>
        <v>&gt; Total Length</v>
      </c>
      <c r="F155" s="97" t="str">
        <f t="shared" si="18"/>
        <v>&gt; Total Length</v>
      </c>
      <c r="G155" s="97" t="str">
        <f t="shared" si="19"/>
        <v>&gt; Total Length</v>
      </c>
      <c r="H155" s="98"/>
      <c r="I155" s="99"/>
      <c r="J155" s="88" t="str">
        <f>IF(ISBLANK(FiringRate[[#This Row],[Event/bin]]), " ", FiringRate[[#This Row],[Event/bin]]/BinSize_sec)</f>
        <v xml:space="preserve"> </v>
      </c>
      <c r="K155" s="100" t="str">
        <f>IF(ISBLANK(FiringRate[[#This Row],[Conc events/bin]]), " ", FiringRate[[#This Row],[Conc events/bin]]/BinSize_sec)</f>
        <v xml:space="preserve"> </v>
      </c>
      <c r="M155" s="2"/>
      <c r="N155" s="2"/>
      <c r="O155" s="2"/>
      <c r="P155" s="2"/>
      <c r="W155" s="96" t="str">
        <f t="shared" si="20"/>
        <v>&gt; Spont Length</v>
      </c>
      <c r="X155" s="96" t="str">
        <f t="shared" si="21"/>
        <v>Enter Spont End</v>
      </c>
      <c r="Y155" s="97" t="str">
        <f t="shared" si="22"/>
        <v>&gt; Spont Length</v>
      </c>
      <c r="Z155" s="97" t="str">
        <f t="shared" si="23"/>
        <v>Enter Spont End</v>
      </c>
      <c r="AA155" s="99"/>
      <c r="AB155" s="103" t="str">
        <f>IF(ISNUMBER(Cluster[[#This Row],[Bin Start (min)]]), AB154+1, Cluster[[#This Row],[Bin Start (min)]])</f>
        <v>&gt; Spont Length</v>
      </c>
      <c r="AC155" s="103" t="str">
        <f>IF(ISNUMBER(Cluster[[#This Row],[Bin End (min)]]), AC154+1, Cluster[[#This Row],[Bin End (min)]])</f>
        <v>Enter Spont End</v>
      </c>
      <c r="AD155" s="88" t="str">
        <f>IF(ISNUMBER(Cluster[[#This Row],[Bin_end]]), _xlfn.XLOOKUP(Cluster[[#This Row],[Bin_end]], ClusterCalc_2x2SD[Bin_end], ClusterCalc_2x2SD[Peak or Nadir], "fill ClusterCalc Table",1), "no bin")</f>
        <v>no bin</v>
      </c>
      <c r="AE155" s="88" t="str">
        <f>IF(ISNUMBER(Cluster[[#This Row],[Bin_end]]), _xlfn.XLOOKUP(Cluster[[#This Row],[Bin_end]], ClusterCalc_3x3SD[Bin_end], ClusterCalc_3x3SD[Peak or Nadir], "fill ClusterCalc Table",1), "no bin")</f>
        <v>no bin</v>
      </c>
      <c r="AF155" s="88" t="str">
        <f>IF(ISNUMBER(Cluster[[#This Row],[Bin_end]]), _xlfn.XLOOKUP(Cluster[[#This Row],[Bin_end]], ClusterCalc_2x2SE[Bin_end], ClusterCalc_2x2SE[Peak or Nadir], "fill ClusterCalc Table",1), "no bin")</f>
        <v>no bin</v>
      </c>
      <c r="AG155" s="88" t="str">
        <f>IF(ISNUMBER(Cluster[[#This Row],[Bin_end]]), _xlfn.XLOOKUP(Cluster[[#This Row],[Bin_end]], ClusterCalc_3x3SE[Bin_end], ClusterCalc_3x3SE[Peak or Nadir], "fill ClusterCalc Table",1), "no bin")</f>
        <v>no bin</v>
      </c>
      <c r="BV155" t="s">
        <v>230</v>
      </c>
    </row>
    <row r="156" spans="2:74" x14ac:dyDescent="0.2">
      <c r="B156" s="88" t="str">
        <f t="shared" si="14"/>
        <v>&gt; Total Length</v>
      </c>
      <c r="C156" s="88" t="str">
        <f t="shared" si="15"/>
        <v>&gt; Total Length</v>
      </c>
      <c r="D156" s="96" t="str">
        <f t="shared" si="16"/>
        <v>&gt; Total Length</v>
      </c>
      <c r="E156" s="96" t="str">
        <f t="shared" si="17"/>
        <v>&gt; Total Length</v>
      </c>
      <c r="F156" s="97" t="str">
        <f t="shared" si="18"/>
        <v>&gt; Total Length</v>
      </c>
      <c r="G156" s="97" t="str">
        <f t="shared" si="19"/>
        <v>&gt; Total Length</v>
      </c>
      <c r="H156" s="98"/>
      <c r="I156" s="99"/>
      <c r="J156" s="88" t="str">
        <f>IF(ISBLANK(FiringRate[[#This Row],[Event/bin]]), " ", FiringRate[[#This Row],[Event/bin]]/BinSize_sec)</f>
        <v xml:space="preserve"> </v>
      </c>
      <c r="K156" s="100" t="str">
        <f>IF(ISBLANK(FiringRate[[#This Row],[Conc events/bin]]), " ", FiringRate[[#This Row],[Conc events/bin]]/BinSize_sec)</f>
        <v xml:space="preserve"> </v>
      </c>
      <c r="W156" s="96" t="str">
        <f t="shared" si="20"/>
        <v>&gt; Spont Length</v>
      </c>
      <c r="X156" s="96" t="str">
        <f t="shared" si="21"/>
        <v>Enter Spont End</v>
      </c>
      <c r="Y156" s="97" t="str">
        <f t="shared" si="22"/>
        <v>&gt; Spont Length</v>
      </c>
      <c r="Z156" s="97" t="str">
        <f t="shared" si="23"/>
        <v>Enter Spont End</v>
      </c>
      <c r="AA156" s="99"/>
      <c r="AB156" s="103" t="str">
        <f>IF(ISNUMBER(Cluster[[#This Row],[Bin Start (min)]]), AB155+1, Cluster[[#This Row],[Bin Start (min)]])</f>
        <v>&gt; Spont Length</v>
      </c>
      <c r="AC156" s="103" t="str">
        <f>IF(ISNUMBER(Cluster[[#This Row],[Bin End (min)]]), AC155+1, Cluster[[#This Row],[Bin End (min)]])</f>
        <v>Enter Spont End</v>
      </c>
      <c r="AD156" s="88" t="str">
        <f>IF(ISNUMBER(Cluster[[#This Row],[Bin_end]]), _xlfn.XLOOKUP(Cluster[[#This Row],[Bin_end]], ClusterCalc_2x2SD[Bin_end], ClusterCalc_2x2SD[Peak or Nadir], "fill ClusterCalc Table",1), "no bin")</f>
        <v>no bin</v>
      </c>
      <c r="AE156" s="88" t="str">
        <f>IF(ISNUMBER(Cluster[[#This Row],[Bin_end]]), _xlfn.XLOOKUP(Cluster[[#This Row],[Bin_end]], ClusterCalc_3x3SD[Bin_end], ClusterCalc_3x3SD[Peak or Nadir], "fill ClusterCalc Table",1), "no bin")</f>
        <v>no bin</v>
      </c>
      <c r="AF156" s="88" t="str">
        <f>IF(ISNUMBER(Cluster[[#This Row],[Bin_end]]), _xlfn.XLOOKUP(Cluster[[#This Row],[Bin_end]], ClusterCalc_2x2SE[Bin_end], ClusterCalc_2x2SE[Peak or Nadir], "fill ClusterCalc Table",1), "no bin")</f>
        <v>no bin</v>
      </c>
      <c r="AG156" s="88" t="str">
        <f>IF(ISNUMBER(Cluster[[#This Row],[Bin_end]]), _xlfn.XLOOKUP(Cluster[[#This Row],[Bin_end]], ClusterCalc_3x3SE[Bin_end], ClusterCalc_3x3SE[Peak or Nadir], "fill ClusterCalc Table",1), "no bin")</f>
        <v>no bin</v>
      </c>
      <c r="BV156"/>
    </row>
    <row r="157" spans="2:74" x14ac:dyDescent="0.2">
      <c r="B157" s="88" t="str">
        <f t="shared" si="14"/>
        <v>&gt; Total Length</v>
      </c>
      <c r="C157" s="88" t="str">
        <f t="shared" si="15"/>
        <v>&gt; Total Length</v>
      </c>
      <c r="D157" s="96" t="str">
        <f t="shared" si="16"/>
        <v>&gt; Total Length</v>
      </c>
      <c r="E157" s="96" t="str">
        <f t="shared" si="17"/>
        <v>&gt; Total Length</v>
      </c>
      <c r="F157" s="97" t="str">
        <f t="shared" si="18"/>
        <v>&gt; Total Length</v>
      </c>
      <c r="G157" s="97" t="str">
        <f t="shared" si="19"/>
        <v>&gt; Total Length</v>
      </c>
      <c r="H157" s="98"/>
      <c r="I157" s="99"/>
      <c r="J157" s="88" t="str">
        <f>IF(ISBLANK(FiringRate[[#This Row],[Event/bin]]), " ", FiringRate[[#This Row],[Event/bin]]/BinSize_sec)</f>
        <v xml:space="preserve"> </v>
      </c>
      <c r="K157" s="100" t="str">
        <f>IF(ISBLANK(FiringRate[[#This Row],[Conc events/bin]]), " ", FiringRate[[#This Row],[Conc events/bin]]/BinSize_sec)</f>
        <v xml:space="preserve"> </v>
      </c>
      <c r="W157" s="96" t="str">
        <f t="shared" si="20"/>
        <v>&gt; Spont Length</v>
      </c>
      <c r="X157" s="96" t="str">
        <f t="shared" si="21"/>
        <v>Enter Spont End</v>
      </c>
      <c r="Y157" s="97" t="str">
        <f t="shared" si="22"/>
        <v>&gt; Spont Length</v>
      </c>
      <c r="Z157" s="97" t="str">
        <f t="shared" si="23"/>
        <v>Enter Spont End</v>
      </c>
      <c r="AA157" s="99"/>
      <c r="AB157" s="103" t="str">
        <f>IF(ISNUMBER(Cluster[[#This Row],[Bin Start (min)]]), AB156+1, Cluster[[#This Row],[Bin Start (min)]])</f>
        <v>&gt; Spont Length</v>
      </c>
      <c r="AC157" s="103" t="str">
        <f>IF(ISNUMBER(Cluster[[#This Row],[Bin End (min)]]), AC156+1, Cluster[[#This Row],[Bin End (min)]])</f>
        <v>Enter Spont End</v>
      </c>
      <c r="AD157" s="88" t="str">
        <f>IF(ISNUMBER(Cluster[[#This Row],[Bin_end]]), _xlfn.XLOOKUP(Cluster[[#This Row],[Bin_end]], ClusterCalc_2x2SD[Bin_end], ClusterCalc_2x2SD[Peak or Nadir], "fill ClusterCalc Table",1), "no bin")</f>
        <v>no bin</v>
      </c>
      <c r="AE157" s="88" t="str">
        <f>IF(ISNUMBER(Cluster[[#This Row],[Bin_end]]), _xlfn.XLOOKUP(Cluster[[#This Row],[Bin_end]], ClusterCalc_3x3SD[Bin_end], ClusterCalc_3x3SD[Peak or Nadir], "fill ClusterCalc Table",1), "no bin")</f>
        <v>no bin</v>
      </c>
      <c r="AF157" s="88" t="str">
        <f>IF(ISNUMBER(Cluster[[#This Row],[Bin_end]]), _xlfn.XLOOKUP(Cluster[[#This Row],[Bin_end]], ClusterCalc_2x2SE[Bin_end], ClusterCalc_2x2SE[Peak or Nadir], "fill ClusterCalc Table",1), "no bin")</f>
        <v>no bin</v>
      </c>
      <c r="AG157" s="88" t="str">
        <f>IF(ISNUMBER(Cluster[[#This Row],[Bin_end]]), _xlfn.XLOOKUP(Cluster[[#This Row],[Bin_end]], ClusterCalc_3x3SE[Bin_end], ClusterCalc_3x3SE[Peak or Nadir], "fill ClusterCalc Table",1), "no bin")</f>
        <v>no bin</v>
      </c>
      <c r="BV157"/>
    </row>
    <row r="158" spans="2:74" x14ac:dyDescent="0.2">
      <c r="B158" s="88" t="str">
        <f t="shared" si="14"/>
        <v>&gt; Total Length</v>
      </c>
      <c r="C158" s="88" t="str">
        <f t="shared" si="15"/>
        <v>&gt; Total Length</v>
      </c>
      <c r="D158" s="96" t="str">
        <f t="shared" si="16"/>
        <v>&gt; Total Length</v>
      </c>
      <c r="E158" s="96" t="str">
        <f t="shared" si="17"/>
        <v>&gt; Total Length</v>
      </c>
      <c r="F158" s="97" t="str">
        <f t="shared" si="18"/>
        <v>&gt; Total Length</v>
      </c>
      <c r="G158" s="97" t="str">
        <f t="shared" si="19"/>
        <v>&gt; Total Length</v>
      </c>
      <c r="H158" s="98"/>
      <c r="I158" s="99"/>
      <c r="J158" s="88" t="str">
        <f>IF(ISBLANK(FiringRate[[#This Row],[Event/bin]]), " ", FiringRate[[#This Row],[Event/bin]]/BinSize_sec)</f>
        <v xml:space="preserve"> </v>
      </c>
      <c r="K158" s="100" t="str">
        <f>IF(ISBLANK(FiringRate[[#This Row],[Conc events/bin]]), " ", FiringRate[[#This Row],[Conc events/bin]]/BinSize_sec)</f>
        <v xml:space="preserve"> </v>
      </c>
      <c r="W158" s="96" t="str">
        <f t="shared" si="20"/>
        <v>&gt; Spont Length</v>
      </c>
      <c r="X158" s="96" t="str">
        <f t="shared" si="21"/>
        <v>Enter Spont End</v>
      </c>
      <c r="Y158" s="97" t="str">
        <f t="shared" si="22"/>
        <v>&gt; Spont Length</v>
      </c>
      <c r="Z158" s="97" t="str">
        <f t="shared" si="23"/>
        <v>Enter Spont End</v>
      </c>
      <c r="AA158" s="99"/>
      <c r="AB158" s="103" t="str">
        <f>IF(ISNUMBER(Cluster[[#This Row],[Bin Start (min)]]), AB157+1, Cluster[[#This Row],[Bin Start (min)]])</f>
        <v>&gt; Spont Length</v>
      </c>
      <c r="AC158" s="103" t="str">
        <f>IF(ISNUMBER(Cluster[[#This Row],[Bin End (min)]]), AC157+1, Cluster[[#This Row],[Bin End (min)]])</f>
        <v>Enter Spont End</v>
      </c>
      <c r="AD158" s="88" t="str">
        <f>IF(ISNUMBER(Cluster[[#This Row],[Bin_end]]), _xlfn.XLOOKUP(Cluster[[#This Row],[Bin_end]], ClusterCalc_2x2SD[Bin_end], ClusterCalc_2x2SD[Peak or Nadir], "fill ClusterCalc Table",1), "no bin")</f>
        <v>no bin</v>
      </c>
      <c r="AE158" s="88" t="str">
        <f>IF(ISNUMBER(Cluster[[#This Row],[Bin_end]]), _xlfn.XLOOKUP(Cluster[[#This Row],[Bin_end]], ClusterCalc_3x3SD[Bin_end], ClusterCalc_3x3SD[Peak or Nadir], "fill ClusterCalc Table",1), "no bin")</f>
        <v>no bin</v>
      </c>
      <c r="AF158" s="88" t="str">
        <f>IF(ISNUMBER(Cluster[[#This Row],[Bin_end]]), _xlfn.XLOOKUP(Cluster[[#This Row],[Bin_end]], ClusterCalc_2x2SE[Bin_end], ClusterCalc_2x2SE[Peak or Nadir], "fill ClusterCalc Table",1), "no bin")</f>
        <v>no bin</v>
      </c>
      <c r="AG158" s="88" t="str">
        <f>IF(ISNUMBER(Cluster[[#This Row],[Bin_end]]), _xlfn.XLOOKUP(Cluster[[#This Row],[Bin_end]], ClusterCalc_3x3SE[Bin_end], ClusterCalc_3x3SE[Peak or Nadir], "fill ClusterCalc Table",1), "no bin")</f>
        <v>no bin</v>
      </c>
      <c r="BV158"/>
    </row>
    <row r="159" spans="2:74" x14ac:dyDescent="0.2">
      <c r="B159" s="88" t="str">
        <f t="shared" si="14"/>
        <v>&gt; Total Length</v>
      </c>
      <c r="C159" s="88" t="str">
        <f t="shared" si="15"/>
        <v>&gt; Total Length</v>
      </c>
      <c r="D159" s="96" t="str">
        <f t="shared" si="16"/>
        <v>&gt; Total Length</v>
      </c>
      <c r="E159" s="96" t="str">
        <f t="shared" si="17"/>
        <v>&gt; Total Length</v>
      </c>
      <c r="F159" s="97" t="str">
        <f t="shared" si="18"/>
        <v>&gt; Total Length</v>
      </c>
      <c r="G159" s="97" t="str">
        <f t="shared" si="19"/>
        <v>&gt; Total Length</v>
      </c>
      <c r="H159" s="98"/>
      <c r="I159" s="99"/>
      <c r="J159" s="88" t="str">
        <f>IF(ISBLANK(FiringRate[[#This Row],[Event/bin]]), " ", FiringRate[[#This Row],[Event/bin]]/BinSize_sec)</f>
        <v xml:space="preserve"> </v>
      </c>
      <c r="K159" s="100" t="str">
        <f>IF(ISBLANK(FiringRate[[#This Row],[Conc events/bin]]), " ", FiringRate[[#This Row],[Conc events/bin]]/BinSize_sec)</f>
        <v xml:space="preserve"> </v>
      </c>
      <c r="W159" s="96" t="str">
        <f t="shared" si="20"/>
        <v>&gt; Spont Length</v>
      </c>
      <c r="X159" s="96" t="str">
        <f t="shared" si="21"/>
        <v>Enter Spont End</v>
      </c>
      <c r="Y159" s="97" t="str">
        <f t="shared" si="22"/>
        <v>&gt; Spont Length</v>
      </c>
      <c r="Z159" s="97" t="str">
        <f t="shared" si="23"/>
        <v>Enter Spont End</v>
      </c>
      <c r="AA159" s="99"/>
      <c r="AB159" s="103" t="str">
        <f>IF(ISNUMBER(Cluster[[#This Row],[Bin Start (min)]]), AB158+1, Cluster[[#This Row],[Bin Start (min)]])</f>
        <v>&gt; Spont Length</v>
      </c>
      <c r="AC159" s="103" t="str">
        <f>IF(ISNUMBER(Cluster[[#This Row],[Bin End (min)]]), AC158+1, Cluster[[#This Row],[Bin End (min)]])</f>
        <v>Enter Spont End</v>
      </c>
      <c r="AD159" s="88" t="str">
        <f>IF(ISNUMBER(Cluster[[#This Row],[Bin_end]]), _xlfn.XLOOKUP(Cluster[[#This Row],[Bin_end]], ClusterCalc_2x2SD[Bin_end], ClusterCalc_2x2SD[Peak or Nadir], "fill ClusterCalc Table",1), "no bin")</f>
        <v>no bin</v>
      </c>
      <c r="AE159" s="88" t="str">
        <f>IF(ISNUMBER(Cluster[[#This Row],[Bin_end]]), _xlfn.XLOOKUP(Cluster[[#This Row],[Bin_end]], ClusterCalc_3x3SD[Bin_end], ClusterCalc_3x3SD[Peak or Nadir], "fill ClusterCalc Table",1), "no bin")</f>
        <v>no bin</v>
      </c>
      <c r="AF159" s="88" t="str">
        <f>IF(ISNUMBER(Cluster[[#This Row],[Bin_end]]), _xlfn.XLOOKUP(Cluster[[#This Row],[Bin_end]], ClusterCalc_2x2SE[Bin_end], ClusterCalc_2x2SE[Peak or Nadir], "fill ClusterCalc Table",1), "no bin")</f>
        <v>no bin</v>
      </c>
      <c r="AG159" s="88" t="str">
        <f>IF(ISNUMBER(Cluster[[#This Row],[Bin_end]]), _xlfn.XLOOKUP(Cluster[[#This Row],[Bin_end]], ClusterCalc_3x3SE[Bin_end], ClusterCalc_3x3SE[Peak or Nadir], "fill ClusterCalc Table",1), "no bin")</f>
        <v>no bin</v>
      </c>
      <c r="BV159"/>
    </row>
    <row r="160" spans="2:74" x14ac:dyDescent="0.2">
      <c r="B160" s="88" t="str">
        <f t="shared" si="14"/>
        <v>&gt; Total Length</v>
      </c>
      <c r="C160" s="88" t="str">
        <f t="shared" si="15"/>
        <v>&gt; Total Length</v>
      </c>
      <c r="D160" s="96" t="str">
        <f t="shared" si="16"/>
        <v>&gt; Total Length</v>
      </c>
      <c r="E160" s="96" t="str">
        <f t="shared" si="17"/>
        <v>&gt; Total Length</v>
      </c>
      <c r="F160" s="97" t="str">
        <f t="shared" si="18"/>
        <v>&gt; Total Length</v>
      </c>
      <c r="G160" s="97" t="str">
        <f t="shared" si="19"/>
        <v>&gt; Total Length</v>
      </c>
      <c r="H160" s="98"/>
      <c r="I160" s="99"/>
      <c r="J160" s="88" t="str">
        <f>IF(ISBLANK(FiringRate[[#This Row],[Event/bin]]), " ", FiringRate[[#This Row],[Event/bin]]/BinSize_sec)</f>
        <v xml:space="preserve"> </v>
      </c>
      <c r="K160" s="100" t="str">
        <f>IF(ISBLANK(FiringRate[[#This Row],[Conc events/bin]]), " ", FiringRate[[#This Row],[Conc events/bin]]/BinSize_sec)</f>
        <v xml:space="preserve"> </v>
      </c>
      <c r="W160" s="96" t="str">
        <f t="shared" si="20"/>
        <v>&gt; Spont Length</v>
      </c>
      <c r="X160" s="96" t="str">
        <f t="shared" si="21"/>
        <v>Enter Spont End</v>
      </c>
      <c r="Y160" s="97" t="str">
        <f t="shared" si="22"/>
        <v>&gt; Spont Length</v>
      </c>
      <c r="Z160" s="97" t="str">
        <f t="shared" si="23"/>
        <v>Enter Spont End</v>
      </c>
      <c r="AA160" s="99"/>
      <c r="AB160" s="103" t="str">
        <f>IF(ISNUMBER(Cluster[[#This Row],[Bin Start (min)]]), AB159+1, Cluster[[#This Row],[Bin Start (min)]])</f>
        <v>&gt; Spont Length</v>
      </c>
      <c r="AC160" s="103" t="str">
        <f>IF(ISNUMBER(Cluster[[#This Row],[Bin End (min)]]), AC159+1, Cluster[[#This Row],[Bin End (min)]])</f>
        <v>Enter Spont End</v>
      </c>
      <c r="AD160" s="88" t="str">
        <f>IF(ISNUMBER(Cluster[[#This Row],[Bin_end]]), _xlfn.XLOOKUP(Cluster[[#This Row],[Bin_end]], ClusterCalc_2x2SD[Bin_end], ClusterCalc_2x2SD[Peak or Nadir], "fill ClusterCalc Table",1), "no bin")</f>
        <v>no bin</v>
      </c>
      <c r="AE160" s="88" t="str">
        <f>IF(ISNUMBER(Cluster[[#This Row],[Bin_end]]), _xlfn.XLOOKUP(Cluster[[#This Row],[Bin_end]], ClusterCalc_3x3SD[Bin_end], ClusterCalc_3x3SD[Peak or Nadir], "fill ClusterCalc Table",1), "no bin")</f>
        <v>no bin</v>
      </c>
      <c r="AF160" s="88" t="str">
        <f>IF(ISNUMBER(Cluster[[#This Row],[Bin_end]]), _xlfn.XLOOKUP(Cluster[[#This Row],[Bin_end]], ClusterCalc_2x2SE[Bin_end], ClusterCalc_2x2SE[Peak or Nadir], "fill ClusterCalc Table",1), "no bin")</f>
        <v>no bin</v>
      </c>
      <c r="AG160" s="88" t="str">
        <f>IF(ISNUMBER(Cluster[[#This Row],[Bin_end]]), _xlfn.XLOOKUP(Cluster[[#This Row],[Bin_end]], ClusterCalc_3x3SE[Bin_end], ClusterCalc_3x3SE[Peak or Nadir], "fill ClusterCalc Table",1), "no bin")</f>
        <v>no bin</v>
      </c>
      <c r="BV160"/>
    </row>
    <row r="161" spans="2:74" x14ac:dyDescent="0.2">
      <c r="B161" s="88" t="str">
        <f t="shared" si="14"/>
        <v>&gt; Total Length</v>
      </c>
      <c r="C161" s="88" t="str">
        <f t="shared" si="15"/>
        <v>&gt; Total Length</v>
      </c>
      <c r="D161" s="96" t="str">
        <f t="shared" si="16"/>
        <v>&gt; Total Length</v>
      </c>
      <c r="E161" s="96" t="str">
        <f t="shared" si="17"/>
        <v>&gt; Total Length</v>
      </c>
      <c r="F161" s="97" t="str">
        <f t="shared" si="18"/>
        <v>&gt; Total Length</v>
      </c>
      <c r="G161" s="97" t="str">
        <f t="shared" si="19"/>
        <v>&gt; Total Length</v>
      </c>
      <c r="H161" s="98"/>
      <c r="I161" s="99"/>
      <c r="J161" s="88" t="str">
        <f>IF(ISBLANK(FiringRate[[#This Row],[Event/bin]]), " ", FiringRate[[#This Row],[Event/bin]]/BinSize_sec)</f>
        <v xml:space="preserve"> </v>
      </c>
      <c r="K161" s="100" t="str">
        <f>IF(ISBLANK(FiringRate[[#This Row],[Conc events/bin]]), " ", FiringRate[[#This Row],[Conc events/bin]]/BinSize_sec)</f>
        <v xml:space="preserve"> </v>
      </c>
      <c r="W161" s="96" t="str">
        <f t="shared" si="20"/>
        <v>&gt; Spont Length</v>
      </c>
      <c r="X161" s="96" t="str">
        <f t="shared" si="21"/>
        <v>Enter Spont End</v>
      </c>
      <c r="Y161" s="97" t="str">
        <f t="shared" si="22"/>
        <v>&gt; Spont Length</v>
      </c>
      <c r="Z161" s="97" t="str">
        <f t="shared" si="23"/>
        <v>Enter Spont End</v>
      </c>
      <c r="AA161" s="99"/>
      <c r="AB161" s="103" t="str">
        <f>IF(ISNUMBER(Cluster[[#This Row],[Bin Start (min)]]), AB160+1, Cluster[[#This Row],[Bin Start (min)]])</f>
        <v>&gt; Spont Length</v>
      </c>
      <c r="AC161" s="103" t="str">
        <f>IF(ISNUMBER(Cluster[[#This Row],[Bin End (min)]]), AC160+1, Cluster[[#This Row],[Bin End (min)]])</f>
        <v>Enter Spont End</v>
      </c>
      <c r="AD161" s="88" t="str">
        <f>IF(ISNUMBER(Cluster[[#This Row],[Bin_end]]), _xlfn.XLOOKUP(Cluster[[#This Row],[Bin_end]], ClusterCalc_2x2SD[Bin_end], ClusterCalc_2x2SD[Peak or Nadir], "fill ClusterCalc Table",1), "no bin")</f>
        <v>no bin</v>
      </c>
      <c r="AE161" s="88" t="str">
        <f>IF(ISNUMBER(Cluster[[#This Row],[Bin_end]]), _xlfn.XLOOKUP(Cluster[[#This Row],[Bin_end]], ClusterCalc_3x3SD[Bin_end], ClusterCalc_3x3SD[Peak or Nadir], "fill ClusterCalc Table",1), "no bin")</f>
        <v>no bin</v>
      </c>
      <c r="AF161" s="88" t="str">
        <f>IF(ISNUMBER(Cluster[[#This Row],[Bin_end]]), _xlfn.XLOOKUP(Cluster[[#This Row],[Bin_end]], ClusterCalc_2x2SE[Bin_end], ClusterCalc_2x2SE[Peak or Nadir], "fill ClusterCalc Table",1), "no bin")</f>
        <v>no bin</v>
      </c>
      <c r="AG161" s="88" t="str">
        <f>IF(ISNUMBER(Cluster[[#This Row],[Bin_end]]), _xlfn.XLOOKUP(Cluster[[#This Row],[Bin_end]], ClusterCalc_3x3SE[Bin_end], ClusterCalc_3x3SE[Peak or Nadir], "fill ClusterCalc Table",1), "no bin")</f>
        <v>no bin</v>
      </c>
      <c r="BV161"/>
    </row>
    <row r="162" spans="2:74" x14ac:dyDescent="0.2">
      <c r="B162" s="88" t="str">
        <f t="shared" si="14"/>
        <v>&gt; Total Length</v>
      </c>
      <c r="C162" s="88" t="str">
        <f t="shared" si="15"/>
        <v>&gt; Total Length</v>
      </c>
      <c r="D162" s="96" t="str">
        <f t="shared" si="16"/>
        <v>&gt; Total Length</v>
      </c>
      <c r="E162" s="96" t="str">
        <f t="shared" si="17"/>
        <v>&gt; Total Length</v>
      </c>
      <c r="F162" s="97" t="str">
        <f t="shared" si="18"/>
        <v>&gt; Total Length</v>
      </c>
      <c r="G162" s="97" t="str">
        <f t="shared" si="19"/>
        <v>&gt; Total Length</v>
      </c>
      <c r="H162" s="98"/>
      <c r="I162" s="99"/>
      <c r="J162" s="88" t="str">
        <f>IF(ISBLANK(FiringRate[[#This Row],[Event/bin]]), " ", FiringRate[[#This Row],[Event/bin]]/BinSize_sec)</f>
        <v xml:space="preserve"> </v>
      </c>
      <c r="K162" s="100" t="str">
        <f>IF(ISBLANK(FiringRate[[#This Row],[Conc events/bin]]), " ", FiringRate[[#This Row],[Conc events/bin]]/BinSize_sec)</f>
        <v xml:space="preserve"> </v>
      </c>
      <c r="W162" s="96" t="str">
        <f t="shared" si="20"/>
        <v>&gt; Spont Length</v>
      </c>
      <c r="X162" s="96" t="str">
        <f t="shared" si="21"/>
        <v>Enter Spont End</v>
      </c>
      <c r="Y162" s="97" t="str">
        <f t="shared" si="22"/>
        <v>&gt; Spont Length</v>
      </c>
      <c r="Z162" s="97" t="str">
        <f t="shared" si="23"/>
        <v>Enter Spont End</v>
      </c>
      <c r="AA162" s="99"/>
      <c r="AB162" s="103" t="str">
        <f>IF(ISNUMBER(Cluster[[#This Row],[Bin Start (min)]]), AB161+1, Cluster[[#This Row],[Bin Start (min)]])</f>
        <v>&gt; Spont Length</v>
      </c>
      <c r="AC162" s="103" t="str">
        <f>IF(ISNUMBER(Cluster[[#This Row],[Bin End (min)]]), AC161+1, Cluster[[#This Row],[Bin End (min)]])</f>
        <v>Enter Spont End</v>
      </c>
      <c r="AD162" s="88" t="str">
        <f>IF(ISNUMBER(Cluster[[#This Row],[Bin_end]]), _xlfn.XLOOKUP(Cluster[[#This Row],[Bin_end]], ClusterCalc_2x2SD[Bin_end], ClusterCalc_2x2SD[Peak or Nadir], "fill ClusterCalc Table",1), "no bin")</f>
        <v>no bin</v>
      </c>
      <c r="AE162" s="88" t="str">
        <f>IF(ISNUMBER(Cluster[[#This Row],[Bin_end]]), _xlfn.XLOOKUP(Cluster[[#This Row],[Bin_end]], ClusterCalc_3x3SD[Bin_end], ClusterCalc_3x3SD[Peak or Nadir], "fill ClusterCalc Table",1), "no bin")</f>
        <v>no bin</v>
      </c>
      <c r="AF162" s="88" t="str">
        <f>IF(ISNUMBER(Cluster[[#This Row],[Bin_end]]), _xlfn.XLOOKUP(Cluster[[#This Row],[Bin_end]], ClusterCalc_2x2SE[Bin_end], ClusterCalc_2x2SE[Peak or Nadir], "fill ClusterCalc Table",1), "no bin")</f>
        <v>no bin</v>
      </c>
      <c r="AG162" s="88" t="str">
        <f>IF(ISNUMBER(Cluster[[#This Row],[Bin_end]]), _xlfn.XLOOKUP(Cluster[[#This Row],[Bin_end]], ClusterCalc_3x3SE[Bin_end], ClusterCalc_3x3SE[Peak or Nadir], "fill ClusterCalc Table",1), "no bin")</f>
        <v>no bin</v>
      </c>
      <c r="BV162"/>
    </row>
    <row r="163" spans="2:74" x14ac:dyDescent="0.2">
      <c r="B163" s="88" t="str">
        <f t="shared" si="14"/>
        <v>&gt; Total Length</v>
      </c>
      <c r="C163" s="88" t="str">
        <f t="shared" si="15"/>
        <v>&gt; Total Length</v>
      </c>
      <c r="D163" s="96" t="str">
        <f t="shared" si="16"/>
        <v>&gt; Total Length</v>
      </c>
      <c r="E163" s="96" t="str">
        <f t="shared" si="17"/>
        <v>&gt; Total Length</v>
      </c>
      <c r="F163" s="97" t="str">
        <f t="shared" si="18"/>
        <v>&gt; Total Length</v>
      </c>
      <c r="G163" s="97" t="str">
        <f t="shared" si="19"/>
        <v>&gt; Total Length</v>
      </c>
      <c r="H163" s="98"/>
      <c r="I163" s="99"/>
      <c r="J163" s="88" t="str">
        <f>IF(ISBLANK(FiringRate[[#This Row],[Event/bin]]), " ", FiringRate[[#This Row],[Event/bin]]/BinSize_sec)</f>
        <v xml:space="preserve"> </v>
      </c>
      <c r="K163" s="100" t="str">
        <f>IF(ISBLANK(FiringRate[[#This Row],[Conc events/bin]]), " ", FiringRate[[#This Row],[Conc events/bin]]/BinSize_sec)</f>
        <v xml:space="preserve"> </v>
      </c>
      <c r="W163" s="96" t="str">
        <f t="shared" si="20"/>
        <v>&gt; Spont Length</v>
      </c>
      <c r="X163" s="96" t="str">
        <f t="shared" si="21"/>
        <v>Enter Spont End</v>
      </c>
      <c r="Y163" s="97" t="str">
        <f t="shared" si="22"/>
        <v>&gt; Spont Length</v>
      </c>
      <c r="Z163" s="97" t="str">
        <f t="shared" si="23"/>
        <v>Enter Spont End</v>
      </c>
      <c r="AA163" s="99"/>
      <c r="AB163" s="103" t="str">
        <f>IF(ISNUMBER(Cluster[[#This Row],[Bin Start (min)]]), AB162+1, Cluster[[#This Row],[Bin Start (min)]])</f>
        <v>&gt; Spont Length</v>
      </c>
      <c r="AC163" s="103" t="str">
        <f>IF(ISNUMBER(Cluster[[#This Row],[Bin End (min)]]), AC162+1, Cluster[[#This Row],[Bin End (min)]])</f>
        <v>Enter Spont End</v>
      </c>
      <c r="AD163" s="88" t="str">
        <f>IF(ISNUMBER(Cluster[[#This Row],[Bin_end]]), _xlfn.XLOOKUP(Cluster[[#This Row],[Bin_end]], ClusterCalc_2x2SD[Bin_end], ClusterCalc_2x2SD[Peak or Nadir], "fill ClusterCalc Table",1), "no bin")</f>
        <v>no bin</v>
      </c>
      <c r="AE163" s="88" t="str">
        <f>IF(ISNUMBER(Cluster[[#This Row],[Bin_end]]), _xlfn.XLOOKUP(Cluster[[#This Row],[Bin_end]], ClusterCalc_3x3SD[Bin_end], ClusterCalc_3x3SD[Peak or Nadir], "fill ClusterCalc Table",1), "no bin")</f>
        <v>no bin</v>
      </c>
      <c r="AF163" s="88" t="str">
        <f>IF(ISNUMBER(Cluster[[#This Row],[Bin_end]]), _xlfn.XLOOKUP(Cluster[[#This Row],[Bin_end]], ClusterCalc_2x2SE[Bin_end], ClusterCalc_2x2SE[Peak or Nadir], "fill ClusterCalc Table",1), "no bin")</f>
        <v>no bin</v>
      </c>
      <c r="AG163" s="88" t="str">
        <f>IF(ISNUMBER(Cluster[[#This Row],[Bin_end]]), _xlfn.XLOOKUP(Cluster[[#This Row],[Bin_end]], ClusterCalc_3x3SE[Bin_end], ClusterCalc_3x3SE[Peak or Nadir], "fill ClusterCalc Table",1), "no bin")</f>
        <v>no bin</v>
      </c>
      <c r="BV163"/>
    </row>
    <row r="164" spans="2:74" x14ac:dyDescent="0.2">
      <c r="B164" s="88" t="str">
        <f t="shared" si="14"/>
        <v>&gt; Total Length</v>
      </c>
      <c r="C164" s="88" t="str">
        <f t="shared" si="15"/>
        <v>&gt; Total Length</v>
      </c>
      <c r="D164" s="96" t="str">
        <f t="shared" si="16"/>
        <v>&gt; Total Length</v>
      </c>
      <c r="E164" s="96" t="str">
        <f t="shared" si="17"/>
        <v>&gt; Total Length</v>
      </c>
      <c r="F164" s="97" t="str">
        <f t="shared" si="18"/>
        <v>&gt; Total Length</v>
      </c>
      <c r="G164" s="97" t="str">
        <f t="shared" si="19"/>
        <v>&gt; Total Length</v>
      </c>
      <c r="H164" s="98"/>
      <c r="I164" s="99"/>
      <c r="J164" s="88" t="str">
        <f>IF(ISBLANK(FiringRate[[#This Row],[Event/bin]]), " ", FiringRate[[#This Row],[Event/bin]]/BinSize_sec)</f>
        <v xml:space="preserve"> </v>
      </c>
      <c r="K164" s="100" t="str">
        <f>IF(ISBLANK(FiringRate[[#This Row],[Conc events/bin]]), " ", FiringRate[[#This Row],[Conc events/bin]]/BinSize_sec)</f>
        <v xml:space="preserve"> </v>
      </c>
      <c r="W164" s="96" t="str">
        <f t="shared" si="20"/>
        <v>&gt; Spont Length</v>
      </c>
      <c r="X164" s="96" t="str">
        <f t="shared" si="21"/>
        <v>Enter Spont End</v>
      </c>
      <c r="Y164" s="97" t="str">
        <f t="shared" si="22"/>
        <v>&gt; Spont Length</v>
      </c>
      <c r="Z164" s="97" t="str">
        <f t="shared" si="23"/>
        <v>Enter Spont End</v>
      </c>
      <c r="AA164" s="99"/>
      <c r="AB164" s="103" t="str">
        <f>IF(ISNUMBER(Cluster[[#This Row],[Bin Start (min)]]), AB163+1, Cluster[[#This Row],[Bin Start (min)]])</f>
        <v>&gt; Spont Length</v>
      </c>
      <c r="AC164" s="103" t="str">
        <f>IF(ISNUMBER(Cluster[[#This Row],[Bin End (min)]]), AC163+1, Cluster[[#This Row],[Bin End (min)]])</f>
        <v>Enter Spont End</v>
      </c>
      <c r="AD164" s="88" t="str">
        <f>IF(ISNUMBER(Cluster[[#This Row],[Bin_end]]), _xlfn.XLOOKUP(Cluster[[#This Row],[Bin_end]], ClusterCalc_2x2SD[Bin_end], ClusterCalc_2x2SD[Peak or Nadir], "fill ClusterCalc Table",1), "no bin")</f>
        <v>no bin</v>
      </c>
      <c r="AE164" s="88" t="str">
        <f>IF(ISNUMBER(Cluster[[#This Row],[Bin_end]]), _xlfn.XLOOKUP(Cluster[[#This Row],[Bin_end]], ClusterCalc_3x3SD[Bin_end], ClusterCalc_3x3SD[Peak or Nadir], "fill ClusterCalc Table",1), "no bin")</f>
        <v>no bin</v>
      </c>
      <c r="AF164" s="88" t="str">
        <f>IF(ISNUMBER(Cluster[[#This Row],[Bin_end]]), _xlfn.XLOOKUP(Cluster[[#This Row],[Bin_end]], ClusterCalc_2x2SE[Bin_end], ClusterCalc_2x2SE[Peak or Nadir], "fill ClusterCalc Table",1), "no bin")</f>
        <v>no bin</v>
      </c>
      <c r="AG164" s="88" t="str">
        <f>IF(ISNUMBER(Cluster[[#This Row],[Bin_end]]), _xlfn.XLOOKUP(Cluster[[#This Row],[Bin_end]], ClusterCalc_3x3SE[Bin_end], ClusterCalc_3x3SE[Peak or Nadir], "fill ClusterCalc Table",1), "no bin")</f>
        <v>no bin</v>
      </c>
      <c r="BV164"/>
    </row>
    <row r="165" spans="2:74" x14ac:dyDescent="0.2">
      <c r="B165" s="88" t="str">
        <f t="shared" si="14"/>
        <v>&gt; Total Length</v>
      </c>
      <c r="C165" s="88" t="str">
        <f t="shared" si="15"/>
        <v>&gt; Total Length</v>
      </c>
      <c r="D165" s="96" t="str">
        <f t="shared" si="16"/>
        <v>&gt; Total Length</v>
      </c>
      <c r="E165" s="96" t="str">
        <f t="shared" si="17"/>
        <v>&gt; Total Length</v>
      </c>
      <c r="F165" s="97" t="str">
        <f t="shared" si="18"/>
        <v>&gt; Total Length</v>
      </c>
      <c r="G165" s="97" t="str">
        <f t="shared" si="19"/>
        <v>&gt; Total Length</v>
      </c>
      <c r="H165" s="98"/>
      <c r="I165" s="99"/>
      <c r="J165" s="88" t="str">
        <f>IF(ISBLANK(FiringRate[[#This Row],[Event/bin]]), " ", FiringRate[[#This Row],[Event/bin]]/BinSize_sec)</f>
        <v xml:space="preserve"> </v>
      </c>
      <c r="K165" s="100" t="str">
        <f>IF(ISBLANK(FiringRate[[#This Row],[Conc events/bin]]), " ", FiringRate[[#This Row],[Conc events/bin]]/BinSize_sec)</f>
        <v xml:space="preserve"> </v>
      </c>
      <c r="W165" s="96" t="str">
        <f t="shared" si="20"/>
        <v>&gt; Spont Length</v>
      </c>
      <c r="X165" s="96" t="str">
        <f t="shared" si="21"/>
        <v>Enter Spont End</v>
      </c>
      <c r="Y165" s="97" t="str">
        <f t="shared" si="22"/>
        <v>&gt; Spont Length</v>
      </c>
      <c r="Z165" s="97" t="str">
        <f t="shared" si="23"/>
        <v>Enter Spont End</v>
      </c>
      <c r="AA165" s="99"/>
      <c r="AB165" s="103" t="str">
        <f>IF(ISNUMBER(Cluster[[#This Row],[Bin Start (min)]]), AB164+1, Cluster[[#This Row],[Bin Start (min)]])</f>
        <v>&gt; Spont Length</v>
      </c>
      <c r="AC165" s="103" t="str">
        <f>IF(ISNUMBER(Cluster[[#This Row],[Bin End (min)]]), AC164+1, Cluster[[#This Row],[Bin End (min)]])</f>
        <v>Enter Spont End</v>
      </c>
      <c r="AD165" s="88" t="str">
        <f>IF(ISNUMBER(Cluster[[#This Row],[Bin_end]]), _xlfn.XLOOKUP(Cluster[[#This Row],[Bin_end]], ClusterCalc_2x2SD[Bin_end], ClusterCalc_2x2SD[Peak or Nadir], "fill ClusterCalc Table",1), "no bin")</f>
        <v>no bin</v>
      </c>
      <c r="AE165" s="88" t="str">
        <f>IF(ISNUMBER(Cluster[[#This Row],[Bin_end]]), _xlfn.XLOOKUP(Cluster[[#This Row],[Bin_end]], ClusterCalc_3x3SD[Bin_end], ClusterCalc_3x3SD[Peak or Nadir], "fill ClusterCalc Table",1), "no bin")</f>
        <v>no bin</v>
      </c>
      <c r="AF165" s="88" t="str">
        <f>IF(ISNUMBER(Cluster[[#This Row],[Bin_end]]), _xlfn.XLOOKUP(Cluster[[#This Row],[Bin_end]], ClusterCalc_2x2SE[Bin_end], ClusterCalc_2x2SE[Peak or Nadir], "fill ClusterCalc Table",1), "no bin")</f>
        <v>no bin</v>
      </c>
      <c r="AG165" s="88" t="str">
        <f>IF(ISNUMBER(Cluster[[#This Row],[Bin_end]]), _xlfn.XLOOKUP(Cluster[[#This Row],[Bin_end]], ClusterCalc_3x3SE[Bin_end], ClusterCalc_3x3SE[Peak or Nadir], "fill ClusterCalc Table",1), "no bin")</f>
        <v>no bin</v>
      </c>
      <c r="BV165"/>
    </row>
    <row r="166" spans="2:74" x14ac:dyDescent="0.2">
      <c r="B166" s="88" t="str">
        <f t="shared" si="14"/>
        <v>&gt; Total Length</v>
      </c>
      <c r="C166" s="88" t="str">
        <f t="shared" si="15"/>
        <v>&gt; Total Length</v>
      </c>
      <c r="D166" s="96" t="str">
        <f t="shared" si="16"/>
        <v>&gt; Total Length</v>
      </c>
      <c r="E166" s="96" t="str">
        <f t="shared" si="17"/>
        <v>&gt; Total Length</v>
      </c>
      <c r="F166" s="97" t="str">
        <f t="shared" si="18"/>
        <v>&gt; Total Length</v>
      </c>
      <c r="G166" s="97" t="str">
        <f t="shared" si="19"/>
        <v>&gt; Total Length</v>
      </c>
      <c r="H166" s="98"/>
      <c r="I166" s="99"/>
      <c r="J166" s="88" t="str">
        <f>IF(ISBLANK(FiringRate[[#This Row],[Event/bin]]), " ", FiringRate[[#This Row],[Event/bin]]/BinSize_sec)</f>
        <v xml:space="preserve"> </v>
      </c>
      <c r="K166" s="100" t="str">
        <f>IF(ISBLANK(FiringRate[[#This Row],[Conc events/bin]]), " ", FiringRate[[#This Row],[Conc events/bin]]/BinSize_sec)</f>
        <v xml:space="preserve"> </v>
      </c>
      <c r="W166" s="96" t="str">
        <f t="shared" si="20"/>
        <v>&gt; Spont Length</v>
      </c>
      <c r="X166" s="96" t="str">
        <f t="shared" si="21"/>
        <v>Enter Spont End</v>
      </c>
      <c r="Y166" s="97" t="str">
        <f t="shared" si="22"/>
        <v>&gt; Spont Length</v>
      </c>
      <c r="Z166" s="97" t="str">
        <f t="shared" si="23"/>
        <v>Enter Spont End</v>
      </c>
      <c r="AA166" s="99"/>
      <c r="AB166" s="103" t="str">
        <f>IF(ISNUMBER(Cluster[[#This Row],[Bin Start (min)]]), AB165+1, Cluster[[#This Row],[Bin Start (min)]])</f>
        <v>&gt; Spont Length</v>
      </c>
      <c r="AC166" s="103" t="str">
        <f>IF(ISNUMBER(Cluster[[#This Row],[Bin End (min)]]), AC165+1, Cluster[[#This Row],[Bin End (min)]])</f>
        <v>Enter Spont End</v>
      </c>
      <c r="AD166" s="88" t="str">
        <f>IF(ISNUMBER(Cluster[[#This Row],[Bin_end]]), _xlfn.XLOOKUP(Cluster[[#This Row],[Bin_end]], ClusterCalc_2x2SD[Bin_end], ClusterCalc_2x2SD[Peak or Nadir], "fill ClusterCalc Table",1), "no bin")</f>
        <v>no bin</v>
      </c>
      <c r="AE166" s="88" t="str">
        <f>IF(ISNUMBER(Cluster[[#This Row],[Bin_end]]), _xlfn.XLOOKUP(Cluster[[#This Row],[Bin_end]], ClusterCalc_3x3SD[Bin_end], ClusterCalc_3x3SD[Peak or Nadir], "fill ClusterCalc Table",1), "no bin")</f>
        <v>no bin</v>
      </c>
      <c r="AF166" s="88" t="str">
        <f>IF(ISNUMBER(Cluster[[#This Row],[Bin_end]]), _xlfn.XLOOKUP(Cluster[[#This Row],[Bin_end]], ClusterCalc_2x2SE[Bin_end], ClusterCalc_2x2SE[Peak or Nadir], "fill ClusterCalc Table",1), "no bin")</f>
        <v>no bin</v>
      </c>
      <c r="AG166" s="88" t="str">
        <f>IF(ISNUMBER(Cluster[[#This Row],[Bin_end]]), _xlfn.XLOOKUP(Cluster[[#This Row],[Bin_end]], ClusterCalc_3x3SE[Bin_end], ClusterCalc_3x3SE[Peak or Nadir], "fill ClusterCalc Table",1), "no bin")</f>
        <v>no bin</v>
      </c>
      <c r="BV166"/>
    </row>
    <row r="167" spans="2:74" x14ac:dyDescent="0.2">
      <c r="B167" s="88" t="str">
        <f t="shared" si="14"/>
        <v>&gt; Total Length</v>
      </c>
      <c r="C167" s="88" t="str">
        <f t="shared" si="15"/>
        <v>&gt; Total Length</v>
      </c>
      <c r="D167" s="96" t="str">
        <f t="shared" si="16"/>
        <v>&gt; Total Length</v>
      </c>
      <c r="E167" s="96" t="str">
        <f t="shared" si="17"/>
        <v>&gt; Total Length</v>
      </c>
      <c r="F167" s="97" t="str">
        <f t="shared" si="18"/>
        <v>&gt; Total Length</v>
      </c>
      <c r="G167" s="97" t="str">
        <f t="shared" si="19"/>
        <v>&gt; Total Length</v>
      </c>
      <c r="H167" s="98"/>
      <c r="I167" s="99"/>
      <c r="J167" s="88" t="str">
        <f>IF(ISBLANK(FiringRate[[#This Row],[Event/bin]]), " ", FiringRate[[#This Row],[Event/bin]]/BinSize_sec)</f>
        <v xml:space="preserve"> </v>
      </c>
      <c r="K167" s="100" t="str">
        <f>IF(ISBLANK(FiringRate[[#This Row],[Conc events/bin]]), " ", FiringRate[[#This Row],[Conc events/bin]]/BinSize_sec)</f>
        <v xml:space="preserve"> </v>
      </c>
      <c r="W167" s="96" t="str">
        <f t="shared" si="20"/>
        <v>&gt; Spont Length</v>
      </c>
      <c r="X167" s="96" t="str">
        <f t="shared" si="21"/>
        <v>Enter Spont End</v>
      </c>
      <c r="Y167" s="97" t="str">
        <f t="shared" si="22"/>
        <v>&gt; Spont Length</v>
      </c>
      <c r="Z167" s="97" t="str">
        <f t="shared" si="23"/>
        <v>Enter Spont End</v>
      </c>
      <c r="AA167" s="99"/>
      <c r="AB167" s="103" t="str">
        <f>IF(ISNUMBER(Cluster[[#This Row],[Bin Start (min)]]), AB166+1, Cluster[[#This Row],[Bin Start (min)]])</f>
        <v>&gt; Spont Length</v>
      </c>
      <c r="AC167" s="103" t="str">
        <f>IF(ISNUMBER(Cluster[[#This Row],[Bin End (min)]]), AC166+1, Cluster[[#This Row],[Bin End (min)]])</f>
        <v>Enter Spont End</v>
      </c>
      <c r="AD167" s="88" t="str">
        <f>IF(ISNUMBER(Cluster[[#This Row],[Bin_end]]), _xlfn.XLOOKUP(Cluster[[#This Row],[Bin_end]], ClusterCalc_2x2SD[Bin_end], ClusterCalc_2x2SD[Peak or Nadir], "fill ClusterCalc Table",1), "no bin")</f>
        <v>no bin</v>
      </c>
      <c r="AE167" s="88" t="str">
        <f>IF(ISNUMBER(Cluster[[#This Row],[Bin_end]]), _xlfn.XLOOKUP(Cluster[[#This Row],[Bin_end]], ClusterCalc_3x3SD[Bin_end], ClusterCalc_3x3SD[Peak or Nadir], "fill ClusterCalc Table",1), "no bin")</f>
        <v>no bin</v>
      </c>
      <c r="AF167" s="88" t="str">
        <f>IF(ISNUMBER(Cluster[[#This Row],[Bin_end]]), _xlfn.XLOOKUP(Cluster[[#This Row],[Bin_end]], ClusterCalc_2x2SE[Bin_end], ClusterCalc_2x2SE[Peak or Nadir], "fill ClusterCalc Table",1), "no bin")</f>
        <v>no bin</v>
      </c>
      <c r="AG167" s="88" t="str">
        <f>IF(ISNUMBER(Cluster[[#This Row],[Bin_end]]), _xlfn.XLOOKUP(Cluster[[#This Row],[Bin_end]], ClusterCalc_3x3SE[Bin_end], ClusterCalc_3x3SE[Peak or Nadir], "fill ClusterCalc Table",1), "no bin")</f>
        <v>no bin</v>
      </c>
      <c r="BV167"/>
    </row>
    <row r="168" spans="2:74" x14ac:dyDescent="0.2">
      <c r="B168" s="88" t="str">
        <f t="shared" si="14"/>
        <v>&gt; Total Length</v>
      </c>
      <c r="C168" s="88" t="str">
        <f t="shared" si="15"/>
        <v>&gt; Total Length</v>
      </c>
      <c r="D168" s="96" t="str">
        <f t="shared" si="16"/>
        <v>&gt; Total Length</v>
      </c>
      <c r="E168" s="96" t="str">
        <f t="shared" si="17"/>
        <v>&gt; Total Length</v>
      </c>
      <c r="F168" s="97" t="str">
        <f t="shared" si="18"/>
        <v>&gt; Total Length</v>
      </c>
      <c r="G168" s="97" t="str">
        <f t="shared" si="19"/>
        <v>&gt; Total Length</v>
      </c>
      <c r="H168" s="98"/>
      <c r="I168" s="99"/>
      <c r="J168" s="88" t="str">
        <f>IF(ISBLANK(FiringRate[[#This Row],[Event/bin]]), " ", FiringRate[[#This Row],[Event/bin]]/BinSize_sec)</f>
        <v xml:space="preserve"> </v>
      </c>
      <c r="K168" s="100" t="str">
        <f>IF(ISBLANK(FiringRate[[#This Row],[Conc events/bin]]), " ", FiringRate[[#This Row],[Conc events/bin]]/BinSize_sec)</f>
        <v xml:space="preserve"> </v>
      </c>
      <c r="W168" s="96" t="str">
        <f t="shared" si="20"/>
        <v>&gt; Spont Length</v>
      </c>
      <c r="X168" s="96" t="str">
        <f t="shared" si="21"/>
        <v>Enter Spont End</v>
      </c>
      <c r="Y168" s="97" t="str">
        <f t="shared" si="22"/>
        <v>&gt; Spont Length</v>
      </c>
      <c r="Z168" s="97" t="str">
        <f t="shared" si="23"/>
        <v>Enter Spont End</v>
      </c>
      <c r="AA168" s="99"/>
      <c r="AB168" s="103" t="str">
        <f>IF(ISNUMBER(Cluster[[#This Row],[Bin Start (min)]]), AB167+1, Cluster[[#This Row],[Bin Start (min)]])</f>
        <v>&gt; Spont Length</v>
      </c>
      <c r="AC168" s="103" t="str">
        <f>IF(ISNUMBER(Cluster[[#This Row],[Bin End (min)]]), AC167+1, Cluster[[#This Row],[Bin End (min)]])</f>
        <v>Enter Spont End</v>
      </c>
      <c r="AD168" s="88" t="str">
        <f>IF(ISNUMBER(Cluster[[#This Row],[Bin_end]]), _xlfn.XLOOKUP(Cluster[[#This Row],[Bin_end]], ClusterCalc_2x2SD[Bin_end], ClusterCalc_2x2SD[Peak or Nadir], "fill ClusterCalc Table",1), "no bin")</f>
        <v>no bin</v>
      </c>
      <c r="AE168" s="88" t="str">
        <f>IF(ISNUMBER(Cluster[[#This Row],[Bin_end]]), _xlfn.XLOOKUP(Cluster[[#This Row],[Bin_end]], ClusterCalc_3x3SD[Bin_end], ClusterCalc_3x3SD[Peak or Nadir], "fill ClusterCalc Table",1), "no bin")</f>
        <v>no bin</v>
      </c>
      <c r="AF168" s="88" t="str">
        <f>IF(ISNUMBER(Cluster[[#This Row],[Bin_end]]), _xlfn.XLOOKUP(Cluster[[#This Row],[Bin_end]], ClusterCalc_2x2SE[Bin_end], ClusterCalc_2x2SE[Peak or Nadir], "fill ClusterCalc Table",1), "no bin")</f>
        <v>no bin</v>
      </c>
      <c r="AG168" s="88" t="str">
        <f>IF(ISNUMBER(Cluster[[#This Row],[Bin_end]]), _xlfn.XLOOKUP(Cluster[[#This Row],[Bin_end]], ClusterCalc_3x3SE[Bin_end], ClusterCalc_3x3SE[Peak or Nadir], "fill ClusterCalc Table",1), "no bin")</f>
        <v>no bin</v>
      </c>
      <c r="BV168"/>
    </row>
    <row r="169" spans="2:74" x14ac:dyDescent="0.2">
      <c r="B169" s="88" t="str">
        <f t="shared" si="14"/>
        <v>&gt; Total Length</v>
      </c>
      <c r="C169" s="88" t="str">
        <f t="shared" si="15"/>
        <v>&gt; Total Length</v>
      </c>
      <c r="D169" s="96" t="str">
        <f t="shared" si="16"/>
        <v>&gt; Total Length</v>
      </c>
      <c r="E169" s="96" t="str">
        <f t="shared" si="17"/>
        <v>&gt; Total Length</v>
      </c>
      <c r="F169" s="97" t="str">
        <f t="shared" si="18"/>
        <v>&gt; Total Length</v>
      </c>
      <c r="G169" s="97" t="str">
        <f t="shared" si="19"/>
        <v>&gt; Total Length</v>
      </c>
      <c r="H169" s="98"/>
      <c r="I169" s="99"/>
      <c r="J169" s="88" t="str">
        <f>IF(ISBLANK(FiringRate[[#This Row],[Event/bin]]), " ", FiringRate[[#This Row],[Event/bin]]/BinSize_sec)</f>
        <v xml:space="preserve"> </v>
      </c>
      <c r="K169" s="100" t="str">
        <f>IF(ISBLANK(FiringRate[[#This Row],[Conc events/bin]]), " ", FiringRate[[#This Row],[Conc events/bin]]/BinSize_sec)</f>
        <v xml:space="preserve"> </v>
      </c>
      <c r="W169" s="96" t="str">
        <f t="shared" si="20"/>
        <v>&gt; Spont Length</v>
      </c>
      <c r="X169" s="96" t="str">
        <f t="shared" si="21"/>
        <v>Enter Spont End</v>
      </c>
      <c r="Y169" s="97" t="str">
        <f t="shared" si="22"/>
        <v>&gt; Spont Length</v>
      </c>
      <c r="Z169" s="97" t="str">
        <f t="shared" si="23"/>
        <v>Enter Spont End</v>
      </c>
      <c r="AA169" s="99"/>
      <c r="AB169" s="103" t="str">
        <f>IF(ISNUMBER(Cluster[[#This Row],[Bin Start (min)]]), AB168+1, Cluster[[#This Row],[Bin Start (min)]])</f>
        <v>&gt; Spont Length</v>
      </c>
      <c r="AC169" s="103" t="str">
        <f>IF(ISNUMBER(Cluster[[#This Row],[Bin End (min)]]), AC168+1, Cluster[[#This Row],[Bin End (min)]])</f>
        <v>Enter Spont End</v>
      </c>
      <c r="AD169" s="88" t="str">
        <f>IF(ISNUMBER(Cluster[[#This Row],[Bin_end]]), _xlfn.XLOOKUP(Cluster[[#This Row],[Bin_end]], ClusterCalc_2x2SD[Bin_end], ClusterCalc_2x2SD[Peak or Nadir], "fill ClusterCalc Table",1), "no bin")</f>
        <v>no bin</v>
      </c>
      <c r="AE169" s="88" t="str">
        <f>IF(ISNUMBER(Cluster[[#This Row],[Bin_end]]), _xlfn.XLOOKUP(Cluster[[#This Row],[Bin_end]], ClusterCalc_3x3SD[Bin_end], ClusterCalc_3x3SD[Peak or Nadir], "fill ClusterCalc Table",1), "no bin")</f>
        <v>no bin</v>
      </c>
      <c r="AF169" s="88" t="str">
        <f>IF(ISNUMBER(Cluster[[#This Row],[Bin_end]]), _xlfn.XLOOKUP(Cluster[[#This Row],[Bin_end]], ClusterCalc_2x2SE[Bin_end], ClusterCalc_2x2SE[Peak or Nadir], "fill ClusterCalc Table",1), "no bin")</f>
        <v>no bin</v>
      </c>
      <c r="AG169" s="88" t="str">
        <f>IF(ISNUMBER(Cluster[[#This Row],[Bin_end]]), _xlfn.XLOOKUP(Cluster[[#This Row],[Bin_end]], ClusterCalc_3x3SE[Bin_end], ClusterCalc_3x3SE[Peak or Nadir], "fill ClusterCalc Table",1), "no bin")</f>
        <v>no bin</v>
      </c>
      <c r="BV169"/>
    </row>
    <row r="170" spans="2:74" x14ac:dyDescent="0.2">
      <c r="B170" s="88" t="str">
        <f t="shared" si="14"/>
        <v>&gt; Total Length</v>
      </c>
      <c r="C170" s="88" t="str">
        <f t="shared" si="15"/>
        <v>&gt; Total Length</v>
      </c>
      <c r="D170" s="96" t="str">
        <f t="shared" si="16"/>
        <v>&gt; Total Length</v>
      </c>
      <c r="E170" s="96" t="str">
        <f t="shared" si="17"/>
        <v>&gt; Total Length</v>
      </c>
      <c r="F170" s="97" t="str">
        <f t="shared" si="18"/>
        <v>&gt; Total Length</v>
      </c>
      <c r="G170" s="97" t="str">
        <f t="shared" si="19"/>
        <v>&gt; Total Length</v>
      </c>
      <c r="H170" s="98"/>
      <c r="I170" s="99"/>
      <c r="J170" s="88" t="str">
        <f>IF(ISBLANK(FiringRate[[#This Row],[Event/bin]]), " ", FiringRate[[#This Row],[Event/bin]]/BinSize_sec)</f>
        <v xml:space="preserve"> </v>
      </c>
      <c r="K170" s="100" t="str">
        <f>IF(ISBLANK(FiringRate[[#This Row],[Conc events/bin]]), " ", FiringRate[[#This Row],[Conc events/bin]]/BinSize_sec)</f>
        <v xml:space="preserve"> </v>
      </c>
      <c r="W170" s="96" t="str">
        <f t="shared" si="20"/>
        <v>&gt; Spont Length</v>
      </c>
      <c r="X170" s="96" t="str">
        <f t="shared" si="21"/>
        <v>Enter Spont End</v>
      </c>
      <c r="Y170" s="97" t="str">
        <f t="shared" si="22"/>
        <v>&gt; Spont Length</v>
      </c>
      <c r="Z170" s="97" t="str">
        <f t="shared" si="23"/>
        <v>Enter Spont End</v>
      </c>
      <c r="AA170" s="99"/>
      <c r="AB170" s="103" t="str">
        <f>IF(ISNUMBER(Cluster[[#This Row],[Bin Start (min)]]), AB169+1, Cluster[[#This Row],[Bin Start (min)]])</f>
        <v>&gt; Spont Length</v>
      </c>
      <c r="AC170" s="103" t="str">
        <f>IF(ISNUMBER(Cluster[[#This Row],[Bin End (min)]]), AC169+1, Cluster[[#This Row],[Bin End (min)]])</f>
        <v>Enter Spont End</v>
      </c>
      <c r="AD170" s="88" t="str">
        <f>IF(ISNUMBER(Cluster[[#This Row],[Bin_end]]), _xlfn.XLOOKUP(Cluster[[#This Row],[Bin_end]], ClusterCalc_2x2SD[Bin_end], ClusterCalc_2x2SD[Peak or Nadir], "fill ClusterCalc Table",1), "no bin")</f>
        <v>no bin</v>
      </c>
      <c r="AE170" s="88" t="str">
        <f>IF(ISNUMBER(Cluster[[#This Row],[Bin_end]]), _xlfn.XLOOKUP(Cluster[[#This Row],[Bin_end]], ClusterCalc_3x3SD[Bin_end], ClusterCalc_3x3SD[Peak or Nadir], "fill ClusterCalc Table",1), "no bin")</f>
        <v>no bin</v>
      </c>
      <c r="AF170" s="88" t="str">
        <f>IF(ISNUMBER(Cluster[[#This Row],[Bin_end]]), _xlfn.XLOOKUP(Cluster[[#This Row],[Bin_end]], ClusterCalc_2x2SE[Bin_end], ClusterCalc_2x2SE[Peak or Nadir], "fill ClusterCalc Table",1), "no bin")</f>
        <v>no bin</v>
      </c>
      <c r="AG170" s="88" t="str">
        <f>IF(ISNUMBER(Cluster[[#This Row],[Bin_end]]), _xlfn.XLOOKUP(Cluster[[#This Row],[Bin_end]], ClusterCalc_3x3SE[Bin_end], ClusterCalc_3x3SE[Peak or Nadir], "fill ClusterCalc Table",1), "no bin")</f>
        <v>no bin</v>
      </c>
      <c r="BV170"/>
    </row>
    <row r="171" spans="2:74" x14ac:dyDescent="0.2">
      <c r="B171" s="88" t="str">
        <f t="shared" si="14"/>
        <v>&gt; Total Length</v>
      </c>
      <c r="C171" s="88" t="str">
        <f t="shared" si="15"/>
        <v>&gt; Total Length</v>
      </c>
      <c r="D171" s="96" t="str">
        <f t="shared" si="16"/>
        <v>&gt; Total Length</v>
      </c>
      <c r="E171" s="96" t="str">
        <f t="shared" si="17"/>
        <v>&gt; Total Length</v>
      </c>
      <c r="F171" s="97" t="str">
        <f t="shared" si="18"/>
        <v>&gt; Total Length</v>
      </c>
      <c r="G171" s="97" t="str">
        <f t="shared" si="19"/>
        <v>&gt; Total Length</v>
      </c>
      <c r="H171" s="98"/>
      <c r="I171" s="99"/>
      <c r="J171" s="88" t="str">
        <f>IF(ISBLANK(FiringRate[[#This Row],[Event/bin]]), " ", FiringRate[[#This Row],[Event/bin]]/BinSize_sec)</f>
        <v xml:space="preserve"> </v>
      </c>
      <c r="K171" s="100" t="str">
        <f>IF(ISBLANK(FiringRate[[#This Row],[Conc events/bin]]), " ", FiringRate[[#This Row],[Conc events/bin]]/BinSize_sec)</f>
        <v xml:space="preserve"> </v>
      </c>
      <c r="W171" s="96" t="str">
        <f t="shared" si="20"/>
        <v>&gt; Spont Length</v>
      </c>
      <c r="X171" s="96" t="str">
        <f t="shared" si="21"/>
        <v>Enter Spont End</v>
      </c>
      <c r="Y171" s="97" t="str">
        <f t="shared" si="22"/>
        <v>&gt; Spont Length</v>
      </c>
      <c r="Z171" s="97" t="str">
        <f t="shared" si="23"/>
        <v>Enter Spont End</v>
      </c>
      <c r="AA171" s="99"/>
      <c r="AB171" s="103" t="str">
        <f>IF(ISNUMBER(Cluster[[#This Row],[Bin Start (min)]]), AB170+1, Cluster[[#This Row],[Bin Start (min)]])</f>
        <v>&gt; Spont Length</v>
      </c>
      <c r="AC171" s="103" t="str">
        <f>IF(ISNUMBER(Cluster[[#This Row],[Bin End (min)]]), AC170+1, Cluster[[#This Row],[Bin End (min)]])</f>
        <v>Enter Spont End</v>
      </c>
      <c r="AD171" s="88" t="str">
        <f>IF(ISNUMBER(Cluster[[#This Row],[Bin_end]]), _xlfn.XLOOKUP(Cluster[[#This Row],[Bin_end]], ClusterCalc_2x2SD[Bin_end], ClusterCalc_2x2SD[Peak or Nadir], "fill ClusterCalc Table",1), "no bin")</f>
        <v>no bin</v>
      </c>
      <c r="AE171" s="88" t="str">
        <f>IF(ISNUMBER(Cluster[[#This Row],[Bin_end]]), _xlfn.XLOOKUP(Cluster[[#This Row],[Bin_end]], ClusterCalc_3x3SD[Bin_end], ClusterCalc_3x3SD[Peak or Nadir], "fill ClusterCalc Table",1), "no bin")</f>
        <v>no bin</v>
      </c>
      <c r="AF171" s="88" t="str">
        <f>IF(ISNUMBER(Cluster[[#This Row],[Bin_end]]), _xlfn.XLOOKUP(Cluster[[#This Row],[Bin_end]], ClusterCalc_2x2SE[Bin_end], ClusterCalc_2x2SE[Peak or Nadir], "fill ClusterCalc Table",1), "no bin")</f>
        <v>no bin</v>
      </c>
      <c r="AG171" s="88" t="str">
        <f>IF(ISNUMBER(Cluster[[#This Row],[Bin_end]]), _xlfn.XLOOKUP(Cluster[[#This Row],[Bin_end]], ClusterCalc_3x3SE[Bin_end], ClusterCalc_3x3SE[Peak or Nadir], "fill ClusterCalc Table",1), "no bin")</f>
        <v>no bin</v>
      </c>
      <c r="BV171"/>
    </row>
    <row r="172" spans="2:74" x14ac:dyDescent="0.2">
      <c r="B172" s="88" t="str">
        <f t="shared" si="14"/>
        <v>&gt; Total Length</v>
      </c>
      <c r="C172" s="88" t="str">
        <f t="shared" si="15"/>
        <v>&gt; Total Length</v>
      </c>
      <c r="D172" s="96" t="str">
        <f t="shared" si="16"/>
        <v>&gt; Total Length</v>
      </c>
      <c r="E172" s="96" t="str">
        <f t="shared" si="17"/>
        <v>&gt; Total Length</v>
      </c>
      <c r="F172" s="97" t="str">
        <f t="shared" si="18"/>
        <v>&gt; Total Length</v>
      </c>
      <c r="G172" s="97" t="str">
        <f t="shared" si="19"/>
        <v>&gt; Total Length</v>
      </c>
      <c r="H172" s="98"/>
      <c r="I172" s="99"/>
      <c r="J172" s="88" t="str">
        <f>IF(ISBLANK(FiringRate[[#This Row],[Event/bin]]), " ", FiringRate[[#This Row],[Event/bin]]/BinSize_sec)</f>
        <v xml:space="preserve"> </v>
      </c>
      <c r="K172" s="100" t="str">
        <f>IF(ISBLANK(FiringRate[[#This Row],[Conc events/bin]]), " ", FiringRate[[#This Row],[Conc events/bin]]/BinSize_sec)</f>
        <v xml:space="preserve"> </v>
      </c>
      <c r="W172" s="96" t="str">
        <f t="shared" si="20"/>
        <v>&gt; Spont Length</v>
      </c>
      <c r="X172" s="96" t="str">
        <f t="shared" si="21"/>
        <v>Enter Spont End</v>
      </c>
      <c r="Y172" s="97" t="str">
        <f t="shared" si="22"/>
        <v>&gt; Spont Length</v>
      </c>
      <c r="Z172" s="97" t="str">
        <f t="shared" si="23"/>
        <v>Enter Spont End</v>
      </c>
      <c r="AA172" s="99"/>
      <c r="AB172" s="103" t="str">
        <f>IF(ISNUMBER(Cluster[[#This Row],[Bin Start (min)]]), AB171+1, Cluster[[#This Row],[Bin Start (min)]])</f>
        <v>&gt; Spont Length</v>
      </c>
      <c r="AC172" s="103" t="str">
        <f>IF(ISNUMBER(Cluster[[#This Row],[Bin End (min)]]), AC171+1, Cluster[[#This Row],[Bin End (min)]])</f>
        <v>Enter Spont End</v>
      </c>
      <c r="AD172" s="88" t="str">
        <f>IF(ISNUMBER(Cluster[[#This Row],[Bin_end]]), _xlfn.XLOOKUP(Cluster[[#This Row],[Bin_end]], ClusterCalc_2x2SD[Bin_end], ClusterCalc_2x2SD[Peak or Nadir], "fill ClusterCalc Table",1), "no bin")</f>
        <v>no bin</v>
      </c>
      <c r="AE172" s="88" t="str">
        <f>IF(ISNUMBER(Cluster[[#This Row],[Bin_end]]), _xlfn.XLOOKUP(Cluster[[#This Row],[Bin_end]], ClusterCalc_3x3SD[Bin_end], ClusterCalc_3x3SD[Peak or Nadir], "fill ClusterCalc Table",1), "no bin")</f>
        <v>no bin</v>
      </c>
      <c r="AF172" s="88" t="str">
        <f>IF(ISNUMBER(Cluster[[#This Row],[Bin_end]]), _xlfn.XLOOKUP(Cluster[[#This Row],[Bin_end]], ClusterCalc_2x2SE[Bin_end], ClusterCalc_2x2SE[Peak or Nadir], "fill ClusterCalc Table",1), "no bin")</f>
        <v>no bin</v>
      </c>
      <c r="AG172" s="88" t="str">
        <f>IF(ISNUMBER(Cluster[[#This Row],[Bin_end]]), _xlfn.XLOOKUP(Cluster[[#This Row],[Bin_end]], ClusterCalc_3x3SE[Bin_end], ClusterCalc_3x3SE[Peak or Nadir], "fill ClusterCalc Table",1), "no bin")</f>
        <v>no bin</v>
      </c>
      <c r="BV172"/>
    </row>
    <row r="173" spans="2:74" x14ac:dyDescent="0.2">
      <c r="B173" s="88" t="str">
        <f t="shared" si="14"/>
        <v>&gt; Total Length</v>
      </c>
      <c r="C173" s="88" t="str">
        <f t="shared" si="15"/>
        <v>&gt; Total Length</v>
      </c>
      <c r="D173" s="96" t="str">
        <f t="shared" si="16"/>
        <v>&gt; Total Length</v>
      </c>
      <c r="E173" s="96" t="str">
        <f t="shared" si="17"/>
        <v>&gt; Total Length</v>
      </c>
      <c r="F173" s="97" t="str">
        <f t="shared" si="18"/>
        <v>&gt; Total Length</v>
      </c>
      <c r="G173" s="97" t="str">
        <f t="shared" si="19"/>
        <v>&gt; Total Length</v>
      </c>
      <c r="H173" s="98"/>
      <c r="I173" s="99"/>
      <c r="J173" s="88" t="str">
        <f>IF(ISBLANK(FiringRate[[#This Row],[Event/bin]]), " ", FiringRate[[#This Row],[Event/bin]]/BinSize_sec)</f>
        <v xml:space="preserve"> </v>
      </c>
      <c r="K173" s="100" t="str">
        <f>IF(ISBLANK(FiringRate[[#This Row],[Conc events/bin]]), " ", FiringRate[[#This Row],[Conc events/bin]]/BinSize_sec)</f>
        <v xml:space="preserve"> </v>
      </c>
      <c r="W173" s="96" t="str">
        <f t="shared" si="20"/>
        <v>&gt; Spont Length</v>
      </c>
      <c r="X173" s="96" t="str">
        <f t="shared" si="21"/>
        <v>Enter Spont End</v>
      </c>
      <c r="Y173" s="97" t="str">
        <f t="shared" si="22"/>
        <v>&gt; Spont Length</v>
      </c>
      <c r="Z173" s="97" t="str">
        <f t="shared" si="23"/>
        <v>Enter Spont End</v>
      </c>
      <c r="AA173" s="99"/>
      <c r="AB173" s="103" t="str">
        <f>IF(ISNUMBER(Cluster[[#This Row],[Bin Start (min)]]), AB172+1, Cluster[[#This Row],[Bin Start (min)]])</f>
        <v>&gt; Spont Length</v>
      </c>
      <c r="AC173" s="103" t="str">
        <f>IF(ISNUMBER(Cluster[[#This Row],[Bin End (min)]]), AC172+1, Cluster[[#This Row],[Bin End (min)]])</f>
        <v>Enter Spont End</v>
      </c>
      <c r="AD173" s="88" t="str">
        <f>IF(ISNUMBER(Cluster[[#This Row],[Bin_end]]), _xlfn.XLOOKUP(Cluster[[#This Row],[Bin_end]], ClusterCalc_2x2SD[Bin_end], ClusterCalc_2x2SD[Peak or Nadir], "fill ClusterCalc Table",1), "no bin")</f>
        <v>no bin</v>
      </c>
      <c r="AE173" s="88" t="str">
        <f>IF(ISNUMBER(Cluster[[#This Row],[Bin_end]]), _xlfn.XLOOKUP(Cluster[[#This Row],[Bin_end]], ClusterCalc_3x3SD[Bin_end], ClusterCalc_3x3SD[Peak or Nadir], "fill ClusterCalc Table",1), "no bin")</f>
        <v>no bin</v>
      </c>
      <c r="AF173" s="88" t="str">
        <f>IF(ISNUMBER(Cluster[[#This Row],[Bin_end]]), _xlfn.XLOOKUP(Cluster[[#This Row],[Bin_end]], ClusterCalc_2x2SE[Bin_end], ClusterCalc_2x2SE[Peak or Nadir], "fill ClusterCalc Table",1), "no bin")</f>
        <v>no bin</v>
      </c>
      <c r="AG173" s="88" t="str">
        <f>IF(ISNUMBER(Cluster[[#This Row],[Bin_end]]), _xlfn.XLOOKUP(Cluster[[#This Row],[Bin_end]], ClusterCalc_3x3SE[Bin_end], ClusterCalc_3x3SE[Peak or Nadir], "fill ClusterCalc Table",1), "no bin")</f>
        <v>no bin</v>
      </c>
      <c r="BV173"/>
    </row>
    <row r="174" spans="2:74" x14ac:dyDescent="0.2">
      <c r="B174" s="88" t="str">
        <f t="shared" si="14"/>
        <v>&gt; Total Length</v>
      </c>
      <c r="C174" s="88" t="str">
        <f t="shared" si="15"/>
        <v>&gt; Total Length</v>
      </c>
      <c r="D174" s="96" t="str">
        <f t="shared" si="16"/>
        <v>&gt; Total Length</v>
      </c>
      <c r="E174" s="96" t="str">
        <f t="shared" si="17"/>
        <v>&gt; Total Length</v>
      </c>
      <c r="F174" s="97" t="str">
        <f t="shared" si="18"/>
        <v>&gt; Total Length</v>
      </c>
      <c r="G174" s="97" t="str">
        <f t="shared" si="19"/>
        <v>&gt; Total Length</v>
      </c>
      <c r="H174" s="98"/>
      <c r="I174" s="99"/>
      <c r="J174" s="88" t="str">
        <f>IF(ISBLANK(FiringRate[[#This Row],[Event/bin]]), " ", FiringRate[[#This Row],[Event/bin]]/BinSize_sec)</f>
        <v xml:space="preserve"> </v>
      </c>
      <c r="K174" s="100" t="str">
        <f>IF(ISBLANK(FiringRate[[#This Row],[Conc events/bin]]), " ", FiringRate[[#This Row],[Conc events/bin]]/BinSize_sec)</f>
        <v xml:space="preserve"> </v>
      </c>
      <c r="W174" s="96" t="str">
        <f t="shared" si="20"/>
        <v>&gt; Spont Length</v>
      </c>
      <c r="X174" s="96" t="str">
        <f t="shared" si="21"/>
        <v>Enter Spont End</v>
      </c>
      <c r="Y174" s="97" t="str">
        <f t="shared" si="22"/>
        <v>&gt; Spont Length</v>
      </c>
      <c r="Z174" s="97" t="str">
        <f t="shared" si="23"/>
        <v>Enter Spont End</v>
      </c>
      <c r="AA174" s="99"/>
      <c r="AB174" s="103" t="str">
        <f>IF(ISNUMBER(Cluster[[#This Row],[Bin Start (min)]]), AB173+1, Cluster[[#This Row],[Bin Start (min)]])</f>
        <v>&gt; Spont Length</v>
      </c>
      <c r="AC174" s="103" t="str">
        <f>IF(ISNUMBER(Cluster[[#This Row],[Bin End (min)]]), AC173+1, Cluster[[#This Row],[Bin End (min)]])</f>
        <v>Enter Spont End</v>
      </c>
      <c r="AD174" s="88" t="str">
        <f>IF(ISNUMBER(Cluster[[#This Row],[Bin_end]]), _xlfn.XLOOKUP(Cluster[[#This Row],[Bin_end]], ClusterCalc_2x2SD[Bin_end], ClusterCalc_2x2SD[Peak or Nadir], "fill ClusterCalc Table",1), "no bin")</f>
        <v>no bin</v>
      </c>
      <c r="AE174" s="88" t="str">
        <f>IF(ISNUMBER(Cluster[[#This Row],[Bin_end]]), _xlfn.XLOOKUP(Cluster[[#This Row],[Bin_end]], ClusterCalc_3x3SD[Bin_end], ClusterCalc_3x3SD[Peak or Nadir], "fill ClusterCalc Table",1), "no bin")</f>
        <v>no bin</v>
      </c>
      <c r="AF174" s="88" t="str">
        <f>IF(ISNUMBER(Cluster[[#This Row],[Bin_end]]), _xlfn.XLOOKUP(Cluster[[#This Row],[Bin_end]], ClusterCalc_2x2SE[Bin_end], ClusterCalc_2x2SE[Peak or Nadir], "fill ClusterCalc Table",1), "no bin")</f>
        <v>no bin</v>
      </c>
      <c r="AG174" s="88" t="str">
        <f>IF(ISNUMBER(Cluster[[#This Row],[Bin_end]]), _xlfn.XLOOKUP(Cluster[[#This Row],[Bin_end]], ClusterCalc_3x3SE[Bin_end], ClusterCalc_3x3SE[Peak or Nadir], "fill ClusterCalc Table",1), "no bin")</f>
        <v>no bin</v>
      </c>
      <c r="BV174"/>
    </row>
    <row r="175" spans="2:74" x14ac:dyDescent="0.2">
      <c r="B175" s="88" t="str">
        <f t="shared" si="14"/>
        <v>&gt; Total Length</v>
      </c>
      <c r="C175" s="88" t="str">
        <f t="shared" si="15"/>
        <v>&gt; Total Length</v>
      </c>
      <c r="D175" s="96" t="str">
        <f t="shared" si="16"/>
        <v>&gt; Total Length</v>
      </c>
      <c r="E175" s="96" t="str">
        <f t="shared" si="17"/>
        <v>&gt; Total Length</v>
      </c>
      <c r="F175" s="97" t="str">
        <f t="shared" si="18"/>
        <v>&gt; Total Length</v>
      </c>
      <c r="G175" s="97" t="str">
        <f t="shared" si="19"/>
        <v>&gt; Total Length</v>
      </c>
      <c r="H175" s="98"/>
      <c r="I175" s="99"/>
      <c r="J175" s="88" t="str">
        <f>IF(ISBLANK(FiringRate[[#This Row],[Event/bin]]), " ", FiringRate[[#This Row],[Event/bin]]/BinSize_sec)</f>
        <v xml:space="preserve"> </v>
      </c>
      <c r="K175" s="100" t="str">
        <f>IF(ISBLANK(FiringRate[[#This Row],[Conc events/bin]]), " ", FiringRate[[#This Row],[Conc events/bin]]/BinSize_sec)</f>
        <v xml:space="preserve"> </v>
      </c>
      <c r="W175" s="96" t="str">
        <f t="shared" si="20"/>
        <v>&gt; Spont Length</v>
      </c>
      <c r="X175" s="96" t="str">
        <f t="shared" si="21"/>
        <v>Enter Spont End</v>
      </c>
      <c r="Y175" s="97" t="str">
        <f t="shared" si="22"/>
        <v>&gt; Spont Length</v>
      </c>
      <c r="Z175" s="97" t="str">
        <f t="shared" si="23"/>
        <v>Enter Spont End</v>
      </c>
      <c r="AA175" s="99"/>
      <c r="AB175" s="103" t="str">
        <f>IF(ISNUMBER(Cluster[[#This Row],[Bin Start (min)]]), AB174+1, Cluster[[#This Row],[Bin Start (min)]])</f>
        <v>&gt; Spont Length</v>
      </c>
      <c r="AC175" s="103" t="str">
        <f>IF(ISNUMBER(Cluster[[#This Row],[Bin End (min)]]), AC174+1, Cluster[[#This Row],[Bin End (min)]])</f>
        <v>Enter Spont End</v>
      </c>
      <c r="AD175" s="88" t="str">
        <f>IF(ISNUMBER(Cluster[[#This Row],[Bin_end]]), _xlfn.XLOOKUP(Cluster[[#This Row],[Bin_end]], ClusterCalc_2x2SD[Bin_end], ClusterCalc_2x2SD[Peak or Nadir], "fill ClusterCalc Table",1), "no bin")</f>
        <v>no bin</v>
      </c>
      <c r="AE175" s="88" t="str">
        <f>IF(ISNUMBER(Cluster[[#This Row],[Bin_end]]), _xlfn.XLOOKUP(Cluster[[#This Row],[Bin_end]], ClusterCalc_3x3SD[Bin_end], ClusterCalc_3x3SD[Peak or Nadir], "fill ClusterCalc Table",1), "no bin")</f>
        <v>no bin</v>
      </c>
      <c r="AF175" s="88" t="str">
        <f>IF(ISNUMBER(Cluster[[#This Row],[Bin_end]]), _xlfn.XLOOKUP(Cluster[[#This Row],[Bin_end]], ClusterCalc_2x2SE[Bin_end], ClusterCalc_2x2SE[Peak or Nadir], "fill ClusterCalc Table",1), "no bin")</f>
        <v>no bin</v>
      </c>
      <c r="AG175" s="88" t="str">
        <f>IF(ISNUMBER(Cluster[[#This Row],[Bin_end]]), _xlfn.XLOOKUP(Cluster[[#This Row],[Bin_end]], ClusterCalc_3x3SE[Bin_end], ClusterCalc_3x3SE[Peak or Nadir], "fill ClusterCalc Table",1), "no bin")</f>
        <v>no bin</v>
      </c>
      <c r="BV175"/>
    </row>
    <row r="176" spans="2:74" x14ac:dyDescent="0.2">
      <c r="B176" s="88" t="str">
        <f t="shared" si="14"/>
        <v>&gt; Total Length</v>
      </c>
      <c r="C176" s="88" t="str">
        <f t="shared" si="15"/>
        <v>&gt; Total Length</v>
      </c>
      <c r="D176" s="96" t="str">
        <f t="shared" si="16"/>
        <v>&gt; Total Length</v>
      </c>
      <c r="E176" s="96" t="str">
        <f t="shared" si="17"/>
        <v>&gt; Total Length</v>
      </c>
      <c r="F176" s="97" t="str">
        <f t="shared" si="18"/>
        <v>&gt; Total Length</v>
      </c>
      <c r="G176" s="97" t="str">
        <f t="shared" si="19"/>
        <v>&gt; Total Length</v>
      </c>
      <c r="H176" s="98"/>
      <c r="I176" s="99"/>
      <c r="J176" s="88" t="str">
        <f>IF(ISBLANK(FiringRate[[#This Row],[Event/bin]]), " ", FiringRate[[#This Row],[Event/bin]]/BinSize_sec)</f>
        <v xml:space="preserve"> </v>
      </c>
      <c r="K176" s="100" t="str">
        <f>IF(ISBLANK(FiringRate[[#This Row],[Conc events/bin]]), " ", FiringRate[[#This Row],[Conc events/bin]]/BinSize_sec)</f>
        <v xml:space="preserve"> </v>
      </c>
      <c r="W176" s="96" t="str">
        <f t="shared" si="20"/>
        <v>&gt; Spont Length</v>
      </c>
      <c r="X176" s="96" t="str">
        <f t="shared" si="21"/>
        <v>Enter Spont End</v>
      </c>
      <c r="Y176" s="97" t="str">
        <f t="shared" si="22"/>
        <v>&gt; Spont Length</v>
      </c>
      <c r="Z176" s="97" t="str">
        <f t="shared" si="23"/>
        <v>Enter Spont End</v>
      </c>
      <c r="AA176" s="99"/>
      <c r="AB176" s="103" t="str">
        <f>IF(ISNUMBER(Cluster[[#This Row],[Bin Start (min)]]), AB175+1, Cluster[[#This Row],[Bin Start (min)]])</f>
        <v>&gt; Spont Length</v>
      </c>
      <c r="AC176" s="103" t="str">
        <f>IF(ISNUMBER(Cluster[[#This Row],[Bin End (min)]]), AC175+1, Cluster[[#This Row],[Bin End (min)]])</f>
        <v>Enter Spont End</v>
      </c>
      <c r="AD176" s="88" t="str">
        <f>IF(ISNUMBER(Cluster[[#This Row],[Bin_end]]), _xlfn.XLOOKUP(Cluster[[#This Row],[Bin_end]], ClusterCalc_2x2SD[Bin_end], ClusterCalc_2x2SD[Peak or Nadir], "fill ClusterCalc Table",1), "no bin")</f>
        <v>no bin</v>
      </c>
      <c r="AE176" s="88" t="str">
        <f>IF(ISNUMBER(Cluster[[#This Row],[Bin_end]]), _xlfn.XLOOKUP(Cluster[[#This Row],[Bin_end]], ClusterCalc_3x3SD[Bin_end], ClusterCalc_3x3SD[Peak or Nadir], "fill ClusterCalc Table",1), "no bin")</f>
        <v>no bin</v>
      </c>
      <c r="AF176" s="88" t="str">
        <f>IF(ISNUMBER(Cluster[[#This Row],[Bin_end]]), _xlfn.XLOOKUP(Cluster[[#This Row],[Bin_end]], ClusterCalc_2x2SE[Bin_end], ClusterCalc_2x2SE[Peak or Nadir], "fill ClusterCalc Table",1), "no bin")</f>
        <v>no bin</v>
      </c>
      <c r="AG176" s="88" t="str">
        <f>IF(ISNUMBER(Cluster[[#This Row],[Bin_end]]), _xlfn.XLOOKUP(Cluster[[#This Row],[Bin_end]], ClusterCalc_3x3SE[Bin_end], ClusterCalc_3x3SE[Peak or Nadir], "fill ClusterCalc Table",1), "no bin")</f>
        <v>no bin</v>
      </c>
      <c r="BV176"/>
    </row>
    <row r="177" spans="2:74" x14ac:dyDescent="0.2">
      <c r="B177" s="88" t="str">
        <f t="shared" ref="B177:B208" si="24">IF(E176&lt;TotalLength_min, IF(ISNONTEXT(B176), IF(C177&gt;C176, B176, IF(B176&lt;LastSeries, B176+1)), B176), "&gt; Total Length")</f>
        <v>&gt; Total Length</v>
      </c>
      <c r="C177" s="88" t="str">
        <f t="shared" ref="C177:C208" si="25">IF(E176&lt;TotalLength_min, IF(ISNONTEXT(C176), IF(C176&lt;(BinsPerSeries-1),C176+1,0), C176), "&gt; Total Length")</f>
        <v>&gt; Total Length</v>
      </c>
      <c r="D177" s="96" t="str">
        <f t="shared" ref="D177:D208" si="26">IF(BinSize_sec &gt; 0, IF(ISNONTEXT(F176), IF(F176 + BinSize_sec &lt; TotalLength_sec, F177/60, "&gt; Total Length"), F176), "No bin size")</f>
        <v>&gt; Total Length</v>
      </c>
      <c r="E177" s="96" t="str">
        <f t="shared" ref="E177:E208" si="27">IF(BinSize_sec &gt; 0, IF(ISNONTEXT(G176), IF(G176 + BinSize_sec &gt; TotalLength_sec, "&gt; Total Length", G177/60), G176), "No bin size")</f>
        <v>&gt; Total Length</v>
      </c>
      <c r="F177" s="97" t="str">
        <f t="shared" ref="F177:F208" si="28">IF(BinSize_sec &gt; 0, IF(ISNONTEXT(F176), IF(F176 + BinSize_sec &lt; TotalLength_sec, F176 + BinSize_sec, "&gt; Total Length"), F176), "No bin size")</f>
        <v>&gt; Total Length</v>
      </c>
      <c r="G177" s="97" t="str">
        <f t="shared" ref="G177:G208" si="29">IF(BinSize_sec &gt; 0, IF(ISNONTEXT(G176), IF(G176 + BinSize_sec &gt; TotalLength_sec, "&gt; Total Length", G176 + BinSize_sec), G176), "No bin size")</f>
        <v>&gt; Total Length</v>
      </c>
      <c r="H177" s="98"/>
      <c r="I177" s="99"/>
      <c r="J177" s="88" t="str">
        <f>IF(ISBLANK(FiringRate[[#This Row],[Event/bin]]), " ", FiringRate[[#This Row],[Event/bin]]/BinSize_sec)</f>
        <v xml:space="preserve"> </v>
      </c>
      <c r="K177" s="100" t="str">
        <f>IF(ISBLANK(FiringRate[[#This Row],[Conc events/bin]]), " ", FiringRate[[#This Row],[Conc events/bin]]/BinSize_sec)</f>
        <v xml:space="preserve"> </v>
      </c>
      <c r="W177" s="96" t="str">
        <f t="shared" ref="W177:W201" si="30">IF(ClusterBinSize_sec &gt; 0, IF(ISNONTEXT(W176), IF(X176 &lt; EndTime_spont, W176 + (ClusterBinSize_sec / 60), "&gt; Spont Length"), W176), "No bin size")</f>
        <v>&gt; Spont Length</v>
      </c>
      <c r="X177" s="96" t="str">
        <f t="shared" ref="X177:X201" si="31">IF(ClusterBinSize_sec &gt; 0, IF(ISNONTEXT(X176), IF(X176 + (ClusterBinSize_sec / 60) &gt; EndTime_spont, "&gt; Spont Length", X176 + (ClusterBinSize_sec / 60)), X176), "No bin size")</f>
        <v>Enter Spont End</v>
      </c>
      <c r="Y177" s="97" t="str">
        <f t="shared" ref="Y177:Y201" si="32">IF(ClusterBinSize_sec &gt; 0, IF(ISNONTEXT(Y176), IF(Z176 &lt; (EndTime_spont *60), Y176 + ClusterBinSize_sec, "&gt; Spont Length"), Y176), "No bin size")</f>
        <v>&gt; Spont Length</v>
      </c>
      <c r="Z177" s="97" t="str">
        <f t="shared" ref="Z177:Z201" si="33">IF(ClusterBinSize_sec &gt; 0, IF(ISNONTEXT(Z176), IF(Z176 + ClusterBinSize_sec &gt; (EndTime_spont * 60), "&gt; Spont Length", Z176 + ClusterBinSize_sec), Z176), "No bin size")</f>
        <v>Enter Spont End</v>
      </c>
      <c r="AA177" s="99"/>
      <c r="AB177" s="103" t="str">
        <f>IF(ISNUMBER(Cluster[[#This Row],[Bin Start (min)]]), AB176+1, Cluster[[#This Row],[Bin Start (min)]])</f>
        <v>&gt; Spont Length</v>
      </c>
      <c r="AC177" s="103" t="str">
        <f>IF(ISNUMBER(Cluster[[#This Row],[Bin End (min)]]), AC176+1, Cluster[[#This Row],[Bin End (min)]])</f>
        <v>Enter Spont End</v>
      </c>
      <c r="AD177" s="88" t="str">
        <f>IF(ISNUMBER(Cluster[[#This Row],[Bin_end]]), _xlfn.XLOOKUP(Cluster[[#This Row],[Bin_end]], ClusterCalc_2x2SD[Bin_end], ClusterCalc_2x2SD[Peak or Nadir], "fill ClusterCalc Table",1), "no bin")</f>
        <v>no bin</v>
      </c>
      <c r="AE177" s="88" t="str">
        <f>IF(ISNUMBER(Cluster[[#This Row],[Bin_end]]), _xlfn.XLOOKUP(Cluster[[#This Row],[Bin_end]], ClusterCalc_3x3SD[Bin_end], ClusterCalc_3x3SD[Peak or Nadir], "fill ClusterCalc Table",1), "no bin")</f>
        <v>no bin</v>
      </c>
      <c r="AF177" s="88" t="str">
        <f>IF(ISNUMBER(Cluster[[#This Row],[Bin_end]]), _xlfn.XLOOKUP(Cluster[[#This Row],[Bin_end]], ClusterCalc_2x2SE[Bin_end], ClusterCalc_2x2SE[Peak or Nadir], "fill ClusterCalc Table",1), "no bin")</f>
        <v>no bin</v>
      </c>
      <c r="AG177" s="88" t="str">
        <f>IF(ISNUMBER(Cluster[[#This Row],[Bin_end]]), _xlfn.XLOOKUP(Cluster[[#This Row],[Bin_end]], ClusterCalc_3x3SE[Bin_end], ClusterCalc_3x3SE[Peak or Nadir], "fill ClusterCalc Table",1), "no bin")</f>
        <v>no bin</v>
      </c>
      <c r="BV177"/>
    </row>
    <row r="178" spans="2:74" x14ac:dyDescent="0.2">
      <c r="B178" s="88" t="str">
        <f t="shared" si="24"/>
        <v>&gt; Total Length</v>
      </c>
      <c r="C178" s="88" t="str">
        <f t="shared" si="25"/>
        <v>&gt; Total Length</v>
      </c>
      <c r="D178" s="96" t="str">
        <f t="shared" si="26"/>
        <v>&gt; Total Length</v>
      </c>
      <c r="E178" s="96" t="str">
        <f t="shared" si="27"/>
        <v>&gt; Total Length</v>
      </c>
      <c r="F178" s="97" t="str">
        <f t="shared" si="28"/>
        <v>&gt; Total Length</v>
      </c>
      <c r="G178" s="97" t="str">
        <f t="shared" si="29"/>
        <v>&gt; Total Length</v>
      </c>
      <c r="H178" s="98"/>
      <c r="I178" s="99"/>
      <c r="J178" s="88" t="str">
        <f>IF(ISBLANK(FiringRate[[#This Row],[Event/bin]]), " ", FiringRate[[#This Row],[Event/bin]]/BinSize_sec)</f>
        <v xml:space="preserve"> </v>
      </c>
      <c r="K178" s="100" t="str">
        <f>IF(ISBLANK(FiringRate[[#This Row],[Conc events/bin]]), " ", FiringRate[[#This Row],[Conc events/bin]]/BinSize_sec)</f>
        <v xml:space="preserve"> </v>
      </c>
      <c r="W178" s="96" t="str">
        <f t="shared" si="30"/>
        <v>&gt; Spont Length</v>
      </c>
      <c r="X178" s="96" t="str">
        <f t="shared" si="31"/>
        <v>Enter Spont End</v>
      </c>
      <c r="Y178" s="97" t="str">
        <f t="shared" si="32"/>
        <v>&gt; Spont Length</v>
      </c>
      <c r="Z178" s="97" t="str">
        <f t="shared" si="33"/>
        <v>Enter Spont End</v>
      </c>
      <c r="AA178" s="99"/>
      <c r="AB178" s="103" t="str">
        <f>IF(ISNUMBER(Cluster[[#This Row],[Bin Start (min)]]), AB177+1, Cluster[[#This Row],[Bin Start (min)]])</f>
        <v>&gt; Spont Length</v>
      </c>
      <c r="AC178" s="103" t="str">
        <f>IF(ISNUMBER(Cluster[[#This Row],[Bin End (min)]]), AC177+1, Cluster[[#This Row],[Bin End (min)]])</f>
        <v>Enter Spont End</v>
      </c>
      <c r="AD178" s="88" t="str">
        <f>IF(ISNUMBER(Cluster[[#This Row],[Bin_end]]), _xlfn.XLOOKUP(Cluster[[#This Row],[Bin_end]], ClusterCalc_2x2SD[Bin_end], ClusterCalc_2x2SD[Peak or Nadir], "fill ClusterCalc Table",1), "no bin")</f>
        <v>no bin</v>
      </c>
      <c r="AE178" s="88" t="str">
        <f>IF(ISNUMBER(Cluster[[#This Row],[Bin_end]]), _xlfn.XLOOKUP(Cluster[[#This Row],[Bin_end]], ClusterCalc_3x3SD[Bin_end], ClusterCalc_3x3SD[Peak or Nadir], "fill ClusterCalc Table",1), "no bin")</f>
        <v>no bin</v>
      </c>
      <c r="AF178" s="88" t="str">
        <f>IF(ISNUMBER(Cluster[[#This Row],[Bin_end]]), _xlfn.XLOOKUP(Cluster[[#This Row],[Bin_end]], ClusterCalc_2x2SE[Bin_end], ClusterCalc_2x2SE[Peak or Nadir], "fill ClusterCalc Table",1), "no bin")</f>
        <v>no bin</v>
      </c>
      <c r="AG178" s="88" t="str">
        <f>IF(ISNUMBER(Cluster[[#This Row],[Bin_end]]), _xlfn.XLOOKUP(Cluster[[#This Row],[Bin_end]], ClusterCalc_3x3SE[Bin_end], ClusterCalc_3x3SE[Peak or Nadir], "fill ClusterCalc Table",1), "no bin")</f>
        <v>no bin</v>
      </c>
      <c r="BV178"/>
    </row>
    <row r="179" spans="2:74" x14ac:dyDescent="0.2">
      <c r="B179" s="88" t="str">
        <f t="shared" si="24"/>
        <v>&gt; Total Length</v>
      </c>
      <c r="C179" s="88" t="str">
        <f t="shared" si="25"/>
        <v>&gt; Total Length</v>
      </c>
      <c r="D179" s="96" t="str">
        <f t="shared" si="26"/>
        <v>&gt; Total Length</v>
      </c>
      <c r="E179" s="96" t="str">
        <f t="shared" si="27"/>
        <v>&gt; Total Length</v>
      </c>
      <c r="F179" s="97" t="str">
        <f t="shared" si="28"/>
        <v>&gt; Total Length</v>
      </c>
      <c r="G179" s="97" t="str">
        <f t="shared" si="29"/>
        <v>&gt; Total Length</v>
      </c>
      <c r="H179" s="98"/>
      <c r="I179" s="99"/>
      <c r="J179" s="88" t="str">
        <f>IF(ISBLANK(FiringRate[[#This Row],[Event/bin]]), " ", FiringRate[[#This Row],[Event/bin]]/BinSize_sec)</f>
        <v xml:space="preserve"> </v>
      </c>
      <c r="K179" s="100" t="str">
        <f>IF(ISBLANK(FiringRate[[#This Row],[Conc events/bin]]), " ", FiringRate[[#This Row],[Conc events/bin]]/BinSize_sec)</f>
        <v xml:space="preserve"> </v>
      </c>
      <c r="W179" s="96" t="str">
        <f t="shared" si="30"/>
        <v>&gt; Spont Length</v>
      </c>
      <c r="X179" s="96" t="str">
        <f t="shared" si="31"/>
        <v>Enter Spont End</v>
      </c>
      <c r="Y179" s="97" t="str">
        <f t="shared" si="32"/>
        <v>&gt; Spont Length</v>
      </c>
      <c r="Z179" s="97" t="str">
        <f t="shared" si="33"/>
        <v>Enter Spont End</v>
      </c>
      <c r="AA179" s="99"/>
      <c r="AB179" s="103" t="str">
        <f>IF(ISNUMBER(Cluster[[#This Row],[Bin Start (min)]]), AB178+1, Cluster[[#This Row],[Bin Start (min)]])</f>
        <v>&gt; Spont Length</v>
      </c>
      <c r="AC179" s="103" t="str">
        <f>IF(ISNUMBER(Cluster[[#This Row],[Bin End (min)]]), AC178+1, Cluster[[#This Row],[Bin End (min)]])</f>
        <v>Enter Spont End</v>
      </c>
      <c r="AD179" s="88" t="str">
        <f>IF(ISNUMBER(Cluster[[#This Row],[Bin_end]]), _xlfn.XLOOKUP(Cluster[[#This Row],[Bin_end]], ClusterCalc_2x2SD[Bin_end], ClusterCalc_2x2SD[Peak or Nadir], "fill ClusterCalc Table",1), "no bin")</f>
        <v>no bin</v>
      </c>
      <c r="AE179" s="88" t="str">
        <f>IF(ISNUMBER(Cluster[[#This Row],[Bin_end]]), _xlfn.XLOOKUP(Cluster[[#This Row],[Bin_end]], ClusterCalc_3x3SD[Bin_end], ClusterCalc_3x3SD[Peak or Nadir], "fill ClusterCalc Table",1), "no bin")</f>
        <v>no bin</v>
      </c>
      <c r="AF179" s="88" t="str">
        <f>IF(ISNUMBER(Cluster[[#This Row],[Bin_end]]), _xlfn.XLOOKUP(Cluster[[#This Row],[Bin_end]], ClusterCalc_2x2SE[Bin_end], ClusterCalc_2x2SE[Peak or Nadir], "fill ClusterCalc Table",1), "no bin")</f>
        <v>no bin</v>
      </c>
      <c r="AG179" s="88" t="str">
        <f>IF(ISNUMBER(Cluster[[#This Row],[Bin_end]]), _xlfn.XLOOKUP(Cluster[[#This Row],[Bin_end]], ClusterCalc_3x3SE[Bin_end], ClusterCalc_3x3SE[Peak or Nadir], "fill ClusterCalc Table",1), "no bin")</f>
        <v>no bin</v>
      </c>
      <c r="BV179"/>
    </row>
    <row r="180" spans="2:74" x14ac:dyDescent="0.2">
      <c r="B180" s="88" t="str">
        <f t="shared" si="24"/>
        <v>&gt; Total Length</v>
      </c>
      <c r="C180" s="88" t="str">
        <f t="shared" si="25"/>
        <v>&gt; Total Length</v>
      </c>
      <c r="D180" s="96" t="str">
        <f t="shared" si="26"/>
        <v>&gt; Total Length</v>
      </c>
      <c r="E180" s="96" t="str">
        <f t="shared" si="27"/>
        <v>&gt; Total Length</v>
      </c>
      <c r="F180" s="97" t="str">
        <f t="shared" si="28"/>
        <v>&gt; Total Length</v>
      </c>
      <c r="G180" s="97" t="str">
        <f t="shared" si="29"/>
        <v>&gt; Total Length</v>
      </c>
      <c r="H180" s="98"/>
      <c r="I180" s="99"/>
      <c r="J180" s="88" t="str">
        <f>IF(ISBLANK(FiringRate[[#This Row],[Event/bin]]), " ", FiringRate[[#This Row],[Event/bin]]/BinSize_sec)</f>
        <v xml:space="preserve"> </v>
      </c>
      <c r="K180" s="100" t="str">
        <f>IF(ISBLANK(FiringRate[[#This Row],[Conc events/bin]]), " ", FiringRate[[#This Row],[Conc events/bin]]/BinSize_sec)</f>
        <v xml:space="preserve"> </v>
      </c>
      <c r="W180" s="96" t="str">
        <f t="shared" si="30"/>
        <v>&gt; Spont Length</v>
      </c>
      <c r="X180" s="96" t="str">
        <f t="shared" si="31"/>
        <v>Enter Spont End</v>
      </c>
      <c r="Y180" s="97" t="str">
        <f t="shared" si="32"/>
        <v>&gt; Spont Length</v>
      </c>
      <c r="Z180" s="97" t="str">
        <f t="shared" si="33"/>
        <v>Enter Spont End</v>
      </c>
      <c r="AA180" s="99"/>
      <c r="AB180" s="103" t="str">
        <f>IF(ISNUMBER(Cluster[[#This Row],[Bin Start (min)]]), AB179+1, Cluster[[#This Row],[Bin Start (min)]])</f>
        <v>&gt; Spont Length</v>
      </c>
      <c r="AC180" s="103" t="str">
        <f>IF(ISNUMBER(Cluster[[#This Row],[Bin End (min)]]), AC179+1, Cluster[[#This Row],[Bin End (min)]])</f>
        <v>Enter Spont End</v>
      </c>
      <c r="AD180" s="88" t="str">
        <f>IF(ISNUMBER(Cluster[[#This Row],[Bin_end]]), _xlfn.XLOOKUP(Cluster[[#This Row],[Bin_end]], ClusterCalc_2x2SD[Bin_end], ClusterCalc_2x2SD[Peak or Nadir], "fill ClusterCalc Table",1), "no bin")</f>
        <v>no bin</v>
      </c>
      <c r="AE180" s="88" t="str">
        <f>IF(ISNUMBER(Cluster[[#This Row],[Bin_end]]), _xlfn.XLOOKUP(Cluster[[#This Row],[Bin_end]], ClusterCalc_3x3SD[Bin_end], ClusterCalc_3x3SD[Peak or Nadir], "fill ClusterCalc Table",1), "no bin")</f>
        <v>no bin</v>
      </c>
      <c r="AF180" s="88" t="str">
        <f>IF(ISNUMBER(Cluster[[#This Row],[Bin_end]]), _xlfn.XLOOKUP(Cluster[[#This Row],[Bin_end]], ClusterCalc_2x2SE[Bin_end], ClusterCalc_2x2SE[Peak or Nadir], "fill ClusterCalc Table",1), "no bin")</f>
        <v>no bin</v>
      </c>
      <c r="AG180" s="88" t="str">
        <f>IF(ISNUMBER(Cluster[[#This Row],[Bin_end]]), _xlfn.XLOOKUP(Cluster[[#This Row],[Bin_end]], ClusterCalc_3x3SE[Bin_end], ClusterCalc_3x3SE[Peak or Nadir], "fill ClusterCalc Table",1), "no bin")</f>
        <v>no bin</v>
      </c>
      <c r="AP180"/>
      <c r="AQ180"/>
      <c r="AR180"/>
      <c r="AS180"/>
      <c r="AT180"/>
      <c r="AU180"/>
      <c r="AV180"/>
      <c r="AW180"/>
      <c r="AX180"/>
      <c r="BV180"/>
    </row>
    <row r="181" spans="2:74" x14ac:dyDescent="0.2">
      <c r="B181" s="88" t="str">
        <f t="shared" si="24"/>
        <v>&gt; Total Length</v>
      </c>
      <c r="C181" s="88" t="str">
        <f t="shared" si="25"/>
        <v>&gt; Total Length</v>
      </c>
      <c r="D181" s="96" t="str">
        <f t="shared" si="26"/>
        <v>&gt; Total Length</v>
      </c>
      <c r="E181" s="96" t="str">
        <f t="shared" si="27"/>
        <v>&gt; Total Length</v>
      </c>
      <c r="F181" s="97" t="str">
        <f t="shared" si="28"/>
        <v>&gt; Total Length</v>
      </c>
      <c r="G181" s="97" t="str">
        <f t="shared" si="29"/>
        <v>&gt; Total Length</v>
      </c>
      <c r="H181" s="98"/>
      <c r="I181" s="99"/>
      <c r="J181" s="88" t="str">
        <f>IF(ISBLANK(FiringRate[[#This Row],[Event/bin]]), " ", FiringRate[[#This Row],[Event/bin]]/BinSize_sec)</f>
        <v xml:space="preserve"> </v>
      </c>
      <c r="K181" s="100" t="str">
        <f>IF(ISBLANK(FiringRate[[#This Row],[Conc events/bin]]), " ", FiringRate[[#This Row],[Conc events/bin]]/BinSize_sec)</f>
        <v xml:space="preserve"> </v>
      </c>
      <c r="W181" s="96" t="str">
        <f t="shared" si="30"/>
        <v>&gt; Spont Length</v>
      </c>
      <c r="X181" s="96" t="str">
        <f t="shared" si="31"/>
        <v>Enter Spont End</v>
      </c>
      <c r="Y181" s="97" t="str">
        <f t="shared" si="32"/>
        <v>&gt; Spont Length</v>
      </c>
      <c r="Z181" s="97" t="str">
        <f t="shared" si="33"/>
        <v>Enter Spont End</v>
      </c>
      <c r="AA181" s="99"/>
      <c r="AB181" s="103" t="str">
        <f>IF(ISNUMBER(Cluster[[#This Row],[Bin Start (min)]]), AB180+1, Cluster[[#This Row],[Bin Start (min)]])</f>
        <v>&gt; Spont Length</v>
      </c>
      <c r="AC181" s="103" t="str">
        <f>IF(ISNUMBER(Cluster[[#This Row],[Bin End (min)]]), AC180+1, Cluster[[#This Row],[Bin End (min)]])</f>
        <v>Enter Spont End</v>
      </c>
      <c r="AD181" s="88" t="str">
        <f>IF(ISNUMBER(Cluster[[#This Row],[Bin_end]]), _xlfn.XLOOKUP(Cluster[[#This Row],[Bin_end]], ClusterCalc_2x2SD[Bin_end], ClusterCalc_2x2SD[Peak or Nadir], "fill ClusterCalc Table",1), "no bin")</f>
        <v>no bin</v>
      </c>
      <c r="AE181" s="88" t="str">
        <f>IF(ISNUMBER(Cluster[[#This Row],[Bin_end]]), _xlfn.XLOOKUP(Cluster[[#This Row],[Bin_end]], ClusterCalc_3x3SD[Bin_end], ClusterCalc_3x3SD[Peak or Nadir], "fill ClusterCalc Table",1), "no bin")</f>
        <v>no bin</v>
      </c>
      <c r="AF181" s="88" t="str">
        <f>IF(ISNUMBER(Cluster[[#This Row],[Bin_end]]), _xlfn.XLOOKUP(Cluster[[#This Row],[Bin_end]], ClusterCalc_2x2SE[Bin_end], ClusterCalc_2x2SE[Peak or Nadir], "fill ClusterCalc Table",1), "no bin")</f>
        <v>no bin</v>
      </c>
      <c r="AG181" s="88" t="str">
        <f>IF(ISNUMBER(Cluster[[#This Row],[Bin_end]]), _xlfn.XLOOKUP(Cluster[[#This Row],[Bin_end]], ClusterCalc_3x3SE[Bin_end], ClusterCalc_3x3SE[Peak or Nadir], "fill ClusterCalc Table",1), "no bin")</f>
        <v>no bin</v>
      </c>
      <c r="BV181"/>
    </row>
    <row r="182" spans="2:74" x14ac:dyDescent="0.2">
      <c r="B182" s="88" t="str">
        <f t="shared" si="24"/>
        <v>&gt; Total Length</v>
      </c>
      <c r="C182" s="88" t="str">
        <f t="shared" si="25"/>
        <v>&gt; Total Length</v>
      </c>
      <c r="D182" s="96" t="str">
        <f t="shared" si="26"/>
        <v>&gt; Total Length</v>
      </c>
      <c r="E182" s="96" t="str">
        <f t="shared" si="27"/>
        <v>&gt; Total Length</v>
      </c>
      <c r="F182" s="97" t="str">
        <f t="shared" si="28"/>
        <v>&gt; Total Length</v>
      </c>
      <c r="G182" s="97" t="str">
        <f t="shared" si="29"/>
        <v>&gt; Total Length</v>
      </c>
      <c r="H182" s="98"/>
      <c r="I182" s="99"/>
      <c r="J182" s="88" t="str">
        <f>IF(ISBLANK(FiringRate[[#This Row],[Event/bin]]), " ", FiringRate[[#This Row],[Event/bin]]/BinSize_sec)</f>
        <v xml:space="preserve"> </v>
      </c>
      <c r="K182" s="100" t="str">
        <f>IF(ISBLANK(FiringRate[[#This Row],[Conc events/bin]]), " ", FiringRate[[#This Row],[Conc events/bin]]/BinSize_sec)</f>
        <v xml:space="preserve"> </v>
      </c>
      <c r="L182" s="134"/>
      <c r="M182" s="2"/>
      <c r="N182" s="2"/>
      <c r="O182" s="2"/>
      <c r="P182" s="2"/>
      <c r="W182" s="96" t="str">
        <f t="shared" si="30"/>
        <v>&gt; Spont Length</v>
      </c>
      <c r="X182" s="96" t="str">
        <f t="shared" si="31"/>
        <v>Enter Spont End</v>
      </c>
      <c r="Y182" s="97" t="str">
        <f t="shared" si="32"/>
        <v>&gt; Spont Length</v>
      </c>
      <c r="Z182" s="97" t="str">
        <f t="shared" si="33"/>
        <v>Enter Spont End</v>
      </c>
      <c r="AA182" s="99"/>
      <c r="AB182" s="103" t="str">
        <f>IF(ISNUMBER(Cluster[[#This Row],[Bin Start (min)]]), AB181+1, Cluster[[#This Row],[Bin Start (min)]])</f>
        <v>&gt; Spont Length</v>
      </c>
      <c r="AC182" s="103" t="str">
        <f>IF(ISNUMBER(Cluster[[#This Row],[Bin End (min)]]), AC181+1, Cluster[[#This Row],[Bin End (min)]])</f>
        <v>Enter Spont End</v>
      </c>
      <c r="AD182" s="88" t="str">
        <f>IF(ISNUMBER(Cluster[[#This Row],[Bin_end]]), _xlfn.XLOOKUP(Cluster[[#This Row],[Bin_end]], ClusterCalc_2x2SD[Bin_end], ClusterCalc_2x2SD[Peak or Nadir], "fill ClusterCalc Table",1), "no bin")</f>
        <v>no bin</v>
      </c>
      <c r="AE182" s="88" t="str">
        <f>IF(ISNUMBER(Cluster[[#This Row],[Bin_end]]), _xlfn.XLOOKUP(Cluster[[#This Row],[Bin_end]], ClusterCalc_3x3SD[Bin_end], ClusterCalc_3x3SD[Peak or Nadir], "fill ClusterCalc Table",1), "no bin")</f>
        <v>no bin</v>
      </c>
      <c r="AF182" s="88" t="str">
        <f>IF(ISNUMBER(Cluster[[#This Row],[Bin_end]]), _xlfn.XLOOKUP(Cluster[[#This Row],[Bin_end]], ClusterCalc_2x2SE[Bin_end], ClusterCalc_2x2SE[Peak or Nadir], "fill ClusterCalc Table",1), "no bin")</f>
        <v>no bin</v>
      </c>
      <c r="AG182" s="88" t="str">
        <f>IF(ISNUMBER(Cluster[[#This Row],[Bin_end]]), _xlfn.XLOOKUP(Cluster[[#This Row],[Bin_end]], ClusterCalc_3x3SE[Bin_end], ClusterCalc_3x3SE[Peak or Nadir], "fill ClusterCalc Table",1), "no bin")</f>
        <v>no bin</v>
      </c>
      <c r="BV182"/>
    </row>
    <row r="183" spans="2:74" x14ac:dyDescent="0.2">
      <c r="B183" s="88" t="str">
        <f t="shared" si="24"/>
        <v>&gt; Total Length</v>
      </c>
      <c r="C183" s="88" t="str">
        <f t="shared" si="25"/>
        <v>&gt; Total Length</v>
      </c>
      <c r="D183" s="96" t="str">
        <f t="shared" si="26"/>
        <v>&gt; Total Length</v>
      </c>
      <c r="E183" s="96" t="str">
        <f t="shared" si="27"/>
        <v>&gt; Total Length</v>
      </c>
      <c r="F183" s="97" t="str">
        <f t="shared" si="28"/>
        <v>&gt; Total Length</v>
      </c>
      <c r="G183" s="97" t="str">
        <f t="shared" si="29"/>
        <v>&gt; Total Length</v>
      </c>
      <c r="H183" s="98"/>
      <c r="I183" s="99"/>
      <c r="J183" s="88" t="str">
        <f>IF(ISBLANK(FiringRate[[#This Row],[Event/bin]]), " ", FiringRate[[#This Row],[Event/bin]]/BinSize_sec)</f>
        <v xml:space="preserve"> </v>
      </c>
      <c r="K183" s="100" t="str">
        <f>IF(ISBLANK(FiringRate[[#This Row],[Conc events/bin]]), " ", FiringRate[[#This Row],[Conc events/bin]]/BinSize_sec)</f>
        <v xml:space="preserve"> </v>
      </c>
      <c r="M183" s="2"/>
      <c r="N183" s="2"/>
      <c r="O183" s="2"/>
      <c r="P183" s="2"/>
      <c r="W183" s="96" t="str">
        <f t="shared" si="30"/>
        <v>&gt; Spont Length</v>
      </c>
      <c r="X183" s="96" t="str">
        <f t="shared" si="31"/>
        <v>Enter Spont End</v>
      </c>
      <c r="Y183" s="97" t="str">
        <f t="shared" si="32"/>
        <v>&gt; Spont Length</v>
      </c>
      <c r="Z183" s="97" t="str">
        <f t="shared" si="33"/>
        <v>Enter Spont End</v>
      </c>
      <c r="AA183" s="99"/>
      <c r="AB183" s="103" t="str">
        <f>IF(ISNUMBER(Cluster[[#This Row],[Bin Start (min)]]), AB182+1, Cluster[[#This Row],[Bin Start (min)]])</f>
        <v>&gt; Spont Length</v>
      </c>
      <c r="AC183" s="103" t="str">
        <f>IF(ISNUMBER(Cluster[[#This Row],[Bin End (min)]]), AC182+1, Cluster[[#This Row],[Bin End (min)]])</f>
        <v>Enter Spont End</v>
      </c>
      <c r="AD183" s="88" t="str">
        <f>IF(ISNUMBER(Cluster[[#This Row],[Bin_end]]), _xlfn.XLOOKUP(Cluster[[#This Row],[Bin_end]], ClusterCalc_2x2SD[Bin_end], ClusterCalc_2x2SD[Peak or Nadir], "fill ClusterCalc Table",1), "no bin")</f>
        <v>no bin</v>
      </c>
      <c r="AE183" s="88" t="str">
        <f>IF(ISNUMBER(Cluster[[#This Row],[Bin_end]]), _xlfn.XLOOKUP(Cluster[[#This Row],[Bin_end]], ClusterCalc_3x3SD[Bin_end], ClusterCalc_3x3SD[Peak or Nadir], "fill ClusterCalc Table",1), "no bin")</f>
        <v>no bin</v>
      </c>
      <c r="AF183" s="88" t="str">
        <f>IF(ISNUMBER(Cluster[[#This Row],[Bin_end]]), _xlfn.XLOOKUP(Cluster[[#This Row],[Bin_end]], ClusterCalc_2x2SE[Bin_end], ClusterCalc_2x2SE[Peak or Nadir], "fill ClusterCalc Table",1), "no bin")</f>
        <v>no bin</v>
      </c>
      <c r="AG183" s="88" t="str">
        <f>IF(ISNUMBER(Cluster[[#This Row],[Bin_end]]), _xlfn.XLOOKUP(Cluster[[#This Row],[Bin_end]], ClusterCalc_3x3SE[Bin_end], ClusterCalc_3x3SE[Peak or Nadir], "fill ClusterCalc Table",1), "no bin")</f>
        <v>no bin</v>
      </c>
      <c r="BV183"/>
    </row>
    <row r="184" spans="2:74" x14ac:dyDescent="0.2">
      <c r="B184" s="88" t="str">
        <f t="shared" si="24"/>
        <v>&gt; Total Length</v>
      </c>
      <c r="C184" s="88" t="str">
        <f t="shared" si="25"/>
        <v>&gt; Total Length</v>
      </c>
      <c r="D184" s="96" t="str">
        <f t="shared" si="26"/>
        <v>&gt; Total Length</v>
      </c>
      <c r="E184" s="96" t="str">
        <f t="shared" si="27"/>
        <v>&gt; Total Length</v>
      </c>
      <c r="F184" s="97" t="str">
        <f t="shared" si="28"/>
        <v>&gt; Total Length</v>
      </c>
      <c r="G184" s="97" t="str">
        <f t="shared" si="29"/>
        <v>&gt; Total Length</v>
      </c>
      <c r="H184" s="98"/>
      <c r="I184" s="99"/>
      <c r="J184" s="88" t="str">
        <f>IF(ISBLANK(FiringRate[[#This Row],[Event/bin]]), " ", FiringRate[[#This Row],[Event/bin]]/BinSize_sec)</f>
        <v xml:space="preserve"> </v>
      </c>
      <c r="K184" s="100" t="str">
        <f>IF(ISBLANK(FiringRate[[#This Row],[Conc events/bin]]), " ", FiringRate[[#This Row],[Conc events/bin]]/BinSize_sec)</f>
        <v xml:space="preserve"> </v>
      </c>
      <c r="M184" s="2"/>
      <c r="N184" s="2"/>
      <c r="O184" s="2"/>
      <c r="P184" s="2"/>
      <c r="W184" s="96" t="str">
        <f t="shared" si="30"/>
        <v>&gt; Spont Length</v>
      </c>
      <c r="X184" s="96" t="str">
        <f t="shared" si="31"/>
        <v>Enter Spont End</v>
      </c>
      <c r="Y184" s="97" t="str">
        <f t="shared" si="32"/>
        <v>&gt; Spont Length</v>
      </c>
      <c r="Z184" s="97" t="str">
        <f t="shared" si="33"/>
        <v>Enter Spont End</v>
      </c>
      <c r="AA184" s="99"/>
      <c r="AB184" s="103" t="str">
        <f>IF(ISNUMBER(Cluster[[#This Row],[Bin Start (min)]]), AB183+1, Cluster[[#This Row],[Bin Start (min)]])</f>
        <v>&gt; Spont Length</v>
      </c>
      <c r="AC184" s="103" t="str">
        <f>IF(ISNUMBER(Cluster[[#This Row],[Bin End (min)]]), AC183+1, Cluster[[#This Row],[Bin End (min)]])</f>
        <v>Enter Spont End</v>
      </c>
      <c r="AD184" s="88" t="str">
        <f>IF(ISNUMBER(Cluster[[#This Row],[Bin_end]]), _xlfn.XLOOKUP(Cluster[[#This Row],[Bin_end]], ClusterCalc_2x2SD[Bin_end], ClusterCalc_2x2SD[Peak or Nadir], "fill ClusterCalc Table",1), "no bin")</f>
        <v>no bin</v>
      </c>
      <c r="AE184" s="88" t="str">
        <f>IF(ISNUMBER(Cluster[[#This Row],[Bin_end]]), _xlfn.XLOOKUP(Cluster[[#This Row],[Bin_end]], ClusterCalc_3x3SD[Bin_end], ClusterCalc_3x3SD[Peak or Nadir], "fill ClusterCalc Table",1), "no bin")</f>
        <v>no bin</v>
      </c>
      <c r="AF184" s="88" t="str">
        <f>IF(ISNUMBER(Cluster[[#This Row],[Bin_end]]), _xlfn.XLOOKUP(Cluster[[#This Row],[Bin_end]], ClusterCalc_2x2SE[Bin_end], ClusterCalc_2x2SE[Peak or Nadir], "fill ClusterCalc Table",1), "no bin")</f>
        <v>no bin</v>
      </c>
      <c r="AG184" s="88" t="str">
        <f>IF(ISNUMBER(Cluster[[#This Row],[Bin_end]]), _xlfn.XLOOKUP(Cluster[[#This Row],[Bin_end]], ClusterCalc_3x3SE[Bin_end], ClusterCalc_3x3SE[Peak or Nadir], "fill ClusterCalc Table",1), "no bin")</f>
        <v>no bin</v>
      </c>
      <c r="BV184"/>
    </row>
    <row r="185" spans="2:74" x14ac:dyDescent="0.2">
      <c r="B185" s="88" t="str">
        <f t="shared" si="24"/>
        <v>&gt; Total Length</v>
      </c>
      <c r="C185" s="88" t="str">
        <f t="shared" si="25"/>
        <v>&gt; Total Length</v>
      </c>
      <c r="D185" s="96" t="str">
        <f t="shared" si="26"/>
        <v>&gt; Total Length</v>
      </c>
      <c r="E185" s="96" t="str">
        <f t="shared" si="27"/>
        <v>&gt; Total Length</v>
      </c>
      <c r="F185" s="97" t="str">
        <f t="shared" si="28"/>
        <v>&gt; Total Length</v>
      </c>
      <c r="G185" s="97" t="str">
        <f t="shared" si="29"/>
        <v>&gt; Total Length</v>
      </c>
      <c r="H185" s="98"/>
      <c r="I185" s="99"/>
      <c r="J185" s="88" t="str">
        <f>IF(ISBLANK(FiringRate[[#This Row],[Event/bin]]), " ", FiringRate[[#This Row],[Event/bin]]/BinSize_sec)</f>
        <v xml:space="preserve"> </v>
      </c>
      <c r="K185" s="100" t="str">
        <f>IF(ISBLANK(FiringRate[[#This Row],[Conc events/bin]]), " ", FiringRate[[#This Row],[Conc events/bin]]/BinSize_sec)</f>
        <v xml:space="preserve"> </v>
      </c>
      <c r="M185" s="2"/>
      <c r="N185" s="2"/>
      <c r="O185" s="2"/>
      <c r="P185" s="2"/>
      <c r="W185" s="96" t="str">
        <f t="shared" si="30"/>
        <v>&gt; Spont Length</v>
      </c>
      <c r="X185" s="96" t="str">
        <f t="shared" si="31"/>
        <v>Enter Spont End</v>
      </c>
      <c r="Y185" s="97" t="str">
        <f t="shared" si="32"/>
        <v>&gt; Spont Length</v>
      </c>
      <c r="Z185" s="97" t="str">
        <f t="shared" si="33"/>
        <v>Enter Spont End</v>
      </c>
      <c r="AA185" s="99"/>
      <c r="AB185" s="103" t="str">
        <f>IF(ISNUMBER(Cluster[[#This Row],[Bin Start (min)]]), AB184+1, Cluster[[#This Row],[Bin Start (min)]])</f>
        <v>&gt; Spont Length</v>
      </c>
      <c r="AC185" s="103" t="str">
        <f>IF(ISNUMBER(Cluster[[#This Row],[Bin End (min)]]), AC184+1, Cluster[[#This Row],[Bin End (min)]])</f>
        <v>Enter Spont End</v>
      </c>
      <c r="AD185" s="88" t="str">
        <f>IF(ISNUMBER(Cluster[[#This Row],[Bin_end]]), _xlfn.XLOOKUP(Cluster[[#This Row],[Bin_end]], ClusterCalc_2x2SD[Bin_end], ClusterCalc_2x2SD[Peak or Nadir], "fill ClusterCalc Table",1), "no bin")</f>
        <v>no bin</v>
      </c>
      <c r="AE185" s="88" t="str">
        <f>IF(ISNUMBER(Cluster[[#This Row],[Bin_end]]), _xlfn.XLOOKUP(Cluster[[#This Row],[Bin_end]], ClusterCalc_3x3SD[Bin_end], ClusterCalc_3x3SD[Peak or Nadir], "fill ClusterCalc Table",1), "no bin")</f>
        <v>no bin</v>
      </c>
      <c r="AF185" s="88" t="str">
        <f>IF(ISNUMBER(Cluster[[#This Row],[Bin_end]]), _xlfn.XLOOKUP(Cluster[[#This Row],[Bin_end]], ClusterCalc_2x2SE[Bin_end], ClusterCalc_2x2SE[Peak or Nadir], "fill ClusterCalc Table",1), "no bin")</f>
        <v>no bin</v>
      </c>
      <c r="AG185" s="88" t="str">
        <f>IF(ISNUMBER(Cluster[[#This Row],[Bin_end]]), _xlfn.XLOOKUP(Cluster[[#This Row],[Bin_end]], ClusterCalc_3x3SE[Bin_end], ClusterCalc_3x3SE[Peak or Nadir], "fill ClusterCalc Table",1), "no bin")</f>
        <v>no bin</v>
      </c>
      <c r="BV185"/>
    </row>
    <row r="186" spans="2:74" x14ac:dyDescent="0.2">
      <c r="B186" s="88" t="str">
        <f t="shared" si="24"/>
        <v>&gt; Total Length</v>
      </c>
      <c r="C186" s="88" t="str">
        <f t="shared" si="25"/>
        <v>&gt; Total Length</v>
      </c>
      <c r="D186" s="96" t="str">
        <f t="shared" si="26"/>
        <v>&gt; Total Length</v>
      </c>
      <c r="E186" s="96" t="str">
        <f t="shared" si="27"/>
        <v>&gt; Total Length</v>
      </c>
      <c r="F186" s="97" t="str">
        <f t="shared" si="28"/>
        <v>&gt; Total Length</v>
      </c>
      <c r="G186" s="97" t="str">
        <f t="shared" si="29"/>
        <v>&gt; Total Length</v>
      </c>
      <c r="H186" s="98"/>
      <c r="I186" s="99"/>
      <c r="J186" s="88" t="str">
        <f>IF(ISBLANK(FiringRate[[#This Row],[Event/bin]]), " ", FiringRate[[#This Row],[Event/bin]]/BinSize_sec)</f>
        <v xml:space="preserve"> </v>
      </c>
      <c r="K186" s="100" t="str">
        <f>IF(ISBLANK(FiringRate[[#This Row],[Conc events/bin]]), " ", FiringRate[[#This Row],[Conc events/bin]]/BinSize_sec)</f>
        <v xml:space="preserve"> </v>
      </c>
      <c r="M186" s="2"/>
      <c r="N186" s="2"/>
      <c r="O186" s="2"/>
      <c r="P186" s="2"/>
      <c r="W186" s="96" t="str">
        <f t="shared" si="30"/>
        <v>&gt; Spont Length</v>
      </c>
      <c r="X186" s="96" t="str">
        <f t="shared" si="31"/>
        <v>Enter Spont End</v>
      </c>
      <c r="Y186" s="97" t="str">
        <f t="shared" si="32"/>
        <v>&gt; Spont Length</v>
      </c>
      <c r="Z186" s="97" t="str">
        <f t="shared" si="33"/>
        <v>Enter Spont End</v>
      </c>
      <c r="AA186" s="99"/>
      <c r="AB186" s="103" t="str">
        <f>IF(ISNUMBER(Cluster[[#This Row],[Bin Start (min)]]), AB185+1, Cluster[[#This Row],[Bin Start (min)]])</f>
        <v>&gt; Spont Length</v>
      </c>
      <c r="AC186" s="103" t="str">
        <f>IF(ISNUMBER(Cluster[[#This Row],[Bin End (min)]]), AC185+1, Cluster[[#This Row],[Bin End (min)]])</f>
        <v>Enter Spont End</v>
      </c>
      <c r="AD186" s="88" t="str">
        <f>IF(ISNUMBER(Cluster[[#This Row],[Bin_end]]), _xlfn.XLOOKUP(Cluster[[#This Row],[Bin_end]], ClusterCalc_2x2SD[Bin_end], ClusterCalc_2x2SD[Peak or Nadir], "fill ClusterCalc Table",1), "no bin")</f>
        <v>no bin</v>
      </c>
      <c r="AE186" s="88" t="str">
        <f>IF(ISNUMBER(Cluster[[#This Row],[Bin_end]]), _xlfn.XLOOKUP(Cluster[[#This Row],[Bin_end]], ClusterCalc_3x3SD[Bin_end], ClusterCalc_3x3SD[Peak or Nadir], "fill ClusterCalc Table",1), "no bin")</f>
        <v>no bin</v>
      </c>
      <c r="AF186" s="88" t="str">
        <f>IF(ISNUMBER(Cluster[[#This Row],[Bin_end]]), _xlfn.XLOOKUP(Cluster[[#This Row],[Bin_end]], ClusterCalc_2x2SE[Bin_end], ClusterCalc_2x2SE[Peak or Nadir], "fill ClusterCalc Table",1), "no bin")</f>
        <v>no bin</v>
      </c>
      <c r="AG186" s="88" t="str">
        <f>IF(ISNUMBER(Cluster[[#This Row],[Bin_end]]), _xlfn.XLOOKUP(Cluster[[#This Row],[Bin_end]], ClusterCalc_3x3SE[Bin_end], ClusterCalc_3x3SE[Peak or Nadir], "fill ClusterCalc Table",1), "no bin")</f>
        <v>no bin</v>
      </c>
      <c r="BV186"/>
    </row>
    <row r="187" spans="2:74" x14ac:dyDescent="0.2">
      <c r="B187" s="88" t="str">
        <f t="shared" si="24"/>
        <v>&gt; Total Length</v>
      </c>
      <c r="C187" s="88" t="str">
        <f t="shared" si="25"/>
        <v>&gt; Total Length</v>
      </c>
      <c r="D187" s="96" t="str">
        <f t="shared" si="26"/>
        <v>&gt; Total Length</v>
      </c>
      <c r="E187" s="96" t="str">
        <f t="shared" si="27"/>
        <v>&gt; Total Length</v>
      </c>
      <c r="F187" s="97" t="str">
        <f t="shared" si="28"/>
        <v>&gt; Total Length</v>
      </c>
      <c r="G187" s="97" t="str">
        <f t="shared" si="29"/>
        <v>&gt; Total Length</v>
      </c>
      <c r="H187" s="98"/>
      <c r="I187" s="99"/>
      <c r="J187" s="88" t="str">
        <f>IF(ISBLANK(FiringRate[[#This Row],[Event/bin]]), " ", FiringRate[[#This Row],[Event/bin]]/BinSize_sec)</f>
        <v xml:space="preserve"> </v>
      </c>
      <c r="K187" s="100" t="str">
        <f>IF(ISBLANK(FiringRate[[#This Row],[Conc events/bin]]), " ", FiringRate[[#This Row],[Conc events/bin]]/BinSize_sec)</f>
        <v xml:space="preserve"> </v>
      </c>
      <c r="M187" s="2"/>
      <c r="N187" s="2"/>
      <c r="O187" s="2"/>
      <c r="P187" s="2"/>
      <c r="W187" s="96" t="str">
        <f t="shared" si="30"/>
        <v>&gt; Spont Length</v>
      </c>
      <c r="X187" s="96" t="str">
        <f t="shared" si="31"/>
        <v>Enter Spont End</v>
      </c>
      <c r="Y187" s="97" t="str">
        <f t="shared" si="32"/>
        <v>&gt; Spont Length</v>
      </c>
      <c r="Z187" s="97" t="str">
        <f t="shared" si="33"/>
        <v>Enter Spont End</v>
      </c>
      <c r="AA187" s="99"/>
      <c r="AB187" s="103" t="str">
        <f>IF(ISNUMBER(Cluster[[#This Row],[Bin Start (min)]]), AB186+1, Cluster[[#This Row],[Bin Start (min)]])</f>
        <v>&gt; Spont Length</v>
      </c>
      <c r="AC187" s="103" t="str">
        <f>IF(ISNUMBER(Cluster[[#This Row],[Bin End (min)]]), AC186+1, Cluster[[#This Row],[Bin End (min)]])</f>
        <v>Enter Spont End</v>
      </c>
      <c r="AD187" s="88" t="str">
        <f>IF(ISNUMBER(Cluster[[#This Row],[Bin_end]]), _xlfn.XLOOKUP(Cluster[[#This Row],[Bin_end]], ClusterCalc_2x2SD[Bin_end], ClusterCalc_2x2SD[Peak or Nadir], "fill ClusterCalc Table",1), "no bin")</f>
        <v>no bin</v>
      </c>
      <c r="AE187" s="88" t="str">
        <f>IF(ISNUMBER(Cluster[[#This Row],[Bin_end]]), _xlfn.XLOOKUP(Cluster[[#This Row],[Bin_end]], ClusterCalc_3x3SD[Bin_end], ClusterCalc_3x3SD[Peak or Nadir], "fill ClusterCalc Table",1), "no bin")</f>
        <v>no bin</v>
      </c>
      <c r="AF187" s="88" t="str">
        <f>IF(ISNUMBER(Cluster[[#This Row],[Bin_end]]), _xlfn.XLOOKUP(Cluster[[#This Row],[Bin_end]], ClusterCalc_2x2SE[Bin_end], ClusterCalc_2x2SE[Peak or Nadir], "fill ClusterCalc Table",1), "no bin")</f>
        <v>no bin</v>
      </c>
      <c r="AG187" s="88" t="str">
        <f>IF(ISNUMBER(Cluster[[#This Row],[Bin_end]]), _xlfn.XLOOKUP(Cluster[[#This Row],[Bin_end]], ClusterCalc_3x3SE[Bin_end], ClusterCalc_3x3SE[Peak or Nadir], "fill ClusterCalc Table",1), "no bin")</f>
        <v>no bin</v>
      </c>
      <c r="BV187"/>
    </row>
    <row r="188" spans="2:74" x14ac:dyDescent="0.2">
      <c r="B188" s="88" t="str">
        <f t="shared" si="24"/>
        <v>&gt; Total Length</v>
      </c>
      <c r="C188" s="88" t="str">
        <f t="shared" si="25"/>
        <v>&gt; Total Length</v>
      </c>
      <c r="D188" s="96" t="str">
        <f t="shared" si="26"/>
        <v>&gt; Total Length</v>
      </c>
      <c r="E188" s="96" t="str">
        <f t="shared" si="27"/>
        <v>&gt; Total Length</v>
      </c>
      <c r="F188" s="97" t="str">
        <f t="shared" si="28"/>
        <v>&gt; Total Length</v>
      </c>
      <c r="G188" s="97" t="str">
        <f t="shared" si="29"/>
        <v>&gt; Total Length</v>
      </c>
      <c r="H188" s="98"/>
      <c r="I188" s="99"/>
      <c r="J188" s="88" t="str">
        <f>IF(ISBLANK(FiringRate[[#This Row],[Event/bin]]), " ", FiringRate[[#This Row],[Event/bin]]/BinSize_sec)</f>
        <v xml:space="preserve"> </v>
      </c>
      <c r="K188" s="100" t="str">
        <f>IF(ISBLANK(FiringRate[[#This Row],[Conc events/bin]]), " ", FiringRate[[#This Row],[Conc events/bin]]/BinSize_sec)</f>
        <v xml:space="preserve"> </v>
      </c>
      <c r="M188" s="2"/>
      <c r="N188" s="2"/>
      <c r="O188" s="2"/>
      <c r="P188" s="2"/>
      <c r="W188" s="96" t="str">
        <f t="shared" si="30"/>
        <v>&gt; Spont Length</v>
      </c>
      <c r="X188" s="96" t="str">
        <f t="shared" si="31"/>
        <v>Enter Spont End</v>
      </c>
      <c r="Y188" s="97" t="str">
        <f t="shared" si="32"/>
        <v>&gt; Spont Length</v>
      </c>
      <c r="Z188" s="97" t="str">
        <f t="shared" si="33"/>
        <v>Enter Spont End</v>
      </c>
      <c r="AA188" s="99"/>
      <c r="AB188" s="103" t="str">
        <f>IF(ISNUMBER(Cluster[[#This Row],[Bin Start (min)]]), AB187+1, Cluster[[#This Row],[Bin Start (min)]])</f>
        <v>&gt; Spont Length</v>
      </c>
      <c r="AC188" s="103" t="str">
        <f>IF(ISNUMBER(Cluster[[#This Row],[Bin End (min)]]), AC187+1, Cluster[[#This Row],[Bin End (min)]])</f>
        <v>Enter Spont End</v>
      </c>
      <c r="AD188" s="88" t="str">
        <f>IF(ISNUMBER(Cluster[[#This Row],[Bin_end]]), _xlfn.XLOOKUP(Cluster[[#This Row],[Bin_end]], ClusterCalc_2x2SD[Bin_end], ClusterCalc_2x2SD[Peak or Nadir], "fill ClusterCalc Table",1), "no bin")</f>
        <v>no bin</v>
      </c>
      <c r="AE188" s="88" t="str">
        <f>IF(ISNUMBER(Cluster[[#This Row],[Bin_end]]), _xlfn.XLOOKUP(Cluster[[#This Row],[Bin_end]], ClusterCalc_3x3SD[Bin_end], ClusterCalc_3x3SD[Peak or Nadir], "fill ClusterCalc Table",1), "no bin")</f>
        <v>no bin</v>
      </c>
      <c r="AF188" s="88" t="str">
        <f>IF(ISNUMBER(Cluster[[#This Row],[Bin_end]]), _xlfn.XLOOKUP(Cluster[[#This Row],[Bin_end]], ClusterCalc_2x2SE[Bin_end], ClusterCalc_2x2SE[Peak or Nadir], "fill ClusterCalc Table",1), "no bin")</f>
        <v>no bin</v>
      </c>
      <c r="AG188" s="88" t="str">
        <f>IF(ISNUMBER(Cluster[[#This Row],[Bin_end]]), _xlfn.XLOOKUP(Cluster[[#This Row],[Bin_end]], ClusterCalc_3x3SE[Bin_end], ClusterCalc_3x3SE[Peak or Nadir], "fill ClusterCalc Table",1), "no bin")</f>
        <v>no bin</v>
      </c>
      <c r="BV188"/>
    </row>
    <row r="189" spans="2:74" x14ac:dyDescent="0.2">
      <c r="B189" s="88" t="str">
        <f t="shared" si="24"/>
        <v>&gt; Total Length</v>
      </c>
      <c r="C189" s="88" t="str">
        <f t="shared" si="25"/>
        <v>&gt; Total Length</v>
      </c>
      <c r="D189" s="96" t="str">
        <f t="shared" si="26"/>
        <v>&gt; Total Length</v>
      </c>
      <c r="E189" s="96" t="str">
        <f t="shared" si="27"/>
        <v>&gt; Total Length</v>
      </c>
      <c r="F189" s="97" t="str">
        <f t="shared" si="28"/>
        <v>&gt; Total Length</v>
      </c>
      <c r="G189" s="97" t="str">
        <f t="shared" si="29"/>
        <v>&gt; Total Length</v>
      </c>
      <c r="H189" s="98"/>
      <c r="I189" s="99"/>
      <c r="J189" s="88" t="str">
        <f>IF(ISBLANK(FiringRate[[#This Row],[Event/bin]]), " ", FiringRate[[#This Row],[Event/bin]]/BinSize_sec)</f>
        <v xml:space="preserve"> </v>
      </c>
      <c r="K189" s="100" t="str">
        <f>IF(ISBLANK(FiringRate[[#This Row],[Conc events/bin]]), " ", FiringRate[[#This Row],[Conc events/bin]]/BinSize_sec)</f>
        <v xml:space="preserve"> </v>
      </c>
      <c r="M189" s="2"/>
      <c r="N189" s="2"/>
      <c r="O189" s="2"/>
      <c r="P189" s="2"/>
      <c r="W189" s="96" t="str">
        <f t="shared" si="30"/>
        <v>&gt; Spont Length</v>
      </c>
      <c r="X189" s="96" t="str">
        <f t="shared" si="31"/>
        <v>Enter Spont End</v>
      </c>
      <c r="Y189" s="97" t="str">
        <f t="shared" si="32"/>
        <v>&gt; Spont Length</v>
      </c>
      <c r="Z189" s="97" t="str">
        <f t="shared" si="33"/>
        <v>Enter Spont End</v>
      </c>
      <c r="AA189" s="99"/>
      <c r="AB189" s="103" t="str">
        <f>IF(ISNUMBER(Cluster[[#This Row],[Bin Start (min)]]), AB188+1, Cluster[[#This Row],[Bin Start (min)]])</f>
        <v>&gt; Spont Length</v>
      </c>
      <c r="AC189" s="103" t="str">
        <f>IF(ISNUMBER(Cluster[[#This Row],[Bin End (min)]]), AC188+1, Cluster[[#This Row],[Bin End (min)]])</f>
        <v>Enter Spont End</v>
      </c>
      <c r="AD189" s="88" t="str">
        <f>IF(ISNUMBER(Cluster[[#This Row],[Bin_end]]), _xlfn.XLOOKUP(Cluster[[#This Row],[Bin_end]], ClusterCalc_2x2SD[Bin_end], ClusterCalc_2x2SD[Peak or Nadir], "fill ClusterCalc Table",1), "no bin")</f>
        <v>no bin</v>
      </c>
      <c r="AE189" s="88" t="str">
        <f>IF(ISNUMBER(Cluster[[#This Row],[Bin_end]]), _xlfn.XLOOKUP(Cluster[[#This Row],[Bin_end]], ClusterCalc_3x3SD[Bin_end], ClusterCalc_3x3SD[Peak or Nadir], "fill ClusterCalc Table",1), "no bin")</f>
        <v>no bin</v>
      </c>
      <c r="AF189" s="88" t="str">
        <f>IF(ISNUMBER(Cluster[[#This Row],[Bin_end]]), _xlfn.XLOOKUP(Cluster[[#This Row],[Bin_end]], ClusterCalc_2x2SE[Bin_end], ClusterCalc_2x2SE[Peak or Nadir], "fill ClusterCalc Table",1), "no bin")</f>
        <v>no bin</v>
      </c>
      <c r="AG189" s="88" t="str">
        <f>IF(ISNUMBER(Cluster[[#This Row],[Bin_end]]), _xlfn.XLOOKUP(Cluster[[#This Row],[Bin_end]], ClusterCalc_3x3SE[Bin_end], ClusterCalc_3x3SE[Peak or Nadir], "fill ClusterCalc Table",1), "no bin")</f>
        <v>no bin</v>
      </c>
      <c r="BV189"/>
    </row>
    <row r="190" spans="2:74" x14ac:dyDescent="0.2">
      <c r="B190" s="88" t="str">
        <f t="shared" si="24"/>
        <v>&gt; Total Length</v>
      </c>
      <c r="C190" s="88" t="str">
        <f t="shared" si="25"/>
        <v>&gt; Total Length</v>
      </c>
      <c r="D190" s="96" t="str">
        <f t="shared" si="26"/>
        <v>&gt; Total Length</v>
      </c>
      <c r="E190" s="96" t="str">
        <f t="shared" si="27"/>
        <v>&gt; Total Length</v>
      </c>
      <c r="F190" s="97" t="str">
        <f t="shared" si="28"/>
        <v>&gt; Total Length</v>
      </c>
      <c r="G190" s="97" t="str">
        <f t="shared" si="29"/>
        <v>&gt; Total Length</v>
      </c>
      <c r="H190" s="98"/>
      <c r="I190" s="99"/>
      <c r="J190" s="88" t="str">
        <f>IF(ISBLANK(FiringRate[[#This Row],[Event/bin]]), " ", FiringRate[[#This Row],[Event/bin]]/BinSize_sec)</f>
        <v xml:space="preserve"> </v>
      </c>
      <c r="K190" s="100" t="str">
        <f>IF(ISBLANK(FiringRate[[#This Row],[Conc events/bin]]), " ", FiringRate[[#This Row],[Conc events/bin]]/BinSize_sec)</f>
        <v xml:space="preserve"> </v>
      </c>
      <c r="M190" s="2"/>
      <c r="N190" s="2"/>
      <c r="O190" s="2"/>
      <c r="P190" s="2"/>
      <c r="W190" s="96" t="str">
        <f t="shared" si="30"/>
        <v>&gt; Spont Length</v>
      </c>
      <c r="X190" s="96" t="str">
        <f t="shared" si="31"/>
        <v>Enter Spont End</v>
      </c>
      <c r="Y190" s="97" t="str">
        <f t="shared" si="32"/>
        <v>&gt; Spont Length</v>
      </c>
      <c r="Z190" s="97" t="str">
        <f t="shared" si="33"/>
        <v>Enter Spont End</v>
      </c>
      <c r="AA190" s="99"/>
      <c r="AB190" s="103" t="str">
        <f>IF(ISNUMBER(Cluster[[#This Row],[Bin Start (min)]]), AB189+1, Cluster[[#This Row],[Bin Start (min)]])</f>
        <v>&gt; Spont Length</v>
      </c>
      <c r="AC190" s="103" t="str">
        <f>IF(ISNUMBER(Cluster[[#This Row],[Bin End (min)]]), AC189+1, Cluster[[#This Row],[Bin End (min)]])</f>
        <v>Enter Spont End</v>
      </c>
      <c r="AD190" s="88" t="str">
        <f>IF(ISNUMBER(Cluster[[#This Row],[Bin_end]]), _xlfn.XLOOKUP(Cluster[[#This Row],[Bin_end]], ClusterCalc_2x2SD[Bin_end], ClusterCalc_2x2SD[Peak or Nadir], "fill ClusterCalc Table",1), "no bin")</f>
        <v>no bin</v>
      </c>
      <c r="AE190" s="88" t="str">
        <f>IF(ISNUMBER(Cluster[[#This Row],[Bin_end]]), _xlfn.XLOOKUP(Cluster[[#This Row],[Bin_end]], ClusterCalc_3x3SD[Bin_end], ClusterCalc_3x3SD[Peak or Nadir], "fill ClusterCalc Table",1), "no bin")</f>
        <v>no bin</v>
      </c>
      <c r="AF190" s="88" t="str">
        <f>IF(ISNUMBER(Cluster[[#This Row],[Bin_end]]), _xlfn.XLOOKUP(Cluster[[#This Row],[Bin_end]], ClusterCalc_2x2SE[Bin_end], ClusterCalc_2x2SE[Peak or Nadir], "fill ClusterCalc Table",1), "no bin")</f>
        <v>no bin</v>
      </c>
      <c r="AG190" s="88" t="str">
        <f>IF(ISNUMBER(Cluster[[#This Row],[Bin_end]]), _xlfn.XLOOKUP(Cluster[[#This Row],[Bin_end]], ClusterCalc_3x3SE[Bin_end], ClusterCalc_3x3SE[Peak or Nadir], "fill ClusterCalc Table",1), "no bin")</f>
        <v>no bin</v>
      </c>
      <c r="BV190"/>
    </row>
    <row r="191" spans="2:74" x14ac:dyDescent="0.2">
      <c r="B191" s="88" t="str">
        <f t="shared" si="24"/>
        <v>&gt; Total Length</v>
      </c>
      <c r="C191" s="88" t="str">
        <f t="shared" si="25"/>
        <v>&gt; Total Length</v>
      </c>
      <c r="D191" s="96" t="str">
        <f t="shared" si="26"/>
        <v>&gt; Total Length</v>
      </c>
      <c r="E191" s="96" t="str">
        <f t="shared" si="27"/>
        <v>&gt; Total Length</v>
      </c>
      <c r="F191" s="97" t="str">
        <f t="shared" si="28"/>
        <v>&gt; Total Length</v>
      </c>
      <c r="G191" s="97" t="str">
        <f t="shared" si="29"/>
        <v>&gt; Total Length</v>
      </c>
      <c r="H191" s="98"/>
      <c r="I191" s="99"/>
      <c r="J191" s="88" t="str">
        <f>IF(ISBLANK(FiringRate[[#This Row],[Event/bin]]), " ", FiringRate[[#This Row],[Event/bin]]/BinSize_sec)</f>
        <v xml:space="preserve"> </v>
      </c>
      <c r="K191" s="100" t="str">
        <f>IF(ISBLANK(FiringRate[[#This Row],[Conc events/bin]]), " ", FiringRate[[#This Row],[Conc events/bin]]/BinSize_sec)</f>
        <v xml:space="preserve"> </v>
      </c>
      <c r="M191" s="2"/>
      <c r="N191" s="2"/>
      <c r="O191" s="2"/>
      <c r="P191" s="2"/>
      <c r="W191" s="96" t="str">
        <f t="shared" si="30"/>
        <v>&gt; Spont Length</v>
      </c>
      <c r="X191" s="96" t="str">
        <f t="shared" si="31"/>
        <v>Enter Spont End</v>
      </c>
      <c r="Y191" s="97" t="str">
        <f t="shared" si="32"/>
        <v>&gt; Spont Length</v>
      </c>
      <c r="Z191" s="97" t="str">
        <f t="shared" si="33"/>
        <v>Enter Spont End</v>
      </c>
      <c r="AA191" s="99"/>
      <c r="AB191" s="103" t="str">
        <f>IF(ISNUMBER(Cluster[[#This Row],[Bin Start (min)]]), AB190+1, Cluster[[#This Row],[Bin Start (min)]])</f>
        <v>&gt; Spont Length</v>
      </c>
      <c r="AC191" s="103" t="str">
        <f>IF(ISNUMBER(Cluster[[#This Row],[Bin End (min)]]), AC190+1, Cluster[[#This Row],[Bin End (min)]])</f>
        <v>Enter Spont End</v>
      </c>
      <c r="AD191" s="88" t="str">
        <f>IF(ISNUMBER(Cluster[[#This Row],[Bin_end]]), _xlfn.XLOOKUP(Cluster[[#This Row],[Bin_end]], ClusterCalc_2x2SD[Bin_end], ClusterCalc_2x2SD[Peak or Nadir], "fill ClusterCalc Table",1), "no bin")</f>
        <v>no bin</v>
      </c>
      <c r="AE191" s="88" t="str">
        <f>IF(ISNUMBER(Cluster[[#This Row],[Bin_end]]), _xlfn.XLOOKUP(Cluster[[#This Row],[Bin_end]], ClusterCalc_3x3SD[Bin_end], ClusterCalc_3x3SD[Peak or Nadir], "fill ClusterCalc Table",1), "no bin")</f>
        <v>no bin</v>
      </c>
      <c r="AF191" s="88" t="str">
        <f>IF(ISNUMBER(Cluster[[#This Row],[Bin_end]]), _xlfn.XLOOKUP(Cluster[[#This Row],[Bin_end]], ClusterCalc_2x2SE[Bin_end], ClusterCalc_2x2SE[Peak or Nadir], "fill ClusterCalc Table",1), "no bin")</f>
        <v>no bin</v>
      </c>
      <c r="AG191" s="88" t="str">
        <f>IF(ISNUMBER(Cluster[[#This Row],[Bin_end]]), _xlfn.XLOOKUP(Cluster[[#This Row],[Bin_end]], ClusterCalc_3x3SE[Bin_end], ClusterCalc_3x3SE[Peak or Nadir], "fill ClusterCalc Table",1), "no bin")</f>
        <v>no bin</v>
      </c>
      <c r="BV191"/>
    </row>
    <row r="192" spans="2:74" x14ac:dyDescent="0.2">
      <c r="B192" s="88" t="str">
        <f t="shared" si="24"/>
        <v>&gt; Total Length</v>
      </c>
      <c r="C192" s="88" t="str">
        <f t="shared" si="25"/>
        <v>&gt; Total Length</v>
      </c>
      <c r="D192" s="96" t="str">
        <f t="shared" si="26"/>
        <v>&gt; Total Length</v>
      </c>
      <c r="E192" s="96" t="str">
        <f t="shared" si="27"/>
        <v>&gt; Total Length</v>
      </c>
      <c r="F192" s="97" t="str">
        <f t="shared" si="28"/>
        <v>&gt; Total Length</v>
      </c>
      <c r="G192" s="97" t="str">
        <f t="shared" si="29"/>
        <v>&gt; Total Length</v>
      </c>
      <c r="H192" s="98"/>
      <c r="I192" s="99"/>
      <c r="J192" s="88" t="str">
        <f>IF(ISBLANK(FiringRate[[#This Row],[Event/bin]]), " ", FiringRate[[#This Row],[Event/bin]]/BinSize_sec)</f>
        <v xml:space="preserve"> </v>
      </c>
      <c r="K192" s="100" t="str">
        <f>IF(ISBLANK(FiringRate[[#This Row],[Conc events/bin]]), " ", FiringRate[[#This Row],[Conc events/bin]]/BinSize_sec)</f>
        <v xml:space="preserve"> </v>
      </c>
      <c r="M192" s="2"/>
      <c r="N192" s="2"/>
      <c r="O192" s="2"/>
      <c r="P192" s="2"/>
      <c r="W192" s="96" t="str">
        <f t="shared" si="30"/>
        <v>&gt; Spont Length</v>
      </c>
      <c r="X192" s="96" t="str">
        <f t="shared" si="31"/>
        <v>Enter Spont End</v>
      </c>
      <c r="Y192" s="97" t="str">
        <f t="shared" si="32"/>
        <v>&gt; Spont Length</v>
      </c>
      <c r="Z192" s="97" t="str">
        <f t="shared" si="33"/>
        <v>Enter Spont End</v>
      </c>
      <c r="AA192" s="99"/>
      <c r="AB192" s="103" t="str">
        <f>IF(ISNUMBER(Cluster[[#This Row],[Bin Start (min)]]), AB191+1, Cluster[[#This Row],[Bin Start (min)]])</f>
        <v>&gt; Spont Length</v>
      </c>
      <c r="AC192" s="103" t="str">
        <f>IF(ISNUMBER(Cluster[[#This Row],[Bin End (min)]]), AC191+1, Cluster[[#This Row],[Bin End (min)]])</f>
        <v>Enter Spont End</v>
      </c>
      <c r="AD192" s="88" t="str">
        <f>IF(ISNUMBER(Cluster[[#This Row],[Bin_end]]), _xlfn.XLOOKUP(Cluster[[#This Row],[Bin_end]], ClusterCalc_2x2SD[Bin_end], ClusterCalc_2x2SD[Peak or Nadir], "fill ClusterCalc Table",1), "no bin")</f>
        <v>no bin</v>
      </c>
      <c r="AE192" s="88" t="str">
        <f>IF(ISNUMBER(Cluster[[#This Row],[Bin_end]]), _xlfn.XLOOKUP(Cluster[[#This Row],[Bin_end]], ClusterCalc_3x3SD[Bin_end], ClusterCalc_3x3SD[Peak or Nadir], "fill ClusterCalc Table",1), "no bin")</f>
        <v>no bin</v>
      </c>
      <c r="AF192" s="88" t="str">
        <f>IF(ISNUMBER(Cluster[[#This Row],[Bin_end]]), _xlfn.XLOOKUP(Cluster[[#This Row],[Bin_end]], ClusterCalc_2x2SE[Bin_end], ClusterCalc_2x2SE[Peak or Nadir], "fill ClusterCalc Table",1), "no bin")</f>
        <v>no bin</v>
      </c>
      <c r="AG192" s="88" t="str">
        <f>IF(ISNUMBER(Cluster[[#This Row],[Bin_end]]), _xlfn.XLOOKUP(Cluster[[#This Row],[Bin_end]], ClusterCalc_3x3SE[Bin_end], ClusterCalc_3x3SE[Peak or Nadir], "fill ClusterCalc Table",1), "no bin")</f>
        <v>no bin</v>
      </c>
      <c r="BV192"/>
    </row>
    <row r="193" spans="2:74" x14ac:dyDescent="0.2">
      <c r="B193" s="88" t="str">
        <f t="shared" si="24"/>
        <v>&gt; Total Length</v>
      </c>
      <c r="C193" s="88" t="str">
        <f t="shared" si="25"/>
        <v>&gt; Total Length</v>
      </c>
      <c r="D193" s="96" t="str">
        <f t="shared" si="26"/>
        <v>&gt; Total Length</v>
      </c>
      <c r="E193" s="96" t="str">
        <f t="shared" si="27"/>
        <v>&gt; Total Length</v>
      </c>
      <c r="F193" s="97" t="str">
        <f t="shared" si="28"/>
        <v>&gt; Total Length</v>
      </c>
      <c r="G193" s="97" t="str">
        <f t="shared" si="29"/>
        <v>&gt; Total Length</v>
      </c>
      <c r="H193" s="98"/>
      <c r="I193" s="99"/>
      <c r="J193" s="88" t="str">
        <f>IF(ISBLANK(FiringRate[[#This Row],[Event/bin]]), " ", FiringRate[[#This Row],[Event/bin]]/BinSize_sec)</f>
        <v xml:space="preserve"> </v>
      </c>
      <c r="K193" s="100" t="str">
        <f>IF(ISBLANK(FiringRate[[#This Row],[Conc events/bin]]), " ", FiringRate[[#This Row],[Conc events/bin]]/BinSize_sec)</f>
        <v xml:space="preserve"> </v>
      </c>
      <c r="M193" s="2"/>
      <c r="N193" s="2"/>
      <c r="O193" s="2"/>
      <c r="P193" s="2"/>
      <c r="W193" s="96" t="str">
        <f t="shared" si="30"/>
        <v>&gt; Spont Length</v>
      </c>
      <c r="X193" s="96" t="str">
        <f t="shared" si="31"/>
        <v>Enter Spont End</v>
      </c>
      <c r="Y193" s="97" t="str">
        <f t="shared" si="32"/>
        <v>&gt; Spont Length</v>
      </c>
      <c r="Z193" s="97" t="str">
        <f t="shared" si="33"/>
        <v>Enter Spont End</v>
      </c>
      <c r="AA193" s="99"/>
      <c r="AB193" s="103" t="str">
        <f>IF(ISNUMBER(Cluster[[#This Row],[Bin Start (min)]]), AB192+1, Cluster[[#This Row],[Bin Start (min)]])</f>
        <v>&gt; Spont Length</v>
      </c>
      <c r="AC193" s="103" t="str">
        <f>IF(ISNUMBER(Cluster[[#This Row],[Bin End (min)]]), AC192+1, Cluster[[#This Row],[Bin End (min)]])</f>
        <v>Enter Spont End</v>
      </c>
      <c r="AD193" s="88" t="str">
        <f>IF(ISNUMBER(Cluster[[#This Row],[Bin_end]]), _xlfn.XLOOKUP(Cluster[[#This Row],[Bin_end]], ClusterCalc_2x2SD[Bin_end], ClusterCalc_2x2SD[Peak or Nadir], "fill ClusterCalc Table",1), "no bin")</f>
        <v>no bin</v>
      </c>
      <c r="AE193" s="88" t="str">
        <f>IF(ISNUMBER(Cluster[[#This Row],[Bin_end]]), _xlfn.XLOOKUP(Cluster[[#This Row],[Bin_end]], ClusterCalc_3x3SD[Bin_end], ClusterCalc_3x3SD[Peak or Nadir], "fill ClusterCalc Table",1), "no bin")</f>
        <v>no bin</v>
      </c>
      <c r="AF193" s="88" t="str">
        <f>IF(ISNUMBER(Cluster[[#This Row],[Bin_end]]), _xlfn.XLOOKUP(Cluster[[#This Row],[Bin_end]], ClusterCalc_2x2SE[Bin_end], ClusterCalc_2x2SE[Peak or Nadir], "fill ClusterCalc Table",1), "no bin")</f>
        <v>no bin</v>
      </c>
      <c r="AG193" s="88" t="str">
        <f>IF(ISNUMBER(Cluster[[#This Row],[Bin_end]]), _xlfn.XLOOKUP(Cluster[[#This Row],[Bin_end]], ClusterCalc_3x3SE[Bin_end], ClusterCalc_3x3SE[Peak or Nadir], "fill ClusterCalc Table",1), "no bin")</f>
        <v>no bin</v>
      </c>
      <c r="BV193"/>
    </row>
    <row r="194" spans="2:74" x14ac:dyDescent="0.2">
      <c r="B194" s="88" t="str">
        <f t="shared" si="24"/>
        <v>&gt; Total Length</v>
      </c>
      <c r="C194" s="88" t="str">
        <f t="shared" si="25"/>
        <v>&gt; Total Length</v>
      </c>
      <c r="D194" s="96" t="str">
        <f t="shared" si="26"/>
        <v>&gt; Total Length</v>
      </c>
      <c r="E194" s="96" t="str">
        <f t="shared" si="27"/>
        <v>&gt; Total Length</v>
      </c>
      <c r="F194" s="97" t="str">
        <f t="shared" si="28"/>
        <v>&gt; Total Length</v>
      </c>
      <c r="G194" s="97" t="str">
        <f t="shared" si="29"/>
        <v>&gt; Total Length</v>
      </c>
      <c r="H194" s="98"/>
      <c r="I194" s="99"/>
      <c r="J194" s="88" t="str">
        <f>IF(ISBLANK(FiringRate[[#This Row],[Event/bin]]), " ", FiringRate[[#This Row],[Event/bin]]/BinSize_sec)</f>
        <v xml:space="preserve"> </v>
      </c>
      <c r="K194" s="100" t="str">
        <f>IF(ISBLANK(FiringRate[[#This Row],[Conc events/bin]]), " ", FiringRate[[#This Row],[Conc events/bin]]/BinSize_sec)</f>
        <v xml:space="preserve"> </v>
      </c>
      <c r="M194" s="2"/>
      <c r="N194" s="2"/>
      <c r="O194" s="2"/>
      <c r="P194" s="2"/>
      <c r="W194" s="96" t="str">
        <f t="shared" si="30"/>
        <v>&gt; Spont Length</v>
      </c>
      <c r="X194" s="96" t="str">
        <f t="shared" si="31"/>
        <v>Enter Spont End</v>
      </c>
      <c r="Y194" s="97" t="str">
        <f t="shared" si="32"/>
        <v>&gt; Spont Length</v>
      </c>
      <c r="Z194" s="97" t="str">
        <f t="shared" si="33"/>
        <v>Enter Spont End</v>
      </c>
      <c r="AA194" s="99"/>
      <c r="AB194" s="103" t="str">
        <f>IF(ISNUMBER(Cluster[[#This Row],[Bin Start (min)]]), AB193+1, Cluster[[#This Row],[Bin Start (min)]])</f>
        <v>&gt; Spont Length</v>
      </c>
      <c r="AC194" s="103" t="str">
        <f>IF(ISNUMBER(Cluster[[#This Row],[Bin End (min)]]), AC193+1, Cluster[[#This Row],[Bin End (min)]])</f>
        <v>Enter Spont End</v>
      </c>
      <c r="AD194" s="88" t="str">
        <f>IF(ISNUMBER(Cluster[[#This Row],[Bin_end]]), _xlfn.XLOOKUP(Cluster[[#This Row],[Bin_end]], ClusterCalc_2x2SD[Bin_end], ClusterCalc_2x2SD[Peak or Nadir], "fill ClusterCalc Table",1), "no bin")</f>
        <v>no bin</v>
      </c>
      <c r="AE194" s="88" t="str">
        <f>IF(ISNUMBER(Cluster[[#This Row],[Bin_end]]), _xlfn.XLOOKUP(Cluster[[#This Row],[Bin_end]], ClusterCalc_3x3SD[Bin_end], ClusterCalc_3x3SD[Peak or Nadir], "fill ClusterCalc Table",1), "no bin")</f>
        <v>no bin</v>
      </c>
      <c r="AF194" s="88" t="str">
        <f>IF(ISNUMBER(Cluster[[#This Row],[Bin_end]]), _xlfn.XLOOKUP(Cluster[[#This Row],[Bin_end]], ClusterCalc_2x2SE[Bin_end], ClusterCalc_2x2SE[Peak or Nadir], "fill ClusterCalc Table",1), "no bin")</f>
        <v>no bin</v>
      </c>
      <c r="AG194" s="88" t="str">
        <f>IF(ISNUMBER(Cluster[[#This Row],[Bin_end]]), _xlfn.XLOOKUP(Cluster[[#This Row],[Bin_end]], ClusterCalc_3x3SE[Bin_end], ClusterCalc_3x3SE[Peak or Nadir], "fill ClusterCalc Table",1), "no bin")</f>
        <v>no bin</v>
      </c>
      <c r="BV194"/>
    </row>
    <row r="195" spans="2:74" x14ac:dyDescent="0.2">
      <c r="B195" s="88" t="str">
        <f t="shared" si="24"/>
        <v>&gt; Total Length</v>
      </c>
      <c r="C195" s="88" t="str">
        <f t="shared" si="25"/>
        <v>&gt; Total Length</v>
      </c>
      <c r="D195" s="96" t="str">
        <f t="shared" si="26"/>
        <v>&gt; Total Length</v>
      </c>
      <c r="E195" s="96" t="str">
        <f t="shared" si="27"/>
        <v>&gt; Total Length</v>
      </c>
      <c r="F195" s="97" t="str">
        <f t="shared" si="28"/>
        <v>&gt; Total Length</v>
      </c>
      <c r="G195" s="97" t="str">
        <f t="shared" si="29"/>
        <v>&gt; Total Length</v>
      </c>
      <c r="H195" s="98"/>
      <c r="I195" s="99"/>
      <c r="J195" s="88" t="str">
        <f>IF(ISBLANK(FiringRate[[#This Row],[Event/bin]]), " ", FiringRate[[#This Row],[Event/bin]]/BinSize_sec)</f>
        <v xml:space="preserve"> </v>
      </c>
      <c r="K195" s="100" t="str">
        <f>IF(ISBLANK(FiringRate[[#This Row],[Conc events/bin]]), " ", FiringRate[[#This Row],[Conc events/bin]]/BinSize_sec)</f>
        <v xml:space="preserve"> </v>
      </c>
      <c r="M195" s="2"/>
      <c r="N195" s="2"/>
      <c r="O195" s="2"/>
      <c r="P195" s="2"/>
      <c r="W195" s="96" t="str">
        <f t="shared" si="30"/>
        <v>&gt; Spont Length</v>
      </c>
      <c r="X195" s="96" t="str">
        <f t="shared" si="31"/>
        <v>Enter Spont End</v>
      </c>
      <c r="Y195" s="97" t="str">
        <f t="shared" si="32"/>
        <v>&gt; Spont Length</v>
      </c>
      <c r="Z195" s="97" t="str">
        <f t="shared" si="33"/>
        <v>Enter Spont End</v>
      </c>
      <c r="AA195" s="99"/>
      <c r="AB195" s="103" t="str">
        <f>IF(ISNUMBER(Cluster[[#This Row],[Bin Start (min)]]), AB194+1, Cluster[[#This Row],[Bin Start (min)]])</f>
        <v>&gt; Spont Length</v>
      </c>
      <c r="AC195" s="103" t="str">
        <f>IF(ISNUMBER(Cluster[[#This Row],[Bin End (min)]]), AC194+1, Cluster[[#This Row],[Bin End (min)]])</f>
        <v>Enter Spont End</v>
      </c>
      <c r="AD195" s="88" t="str">
        <f>IF(ISNUMBER(Cluster[[#This Row],[Bin_end]]), _xlfn.XLOOKUP(Cluster[[#This Row],[Bin_end]], ClusterCalc_2x2SD[Bin_end], ClusterCalc_2x2SD[Peak or Nadir], "fill ClusterCalc Table",1), "no bin")</f>
        <v>no bin</v>
      </c>
      <c r="AE195" s="88" t="str">
        <f>IF(ISNUMBER(Cluster[[#This Row],[Bin_end]]), _xlfn.XLOOKUP(Cluster[[#This Row],[Bin_end]], ClusterCalc_3x3SD[Bin_end], ClusterCalc_3x3SD[Peak or Nadir], "fill ClusterCalc Table",1), "no bin")</f>
        <v>no bin</v>
      </c>
      <c r="AF195" s="88" t="str">
        <f>IF(ISNUMBER(Cluster[[#This Row],[Bin_end]]), _xlfn.XLOOKUP(Cluster[[#This Row],[Bin_end]], ClusterCalc_2x2SE[Bin_end], ClusterCalc_2x2SE[Peak or Nadir], "fill ClusterCalc Table",1), "no bin")</f>
        <v>no bin</v>
      </c>
      <c r="AG195" s="88" t="str">
        <f>IF(ISNUMBER(Cluster[[#This Row],[Bin_end]]), _xlfn.XLOOKUP(Cluster[[#This Row],[Bin_end]], ClusterCalc_3x3SE[Bin_end], ClusterCalc_3x3SE[Peak or Nadir], "fill ClusterCalc Table",1), "no bin")</f>
        <v>no bin</v>
      </c>
      <c r="BV195"/>
    </row>
    <row r="196" spans="2:74" x14ac:dyDescent="0.2">
      <c r="B196" s="88" t="str">
        <f t="shared" si="24"/>
        <v>&gt; Total Length</v>
      </c>
      <c r="C196" s="88" t="str">
        <f t="shared" si="25"/>
        <v>&gt; Total Length</v>
      </c>
      <c r="D196" s="96" t="str">
        <f t="shared" si="26"/>
        <v>&gt; Total Length</v>
      </c>
      <c r="E196" s="96" t="str">
        <f t="shared" si="27"/>
        <v>&gt; Total Length</v>
      </c>
      <c r="F196" s="97" t="str">
        <f t="shared" si="28"/>
        <v>&gt; Total Length</v>
      </c>
      <c r="G196" s="97" t="str">
        <f t="shared" si="29"/>
        <v>&gt; Total Length</v>
      </c>
      <c r="H196" s="98"/>
      <c r="I196" s="99"/>
      <c r="J196" s="88" t="str">
        <f>IF(ISBLANK(FiringRate[[#This Row],[Event/bin]]), " ", FiringRate[[#This Row],[Event/bin]]/BinSize_sec)</f>
        <v xml:space="preserve"> </v>
      </c>
      <c r="K196" s="100" t="str">
        <f>IF(ISBLANK(FiringRate[[#This Row],[Conc events/bin]]), " ", FiringRate[[#This Row],[Conc events/bin]]/BinSize_sec)</f>
        <v xml:space="preserve"> </v>
      </c>
      <c r="M196" s="2"/>
      <c r="N196" s="2"/>
      <c r="O196" s="2"/>
      <c r="P196" s="2"/>
      <c r="W196" s="96" t="str">
        <f t="shared" si="30"/>
        <v>&gt; Spont Length</v>
      </c>
      <c r="X196" s="96" t="str">
        <f t="shared" si="31"/>
        <v>Enter Spont End</v>
      </c>
      <c r="Y196" s="97" t="str">
        <f t="shared" si="32"/>
        <v>&gt; Spont Length</v>
      </c>
      <c r="Z196" s="97" t="str">
        <f t="shared" si="33"/>
        <v>Enter Spont End</v>
      </c>
      <c r="AA196" s="99"/>
      <c r="AB196" s="103" t="str">
        <f>IF(ISNUMBER(Cluster[[#This Row],[Bin Start (min)]]), AB195+1, Cluster[[#This Row],[Bin Start (min)]])</f>
        <v>&gt; Spont Length</v>
      </c>
      <c r="AC196" s="103" t="str">
        <f>IF(ISNUMBER(Cluster[[#This Row],[Bin End (min)]]), AC195+1, Cluster[[#This Row],[Bin End (min)]])</f>
        <v>Enter Spont End</v>
      </c>
      <c r="AD196" s="88" t="str">
        <f>IF(ISNUMBER(Cluster[[#This Row],[Bin_end]]), _xlfn.XLOOKUP(Cluster[[#This Row],[Bin_end]], ClusterCalc_2x2SD[Bin_end], ClusterCalc_2x2SD[Peak or Nadir], "fill ClusterCalc Table",1), "no bin")</f>
        <v>no bin</v>
      </c>
      <c r="AE196" s="88" t="str">
        <f>IF(ISNUMBER(Cluster[[#This Row],[Bin_end]]), _xlfn.XLOOKUP(Cluster[[#This Row],[Bin_end]], ClusterCalc_3x3SD[Bin_end], ClusterCalc_3x3SD[Peak or Nadir], "fill ClusterCalc Table",1), "no bin")</f>
        <v>no bin</v>
      </c>
      <c r="AF196" s="88" t="str">
        <f>IF(ISNUMBER(Cluster[[#This Row],[Bin_end]]), _xlfn.XLOOKUP(Cluster[[#This Row],[Bin_end]], ClusterCalc_2x2SE[Bin_end], ClusterCalc_2x2SE[Peak or Nadir], "fill ClusterCalc Table",1), "no bin")</f>
        <v>no bin</v>
      </c>
      <c r="AG196" s="88" t="str">
        <f>IF(ISNUMBER(Cluster[[#This Row],[Bin_end]]), _xlfn.XLOOKUP(Cluster[[#This Row],[Bin_end]], ClusterCalc_3x3SE[Bin_end], ClusterCalc_3x3SE[Peak or Nadir], "fill ClusterCalc Table",1), "no bin")</f>
        <v>no bin</v>
      </c>
      <c r="BV196"/>
    </row>
    <row r="197" spans="2:74" x14ac:dyDescent="0.2">
      <c r="B197" s="88" t="str">
        <f t="shared" si="24"/>
        <v>&gt; Total Length</v>
      </c>
      <c r="C197" s="88" t="str">
        <f t="shared" si="25"/>
        <v>&gt; Total Length</v>
      </c>
      <c r="D197" s="96" t="str">
        <f t="shared" si="26"/>
        <v>&gt; Total Length</v>
      </c>
      <c r="E197" s="96" t="str">
        <f t="shared" si="27"/>
        <v>&gt; Total Length</v>
      </c>
      <c r="F197" s="97" t="str">
        <f t="shared" si="28"/>
        <v>&gt; Total Length</v>
      </c>
      <c r="G197" s="97" t="str">
        <f t="shared" si="29"/>
        <v>&gt; Total Length</v>
      </c>
      <c r="H197" s="98"/>
      <c r="I197" s="99"/>
      <c r="J197" s="88" t="str">
        <f>IF(ISBLANK(FiringRate[[#This Row],[Event/bin]]), " ", FiringRate[[#This Row],[Event/bin]]/BinSize_sec)</f>
        <v xml:space="preserve"> </v>
      </c>
      <c r="K197" s="100" t="str">
        <f>IF(ISBLANK(FiringRate[[#This Row],[Conc events/bin]]), " ", FiringRate[[#This Row],[Conc events/bin]]/BinSize_sec)</f>
        <v xml:space="preserve"> </v>
      </c>
      <c r="M197" s="2"/>
      <c r="N197" s="2"/>
      <c r="O197" s="2"/>
      <c r="P197" s="2"/>
      <c r="W197" s="96" t="str">
        <f t="shared" si="30"/>
        <v>&gt; Spont Length</v>
      </c>
      <c r="X197" s="96" t="str">
        <f t="shared" si="31"/>
        <v>Enter Spont End</v>
      </c>
      <c r="Y197" s="97" t="str">
        <f t="shared" si="32"/>
        <v>&gt; Spont Length</v>
      </c>
      <c r="Z197" s="97" t="str">
        <f t="shared" si="33"/>
        <v>Enter Spont End</v>
      </c>
      <c r="AA197" s="99"/>
      <c r="AB197" s="103" t="str">
        <f>IF(ISNUMBER(Cluster[[#This Row],[Bin Start (min)]]), AB196+1, Cluster[[#This Row],[Bin Start (min)]])</f>
        <v>&gt; Spont Length</v>
      </c>
      <c r="AC197" s="103" t="str">
        <f>IF(ISNUMBER(Cluster[[#This Row],[Bin End (min)]]), AC196+1, Cluster[[#This Row],[Bin End (min)]])</f>
        <v>Enter Spont End</v>
      </c>
      <c r="AD197" s="88" t="str">
        <f>IF(ISNUMBER(Cluster[[#This Row],[Bin_end]]), _xlfn.XLOOKUP(Cluster[[#This Row],[Bin_end]], ClusterCalc_2x2SD[Bin_end], ClusterCalc_2x2SD[Peak or Nadir], "fill ClusterCalc Table",1), "no bin")</f>
        <v>no bin</v>
      </c>
      <c r="AE197" s="88" t="str">
        <f>IF(ISNUMBER(Cluster[[#This Row],[Bin_end]]), _xlfn.XLOOKUP(Cluster[[#This Row],[Bin_end]], ClusterCalc_3x3SD[Bin_end], ClusterCalc_3x3SD[Peak or Nadir], "fill ClusterCalc Table",1), "no bin")</f>
        <v>no bin</v>
      </c>
      <c r="AF197" s="88" t="str">
        <f>IF(ISNUMBER(Cluster[[#This Row],[Bin_end]]), _xlfn.XLOOKUP(Cluster[[#This Row],[Bin_end]], ClusterCalc_2x2SE[Bin_end], ClusterCalc_2x2SE[Peak or Nadir], "fill ClusterCalc Table",1), "no bin")</f>
        <v>no bin</v>
      </c>
      <c r="AG197" s="88" t="str">
        <f>IF(ISNUMBER(Cluster[[#This Row],[Bin_end]]), _xlfn.XLOOKUP(Cluster[[#This Row],[Bin_end]], ClusterCalc_3x3SE[Bin_end], ClusterCalc_3x3SE[Peak or Nadir], "fill ClusterCalc Table",1), "no bin")</f>
        <v>no bin</v>
      </c>
      <c r="BV197"/>
    </row>
    <row r="198" spans="2:74" x14ac:dyDescent="0.2">
      <c r="B198" s="88" t="str">
        <f t="shared" si="24"/>
        <v>&gt; Total Length</v>
      </c>
      <c r="C198" s="88" t="str">
        <f t="shared" si="25"/>
        <v>&gt; Total Length</v>
      </c>
      <c r="D198" s="96" t="str">
        <f t="shared" si="26"/>
        <v>&gt; Total Length</v>
      </c>
      <c r="E198" s="96" t="str">
        <f t="shared" si="27"/>
        <v>&gt; Total Length</v>
      </c>
      <c r="F198" s="97" t="str">
        <f t="shared" si="28"/>
        <v>&gt; Total Length</v>
      </c>
      <c r="G198" s="97" t="str">
        <f t="shared" si="29"/>
        <v>&gt; Total Length</v>
      </c>
      <c r="H198" s="98"/>
      <c r="I198" s="99"/>
      <c r="J198" s="88" t="str">
        <f>IF(ISBLANK(FiringRate[[#This Row],[Event/bin]]), " ", FiringRate[[#This Row],[Event/bin]]/BinSize_sec)</f>
        <v xml:space="preserve"> </v>
      </c>
      <c r="K198" s="100" t="str">
        <f>IF(ISBLANK(FiringRate[[#This Row],[Conc events/bin]]), " ", FiringRate[[#This Row],[Conc events/bin]]/BinSize_sec)</f>
        <v xml:space="preserve"> </v>
      </c>
      <c r="M198" s="2"/>
      <c r="N198" s="2"/>
      <c r="O198" s="2"/>
      <c r="P198" s="2"/>
      <c r="W198" s="96" t="str">
        <f t="shared" si="30"/>
        <v>&gt; Spont Length</v>
      </c>
      <c r="X198" s="96" t="str">
        <f t="shared" si="31"/>
        <v>Enter Spont End</v>
      </c>
      <c r="Y198" s="97" t="str">
        <f t="shared" si="32"/>
        <v>&gt; Spont Length</v>
      </c>
      <c r="Z198" s="97" t="str">
        <f t="shared" si="33"/>
        <v>Enter Spont End</v>
      </c>
      <c r="AA198" s="99"/>
      <c r="AB198" s="103" t="str">
        <f>IF(ISNUMBER(Cluster[[#This Row],[Bin Start (min)]]), AB197+1, Cluster[[#This Row],[Bin Start (min)]])</f>
        <v>&gt; Spont Length</v>
      </c>
      <c r="AC198" s="103" t="str">
        <f>IF(ISNUMBER(Cluster[[#This Row],[Bin End (min)]]), AC197+1, Cluster[[#This Row],[Bin End (min)]])</f>
        <v>Enter Spont End</v>
      </c>
      <c r="AD198" s="88" t="str">
        <f>IF(ISNUMBER(Cluster[[#This Row],[Bin_end]]), _xlfn.XLOOKUP(Cluster[[#This Row],[Bin_end]], ClusterCalc_2x2SD[Bin_end], ClusterCalc_2x2SD[Peak or Nadir], "fill ClusterCalc Table",1), "no bin")</f>
        <v>no bin</v>
      </c>
      <c r="AE198" s="88" t="str">
        <f>IF(ISNUMBER(Cluster[[#This Row],[Bin_end]]), _xlfn.XLOOKUP(Cluster[[#This Row],[Bin_end]], ClusterCalc_3x3SD[Bin_end], ClusterCalc_3x3SD[Peak or Nadir], "fill ClusterCalc Table",1), "no bin")</f>
        <v>no bin</v>
      </c>
      <c r="AF198" s="88" t="str">
        <f>IF(ISNUMBER(Cluster[[#This Row],[Bin_end]]), _xlfn.XLOOKUP(Cluster[[#This Row],[Bin_end]], ClusterCalc_2x2SE[Bin_end], ClusterCalc_2x2SE[Peak or Nadir], "fill ClusterCalc Table",1), "no bin")</f>
        <v>no bin</v>
      </c>
      <c r="AG198" s="88" t="str">
        <f>IF(ISNUMBER(Cluster[[#This Row],[Bin_end]]), _xlfn.XLOOKUP(Cluster[[#This Row],[Bin_end]], ClusterCalc_3x3SE[Bin_end], ClusterCalc_3x3SE[Peak or Nadir], "fill ClusterCalc Table",1), "no bin")</f>
        <v>no bin</v>
      </c>
      <c r="BV198"/>
    </row>
    <row r="199" spans="2:74" x14ac:dyDescent="0.2">
      <c r="B199" s="88" t="str">
        <f t="shared" si="24"/>
        <v>&gt; Total Length</v>
      </c>
      <c r="C199" s="88" t="str">
        <f t="shared" si="25"/>
        <v>&gt; Total Length</v>
      </c>
      <c r="D199" s="96" t="str">
        <f t="shared" si="26"/>
        <v>&gt; Total Length</v>
      </c>
      <c r="E199" s="96" t="str">
        <f t="shared" si="27"/>
        <v>&gt; Total Length</v>
      </c>
      <c r="F199" s="97" t="str">
        <f t="shared" si="28"/>
        <v>&gt; Total Length</v>
      </c>
      <c r="G199" s="97" t="str">
        <f t="shared" si="29"/>
        <v>&gt; Total Length</v>
      </c>
      <c r="H199" s="98"/>
      <c r="I199" s="99"/>
      <c r="J199" s="88" t="str">
        <f>IF(ISBLANK(FiringRate[[#This Row],[Event/bin]]), " ", FiringRate[[#This Row],[Event/bin]]/BinSize_sec)</f>
        <v xml:space="preserve"> </v>
      </c>
      <c r="K199" s="100" t="str">
        <f>IF(ISBLANK(FiringRate[[#This Row],[Conc events/bin]]), " ", FiringRate[[#This Row],[Conc events/bin]]/BinSize_sec)</f>
        <v xml:space="preserve"> </v>
      </c>
      <c r="M199" s="2"/>
      <c r="N199" s="2"/>
      <c r="O199" s="2"/>
      <c r="P199" s="2"/>
      <c r="W199" s="96" t="str">
        <f t="shared" si="30"/>
        <v>&gt; Spont Length</v>
      </c>
      <c r="X199" s="96" t="str">
        <f t="shared" si="31"/>
        <v>Enter Spont End</v>
      </c>
      <c r="Y199" s="97" t="str">
        <f t="shared" si="32"/>
        <v>&gt; Spont Length</v>
      </c>
      <c r="Z199" s="97" t="str">
        <f t="shared" si="33"/>
        <v>Enter Spont End</v>
      </c>
      <c r="AA199" s="99"/>
      <c r="AB199" s="103" t="str">
        <f>IF(ISNUMBER(Cluster[[#This Row],[Bin Start (min)]]), AB198+1, Cluster[[#This Row],[Bin Start (min)]])</f>
        <v>&gt; Spont Length</v>
      </c>
      <c r="AC199" s="103" t="str">
        <f>IF(ISNUMBER(Cluster[[#This Row],[Bin End (min)]]), AC198+1, Cluster[[#This Row],[Bin End (min)]])</f>
        <v>Enter Spont End</v>
      </c>
      <c r="AD199" s="88" t="str">
        <f>IF(ISNUMBER(Cluster[[#This Row],[Bin_end]]), _xlfn.XLOOKUP(Cluster[[#This Row],[Bin_end]], ClusterCalc_2x2SD[Bin_end], ClusterCalc_2x2SD[Peak or Nadir], "fill ClusterCalc Table",1), "no bin")</f>
        <v>no bin</v>
      </c>
      <c r="AE199" s="88" t="str">
        <f>IF(ISNUMBER(Cluster[[#This Row],[Bin_end]]), _xlfn.XLOOKUP(Cluster[[#This Row],[Bin_end]], ClusterCalc_3x3SD[Bin_end], ClusterCalc_3x3SD[Peak or Nadir], "fill ClusterCalc Table",1), "no bin")</f>
        <v>no bin</v>
      </c>
      <c r="AF199" s="88" t="str">
        <f>IF(ISNUMBER(Cluster[[#This Row],[Bin_end]]), _xlfn.XLOOKUP(Cluster[[#This Row],[Bin_end]], ClusterCalc_2x2SE[Bin_end], ClusterCalc_2x2SE[Peak or Nadir], "fill ClusterCalc Table",1), "no bin")</f>
        <v>no bin</v>
      </c>
      <c r="AG199" s="88" t="str">
        <f>IF(ISNUMBER(Cluster[[#This Row],[Bin_end]]), _xlfn.XLOOKUP(Cluster[[#This Row],[Bin_end]], ClusterCalc_3x3SE[Bin_end], ClusterCalc_3x3SE[Peak or Nadir], "fill ClusterCalc Table",1), "no bin")</f>
        <v>no bin</v>
      </c>
      <c r="BV199"/>
    </row>
    <row r="200" spans="2:74" x14ac:dyDescent="0.2">
      <c r="B200" s="88" t="str">
        <f t="shared" si="24"/>
        <v>&gt; Total Length</v>
      </c>
      <c r="C200" s="88" t="str">
        <f t="shared" si="25"/>
        <v>&gt; Total Length</v>
      </c>
      <c r="D200" s="96" t="str">
        <f t="shared" si="26"/>
        <v>&gt; Total Length</v>
      </c>
      <c r="E200" s="96" t="str">
        <f t="shared" si="27"/>
        <v>&gt; Total Length</v>
      </c>
      <c r="F200" s="97" t="str">
        <f t="shared" si="28"/>
        <v>&gt; Total Length</v>
      </c>
      <c r="G200" s="97" t="str">
        <f t="shared" si="29"/>
        <v>&gt; Total Length</v>
      </c>
      <c r="H200" s="98"/>
      <c r="I200" s="99"/>
      <c r="J200" s="88" t="str">
        <f>IF(ISBLANK(FiringRate[[#This Row],[Event/bin]]), " ", FiringRate[[#This Row],[Event/bin]]/BinSize_sec)</f>
        <v xml:space="preserve"> </v>
      </c>
      <c r="K200" s="100" t="str">
        <f>IF(ISBLANK(FiringRate[[#This Row],[Conc events/bin]]), " ", FiringRate[[#This Row],[Conc events/bin]]/BinSize_sec)</f>
        <v xml:space="preserve"> </v>
      </c>
      <c r="M200" s="2"/>
      <c r="N200" s="2"/>
      <c r="O200" s="2"/>
      <c r="P200" s="2"/>
      <c r="W200" s="96" t="str">
        <f t="shared" si="30"/>
        <v>&gt; Spont Length</v>
      </c>
      <c r="X200" s="96" t="str">
        <f t="shared" si="31"/>
        <v>Enter Spont End</v>
      </c>
      <c r="Y200" s="97" t="str">
        <f t="shared" si="32"/>
        <v>&gt; Spont Length</v>
      </c>
      <c r="Z200" s="97" t="str">
        <f t="shared" si="33"/>
        <v>Enter Spont End</v>
      </c>
      <c r="AA200" s="99"/>
      <c r="AB200" s="103" t="str">
        <f>IF(ISNUMBER(Cluster[[#This Row],[Bin Start (min)]]), AB199+1, Cluster[[#This Row],[Bin Start (min)]])</f>
        <v>&gt; Spont Length</v>
      </c>
      <c r="AC200" s="103" t="str">
        <f>IF(ISNUMBER(Cluster[[#This Row],[Bin End (min)]]), AC199+1, Cluster[[#This Row],[Bin End (min)]])</f>
        <v>Enter Spont End</v>
      </c>
      <c r="AD200" s="88" t="str">
        <f>IF(ISNUMBER(Cluster[[#This Row],[Bin_end]]), _xlfn.XLOOKUP(Cluster[[#This Row],[Bin_end]], ClusterCalc_2x2SD[Bin_end], ClusterCalc_2x2SD[Peak or Nadir], "fill ClusterCalc Table",1), "no bin")</f>
        <v>no bin</v>
      </c>
      <c r="AE200" s="88" t="str">
        <f>IF(ISNUMBER(Cluster[[#This Row],[Bin_end]]), _xlfn.XLOOKUP(Cluster[[#This Row],[Bin_end]], ClusterCalc_3x3SD[Bin_end], ClusterCalc_3x3SD[Peak or Nadir], "fill ClusterCalc Table",1), "no bin")</f>
        <v>no bin</v>
      </c>
      <c r="AF200" s="88" t="str">
        <f>IF(ISNUMBER(Cluster[[#This Row],[Bin_end]]), _xlfn.XLOOKUP(Cluster[[#This Row],[Bin_end]], ClusterCalc_2x2SE[Bin_end], ClusterCalc_2x2SE[Peak or Nadir], "fill ClusterCalc Table",1), "no bin")</f>
        <v>no bin</v>
      </c>
      <c r="AG200" s="88" t="str">
        <f>IF(ISNUMBER(Cluster[[#This Row],[Bin_end]]), _xlfn.XLOOKUP(Cluster[[#This Row],[Bin_end]], ClusterCalc_3x3SE[Bin_end], ClusterCalc_3x3SE[Peak or Nadir], "fill ClusterCalc Table",1), "no bin")</f>
        <v>no bin</v>
      </c>
      <c r="BV200"/>
    </row>
    <row r="201" spans="2:74" x14ac:dyDescent="0.2">
      <c r="B201" s="88" t="str">
        <f t="shared" si="24"/>
        <v>&gt; Total Length</v>
      </c>
      <c r="C201" s="88" t="str">
        <f t="shared" si="25"/>
        <v>&gt; Total Length</v>
      </c>
      <c r="D201" s="96" t="str">
        <f t="shared" si="26"/>
        <v>&gt; Total Length</v>
      </c>
      <c r="E201" s="96" t="str">
        <f t="shared" si="27"/>
        <v>&gt; Total Length</v>
      </c>
      <c r="F201" s="97" t="str">
        <f t="shared" si="28"/>
        <v>&gt; Total Length</v>
      </c>
      <c r="G201" s="97" t="str">
        <f t="shared" si="29"/>
        <v>&gt; Total Length</v>
      </c>
      <c r="H201" s="98"/>
      <c r="I201" s="99"/>
      <c r="J201" s="88" t="str">
        <f>IF(ISBLANK(FiringRate[[#This Row],[Event/bin]]), " ", FiringRate[[#This Row],[Event/bin]]/BinSize_sec)</f>
        <v xml:space="preserve"> </v>
      </c>
      <c r="K201" s="100" t="str">
        <f>IF(ISBLANK(FiringRate[[#This Row],[Conc events/bin]]), " ", FiringRate[[#This Row],[Conc events/bin]]/BinSize_sec)</f>
        <v xml:space="preserve"> </v>
      </c>
      <c r="M201" s="2"/>
      <c r="N201" s="2"/>
      <c r="O201" s="2"/>
      <c r="P201" s="2"/>
      <c r="W201" s="96" t="str">
        <f t="shared" si="30"/>
        <v>&gt; Spont Length</v>
      </c>
      <c r="X201" s="96" t="str">
        <f t="shared" si="31"/>
        <v>Enter Spont End</v>
      </c>
      <c r="Y201" s="97" t="str">
        <f t="shared" si="32"/>
        <v>&gt; Spont Length</v>
      </c>
      <c r="Z201" s="97" t="str">
        <f t="shared" si="33"/>
        <v>Enter Spont End</v>
      </c>
      <c r="AA201" s="99"/>
      <c r="AB201" s="103" t="str">
        <f>IF(ISNUMBER(Cluster[[#This Row],[Bin Start (min)]]), AB200+1, Cluster[[#This Row],[Bin Start (min)]])</f>
        <v>&gt; Spont Length</v>
      </c>
      <c r="AC201" s="103" t="str">
        <f>IF(ISNUMBER(Cluster[[#This Row],[Bin End (min)]]), AC200+1, Cluster[[#This Row],[Bin End (min)]])</f>
        <v>Enter Spont End</v>
      </c>
      <c r="AD201" s="88" t="str">
        <f>IF(ISNUMBER(Cluster[[#This Row],[Bin_end]]), _xlfn.XLOOKUP(Cluster[[#This Row],[Bin_end]], ClusterCalc_2x2SD[Bin_end], ClusterCalc_2x2SD[Peak or Nadir], "fill ClusterCalc Table",1), "no bin")</f>
        <v>no bin</v>
      </c>
      <c r="AE201" s="88" t="str">
        <f>IF(ISNUMBER(Cluster[[#This Row],[Bin_end]]), _xlfn.XLOOKUP(Cluster[[#This Row],[Bin_end]], ClusterCalc_3x3SD[Bin_end], ClusterCalc_3x3SD[Peak or Nadir], "fill ClusterCalc Table",1), "no bin")</f>
        <v>no bin</v>
      </c>
      <c r="AF201" s="88" t="str">
        <f>IF(ISNUMBER(Cluster[[#This Row],[Bin_end]]), _xlfn.XLOOKUP(Cluster[[#This Row],[Bin_end]], ClusterCalc_2x2SE[Bin_end], ClusterCalc_2x2SE[Peak or Nadir], "fill ClusterCalc Table",1), "no bin")</f>
        <v>no bin</v>
      </c>
      <c r="AG201" s="88" t="str">
        <f>IF(ISNUMBER(Cluster[[#This Row],[Bin_end]]), _xlfn.XLOOKUP(Cluster[[#This Row],[Bin_end]], ClusterCalc_3x3SE[Bin_end], ClusterCalc_3x3SE[Peak or Nadir], "fill ClusterCalc Table",1), "no bin")</f>
        <v>no bin</v>
      </c>
      <c r="BV201" t="s">
        <v>231</v>
      </c>
    </row>
    <row r="202" spans="2:74" x14ac:dyDescent="0.2">
      <c r="B202" s="88" t="str">
        <f t="shared" si="24"/>
        <v>&gt; Total Length</v>
      </c>
      <c r="C202" s="88" t="str">
        <f t="shared" si="25"/>
        <v>&gt; Total Length</v>
      </c>
      <c r="D202" s="96" t="str">
        <f t="shared" si="26"/>
        <v>&gt; Total Length</v>
      </c>
      <c r="E202" s="96" t="str">
        <f t="shared" si="27"/>
        <v>&gt; Total Length</v>
      </c>
      <c r="F202" s="97" t="str">
        <f t="shared" si="28"/>
        <v>&gt; Total Length</v>
      </c>
      <c r="G202" s="97" t="str">
        <f t="shared" si="29"/>
        <v>&gt; Total Length</v>
      </c>
      <c r="H202" s="98"/>
      <c r="I202" s="99"/>
      <c r="J202" s="88" t="str">
        <f>IF(ISBLANK(FiringRate[[#This Row],[Event/bin]]), " ", FiringRate[[#This Row],[Event/bin]]/BinSize_sec)</f>
        <v xml:space="preserve"> </v>
      </c>
      <c r="K202" s="100" t="str">
        <f>IF(ISBLANK(FiringRate[[#This Row],[Conc events/bin]]), " ", FiringRate[[#This Row],[Conc events/bin]]/BinSize_sec)</f>
        <v xml:space="preserve"> </v>
      </c>
      <c r="M202" s="2"/>
      <c r="N202" s="2"/>
      <c r="O202" s="2"/>
      <c r="P202" s="2"/>
      <c r="BV202"/>
    </row>
    <row r="203" spans="2:74" x14ac:dyDescent="0.2">
      <c r="B203" s="88" t="str">
        <f t="shared" si="24"/>
        <v>&gt; Total Length</v>
      </c>
      <c r="C203" s="88" t="str">
        <f t="shared" si="25"/>
        <v>&gt; Total Length</v>
      </c>
      <c r="D203" s="96" t="str">
        <f t="shared" si="26"/>
        <v>&gt; Total Length</v>
      </c>
      <c r="E203" s="96" t="str">
        <f t="shared" si="27"/>
        <v>&gt; Total Length</v>
      </c>
      <c r="F203" s="97" t="str">
        <f t="shared" si="28"/>
        <v>&gt; Total Length</v>
      </c>
      <c r="G203" s="97" t="str">
        <f t="shared" si="29"/>
        <v>&gt; Total Length</v>
      </c>
      <c r="H203" s="98"/>
      <c r="I203" s="99"/>
      <c r="J203" s="88" t="str">
        <f>IF(ISBLANK(FiringRate[[#This Row],[Event/bin]]), " ", FiringRate[[#This Row],[Event/bin]]/BinSize_sec)</f>
        <v xml:space="preserve"> </v>
      </c>
      <c r="K203" s="100" t="str">
        <f>IF(ISBLANK(FiringRate[[#This Row],[Conc events/bin]]), " ", FiringRate[[#This Row],[Conc events/bin]]/BinSize_sec)</f>
        <v xml:space="preserve"> </v>
      </c>
      <c r="M203" s="2"/>
      <c r="N203" s="2"/>
      <c r="O203" s="2"/>
      <c r="P203" s="2"/>
      <c r="BV203"/>
    </row>
    <row r="204" spans="2:74" x14ac:dyDescent="0.2">
      <c r="B204" s="88" t="str">
        <f t="shared" si="24"/>
        <v>&gt; Total Length</v>
      </c>
      <c r="C204" s="88" t="str">
        <f t="shared" si="25"/>
        <v>&gt; Total Length</v>
      </c>
      <c r="D204" s="96" t="str">
        <f t="shared" si="26"/>
        <v>&gt; Total Length</v>
      </c>
      <c r="E204" s="96" t="str">
        <f t="shared" si="27"/>
        <v>&gt; Total Length</v>
      </c>
      <c r="F204" s="97" t="str">
        <f t="shared" si="28"/>
        <v>&gt; Total Length</v>
      </c>
      <c r="G204" s="97" t="str">
        <f t="shared" si="29"/>
        <v>&gt; Total Length</v>
      </c>
      <c r="H204" s="98"/>
      <c r="I204" s="99"/>
      <c r="J204" s="88" t="str">
        <f>IF(ISBLANK(FiringRate[[#This Row],[Event/bin]]), " ", FiringRate[[#This Row],[Event/bin]]/BinSize_sec)</f>
        <v xml:space="preserve"> </v>
      </c>
      <c r="K204" s="100" t="str">
        <f>IF(ISBLANK(FiringRate[[#This Row],[Conc events/bin]]), " ", FiringRate[[#This Row],[Conc events/bin]]/BinSize_sec)</f>
        <v xml:space="preserve"> </v>
      </c>
      <c r="M204" s="2"/>
      <c r="N204" s="2"/>
      <c r="O204" s="2"/>
      <c r="P204" s="2"/>
      <c r="BV204"/>
    </row>
    <row r="205" spans="2:74" x14ac:dyDescent="0.2">
      <c r="B205" s="88" t="str">
        <f t="shared" si="24"/>
        <v>&gt; Total Length</v>
      </c>
      <c r="C205" s="88" t="str">
        <f t="shared" si="25"/>
        <v>&gt; Total Length</v>
      </c>
      <c r="D205" s="96" t="str">
        <f t="shared" si="26"/>
        <v>&gt; Total Length</v>
      </c>
      <c r="E205" s="96" t="str">
        <f t="shared" si="27"/>
        <v>&gt; Total Length</v>
      </c>
      <c r="F205" s="97" t="str">
        <f t="shared" si="28"/>
        <v>&gt; Total Length</v>
      </c>
      <c r="G205" s="97" t="str">
        <f t="shared" si="29"/>
        <v>&gt; Total Length</v>
      </c>
      <c r="H205" s="98"/>
      <c r="I205" s="99"/>
      <c r="J205" s="88" t="str">
        <f>IF(ISBLANK(FiringRate[[#This Row],[Event/bin]]), " ", FiringRate[[#This Row],[Event/bin]]/BinSize_sec)</f>
        <v xml:space="preserve"> </v>
      </c>
      <c r="K205" s="100" t="str">
        <f>IF(ISBLANK(FiringRate[[#This Row],[Conc events/bin]]), " ", FiringRate[[#This Row],[Conc events/bin]]/BinSize_sec)</f>
        <v xml:space="preserve"> </v>
      </c>
      <c r="M205" s="2"/>
      <c r="N205" s="2"/>
      <c r="O205" s="2"/>
      <c r="P205" s="2"/>
      <c r="BV205"/>
    </row>
    <row r="206" spans="2:74" x14ac:dyDescent="0.2">
      <c r="B206" s="88" t="str">
        <f t="shared" si="24"/>
        <v>&gt; Total Length</v>
      </c>
      <c r="C206" s="88" t="str">
        <f t="shared" si="25"/>
        <v>&gt; Total Length</v>
      </c>
      <c r="D206" s="96" t="str">
        <f t="shared" si="26"/>
        <v>&gt; Total Length</v>
      </c>
      <c r="E206" s="96" t="str">
        <f t="shared" si="27"/>
        <v>&gt; Total Length</v>
      </c>
      <c r="F206" s="97" t="str">
        <f t="shared" si="28"/>
        <v>&gt; Total Length</v>
      </c>
      <c r="G206" s="97" t="str">
        <f t="shared" si="29"/>
        <v>&gt; Total Length</v>
      </c>
      <c r="H206" s="98"/>
      <c r="I206" s="99"/>
      <c r="J206" s="88" t="str">
        <f>IF(ISBLANK(FiringRate[[#This Row],[Event/bin]]), " ", FiringRate[[#This Row],[Event/bin]]/BinSize_sec)</f>
        <v xml:space="preserve"> </v>
      </c>
      <c r="K206" s="100" t="str">
        <f>IF(ISBLANK(FiringRate[[#This Row],[Conc events/bin]]), " ", FiringRate[[#This Row],[Conc events/bin]]/BinSize_sec)</f>
        <v xml:space="preserve"> </v>
      </c>
      <c r="M206" s="2"/>
      <c r="N206" s="2"/>
      <c r="O206" s="2"/>
      <c r="P206" s="2"/>
      <c r="BV206"/>
    </row>
    <row r="207" spans="2:74" x14ac:dyDescent="0.2">
      <c r="B207" s="88" t="str">
        <f t="shared" si="24"/>
        <v>&gt; Total Length</v>
      </c>
      <c r="C207" s="88" t="str">
        <f t="shared" si="25"/>
        <v>&gt; Total Length</v>
      </c>
      <c r="D207" s="96" t="str">
        <f t="shared" si="26"/>
        <v>&gt; Total Length</v>
      </c>
      <c r="E207" s="96" t="str">
        <f t="shared" si="27"/>
        <v>&gt; Total Length</v>
      </c>
      <c r="F207" s="97" t="str">
        <f t="shared" si="28"/>
        <v>&gt; Total Length</v>
      </c>
      <c r="G207" s="97" t="str">
        <f t="shared" si="29"/>
        <v>&gt; Total Length</v>
      </c>
      <c r="H207" s="98"/>
      <c r="I207" s="99"/>
      <c r="J207" s="88" t="str">
        <f>IF(ISBLANK(FiringRate[[#This Row],[Event/bin]]), " ", FiringRate[[#This Row],[Event/bin]]/BinSize_sec)</f>
        <v xml:space="preserve"> </v>
      </c>
      <c r="K207" s="100" t="str">
        <f>IF(ISBLANK(FiringRate[[#This Row],[Conc events/bin]]), " ", FiringRate[[#This Row],[Conc events/bin]]/BinSize_sec)</f>
        <v xml:space="preserve"> </v>
      </c>
      <c r="M207" s="2"/>
      <c r="N207" s="2"/>
      <c r="O207" s="2"/>
      <c r="P207" s="2"/>
      <c r="BV207"/>
    </row>
    <row r="208" spans="2:74" x14ac:dyDescent="0.2">
      <c r="B208" s="88" t="str">
        <f t="shared" si="24"/>
        <v>&gt; Total Length</v>
      </c>
      <c r="C208" s="88" t="str">
        <f t="shared" si="25"/>
        <v>&gt; Total Length</v>
      </c>
      <c r="D208" s="96" t="str">
        <f t="shared" si="26"/>
        <v>&gt; Total Length</v>
      </c>
      <c r="E208" s="96" t="str">
        <f t="shared" si="27"/>
        <v>&gt; Total Length</v>
      </c>
      <c r="F208" s="97" t="str">
        <f t="shared" si="28"/>
        <v>&gt; Total Length</v>
      </c>
      <c r="G208" s="97" t="str">
        <f t="shared" si="29"/>
        <v>&gt; Total Length</v>
      </c>
      <c r="H208" s="98"/>
      <c r="I208" s="99"/>
      <c r="J208" s="88" t="str">
        <f>IF(ISBLANK(FiringRate[[#This Row],[Event/bin]]), " ", FiringRate[[#This Row],[Event/bin]]/BinSize_sec)</f>
        <v xml:space="preserve"> </v>
      </c>
      <c r="K208" s="100" t="str">
        <f>IF(ISBLANK(FiringRate[[#This Row],[Conc events/bin]]), " ", FiringRate[[#This Row],[Conc events/bin]]/BinSize_sec)</f>
        <v xml:space="preserve"> </v>
      </c>
      <c r="M208" s="2"/>
      <c r="N208" s="2"/>
      <c r="O208" s="2"/>
      <c r="P208" s="2"/>
      <c r="BV208"/>
    </row>
    <row r="209" spans="2:74" x14ac:dyDescent="0.2">
      <c r="B209" s="88" t="str">
        <f t="shared" ref="B209:B240" si="34">IF(E208&lt;TotalLength_min, IF(ISNONTEXT(B208), IF(C209&gt;C208, B208, IF(B208&lt;LastSeries, B208+1)), B208), "&gt; Total Length")</f>
        <v>&gt; Total Length</v>
      </c>
      <c r="C209" s="88" t="str">
        <f t="shared" ref="C209:C240" si="35">IF(E208&lt;TotalLength_min, IF(ISNONTEXT(C208), IF(C208&lt;(BinsPerSeries-1),C208+1,0), C208), "&gt; Total Length")</f>
        <v>&gt; Total Length</v>
      </c>
      <c r="D209" s="96" t="str">
        <f t="shared" ref="D209:D240" si="36">IF(BinSize_sec &gt; 0, IF(ISNONTEXT(F208), IF(F208 + BinSize_sec &lt; TotalLength_sec, F209/60, "&gt; Total Length"), F208), "No bin size")</f>
        <v>&gt; Total Length</v>
      </c>
      <c r="E209" s="96" t="str">
        <f t="shared" ref="E209:E240" si="37">IF(BinSize_sec &gt; 0, IF(ISNONTEXT(G208), IF(G208 + BinSize_sec &gt; TotalLength_sec, "&gt; Total Length", G209/60), G208), "No bin size")</f>
        <v>&gt; Total Length</v>
      </c>
      <c r="F209" s="97" t="str">
        <f t="shared" ref="F209:F240" si="38">IF(BinSize_sec &gt; 0, IF(ISNONTEXT(F208), IF(F208 + BinSize_sec &lt; TotalLength_sec, F208 + BinSize_sec, "&gt; Total Length"), F208), "No bin size")</f>
        <v>&gt; Total Length</v>
      </c>
      <c r="G209" s="97" t="str">
        <f t="shared" ref="G209:G240" si="39">IF(BinSize_sec &gt; 0, IF(ISNONTEXT(G208), IF(G208 + BinSize_sec &gt; TotalLength_sec, "&gt; Total Length", G208 + BinSize_sec), G208), "No bin size")</f>
        <v>&gt; Total Length</v>
      </c>
      <c r="H209" s="98"/>
      <c r="I209" s="99"/>
      <c r="J209" s="88" t="str">
        <f>IF(ISBLANK(FiringRate[[#This Row],[Event/bin]]), " ", FiringRate[[#This Row],[Event/bin]]/BinSize_sec)</f>
        <v xml:space="preserve"> </v>
      </c>
      <c r="K209" s="100" t="str">
        <f>IF(ISBLANK(FiringRate[[#This Row],[Conc events/bin]]), " ", FiringRate[[#This Row],[Conc events/bin]]/BinSize_sec)</f>
        <v xml:space="preserve"> </v>
      </c>
      <c r="M209" s="2"/>
      <c r="N209" s="2"/>
      <c r="O209" s="2"/>
      <c r="P209" s="2"/>
      <c r="BV209"/>
    </row>
    <row r="210" spans="2:74" x14ac:dyDescent="0.2">
      <c r="B210" s="88" t="str">
        <f t="shared" si="34"/>
        <v>&gt; Total Length</v>
      </c>
      <c r="C210" s="88" t="str">
        <f t="shared" si="35"/>
        <v>&gt; Total Length</v>
      </c>
      <c r="D210" s="96" t="str">
        <f t="shared" si="36"/>
        <v>&gt; Total Length</v>
      </c>
      <c r="E210" s="96" t="str">
        <f t="shared" si="37"/>
        <v>&gt; Total Length</v>
      </c>
      <c r="F210" s="97" t="str">
        <f t="shared" si="38"/>
        <v>&gt; Total Length</v>
      </c>
      <c r="G210" s="97" t="str">
        <f t="shared" si="39"/>
        <v>&gt; Total Length</v>
      </c>
      <c r="H210" s="98"/>
      <c r="I210" s="99"/>
      <c r="J210" s="88" t="str">
        <f>IF(ISBLANK(FiringRate[[#This Row],[Event/bin]]), " ", FiringRate[[#This Row],[Event/bin]]/BinSize_sec)</f>
        <v xml:space="preserve"> </v>
      </c>
      <c r="K210" s="100" t="str">
        <f>IF(ISBLANK(FiringRate[[#This Row],[Conc events/bin]]), " ", FiringRate[[#This Row],[Conc events/bin]]/BinSize_sec)</f>
        <v xml:space="preserve"> </v>
      </c>
      <c r="M210" s="2"/>
      <c r="N210" s="2"/>
      <c r="O210" s="2"/>
      <c r="P210" s="2"/>
      <c r="AP210"/>
      <c r="AQ210"/>
      <c r="AR210"/>
      <c r="AS210"/>
      <c r="AT210"/>
      <c r="AU210"/>
      <c r="AV210"/>
      <c r="AW210"/>
      <c r="AX210"/>
      <c r="BV210"/>
    </row>
    <row r="211" spans="2:74" x14ac:dyDescent="0.2">
      <c r="B211" s="88" t="str">
        <f t="shared" si="34"/>
        <v>&gt; Total Length</v>
      </c>
      <c r="C211" s="88" t="str">
        <f t="shared" si="35"/>
        <v>&gt; Total Length</v>
      </c>
      <c r="D211" s="96" t="str">
        <f t="shared" si="36"/>
        <v>&gt; Total Length</v>
      </c>
      <c r="E211" s="96" t="str">
        <f t="shared" si="37"/>
        <v>&gt; Total Length</v>
      </c>
      <c r="F211" s="97" t="str">
        <f t="shared" si="38"/>
        <v>&gt; Total Length</v>
      </c>
      <c r="G211" s="97" t="str">
        <f t="shared" si="39"/>
        <v>&gt; Total Length</v>
      </c>
      <c r="H211" s="98"/>
      <c r="I211" s="99"/>
      <c r="J211" s="88" t="str">
        <f>IF(ISBLANK(FiringRate[[#This Row],[Event/bin]]), " ", FiringRate[[#This Row],[Event/bin]]/BinSize_sec)</f>
        <v xml:space="preserve"> </v>
      </c>
      <c r="K211" s="100" t="str">
        <f>IF(ISBLANK(FiringRate[[#This Row],[Conc events/bin]]), " ", FiringRate[[#This Row],[Conc events/bin]]/BinSize_sec)</f>
        <v xml:space="preserve"> </v>
      </c>
      <c r="M211" s="2"/>
      <c r="N211" s="2"/>
      <c r="O211" s="2"/>
      <c r="P211" s="2"/>
      <c r="BV211"/>
    </row>
    <row r="212" spans="2:74" x14ac:dyDescent="0.2">
      <c r="B212" s="88" t="str">
        <f t="shared" si="34"/>
        <v>&gt; Total Length</v>
      </c>
      <c r="C212" s="88" t="str">
        <f t="shared" si="35"/>
        <v>&gt; Total Length</v>
      </c>
      <c r="D212" s="96" t="str">
        <f t="shared" si="36"/>
        <v>&gt; Total Length</v>
      </c>
      <c r="E212" s="96" t="str">
        <f t="shared" si="37"/>
        <v>&gt; Total Length</v>
      </c>
      <c r="F212" s="97" t="str">
        <f t="shared" si="38"/>
        <v>&gt; Total Length</v>
      </c>
      <c r="G212" s="97" t="str">
        <f t="shared" si="39"/>
        <v>&gt; Total Length</v>
      </c>
      <c r="H212" s="98"/>
      <c r="I212" s="99"/>
      <c r="J212" s="88" t="str">
        <f>IF(ISBLANK(FiringRate[[#This Row],[Event/bin]]), " ", FiringRate[[#This Row],[Event/bin]]/BinSize_sec)</f>
        <v xml:space="preserve"> </v>
      </c>
      <c r="K212" s="100" t="str">
        <f>IF(ISBLANK(FiringRate[[#This Row],[Conc events/bin]]), " ", FiringRate[[#This Row],[Conc events/bin]]/BinSize_sec)</f>
        <v xml:space="preserve"> </v>
      </c>
      <c r="M212" s="2"/>
      <c r="N212" s="2"/>
      <c r="O212" s="2"/>
      <c r="P212" s="2"/>
      <c r="BV212"/>
    </row>
    <row r="213" spans="2:74" x14ac:dyDescent="0.2">
      <c r="B213" s="88" t="str">
        <f t="shared" si="34"/>
        <v>&gt; Total Length</v>
      </c>
      <c r="C213" s="88" t="str">
        <f t="shared" si="35"/>
        <v>&gt; Total Length</v>
      </c>
      <c r="D213" s="96" t="str">
        <f t="shared" si="36"/>
        <v>&gt; Total Length</v>
      </c>
      <c r="E213" s="96" t="str">
        <f t="shared" si="37"/>
        <v>&gt; Total Length</v>
      </c>
      <c r="F213" s="97" t="str">
        <f t="shared" si="38"/>
        <v>&gt; Total Length</v>
      </c>
      <c r="G213" s="97" t="str">
        <f t="shared" si="39"/>
        <v>&gt; Total Length</v>
      </c>
      <c r="H213" s="98"/>
      <c r="I213" s="99"/>
      <c r="J213" s="88" t="str">
        <f>IF(ISBLANK(FiringRate[[#This Row],[Event/bin]]), " ", FiringRate[[#This Row],[Event/bin]]/BinSize_sec)</f>
        <v xml:space="preserve"> </v>
      </c>
      <c r="K213" s="100" t="str">
        <f>IF(ISBLANK(FiringRate[[#This Row],[Conc events/bin]]), " ", FiringRate[[#This Row],[Conc events/bin]]/BinSize_sec)</f>
        <v xml:space="preserve"> </v>
      </c>
      <c r="M213" s="2"/>
      <c r="N213" s="2"/>
      <c r="O213" s="2"/>
      <c r="P213" s="2"/>
      <c r="BV213"/>
    </row>
    <row r="214" spans="2:74" x14ac:dyDescent="0.2">
      <c r="B214" s="88" t="str">
        <f t="shared" si="34"/>
        <v>&gt; Total Length</v>
      </c>
      <c r="C214" s="88" t="str">
        <f t="shared" si="35"/>
        <v>&gt; Total Length</v>
      </c>
      <c r="D214" s="96" t="str">
        <f t="shared" si="36"/>
        <v>&gt; Total Length</v>
      </c>
      <c r="E214" s="96" t="str">
        <f t="shared" si="37"/>
        <v>&gt; Total Length</v>
      </c>
      <c r="F214" s="97" t="str">
        <f t="shared" si="38"/>
        <v>&gt; Total Length</v>
      </c>
      <c r="G214" s="97" t="str">
        <f t="shared" si="39"/>
        <v>&gt; Total Length</v>
      </c>
      <c r="H214" s="98"/>
      <c r="I214" s="99"/>
      <c r="J214" s="88" t="str">
        <f>IF(ISBLANK(FiringRate[[#This Row],[Event/bin]]), " ", FiringRate[[#This Row],[Event/bin]]/BinSize_sec)</f>
        <v xml:space="preserve"> </v>
      </c>
      <c r="K214" s="100" t="str">
        <f>IF(ISBLANK(FiringRate[[#This Row],[Conc events/bin]]), " ", FiringRate[[#This Row],[Conc events/bin]]/BinSize_sec)</f>
        <v xml:space="preserve"> </v>
      </c>
      <c r="M214" s="2"/>
      <c r="N214" s="2"/>
      <c r="O214" s="2"/>
      <c r="P214" s="2"/>
      <c r="BV214"/>
    </row>
    <row r="215" spans="2:74" x14ac:dyDescent="0.2">
      <c r="B215" s="88" t="str">
        <f t="shared" si="34"/>
        <v>&gt; Total Length</v>
      </c>
      <c r="C215" s="88" t="str">
        <f t="shared" si="35"/>
        <v>&gt; Total Length</v>
      </c>
      <c r="D215" s="96" t="str">
        <f t="shared" si="36"/>
        <v>&gt; Total Length</v>
      </c>
      <c r="E215" s="96" t="str">
        <f t="shared" si="37"/>
        <v>&gt; Total Length</v>
      </c>
      <c r="F215" s="97" t="str">
        <f t="shared" si="38"/>
        <v>&gt; Total Length</v>
      </c>
      <c r="G215" s="97" t="str">
        <f t="shared" si="39"/>
        <v>&gt; Total Length</v>
      </c>
      <c r="H215" s="98"/>
      <c r="I215" s="99"/>
      <c r="J215" s="88" t="str">
        <f>IF(ISBLANK(FiringRate[[#This Row],[Event/bin]]), " ", FiringRate[[#This Row],[Event/bin]]/BinSize_sec)</f>
        <v xml:space="preserve"> </v>
      </c>
      <c r="K215" s="100" t="str">
        <f>IF(ISBLANK(FiringRate[[#This Row],[Conc events/bin]]), " ", FiringRate[[#This Row],[Conc events/bin]]/BinSize_sec)</f>
        <v xml:space="preserve"> </v>
      </c>
      <c r="M215" s="2"/>
      <c r="N215" s="2"/>
      <c r="O215" s="2"/>
      <c r="P215" s="2"/>
      <c r="BV215"/>
    </row>
    <row r="216" spans="2:74" x14ac:dyDescent="0.2">
      <c r="B216" s="88" t="str">
        <f t="shared" si="34"/>
        <v>&gt; Total Length</v>
      </c>
      <c r="C216" s="88" t="str">
        <f t="shared" si="35"/>
        <v>&gt; Total Length</v>
      </c>
      <c r="D216" s="96" t="str">
        <f t="shared" si="36"/>
        <v>&gt; Total Length</v>
      </c>
      <c r="E216" s="96" t="str">
        <f t="shared" si="37"/>
        <v>&gt; Total Length</v>
      </c>
      <c r="F216" s="97" t="str">
        <f t="shared" si="38"/>
        <v>&gt; Total Length</v>
      </c>
      <c r="G216" s="97" t="str">
        <f t="shared" si="39"/>
        <v>&gt; Total Length</v>
      </c>
      <c r="H216" s="98"/>
      <c r="I216" s="99"/>
      <c r="J216" s="88" t="str">
        <f>IF(ISBLANK(FiringRate[[#This Row],[Event/bin]]), " ", FiringRate[[#This Row],[Event/bin]]/BinSize_sec)</f>
        <v xml:space="preserve"> </v>
      </c>
      <c r="K216" s="100" t="str">
        <f>IF(ISBLANK(FiringRate[[#This Row],[Conc events/bin]]), " ", FiringRate[[#This Row],[Conc events/bin]]/BinSize_sec)</f>
        <v xml:space="preserve"> </v>
      </c>
      <c r="M216" s="2"/>
      <c r="N216" s="2"/>
      <c r="O216" s="2"/>
      <c r="P216" s="2"/>
      <c r="BV216"/>
    </row>
    <row r="217" spans="2:74" x14ac:dyDescent="0.2">
      <c r="B217" s="88" t="str">
        <f t="shared" si="34"/>
        <v>&gt; Total Length</v>
      </c>
      <c r="C217" s="88" t="str">
        <f t="shared" si="35"/>
        <v>&gt; Total Length</v>
      </c>
      <c r="D217" s="96" t="str">
        <f t="shared" si="36"/>
        <v>&gt; Total Length</v>
      </c>
      <c r="E217" s="96" t="str">
        <f t="shared" si="37"/>
        <v>&gt; Total Length</v>
      </c>
      <c r="F217" s="97" t="str">
        <f t="shared" si="38"/>
        <v>&gt; Total Length</v>
      </c>
      <c r="G217" s="97" t="str">
        <f t="shared" si="39"/>
        <v>&gt; Total Length</v>
      </c>
      <c r="H217" s="98"/>
      <c r="I217" s="99"/>
      <c r="J217" s="88" t="str">
        <f>IF(ISBLANK(FiringRate[[#This Row],[Event/bin]]), " ", FiringRate[[#This Row],[Event/bin]]/BinSize_sec)</f>
        <v xml:space="preserve"> </v>
      </c>
      <c r="K217" s="100" t="str">
        <f>IF(ISBLANK(FiringRate[[#This Row],[Conc events/bin]]), " ", FiringRate[[#This Row],[Conc events/bin]]/BinSize_sec)</f>
        <v xml:space="preserve"> </v>
      </c>
      <c r="M217" s="2"/>
      <c r="N217" s="2"/>
      <c r="O217" s="2"/>
      <c r="P217" s="2"/>
      <c r="BV217"/>
    </row>
    <row r="218" spans="2:74" x14ac:dyDescent="0.2">
      <c r="B218" s="88" t="str">
        <f t="shared" si="34"/>
        <v>&gt; Total Length</v>
      </c>
      <c r="C218" s="88" t="str">
        <f t="shared" si="35"/>
        <v>&gt; Total Length</v>
      </c>
      <c r="D218" s="96" t="str">
        <f t="shared" si="36"/>
        <v>&gt; Total Length</v>
      </c>
      <c r="E218" s="96" t="str">
        <f t="shared" si="37"/>
        <v>&gt; Total Length</v>
      </c>
      <c r="F218" s="97" t="str">
        <f t="shared" si="38"/>
        <v>&gt; Total Length</v>
      </c>
      <c r="G218" s="97" t="str">
        <f t="shared" si="39"/>
        <v>&gt; Total Length</v>
      </c>
      <c r="H218" s="98"/>
      <c r="I218" s="99"/>
      <c r="J218" s="88" t="str">
        <f>IF(ISBLANK(FiringRate[[#This Row],[Event/bin]]), " ", FiringRate[[#This Row],[Event/bin]]/BinSize_sec)</f>
        <v xml:space="preserve"> </v>
      </c>
      <c r="K218" s="100" t="str">
        <f>IF(ISBLANK(FiringRate[[#This Row],[Conc events/bin]]), " ", FiringRate[[#This Row],[Conc events/bin]]/BinSize_sec)</f>
        <v xml:space="preserve"> </v>
      </c>
      <c r="M218" s="2"/>
      <c r="N218" s="2"/>
      <c r="O218" s="2"/>
      <c r="P218" s="2"/>
      <c r="BV218"/>
    </row>
    <row r="219" spans="2:74" x14ac:dyDescent="0.2">
      <c r="B219" s="88" t="str">
        <f t="shared" si="34"/>
        <v>&gt; Total Length</v>
      </c>
      <c r="C219" s="88" t="str">
        <f t="shared" si="35"/>
        <v>&gt; Total Length</v>
      </c>
      <c r="D219" s="96" t="str">
        <f t="shared" si="36"/>
        <v>&gt; Total Length</v>
      </c>
      <c r="E219" s="96" t="str">
        <f t="shared" si="37"/>
        <v>&gt; Total Length</v>
      </c>
      <c r="F219" s="97" t="str">
        <f t="shared" si="38"/>
        <v>&gt; Total Length</v>
      </c>
      <c r="G219" s="97" t="str">
        <f t="shared" si="39"/>
        <v>&gt; Total Length</v>
      </c>
      <c r="H219" s="98"/>
      <c r="I219" s="99"/>
      <c r="J219" s="88" t="str">
        <f>IF(ISBLANK(FiringRate[[#This Row],[Event/bin]]), " ", FiringRate[[#This Row],[Event/bin]]/BinSize_sec)</f>
        <v xml:space="preserve"> </v>
      </c>
      <c r="K219" s="100" t="str">
        <f>IF(ISBLANK(FiringRate[[#This Row],[Conc events/bin]]), " ", FiringRate[[#This Row],[Conc events/bin]]/BinSize_sec)</f>
        <v xml:space="preserve"> </v>
      </c>
      <c r="M219" s="2"/>
      <c r="N219" s="2"/>
      <c r="O219" s="2"/>
      <c r="P219" s="2"/>
      <c r="BV219"/>
    </row>
    <row r="220" spans="2:74" x14ac:dyDescent="0.2">
      <c r="B220" s="88" t="str">
        <f t="shared" si="34"/>
        <v>&gt; Total Length</v>
      </c>
      <c r="C220" s="88" t="str">
        <f t="shared" si="35"/>
        <v>&gt; Total Length</v>
      </c>
      <c r="D220" s="96" t="str">
        <f t="shared" si="36"/>
        <v>&gt; Total Length</v>
      </c>
      <c r="E220" s="96" t="str">
        <f t="shared" si="37"/>
        <v>&gt; Total Length</v>
      </c>
      <c r="F220" s="97" t="str">
        <f t="shared" si="38"/>
        <v>&gt; Total Length</v>
      </c>
      <c r="G220" s="97" t="str">
        <f t="shared" si="39"/>
        <v>&gt; Total Length</v>
      </c>
      <c r="H220" s="98"/>
      <c r="I220" s="99"/>
      <c r="J220" s="88" t="str">
        <f>IF(ISBLANK(FiringRate[[#This Row],[Event/bin]]), " ", FiringRate[[#This Row],[Event/bin]]/BinSize_sec)</f>
        <v xml:space="preserve"> </v>
      </c>
      <c r="K220" s="100" t="str">
        <f>IF(ISBLANK(FiringRate[[#This Row],[Conc events/bin]]), " ", FiringRate[[#This Row],[Conc events/bin]]/BinSize_sec)</f>
        <v xml:space="preserve"> </v>
      </c>
      <c r="M220" s="2"/>
      <c r="N220" s="2"/>
      <c r="O220" s="2"/>
      <c r="P220" s="2"/>
      <c r="BV220"/>
    </row>
    <row r="221" spans="2:74" x14ac:dyDescent="0.2">
      <c r="B221" s="88" t="str">
        <f t="shared" si="34"/>
        <v>&gt; Total Length</v>
      </c>
      <c r="C221" s="88" t="str">
        <f t="shared" si="35"/>
        <v>&gt; Total Length</v>
      </c>
      <c r="D221" s="96" t="str">
        <f t="shared" si="36"/>
        <v>&gt; Total Length</v>
      </c>
      <c r="E221" s="96" t="str">
        <f t="shared" si="37"/>
        <v>&gt; Total Length</v>
      </c>
      <c r="F221" s="97" t="str">
        <f t="shared" si="38"/>
        <v>&gt; Total Length</v>
      </c>
      <c r="G221" s="97" t="str">
        <f t="shared" si="39"/>
        <v>&gt; Total Length</v>
      </c>
      <c r="H221" s="98"/>
      <c r="I221" s="99"/>
      <c r="J221" s="88" t="str">
        <f>IF(ISBLANK(FiringRate[[#This Row],[Event/bin]]), " ", FiringRate[[#This Row],[Event/bin]]/BinSize_sec)</f>
        <v xml:space="preserve"> </v>
      </c>
      <c r="K221" s="100" t="str">
        <f>IF(ISBLANK(FiringRate[[#This Row],[Conc events/bin]]), " ", FiringRate[[#This Row],[Conc events/bin]]/BinSize_sec)</f>
        <v xml:space="preserve"> </v>
      </c>
      <c r="M221" s="2"/>
      <c r="N221" s="2"/>
      <c r="O221" s="2"/>
      <c r="P221" s="2"/>
      <c r="BV221"/>
    </row>
    <row r="222" spans="2:74" x14ac:dyDescent="0.2">
      <c r="B222" s="88" t="str">
        <f t="shared" si="34"/>
        <v>&gt; Total Length</v>
      </c>
      <c r="C222" s="88" t="str">
        <f t="shared" si="35"/>
        <v>&gt; Total Length</v>
      </c>
      <c r="D222" s="96" t="str">
        <f t="shared" si="36"/>
        <v>&gt; Total Length</v>
      </c>
      <c r="E222" s="96" t="str">
        <f t="shared" si="37"/>
        <v>&gt; Total Length</v>
      </c>
      <c r="F222" s="97" t="str">
        <f t="shared" si="38"/>
        <v>&gt; Total Length</v>
      </c>
      <c r="G222" s="97" t="str">
        <f t="shared" si="39"/>
        <v>&gt; Total Length</v>
      </c>
      <c r="H222" s="98"/>
      <c r="I222" s="99"/>
      <c r="J222" s="88" t="str">
        <f>IF(ISBLANK(FiringRate[[#This Row],[Event/bin]]), " ", FiringRate[[#This Row],[Event/bin]]/BinSize_sec)</f>
        <v xml:space="preserve"> </v>
      </c>
      <c r="K222" s="100" t="str">
        <f>IF(ISBLANK(FiringRate[[#This Row],[Conc events/bin]]), " ", FiringRate[[#This Row],[Conc events/bin]]/BinSize_sec)</f>
        <v xml:space="preserve"> </v>
      </c>
      <c r="M222" s="2"/>
      <c r="N222" s="2"/>
      <c r="O222" s="2"/>
      <c r="P222" s="2"/>
      <c r="BV222"/>
    </row>
    <row r="223" spans="2:74" x14ac:dyDescent="0.2">
      <c r="B223" s="88" t="str">
        <f t="shared" si="34"/>
        <v>&gt; Total Length</v>
      </c>
      <c r="C223" s="88" t="str">
        <f t="shared" si="35"/>
        <v>&gt; Total Length</v>
      </c>
      <c r="D223" s="96" t="str">
        <f t="shared" si="36"/>
        <v>&gt; Total Length</v>
      </c>
      <c r="E223" s="96" t="str">
        <f t="shared" si="37"/>
        <v>&gt; Total Length</v>
      </c>
      <c r="F223" s="97" t="str">
        <f t="shared" si="38"/>
        <v>&gt; Total Length</v>
      </c>
      <c r="G223" s="97" t="str">
        <f t="shared" si="39"/>
        <v>&gt; Total Length</v>
      </c>
      <c r="H223" s="98"/>
      <c r="I223" s="99"/>
      <c r="J223" s="88" t="str">
        <f>IF(ISBLANK(FiringRate[[#This Row],[Event/bin]]), " ", FiringRate[[#This Row],[Event/bin]]/BinSize_sec)</f>
        <v xml:space="preserve"> </v>
      </c>
      <c r="K223" s="100" t="str">
        <f>IF(ISBLANK(FiringRate[[#This Row],[Conc events/bin]]), " ", FiringRate[[#This Row],[Conc events/bin]]/BinSize_sec)</f>
        <v xml:space="preserve"> </v>
      </c>
      <c r="M223" s="2"/>
      <c r="N223" s="2"/>
      <c r="O223" s="2"/>
      <c r="P223" s="2"/>
      <c r="BV223"/>
    </row>
    <row r="224" spans="2:74" x14ac:dyDescent="0.2">
      <c r="B224" s="88" t="str">
        <f t="shared" si="34"/>
        <v>&gt; Total Length</v>
      </c>
      <c r="C224" s="88" t="str">
        <f t="shared" si="35"/>
        <v>&gt; Total Length</v>
      </c>
      <c r="D224" s="96" t="str">
        <f t="shared" si="36"/>
        <v>&gt; Total Length</v>
      </c>
      <c r="E224" s="96" t="str">
        <f t="shared" si="37"/>
        <v>&gt; Total Length</v>
      </c>
      <c r="F224" s="97" t="str">
        <f t="shared" si="38"/>
        <v>&gt; Total Length</v>
      </c>
      <c r="G224" s="97" t="str">
        <f t="shared" si="39"/>
        <v>&gt; Total Length</v>
      </c>
      <c r="H224" s="98"/>
      <c r="I224" s="99"/>
      <c r="J224" s="88" t="str">
        <f>IF(ISBLANK(FiringRate[[#This Row],[Event/bin]]), " ", FiringRate[[#This Row],[Event/bin]]/BinSize_sec)</f>
        <v xml:space="preserve"> </v>
      </c>
      <c r="K224" s="100" t="str">
        <f>IF(ISBLANK(FiringRate[[#This Row],[Conc events/bin]]), " ", FiringRate[[#This Row],[Conc events/bin]]/BinSize_sec)</f>
        <v xml:space="preserve"> </v>
      </c>
      <c r="M224" s="2"/>
      <c r="N224" s="2"/>
      <c r="O224" s="2"/>
      <c r="P224" s="2"/>
      <c r="BV224"/>
    </row>
    <row r="225" spans="2:74" x14ac:dyDescent="0.2">
      <c r="B225" s="88" t="str">
        <f t="shared" si="34"/>
        <v>&gt; Total Length</v>
      </c>
      <c r="C225" s="88" t="str">
        <f t="shared" si="35"/>
        <v>&gt; Total Length</v>
      </c>
      <c r="D225" s="96" t="str">
        <f t="shared" si="36"/>
        <v>&gt; Total Length</v>
      </c>
      <c r="E225" s="96" t="str">
        <f t="shared" si="37"/>
        <v>&gt; Total Length</v>
      </c>
      <c r="F225" s="97" t="str">
        <f t="shared" si="38"/>
        <v>&gt; Total Length</v>
      </c>
      <c r="G225" s="97" t="str">
        <f t="shared" si="39"/>
        <v>&gt; Total Length</v>
      </c>
      <c r="H225" s="98"/>
      <c r="I225" s="99"/>
      <c r="J225" s="88" t="str">
        <f>IF(ISBLANK(FiringRate[[#This Row],[Event/bin]]), " ", FiringRate[[#This Row],[Event/bin]]/BinSize_sec)</f>
        <v xml:space="preserve"> </v>
      </c>
      <c r="K225" s="100" t="str">
        <f>IF(ISBLANK(FiringRate[[#This Row],[Conc events/bin]]), " ", FiringRate[[#This Row],[Conc events/bin]]/BinSize_sec)</f>
        <v xml:space="preserve"> </v>
      </c>
      <c r="M225" s="2"/>
      <c r="N225" s="2"/>
      <c r="O225" s="2"/>
      <c r="P225" s="2"/>
      <c r="BV225"/>
    </row>
    <row r="226" spans="2:74" x14ac:dyDescent="0.2">
      <c r="B226" s="88" t="str">
        <f t="shared" si="34"/>
        <v>&gt; Total Length</v>
      </c>
      <c r="C226" s="88" t="str">
        <f t="shared" si="35"/>
        <v>&gt; Total Length</v>
      </c>
      <c r="D226" s="96" t="str">
        <f t="shared" si="36"/>
        <v>&gt; Total Length</v>
      </c>
      <c r="E226" s="96" t="str">
        <f t="shared" si="37"/>
        <v>&gt; Total Length</v>
      </c>
      <c r="F226" s="97" t="str">
        <f t="shared" si="38"/>
        <v>&gt; Total Length</v>
      </c>
      <c r="G226" s="97" t="str">
        <f t="shared" si="39"/>
        <v>&gt; Total Length</v>
      </c>
      <c r="H226" s="98"/>
      <c r="I226" s="99"/>
      <c r="J226" s="88" t="str">
        <f>IF(ISBLANK(FiringRate[[#This Row],[Event/bin]]), " ", FiringRate[[#This Row],[Event/bin]]/BinSize_sec)</f>
        <v xml:space="preserve"> </v>
      </c>
      <c r="K226" s="100" t="str">
        <f>IF(ISBLANK(FiringRate[[#This Row],[Conc events/bin]]), " ", FiringRate[[#This Row],[Conc events/bin]]/BinSize_sec)</f>
        <v xml:space="preserve"> </v>
      </c>
      <c r="M226" s="2"/>
      <c r="N226" s="2"/>
      <c r="O226" s="2"/>
      <c r="P226" s="2"/>
      <c r="BV226"/>
    </row>
    <row r="227" spans="2:74" x14ac:dyDescent="0.2">
      <c r="B227" s="88" t="str">
        <f t="shared" si="34"/>
        <v>&gt; Total Length</v>
      </c>
      <c r="C227" s="88" t="str">
        <f t="shared" si="35"/>
        <v>&gt; Total Length</v>
      </c>
      <c r="D227" s="96" t="str">
        <f t="shared" si="36"/>
        <v>&gt; Total Length</v>
      </c>
      <c r="E227" s="96" t="str">
        <f t="shared" si="37"/>
        <v>&gt; Total Length</v>
      </c>
      <c r="F227" s="97" t="str">
        <f t="shared" si="38"/>
        <v>&gt; Total Length</v>
      </c>
      <c r="G227" s="97" t="str">
        <f t="shared" si="39"/>
        <v>&gt; Total Length</v>
      </c>
      <c r="H227" s="98"/>
      <c r="I227" s="99"/>
      <c r="J227" s="88" t="str">
        <f>IF(ISBLANK(FiringRate[[#This Row],[Event/bin]]), " ", FiringRate[[#This Row],[Event/bin]]/BinSize_sec)</f>
        <v xml:space="preserve"> </v>
      </c>
      <c r="K227" s="100" t="str">
        <f>IF(ISBLANK(FiringRate[[#This Row],[Conc events/bin]]), " ", FiringRate[[#This Row],[Conc events/bin]]/BinSize_sec)</f>
        <v xml:space="preserve"> </v>
      </c>
      <c r="M227" s="2"/>
      <c r="N227" s="2"/>
      <c r="O227" s="2"/>
      <c r="P227" s="2"/>
      <c r="BV227"/>
    </row>
    <row r="228" spans="2:74" x14ac:dyDescent="0.2">
      <c r="B228" s="88" t="str">
        <f t="shared" si="34"/>
        <v>&gt; Total Length</v>
      </c>
      <c r="C228" s="88" t="str">
        <f t="shared" si="35"/>
        <v>&gt; Total Length</v>
      </c>
      <c r="D228" s="96" t="str">
        <f t="shared" si="36"/>
        <v>&gt; Total Length</v>
      </c>
      <c r="E228" s="96" t="str">
        <f t="shared" si="37"/>
        <v>&gt; Total Length</v>
      </c>
      <c r="F228" s="97" t="str">
        <f t="shared" si="38"/>
        <v>&gt; Total Length</v>
      </c>
      <c r="G228" s="97" t="str">
        <f t="shared" si="39"/>
        <v>&gt; Total Length</v>
      </c>
      <c r="H228" s="98"/>
      <c r="I228" s="99"/>
      <c r="J228" s="88" t="str">
        <f>IF(ISBLANK(FiringRate[[#This Row],[Event/bin]]), " ", FiringRate[[#This Row],[Event/bin]]/BinSize_sec)</f>
        <v xml:space="preserve"> </v>
      </c>
      <c r="K228" s="100" t="str">
        <f>IF(ISBLANK(FiringRate[[#This Row],[Conc events/bin]]), " ", FiringRate[[#This Row],[Conc events/bin]]/BinSize_sec)</f>
        <v xml:space="preserve"> </v>
      </c>
      <c r="M228" s="2"/>
      <c r="N228" s="2"/>
      <c r="O228" s="2"/>
      <c r="P228" s="2"/>
      <c r="BV228"/>
    </row>
    <row r="229" spans="2:74" x14ac:dyDescent="0.2">
      <c r="B229" s="88" t="str">
        <f t="shared" si="34"/>
        <v>&gt; Total Length</v>
      </c>
      <c r="C229" s="88" t="str">
        <f t="shared" si="35"/>
        <v>&gt; Total Length</v>
      </c>
      <c r="D229" s="96" t="str">
        <f t="shared" si="36"/>
        <v>&gt; Total Length</v>
      </c>
      <c r="E229" s="96" t="str">
        <f t="shared" si="37"/>
        <v>&gt; Total Length</v>
      </c>
      <c r="F229" s="97" t="str">
        <f t="shared" si="38"/>
        <v>&gt; Total Length</v>
      </c>
      <c r="G229" s="97" t="str">
        <f t="shared" si="39"/>
        <v>&gt; Total Length</v>
      </c>
      <c r="H229" s="98"/>
      <c r="I229" s="99"/>
      <c r="J229" s="88" t="str">
        <f>IF(ISBLANK(FiringRate[[#This Row],[Event/bin]]), " ", FiringRate[[#This Row],[Event/bin]]/BinSize_sec)</f>
        <v xml:space="preserve"> </v>
      </c>
      <c r="K229" s="100" t="str">
        <f>IF(ISBLANK(FiringRate[[#This Row],[Conc events/bin]]), " ", FiringRate[[#This Row],[Conc events/bin]]/BinSize_sec)</f>
        <v xml:space="preserve"> </v>
      </c>
      <c r="M229" s="2"/>
      <c r="N229" s="2"/>
      <c r="O229" s="2"/>
      <c r="P229" s="2"/>
      <c r="BV229"/>
    </row>
    <row r="230" spans="2:74" x14ac:dyDescent="0.2">
      <c r="B230" s="88" t="str">
        <f t="shared" si="34"/>
        <v>&gt; Total Length</v>
      </c>
      <c r="C230" s="88" t="str">
        <f t="shared" si="35"/>
        <v>&gt; Total Length</v>
      </c>
      <c r="D230" s="96" t="str">
        <f t="shared" si="36"/>
        <v>&gt; Total Length</v>
      </c>
      <c r="E230" s="96" t="str">
        <f t="shared" si="37"/>
        <v>&gt; Total Length</v>
      </c>
      <c r="F230" s="97" t="str">
        <f t="shared" si="38"/>
        <v>&gt; Total Length</v>
      </c>
      <c r="G230" s="97" t="str">
        <f t="shared" si="39"/>
        <v>&gt; Total Length</v>
      </c>
      <c r="H230" s="98"/>
      <c r="I230" s="99"/>
      <c r="J230" s="88" t="str">
        <f>IF(ISBLANK(FiringRate[[#This Row],[Event/bin]]), " ", FiringRate[[#This Row],[Event/bin]]/BinSize_sec)</f>
        <v xml:space="preserve"> </v>
      </c>
      <c r="K230" s="100" t="str">
        <f>IF(ISBLANK(FiringRate[[#This Row],[Conc events/bin]]), " ", FiringRate[[#This Row],[Conc events/bin]]/BinSize_sec)</f>
        <v xml:space="preserve"> </v>
      </c>
      <c r="M230" s="2"/>
      <c r="N230" s="2"/>
      <c r="O230" s="2"/>
      <c r="P230" s="2"/>
      <c r="BV230"/>
    </row>
    <row r="231" spans="2:74" x14ac:dyDescent="0.2">
      <c r="B231" s="88" t="str">
        <f t="shared" si="34"/>
        <v>&gt; Total Length</v>
      </c>
      <c r="C231" s="88" t="str">
        <f t="shared" si="35"/>
        <v>&gt; Total Length</v>
      </c>
      <c r="D231" s="96" t="str">
        <f t="shared" si="36"/>
        <v>&gt; Total Length</v>
      </c>
      <c r="E231" s="96" t="str">
        <f t="shared" si="37"/>
        <v>&gt; Total Length</v>
      </c>
      <c r="F231" s="97" t="str">
        <f t="shared" si="38"/>
        <v>&gt; Total Length</v>
      </c>
      <c r="G231" s="97" t="str">
        <f t="shared" si="39"/>
        <v>&gt; Total Length</v>
      </c>
      <c r="H231" s="98"/>
      <c r="I231" s="99"/>
      <c r="J231" s="88" t="str">
        <f>IF(ISBLANK(FiringRate[[#This Row],[Event/bin]]), " ", FiringRate[[#This Row],[Event/bin]]/BinSize_sec)</f>
        <v xml:space="preserve"> </v>
      </c>
      <c r="K231" s="100" t="str">
        <f>IF(ISBLANK(FiringRate[[#This Row],[Conc events/bin]]), " ", FiringRate[[#This Row],[Conc events/bin]]/BinSize_sec)</f>
        <v xml:space="preserve"> </v>
      </c>
      <c r="M231" s="2"/>
      <c r="N231" s="2"/>
      <c r="O231" s="2"/>
      <c r="P231" s="2"/>
      <c r="BV231"/>
    </row>
    <row r="232" spans="2:74" x14ac:dyDescent="0.2">
      <c r="B232" s="88" t="str">
        <f t="shared" si="34"/>
        <v>&gt; Total Length</v>
      </c>
      <c r="C232" s="88" t="str">
        <f t="shared" si="35"/>
        <v>&gt; Total Length</v>
      </c>
      <c r="D232" s="96" t="str">
        <f t="shared" si="36"/>
        <v>&gt; Total Length</v>
      </c>
      <c r="E232" s="96" t="str">
        <f t="shared" si="37"/>
        <v>&gt; Total Length</v>
      </c>
      <c r="F232" s="97" t="str">
        <f t="shared" si="38"/>
        <v>&gt; Total Length</v>
      </c>
      <c r="G232" s="97" t="str">
        <f t="shared" si="39"/>
        <v>&gt; Total Length</v>
      </c>
      <c r="H232" s="98"/>
      <c r="I232" s="99"/>
      <c r="J232" s="88" t="str">
        <f>IF(ISBLANK(FiringRate[[#This Row],[Event/bin]]), " ", FiringRate[[#This Row],[Event/bin]]/BinSize_sec)</f>
        <v xml:space="preserve"> </v>
      </c>
      <c r="K232" s="100" t="str">
        <f>IF(ISBLANK(FiringRate[[#This Row],[Conc events/bin]]), " ", FiringRate[[#This Row],[Conc events/bin]]/BinSize_sec)</f>
        <v xml:space="preserve"> </v>
      </c>
      <c r="M232" s="2"/>
      <c r="N232" s="2"/>
      <c r="O232" s="2"/>
      <c r="P232" s="2"/>
      <c r="BV232"/>
    </row>
    <row r="233" spans="2:74" x14ac:dyDescent="0.2">
      <c r="B233" s="88" t="str">
        <f t="shared" si="34"/>
        <v>&gt; Total Length</v>
      </c>
      <c r="C233" s="88" t="str">
        <f t="shared" si="35"/>
        <v>&gt; Total Length</v>
      </c>
      <c r="D233" s="96" t="str">
        <f t="shared" si="36"/>
        <v>&gt; Total Length</v>
      </c>
      <c r="E233" s="96" t="str">
        <f t="shared" si="37"/>
        <v>&gt; Total Length</v>
      </c>
      <c r="F233" s="97" t="str">
        <f t="shared" si="38"/>
        <v>&gt; Total Length</v>
      </c>
      <c r="G233" s="97" t="str">
        <f t="shared" si="39"/>
        <v>&gt; Total Length</v>
      </c>
      <c r="H233" s="98"/>
      <c r="I233" s="99"/>
      <c r="J233" s="88" t="str">
        <f>IF(ISBLANK(FiringRate[[#This Row],[Event/bin]]), " ", FiringRate[[#This Row],[Event/bin]]/BinSize_sec)</f>
        <v xml:space="preserve"> </v>
      </c>
      <c r="K233" s="100" t="str">
        <f>IF(ISBLANK(FiringRate[[#This Row],[Conc events/bin]]), " ", FiringRate[[#This Row],[Conc events/bin]]/BinSize_sec)</f>
        <v xml:space="preserve"> </v>
      </c>
      <c r="M233" s="2"/>
      <c r="N233" s="2"/>
      <c r="O233" s="2"/>
      <c r="P233" s="2"/>
      <c r="BV233"/>
    </row>
    <row r="234" spans="2:74" x14ac:dyDescent="0.2">
      <c r="B234" s="88" t="str">
        <f t="shared" si="34"/>
        <v>&gt; Total Length</v>
      </c>
      <c r="C234" s="88" t="str">
        <f t="shared" si="35"/>
        <v>&gt; Total Length</v>
      </c>
      <c r="D234" s="96" t="str">
        <f t="shared" si="36"/>
        <v>&gt; Total Length</v>
      </c>
      <c r="E234" s="96" t="str">
        <f t="shared" si="37"/>
        <v>&gt; Total Length</v>
      </c>
      <c r="F234" s="97" t="str">
        <f t="shared" si="38"/>
        <v>&gt; Total Length</v>
      </c>
      <c r="G234" s="97" t="str">
        <f t="shared" si="39"/>
        <v>&gt; Total Length</v>
      </c>
      <c r="H234" s="98"/>
      <c r="I234" s="99"/>
      <c r="J234" s="88" t="str">
        <f>IF(ISBLANK(FiringRate[[#This Row],[Event/bin]]), " ", FiringRate[[#This Row],[Event/bin]]/BinSize_sec)</f>
        <v xml:space="preserve"> </v>
      </c>
      <c r="K234" s="100" t="str">
        <f>IF(ISBLANK(FiringRate[[#This Row],[Conc events/bin]]), " ", FiringRate[[#This Row],[Conc events/bin]]/BinSize_sec)</f>
        <v xml:space="preserve"> </v>
      </c>
      <c r="M234" s="2"/>
      <c r="N234" s="2"/>
      <c r="O234" s="2"/>
      <c r="P234" s="2"/>
      <c r="BV234"/>
    </row>
    <row r="235" spans="2:74" x14ac:dyDescent="0.2">
      <c r="B235" s="88" t="str">
        <f t="shared" si="34"/>
        <v>&gt; Total Length</v>
      </c>
      <c r="C235" s="88" t="str">
        <f t="shared" si="35"/>
        <v>&gt; Total Length</v>
      </c>
      <c r="D235" s="96" t="str">
        <f t="shared" si="36"/>
        <v>&gt; Total Length</v>
      </c>
      <c r="E235" s="96" t="str">
        <f t="shared" si="37"/>
        <v>&gt; Total Length</v>
      </c>
      <c r="F235" s="97" t="str">
        <f t="shared" si="38"/>
        <v>&gt; Total Length</v>
      </c>
      <c r="G235" s="97" t="str">
        <f t="shared" si="39"/>
        <v>&gt; Total Length</v>
      </c>
      <c r="H235" s="98"/>
      <c r="I235" s="99"/>
      <c r="J235" s="88" t="str">
        <f>IF(ISBLANK(FiringRate[[#This Row],[Event/bin]]), " ", FiringRate[[#This Row],[Event/bin]]/BinSize_sec)</f>
        <v xml:space="preserve"> </v>
      </c>
      <c r="K235" s="100" t="str">
        <f>IF(ISBLANK(FiringRate[[#This Row],[Conc events/bin]]), " ", FiringRate[[#This Row],[Conc events/bin]]/BinSize_sec)</f>
        <v xml:space="preserve"> </v>
      </c>
      <c r="M235" s="2"/>
      <c r="N235" s="2"/>
      <c r="O235" s="2"/>
      <c r="P235" s="2"/>
      <c r="BV235"/>
    </row>
    <row r="236" spans="2:74" x14ac:dyDescent="0.2">
      <c r="B236" s="88" t="str">
        <f t="shared" si="34"/>
        <v>&gt; Total Length</v>
      </c>
      <c r="C236" s="88" t="str">
        <f t="shared" si="35"/>
        <v>&gt; Total Length</v>
      </c>
      <c r="D236" s="96" t="str">
        <f t="shared" si="36"/>
        <v>&gt; Total Length</v>
      </c>
      <c r="E236" s="96" t="str">
        <f t="shared" si="37"/>
        <v>&gt; Total Length</v>
      </c>
      <c r="F236" s="97" t="str">
        <f t="shared" si="38"/>
        <v>&gt; Total Length</v>
      </c>
      <c r="G236" s="97" t="str">
        <f t="shared" si="39"/>
        <v>&gt; Total Length</v>
      </c>
      <c r="H236" s="98"/>
      <c r="I236" s="99"/>
      <c r="J236" s="88" t="str">
        <f>IF(ISBLANK(FiringRate[[#This Row],[Event/bin]]), " ", FiringRate[[#This Row],[Event/bin]]/BinSize_sec)</f>
        <v xml:space="preserve"> </v>
      </c>
      <c r="K236" s="100" t="str">
        <f>IF(ISBLANK(FiringRate[[#This Row],[Conc events/bin]]), " ", FiringRate[[#This Row],[Conc events/bin]]/BinSize_sec)</f>
        <v xml:space="preserve"> </v>
      </c>
      <c r="M236" s="2"/>
      <c r="N236" s="2"/>
      <c r="O236" s="2"/>
      <c r="P236" s="2"/>
      <c r="BV236"/>
    </row>
    <row r="237" spans="2:74" x14ac:dyDescent="0.2">
      <c r="B237" s="88" t="str">
        <f t="shared" si="34"/>
        <v>&gt; Total Length</v>
      </c>
      <c r="C237" s="88" t="str">
        <f t="shared" si="35"/>
        <v>&gt; Total Length</v>
      </c>
      <c r="D237" s="96" t="str">
        <f t="shared" si="36"/>
        <v>&gt; Total Length</v>
      </c>
      <c r="E237" s="96" t="str">
        <f t="shared" si="37"/>
        <v>&gt; Total Length</v>
      </c>
      <c r="F237" s="97" t="str">
        <f t="shared" si="38"/>
        <v>&gt; Total Length</v>
      </c>
      <c r="G237" s="97" t="str">
        <f t="shared" si="39"/>
        <v>&gt; Total Length</v>
      </c>
      <c r="H237" s="98"/>
      <c r="I237" s="99"/>
      <c r="J237" s="88" t="str">
        <f>IF(ISBLANK(FiringRate[[#This Row],[Event/bin]]), " ", FiringRate[[#This Row],[Event/bin]]/BinSize_sec)</f>
        <v xml:space="preserve"> </v>
      </c>
      <c r="K237" s="100" t="str">
        <f>IF(ISBLANK(FiringRate[[#This Row],[Conc events/bin]]), " ", FiringRate[[#This Row],[Conc events/bin]]/BinSize_sec)</f>
        <v xml:space="preserve"> </v>
      </c>
      <c r="M237" s="2"/>
      <c r="N237" s="2"/>
      <c r="O237" s="2"/>
      <c r="P237" s="2"/>
      <c r="BV237"/>
    </row>
    <row r="238" spans="2:74" x14ac:dyDescent="0.2">
      <c r="B238" s="88" t="str">
        <f t="shared" si="34"/>
        <v>&gt; Total Length</v>
      </c>
      <c r="C238" s="88" t="str">
        <f t="shared" si="35"/>
        <v>&gt; Total Length</v>
      </c>
      <c r="D238" s="96" t="str">
        <f t="shared" si="36"/>
        <v>&gt; Total Length</v>
      </c>
      <c r="E238" s="96" t="str">
        <f t="shared" si="37"/>
        <v>&gt; Total Length</v>
      </c>
      <c r="F238" s="97" t="str">
        <f t="shared" si="38"/>
        <v>&gt; Total Length</v>
      </c>
      <c r="G238" s="97" t="str">
        <f t="shared" si="39"/>
        <v>&gt; Total Length</v>
      </c>
      <c r="H238" s="98"/>
      <c r="I238" s="99"/>
      <c r="J238" s="88" t="str">
        <f>IF(ISBLANK(FiringRate[[#This Row],[Event/bin]]), " ", FiringRate[[#This Row],[Event/bin]]/BinSize_sec)</f>
        <v xml:space="preserve"> </v>
      </c>
      <c r="K238" s="100" t="str">
        <f>IF(ISBLANK(FiringRate[[#This Row],[Conc events/bin]]), " ", FiringRate[[#This Row],[Conc events/bin]]/BinSize_sec)</f>
        <v xml:space="preserve"> </v>
      </c>
      <c r="M238" s="2"/>
      <c r="N238" s="2"/>
      <c r="O238" s="2"/>
      <c r="P238" s="2"/>
      <c r="BV238"/>
    </row>
    <row r="239" spans="2:74" x14ac:dyDescent="0.2">
      <c r="B239" s="88" t="str">
        <f t="shared" si="34"/>
        <v>&gt; Total Length</v>
      </c>
      <c r="C239" s="88" t="str">
        <f t="shared" si="35"/>
        <v>&gt; Total Length</v>
      </c>
      <c r="D239" s="96" t="str">
        <f t="shared" si="36"/>
        <v>&gt; Total Length</v>
      </c>
      <c r="E239" s="96" t="str">
        <f t="shared" si="37"/>
        <v>&gt; Total Length</v>
      </c>
      <c r="F239" s="97" t="str">
        <f t="shared" si="38"/>
        <v>&gt; Total Length</v>
      </c>
      <c r="G239" s="97" t="str">
        <f t="shared" si="39"/>
        <v>&gt; Total Length</v>
      </c>
      <c r="H239" s="98"/>
      <c r="I239" s="99"/>
      <c r="J239" s="88" t="str">
        <f>IF(ISBLANK(FiringRate[[#This Row],[Event/bin]]), " ", FiringRate[[#This Row],[Event/bin]]/BinSize_sec)</f>
        <v xml:space="preserve"> </v>
      </c>
      <c r="K239" s="100" t="str">
        <f>IF(ISBLANK(FiringRate[[#This Row],[Conc events/bin]]), " ", FiringRate[[#This Row],[Conc events/bin]]/BinSize_sec)</f>
        <v xml:space="preserve"> </v>
      </c>
      <c r="M239" s="2"/>
      <c r="N239" s="2"/>
      <c r="O239" s="2"/>
      <c r="P239" s="2"/>
      <c r="BV239"/>
    </row>
    <row r="240" spans="2:74" x14ac:dyDescent="0.2">
      <c r="B240" s="88" t="str">
        <f t="shared" si="34"/>
        <v>&gt; Total Length</v>
      </c>
      <c r="C240" s="88" t="str">
        <f t="shared" si="35"/>
        <v>&gt; Total Length</v>
      </c>
      <c r="D240" s="96" t="str">
        <f t="shared" si="36"/>
        <v>&gt; Total Length</v>
      </c>
      <c r="E240" s="96" t="str">
        <f t="shared" si="37"/>
        <v>&gt; Total Length</v>
      </c>
      <c r="F240" s="97" t="str">
        <f t="shared" si="38"/>
        <v>&gt; Total Length</v>
      </c>
      <c r="G240" s="97" t="str">
        <f t="shared" si="39"/>
        <v>&gt; Total Length</v>
      </c>
      <c r="H240" s="98"/>
      <c r="I240" s="99"/>
      <c r="J240" s="88" t="str">
        <f>IF(ISBLANK(FiringRate[[#This Row],[Event/bin]]), " ", FiringRate[[#This Row],[Event/bin]]/BinSize_sec)</f>
        <v xml:space="preserve"> </v>
      </c>
      <c r="K240" s="100" t="str">
        <f>IF(ISBLANK(FiringRate[[#This Row],[Conc events/bin]]), " ", FiringRate[[#This Row],[Conc events/bin]]/BinSize_sec)</f>
        <v xml:space="preserve"> </v>
      </c>
      <c r="M240" s="2"/>
      <c r="N240" s="2"/>
      <c r="O240" s="2"/>
      <c r="P240" s="2"/>
      <c r="BV240"/>
    </row>
    <row r="241" spans="2:74" x14ac:dyDescent="0.2">
      <c r="B241" s="88" t="str">
        <f t="shared" ref="B241:B272" si="40">IF(E240&lt;TotalLength_min, IF(ISNONTEXT(B240), IF(C241&gt;C240, B240, IF(B240&lt;LastSeries, B240+1)), B240), "&gt; Total Length")</f>
        <v>&gt; Total Length</v>
      </c>
      <c r="C241" s="88" t="str">
        <f t="shared" ref="C241:C272" si="41">IF(E240&lt;TotalLength_min, IF(ISNONTEXT(C240), IF(C240&lt;(BinsPerSeries-1),C240+1,0), C240), "&gt; Total Length")</f>
        <v>&gt; Total Length</v>
      </c>
      <c r="D241" s="96" t="str">
        <f t="shared" ref="D241:D272" si="42">IF(BinSize_sec &gt; 0, IF(ISNONTEXT(F240), IF(F240 + BinSize_sec &lt; TotalLength_sec, F241/60, "&gt; Total Length"), F240), "No bin size")</f>
        <v>&gt; Total Length</v>
      </c>
      <c r="E241" s="96" t="str">
        <f t="shared" ref="E241:E272" si="43">IF(BinSize_sec &gt; 0, IF(ISNONTEXT(G240), IF(G240 + BinSize_sec &gt; TotalLength_sec, "&gt; Total Length", G241/60), G240), "No bin size")</f>
        <v>&gt; Total Length</v>
      </c>
      <c r="F241" s="97" t="str">
        <f t="shared" ref="F241:F272" si="44">IF(BinSize_sec &gt; 0, IF(ISNONTEXT(F240), IF(F240 + BinSize_sec &lt; TotalLength_sec, F240 + BinSize_sec, "&gt; Total Length"), F240), "No bin size")</f>
        <v>&gt; Total Length</v>
      </c>
      <c r="G241" s="97" t="str">
        <f t="shared" ref="G241:G272" si="45">IF(BinSize_sec &gt; 0, IF(ISNONTEXT(G240), IF(G240 + BinSize_sec &gt; TotalLength_sec, "&gt; Total Length", G240 + BinSize_sec), G240), "No bin size")</f>
        <v>&gt; Total Length</v>
      </c>
      <c r="H241" s="98"/>
      <c r="I241" s="99"/>
      <c r="J241" s="88" t="str">
        <f>IF(ISBLANK(FiringRate[[#This Row],[Event/bin]]), " ", FiringRate[[#This Row],[Event/bin]]/BinSize_sec)</f>
        <v xml:space="preserve"> </v>
      </c>
      <c r="K241" s="100" t="str">
        <f>IF(ISBLANK(FiringRate[[#This Row],[Conc events/bin]]), " ", FiringRate[[#This Row],[Conc events/bin]]/BinSize_sec)</f>
        <v xml:space="preserve"> </v>
      </c>
      <c r="M241" s="2"/>
      <c r="N241" s="2"/>
      <c r="O241" s="2"/>
      <c r="P241" s="2"/>
      <c r="BV241"/>
    </row>
    <row r="242" spans="2:74" x14ac:dyDescent="0.2">
      <c r="B242" s="88" t="str">
        <f t="shared" si="40"/>
        <v>&gt; Total Length</v>
      </c>
      <c r="C242" s="88" t="str">
        <f t="shared" si="41"/>
        <v>&gt; Total Length</v>
      </c>
      <c r="D242" s="96" t="str">
        <f t="shared" si="42"/>
        <v>&gt; Total Length</v>
      </c>
      <c r="E242" s="96" t="str">
        <f t="shared" si="43"/>
        <v>&gt; Total Length</v>
      </c>
      <c r="F242" s="97" t="str">
        <f t="shared" si="44"/>
        <v>&gt; Total Length</v>
      </c>
      <c r="G242" s="97" t="str">
        <f t="shared" si="45"/>
        <v>&gt; Total Length</v>
      </c>
      <c r="H242" s="98"/>
      <c r="I242" s="99"/>
      <c r="J242" s="88" t="str">
        <f>IF(ISBLANK(FiringRate[[#This Row],[Event/bin]]), " ", FiringRate[[#This Row],[Event/bin]]/BinSize_sec)</f>
        <v xml:space="preserve"> </v>
      </c>
      <c r="K242" s="100" t="str">
        <f>IF(ISBLANK(FiringRate[[#This Row],[Conc events/bin]]), " ", FiringRate[[#This Row],[Conc events/bin]]/BinSize_sec)</f>
        <v xml:space="preserve"> </v>
      </c>
      <c r="M242" s="2"/>
      <c r="N242" s="2"/>
      <c r="O242" s="2"/>
      <c r="P242" s="2"/>
      <c r="BV242"/>
    </row>
    <row r="243" spans="2:74" x14ac:dyDescent="0.2">
      <c r="B243" s="88" t="str">
        <f t="shared" si="40"/>
        <v>&gt; Total Length</v>
      </c>
      <c r="C243" s="88" t="str">
        <f t="shared" si="41"/>
        <v>&gt; Total Length</v>
      </c>
      <c r="D243" s="96" t="str">
        <f t="shared" si="42"/>
        <v>&gt; Total Length</v>
      </c>
      <c r="E243" s="96" t="str">
        <f t="shared" si="43"/>
        <v>&gt; Total Length</v>
      </c>
      <c r="F243" s="97" t="str">
        <f t="shared" si="44"/>
        <v>&gt; Total Length</v>
      </c>
      <c r="G243" s="97" t="str">
        <f t="shared" si="45"/>
        <v>&gt; Total Length</v>
      </c>
      <c r="H243" s="98"/>
      <c r="I243" s="99"/>
      <c r="J243" s="88" t="str">
        <f>IF(ISBLANK(FiringRate[[#This Row],[Event/bin]]), " ", FiringRate[[#This Row],[Event/bin]]/BinSize_sec)</f>
        <v xml:space="preserve"> </v>
      </c>
      <c r="K243" s="100" t="str">
        <f>IF(ISBLANK(FiringRate[[#This Row],[Conc events/bin]]), " ", FiringRate[[#This Row],[Conc events/bin]]/BinSize_sec)</f>
        <v xml:space="preserve"> </v>
      </c>
      <c r="M243" s="2"/>
      <c r="N243" s="2"/>
      <c r="O243" s="2"/>
      <c r="P243" s="2"/>
      <c r="BV243"/>
    </row>
    <row r="244" spans="2:74" x14ac:dyDescent="0.2">
      <c r="B244" s="88" t="str">
        <f t="shared" si="40"/>
        <v>&gt; Total Length</v>
      </c>
      <c r="C244" s="88" t="str">
        <f t="shared" si="41"/>
        <v>&gt; Total Length</v>
      </c>
      <c r="D244" s="96" t="str">
        <f t="shared" si="42"/>
        <v>&gt; Total Length</v>
      </c>
      <c r="E244" s="96" t="str">
        <f t="shared" si="43"/>
        <v>&gt; Total Length</v>
      </c>
      <c r="F244" s="97" t="str">
        <f t="shared" si="44"/>
        <v>&gt; Total Length</v>
      </c>
      <c r="G244" s="97" t="str">
        <f t="shared" si="45"/>
        <v>&gt; Total Length</v>
      </c>
      <c r="H244" s="98"/>
      <c r="I244" s="99"/>
      <c r="J244" s="88" t="str">
        <f>IF(ISBLANK(FiringRate[[#This Row],[Event/bin]]), " ", FiringRate[[#This Row],[Event/bin]]/BinSize_sec)</f>
        <v xml:space="preserve"> </v>
      </c>
      <c r="K244" s="100" t="str">
        <f>IF(ISBLANK(FiringRate[[#This Row],[Conc events/bin]]), " ", FiringRate[[#This Row],[Conc events/bin]]/BinSize_sec)</f>
        <v xml:space="preserve"> </v>
      </c>
      <c r="M244" s="2"/>
      <c r="N244" s="2"/>
      <c r="O244" s="2"/>
      <c r="P244" s="2"/>
      <c r="BV244"/>
    </row>
    <row r="245" spans="2:74" x14ac:dyDescent="0.2">
      <c r="B245" s="88" t="str">
        <f t="shared" si="40"/>
        <v>&gt; Total Length</v>
      </c>
      <c r="C245" s="88" t="str">
        <f t="shared" si="41"/>
        <v>&gt; Total Length</v>
      </c>
      <c r="D245" s="96" t="str">
        <f t="shared" si="42"/>
        <v>&gt; Total Length</v>
      </c>
      <c r="E245" s="96" t="str">
        <f t="shared" si="43"/>
        <v>&gt; Total Length</v>
      </c>
      <c r="F245" s="97" t="str">
        <f t="shared" si="44"/>
        <v>&gt; Total Length</v>
      </c>
      <c r="G245" s="97" t="str">
        <f t="shared" si="45"/>
        <v>&gt; Total Length</v>
      </c>
      <c r="H245" s="98"/>
      <c r="I245" s="99"/>
      <c r="J245" s="88" t="str">
        <f>IF(ISBLANK(FiringRate[[#This Row],[Event/bin]]), " ", FiringRate[[#This Row],[Event/bin]]/BinSize_sec)</f>
        <v xml:space="preserve"> </v>
      </c>
      <c r="K245" s="100" t="str">
        <f>IF(ISBLANK(FiringRate[[#This Row],[Conc events/bin]]), " ", FiringRate[[#This Row],[Conc events/bin]]/BinSize_sec)</f>
        <v xml:space="preserve"> </v>
      </c>
      <c r="M245" s="2"/>
      <c r="N245" s="2"/>
      <c r="O245" s="2"/>
      <c r="P245" s="2"/>
      <c r="BV245"/>
    </row>
    <row r="246" spans="2:74" x14ac:dyDescent="0.2">
      <c r="B246" s="88" t="str">
        <f t="shared" si="40"/>
        <v>&gt; Total Length</v>
      </c>
      <c r="C246" s="88" t="str">
        <f t="shared" si="41"/>
        <v>&gt; Total Length</v>
      </c>
      <c r="D246" s="96" t="str">
        <f t="shared" si="42"/>
        <v>&gt; Total Length</v>
      </c>
      <c r="E246" s="96" t="str">
        <f t="shared" si="43"/>
        <v>&gt; Total Length</v>
      </c>
      <c r="F246" s="97" t="str">
        <f t="shared" si="44"/>
        <v>&gt; Total Length</v>
      </c>
      <c r="G246" s="97" t="str">
        <f t="shared" si="45"/>
        <v>&gt; Total Length</v>
      </c>
      <c r="H246" s="98"/>
      <c r="I246" s="99"/>
      <c r="J246" s="88" t="str">
        <f>IF(ISBLANK(FiringRate[[#This Row],[Event/bin]]), " ", FiringRate[[#This Row],[Event/bin]]/BinSize_sec)</f>
        <v xml:space="preserve"> </v>
      </c>
      <c r="K246" s="100" t="str">
        <f>IF(ISBLANK(FiringRate[[#This Row],[Conc events/bin]]), " ", FiringRate[[#This Row],[Conc events/bin]]/BinSize_sec)</f>
        <v xml:space="preserve"> </v>
      </c>
      <c r="M246" s="2"/>
      <c r="N246" s="2"/>
      <c r="O246" s="2"/>
      <c r="P246" s="2"/>
      <c r="BV246"/>
    </row>
    <row r="247" spans="2:74" x14ac:dyDescent="0.2">
      <c r="B247" s="88" t="str">
        <f t="shared" si="40"/>
        <v>&gt; Total Length</v>
      </c>
      <c r="C247" s="88" t="str">
        <f t="shared" si="41"/>
        <v>&gt; Total Length</v>
      </c>
      <c r="D247" s="96" t="str">
        <f t="shared" si="42"/>
        <v>&gt; Total Length</v>
      </c>
      <c r="E247" s="96" t="str">
        <f t="shared" si="43"/>
        <v>&gt; Total Length</v>
      </c>
      <c r="F247" s="97" t="str">
        <f t="shared" si="44"/>
        <v>&gt; Total Length</v>
      </c>
      <c r="G247" s="97" t="str">
        <f t="shared" si="45"/>
        <v>&gt; Total Length</v>
      </c>
      <c r="H247" s="98"/>
      <c r="I247" s="99"/>
      <c r="J247" s="88" t="str">
        <f>IF(ISBLANK(FiringRate[[#This Row],[Event/bin]]), " ", FiringRate[[#This Row],[Event/bin]]/BinSize_sec)</f>
        <v xml:space="preserve"> </v>
      </c>
      <c r="K247" s="100" t="str">
        <f>IF(ISBLANK(FiringRate[[#This Row],[Conc events/bin]]), " ", FiringRate[[#This Row],[Conc events/bin]]/BinSize_sec)</f>
        <v xml:space="preserve"> </v>
      </c>
      <c r="M247" s="2"/>
      <c r="N247" s="2"/>
      <c r="O247" s="2"/>
      <c r="P247" s="2"/>
      <c r="BV247" t="s">
        <v>232</v>
      </c>
    </row>
    <row r="248" spans="2:74" x14ac:dyDescent="0.2">
      <c r="B248" s="88" t="str">
        <f t="shared" si="40"/>
        <v>&gt; Total Length</v>
      </c>
      <c r="C248" s="88" t="str">
        <f t="shared" si="41"/>
        <v>&gt; Total Length</v>
      </c>
      <c r="D248" s="96" t="str">
        <f t="shared" si="42"/>
        <v>&gt; Total Length</v>
      </c>
      <c r="E248" s="96" t="str">
        <f t="shared" si="43"/>
        <v>&gt; Total Length</v>
      </c>
      <c r="F248" s="97" t="str">
        <f t="shared" si="44"/>
        <v>&gt; Total Length</v>
      </c>
      <c r="G248" s="97" t="str">
        <f t="shared" si="45"/>
        <v>&gt; Total Length</v>
      </c>
      <c r="H248" s="98"/>
      <c r="I248" s="99"/>
      <c r="J248" s="88" t="str">
        <f>IF(ISBLANK(FiringRate[[#This Row],[Event/bin]]), " ", FiringRate[[#This Row],[Event/bin]]/BinSize_sec)</f>
        <v xml:space="preserve"> </v>
      </c>
      <c r="K248" s="100" t="str">
        <f>IF(ISBLANK(FiringRate[[#This Row],[Conc events/bin]]), " ", FiringRate[[#This Row],[Conc events/bin]]/BinSize_sec)</f>
        <v xml:space="preserve"> </v>
      </c>
      <c r="M248" s="2"/>
      <c r="N248" s="2"/>
      <c r="O248" s="2"/>
      <c r="P248" s="2"/>
      <c r="BV248"/>
    </row>
    <row r="249" spans="2:74" x14ac:dyDescent="0.2">
      <c r="B249" s="88" t="str">
        <f t="shared" si="40"/>
        <v>&gt; Total Length</v>
      </c>
      <c r="C249" s="88" t="str">
        <f t="shared" si="41"/>
        <v>&gt; Total Length</v>
      </c>
      <c r="D249" s="96" t="str">
        <f t="shared" si="42"/>
        <v>&gt; Total Length</v>
      </c>
      <c r="E249" s="96" t="str">
        <f t="shared" si="43"/>
        <v>&gt; Total Length</v>
      </c>
      <c r="F249" s="97" t="str">
        <f t="shared" si="44"/>
        <v>&gt; Total Length</v>
      </c>
      <c r="G249" s="97" t="str">
        <f t="shared" si="45"/>
        <v>&gt; Total Length</v>
      </c>
      <c r="H249" s="98"/>
      <c r="I249" s="99"/>
      <c r="J249" s="88" t="str">
        <f>IF(ISBLANK(FiringRate[[#This Row],[Event/bin]]), " ", FiringRate[[#This Row],[Event/bin]]/BinSize_sec)</f>
        <v xml:space="preserve"> </v>
      </c>
      <c r="K249" s="100" t="str">
        <f>IF(ISBLANK(FiringRate[[#This Row],[Conc events/bin]]), " ", FiringRate[[#This Row],[Conc events/bin]]/BinSize_sec)</f>
        <v xml:space="preserve"> </v>
      </c>
      <c r="M249" s="2"/>
      <c r="N249" s="2"/>
      <c r="O249" s="2"/>
      <c r="P249" s="2"/>
      <c r="BV249"/>
    </row>
    <row r="250" spans="2:74" x14ac:dyDescent="0.2">
      <c r="B250" s="88" t="str">
        <f t="shared" si="40"/>
        <v>&gt; Total Length</v>
      </c>
      <c r="C250" s="88" t="str">
        <f t="shared" si="41"/>
        <v>&gt; Total Length</v>
      </c>
      <c r="D250" s="96" t="str">
        <f t="shared" si="42"/>
        <v>&gt; Total Length</v>
      </c>
      <c r="E250" s="96" t="str">
        <f t="shared" si="43"/>
        <v>&gt; Total Length</v>
      </c>
      <c r="F250" s="97" t="str">
        <f t="shared" si="44"/>
        <v>&gt; Total Length</v>
      </c>
      <c r="G250" s="97" t="str">
        <f t="shared" si="45"/>
        <v>&gt; Total Length</v>
      </c>
      <c r="H250" s="98"/>
      <c r="I250" s="99"/>
      <c r="J250" s="88" t="str">
        <f>IF(ISBLANK(FiringRate[[#This Row],[Event/bin]]), " ", FiringRate[[#This Row],[Event/bin]]/BinSize_sec)</f>
        <v xml:space="preserve"> </v>
      </c>
      <c r="K250" s="100" t="str">
        <f>IF(ISBLANK(FiringRate[[#This Row],[Conc events/bin]]), " ", FiringRate[[#This Row],[Conc events/bin]]/BinSize_sec)</f>
        <v xml:space="preserve"> </v>
      </c>
      <c r="M250" s="2"/>
      <c r="N250" s="2"/>
      <c r="O250" s="2"/>
      <c r="P250" s="2"/>
      <c r="BV250"/>
    </row>
    <row r="251" spans="2:74" x14ac:dyDescent="0.2">
      <c r="B251" s="88" t="str">
        <f t="shared" si="40"/>
        <v>&gt; Total Length</v>
      </c>
      <c r="C251" s="88" t="str">
        <f t="shared" si="41"/>
        <v>&gt; Total Length</v>
      </c>
      <c r="D251" s="96" t="str">
        <f t="shared" si="42"/>
        <v>&gt; Total Length</v>
      </c>
      <c r="E251" s="96" t="str">
        <f t="shared" si="43"/>
        <v>&gt; Total Length</v>
      </c>
      <c r="F251" s="97" t="str">
        <f t="shared" si="44"/>
        <v>&gt; Total Length</v>
      </c>
      <c r="G251" s="97" t="str">
        <f t="shared" si="45"/>
        <v>&gt; Total Length</v>
      </c>
      <c r="H251" s="98"/>
      <c r="I251" s="99"/>
      <c r="J251" s="88" t="str">
        <f>IF(ISBLANK(FiringRate[[#This Row],[Event/bin]]), " ", FiringRate[[#This Row],[Event/bin]]/BinSize_sec)</f>
        <v xml:space="preserve"> </v>
      </c>
      <c r="K251" s="100" t="str">
        <f>IF(ISBLANK(FiringRate[[#This Row],[Conc events/bin]]), " ", FiringRate[[#This Row],[Conc events/bin]]/BinSize_sec)</f>
        <v xml:space="preserve"> </v>
      </c>
      <c r="M251" s="2"/>
      <c r="N251" s="2"/>
      <c r="O251" s="2"/>
      <c r="P251" s="2"/>
      <c r="BV251"/>
    </row>
    <row r="252" spans="2:74" x14ac:dyDescent="0.2">
      <c r="B252" s="88" t="str">
        <f t="shared" si="40"/>
        <v>&gt; Total Length</v>
      </c>
      <c r="C252" s="88" t="str">
        <f t="shared" si="41"/>
        <v>&gt; Total Length</v>
      </c>
      <c r="D252" s="96" t="str">
        <f t="shared" si="42"/>
        <v>&gt; Total Length</v>
      </c>
      <c r="E252" s="96" t="str">
        <f t="shared" si="43"/>
        <v>&gt; Total Length</v>
      </c>
      <c r="F252" s="97" t="str">
        <f t="shared" si="44"/>
        <v>&gt; Total Length</v>
      </c>
      <c r="G252" s="97" t="str">
        <f t="shared" si="45"/>
        <v>&gt; Total Length</v>
      </c>
      <c r="H252" s="98"/>
      <c r="I252" s="99"/>
      <c r="J252" s="88" t="str">
        <f>IF(ISBLANK(FiringRate[[#This Row],[Event/bin]]), " ", FiringRate[[#This Row],[Event/bin]]/BinSize_sec)</f>
        <v xml:space="preserve"> </v>
      </c>
      <c r="K252" s="100" t="str">
        <f>IF(ISBLANK(FiringRate[[#This Row],[Conc events/bin]]), " ", FiringRate[[#This Row],[Conc events/bin]]/BinSize_sec)</f>
        <v xml:space="preserve"> </v>
      </c>
      <c r="M252" s="2"/>
      <c r="N252" s="2"/>
      <c r="O252" s="2"/>
      <c r="P252" s="2"/>
      <c r="BV252"/>
    </row>
    <row r="253" spans="2:74" x14ac:dyDescent="0.2">
      <c r="B253" s="88" t="str">
        <f t="shared" si="40"/>
        <v>&gt; Total Length</v>
      </c>
      <c r="C253" s="88" t="str">
        <f t="shared" si="41"/>
        <v>&gt; Total Length</v>
      </c>
      <c r="D253" s="96" t="str">
        <f t="shared" si="42"/>
        <v>&gt; Total Length</v>
      </c>
      <c r="E253" s="96" t="str">
        <f t="shared" si="43"/>
        <v>&gt; Total Length</v>
      </c>
      <c r="F253" s="97" t="str">
        <f t="shared" si="44"/>
        <v>&gt; Total Length</v>
      </c>
      <c r="G253" s="97" t="str">
        <f t="shared" si="45"/>
        <v>&gt; Total Length</v>
      </c>
      <c r="H253" s="98"/>
      <c r="I253" s="99"/>
      <c r="J253" s="88" t="str">
        <f>IF(ISBLANK(FiringRate[[#This Row],[Event/bin]]), " ", FiringRate[[#This Row],[Event/bin]]/BinSize_sec)</f>
        <v xml:space="preserve"> </v>
      </c>
      <c r="K253" s="100" t="str">
        <f>IF(ISBLANK(FiringRate[[#This Row],[Conc events/bin]]), " ", FiringRate[[#This Row],[Conc events/bin]]/BinSize_sec)</f>
        <v xml:space="preserve"> </v>
      </c>
      <c r="M253" s="2"/>
      <c r="N253" s="2"/>
      <c r="O253" s="2"/>
      <c r="P253" s="2"/>
      <c r="BV253"/>
    </row>
    <row r="254" spans="2:74" x14ac:dyDescent="0.2">
      <c r="B254" s="88" t="str">
        <f t="shared" si="40"/>
        <v>&gt; Total Length</v>
      </c>
      <c r="C254" s="88" t="str">
        <f t="shared" si="41"/>
        <v>&gt; Total Length</v>
      </c>
      <c r="D254" s="96" t="str">
        <f t="shared" si="42"/>
        <v>&gt; Total Length</v>
      </c>
      <c r="E254" s="96" t="str">
        <f t="shared" si="43"/>
        <v>&gt; Total Length</v>
      </c>
      <c r="F254" s="97" t="str">
        <f t="shared" si="44"/>
        <v>&gt; Total Length</v>
      </c>
      <c r="G254" s="97" t="str">
        <f t="shared" si="45"/>
        <v>&gt; Total Length</v>
      </c>
      <c r="H254" s="98"/>
      <c r="I254" s="99"/>
      <c r="J254" s="88" t="str">
        <f>IF(ISBLANK(FiringRate[[#This Row],[Event/bin]]), " ", FiringRate[[#This Row],[Event/bin]]/BinSize_sec)</f>
        <v xml:space="preserve"> </v>
      </c>
      <c r="K254" s="100" t="str">
        <f>IF(ISBLANK(FiringRate[[#This Row],[Conc events/bin]]), " ", FiringRate[[#This Row],[Conc events/bin]]/BinSize_sec)</f>
        <v xml:space="preserve"> </v>
      </c>
      <c r="M254" s="2"/>
      <c r="N254" s="2"/>
      <c r="O254" s="2"/>
      <c r="P254" s="2"/>
      <c r="BV254"/>
    </row>
    <row r="255" spans="2:74" x14ac:dyDescent="0.2">
      <c r="B255" s="88" t="str">
        <f t="shared" si="40"/>
        <v>&gt; Total Length</v>
      </c>
      <c r="C255" s="88" t="str">
        <f t="shared" si="41"/>
        <v>&gt; Total Length</v>
      </c>
      <c r="D255" s="96" t="str">
        <f t="shared" si="42"/>
        <v>&gt; Total Length</v>
      </c>
      <c r="E255" s="96" t="str">
        <f t="shared" si="43"/>
        <v>&gt; Total Length</v>
      </c>
      <c r="F255" s="97" t="str">
        <f t="shared" si="44"/>
        <v>&gt; Total Length</v>
      </c>
      <c r="G255" s="97" t="str">
        <f t="shared" si="45"/>
        <v>&gt; Total Length</v>
      </c>
      <c r="H255" s="98"/>
      <c r="I255" s="99"/>
      <c r="J255" s="88" t="str">
        <f>IF(ISBLANK(FiringRate[[#This Row],[Event/bin]]), " ", FiringRate[[#This Row],[Event/bin]]/BinSize_sec)</f>
        <v xml:space="preserve"> </v>
      </c>
      <c r="K255" s="100" t="str">
        <f>IF(ISBLANK(FiringRate[[#This Row],[Conc events/bin]]), " ", FiringRate[[#This Row],[Conc events/bin]]/BinSize_sec)</f>
        <v xml:space="preserve"> </v>
      </c>
      <c r="M255" s="2"/>
      <c r="N255" s="2"/>
      <c r="O255" s="2"/>
      <c r="P255" s="2"/>
      <c r="BV255"/>
    </row>
    <row r="256" spans="2:74" x14ac:dyDescent="0.2">
      <c r="B256" s="88" t="str">
        <f t="shared" si="40"/>
        <v>&gt; Total Length</v>
      </c>
      <c r="C256" s="88" t="str">
        <f t="shared" si="41"/>
        <v>&gt; Total Length</v>
      </c>
      <c r="D256" s="96" t="str">
        <f t="shared" si="42"/>
        <v>&gt; Total Length</v>
      </c>
      <c r="E256" s="96" t="str">
        <f t="shared" si="43"/>
        <v>&gt; Total Length</v>
      </c>
      <c r="F256" s="97" t="str">
        <f t="shared" si="44"/>
        <v>&gt; Total Length</v>
      </c>
      <c r="G256" s="97" t="str">
        <f t="shared" si="45"/>
        <v>&gt; Total Length</v>
      </c>
      <c r="H256" s="98"/>
      <c r="I256" s="99"/>
      <c r="J256" s="88" t="str">
        <f>IF(ISBLANK(FiringRate[[#This Row],[Event/bin]]), " ", FiringRate[[#This Row],[Event/bin]]/BinSize_sec)</f>
        <v xml:space="preserve"> </v>
      </c>
      <c r="K256" s="100" t="str">
        <f>IF(ISBLANK(FiringRate[[#This Row],[Conc events/bin]]), " ", FiringRate[[#This Row],[Conc events/bin]]/BinSize_sec)</f>
        <v xml:space="preserve"> </v>
      </c>
      <c r="M256" s="2"/>
      <c r="N256" s="2"/>
      <c r="O256" s="2"/>
      <c r="P256" s="2"/>
      <c r="BV256"/>
    </row>
    <row r="257" spans="2:16" x14ac:dyDescent="0.2">
      <c r="B257" s="88" t="str">
        <f t="shared" si="40"/>
        <v>&gt; Total Length</v>
      </c>
      <c r="C257" s="88" t="str">
        <f t="shared" si="41"/>
        <v>&gt; Total Length</v>
      </c>
      <c r="D257" s="96" t="str">
        <f t="shared" si="42"/>
        <v>&gt; Total Length</v>
      </c>
      <c r="E257" s="96" t="str">
        <f t="shared" si="43"/>
        <v>&gt; Total Length</v>
      </c>
      <c r="F257" s="97" t="str">
        <f t="shared" si="44"/>
        <v>&gt; Total Length</v>
      </c>
      <c r="G257" s="97" t="str">
        <f t="shared" si="45"/>
        <v>&gt; Total Length</v>
      </c>
      <c r="H257" s="98"/>
      <c r="I257" s="99"/>
      <c r="J257" s="88" t="str">
        <f>IF(ISBLANK(FiringRate[[#This Row],[Event/bin]]), " ", FiringRate[[#This Row],[Event/bin]]/BinSize_sec)</f>
        <v xml:space="preserve"> </v>
      </c>
      <c r="K257" s="100" t="str">
        <f>IF(ISBLANK(FiringRate[[#This Row],[Conc events/bin]]), " ", FiringRate[[#This Row],[Conc events/bin]]/BinSize_sec)</f>
        <v xml:space="preserve"> </v>
      </c>
      <c r="M257" s="2"/>
      <c r="N257" s="2"/>
      <c r="O257" s="2"/>
      <c r="P257" s="2"/>
    </row>
    <row r="258" spans="2:16" x14ac:dyDescent="0.2">
      <c r="B258" s="88" t="str">
        <f t="shared" si="40"/>
        <v>&gt; Total Length</v>
      </c>
      <c r="C258" s="88" t="str">
        <f t="shared" si="41"/>
        <v>&gt; Total Length</v>
      </c>
      <c r="D258" s="96" t="str">
        <f t="shared" si="42"/>
        <v>&gt; Total Length</v>
      </c>
      <c r="E258" s="96" t="str">
        <f t="shared" si="43"/>
        <v>&gt; Total Length</v>
      </c>
      <c r="F258" s="97" t="str">
        <f t="shared" si="44"/>
        <v>&gt; Total Length</v>
      </c>
      <c r="G258" s="97" t="str">
        <f t="shared" si="45"/>
        <v>&gt; Total Length</v>
      </c>
      <c r="H258" s="98"/>
      <c r="I258" s="99"/>
      <c r="J258" s="88" t="str">
        <f>IF(ISBLANK(FiringRate[[#This Row],[Event/bin]]), " ", FiringRate[[#This Row],[Event/bin]]/BinSize_sec)</f>
        <v xml:space="preserve"> </v>
      </c>
      <c r="K258" s="100" t="str">
        <f>IF(ISBLANK(FiringRate[[#This Row],[Conc events/bin]]), " ", FiringRate[[#This Row],[Conc events/bin]]/BinSize_sec)</f>
        <v xml:space="preserve"> </v>
      </c>
      <c r="M258" s="2"/>
      <c r="N258" s="2"/>
      <c r="O258" s="2"/>
      <c r="P258" s="2"/>
    </row>
    <row r="259" spans="2:16" x14ac:dyDescent="0.2">
      <c r="B259" s="88" t="str">
        <f t="shared" si="40"/>
        <v>&gt; Total Length</v>
      </c>
      <c r="C259" s="88" t="str">
        <f t="shared" si="41"/>
        <v>&gt; Total Length</v>
      </c>
      <c r="D259" s="96" t="str">
        <f t="shared" si="42"/>
        <v>&gt; Total Length</v>
      </c>
      <c r="E259" s="96" t="str">
        <f t="shared" si="43"/>
        <v>&gt; Total Length</v>
      </c>
      <c r="F259" s="97" t="str">
        <f t="shared" si="44"/>
        <v>&gt; Total Length</v>
      </c>
      <c r="G259" s="97" t="str">
        <f t="shared" si="45"/>
        <v>&gt; Total Length</v>
      </c>
      <c r="H259" s="98"/>
      <c r="I259" s="99"/>
      <c r="J259" s="88" t="str">
        <f>IF(ISBLANK(FiringRate[[#This Row],[Event/bin]]), " ", FiringRate[[#This Row],[Event/bin]]/BinSize_sec)</f>
        <v xml:space="preserve"> </v>
      </c>
      <c r="K259" s="100" t="str">
        <f>IF(ISBLANK(FiringRate[[#This Row],[Conc events/bin]]), " ", FiringRate[[#This Row],[Conc events/bin]]/BinSize_sec)</f>
        <v xml:space="preserve"> </v>
      </c>
      <c r="M259" s="2"/>
      <c r="N259" s="2"/>
      <c r="O259" s="2"/>
      <c r="P259" s="2"/>
    </row>
    <row r="260" spans="2:16" x14ac:dyDescent="0.2">
      <c r="B260" s="88" t="str">
        <f t="shared" si="40"/>
        <v>&gt; Total Length</v>
      </c>
      <c r="C260" s="88" t="str">
        <f t="shared" si="41"/>
        <v>&gt; Total Length</v>
      </c>
      <c r="D260" s="96" t="str">
        <f t="shared" si="42"/>
        <v>&gt; Total Length</v>
      </c>
      <c r="E260" s="96" t="str">
        <f t="shared" si="43"/>
        <v>&gt; Total Length</v>
      </c>
      <c r="F260" s="97" t="str">
        <f t="shared" si="44"/>
        <v>&gt; Total Length</v>
      </c>
      <c r="G260" s="97" t="str">
        <f t="shared" si="45"/>
        <v>&gt; Total Length</v>
      </c>
      <c r="H260" s="98"/>
      <c r="I260" s="99"/>
      <c r="J260" s="88" t="str">
        <f>IF(ISBLANK(FiringRate[[#This Row],[Event/bin]]), " ", FiringRate[[#This Row],[Event/bin]]/BinSize_sec)</f>
        <v xml:space="preserve"> </v>
      </c>
      <c r="K260" s="100" t="str">
        <f>IF(ISBLANK(FiringRate[[#This Row],[Conc events/bin]]), " ", FiringRate[[#This Row],[Conc events/bin]]/BinSize_sec)</f>
        <v xml:space="preserve"> </v>
      </c>
      <c r="M260" s="2"/>
      <c r="N260" s="2"/>
      <c r="O260" s="2"/>
      <c r="P260" s="2"/>
    </row>
    <row r="261" spans="2:16" x14ac:dyDescent="0.2">
      <c r="B261" s="88" t="str">
        <f t="shared" si="40"/>
        <v>&gt; Total Length</v>
      </c>
      <c r="C261" s="88" t="str">
        <f t="shared" si="41"/>
        <v>&gt; Total Length</v>
      </c>
      <c r="D261" s="96" t="str">
        <f t="shared" si="42"/>
        <v>&gt; Total Length</v>
      </c>
      <c r="E261" s="96" t="str">
        <f t="shared" si="43"/>
        <v>&gt; Total Length</v>
      </c>
      <c r="F261" s="97" t="str">
        <f t="shared" si="44"/>
        <v>&gt; Total Length</v>
      </c>
      <c r="G261" s="97" t="str">
        <f t="shared" si="45"/>
        <v>&gt; Total Length</v>
      </c>
      <c r="H261" s="98"/>
      <c r="I261" s="99"/>
      <c r="J261" s="88" t="str">
        <f>IF(ISBLANK(FiringRate[[#This Row],[Event/bin]]), " ", FiringRate[[#This Row],[Event/bin]]/BinSize_sec)</f>
        <v xml:space="preserve"> </v>
      </c>
      <c r="K261" s="100" t="str">
        <f>IF(ISBLANK(FiringRate[[#This Row],[Conc events/bin]]), " ", FiringRate[[#This Row],[Conc events/bin]]/BinSize_sec)</f>
        <v xml:space="preserve"> </v>
      </c>
      <c r="M261" s="2"/>
      <c r="N261" s="2"/>
      <c r="O261" s="2"/>
      <c r="P261" s="2"/>
    </row>
    <row r="262" spans="2:16" x14ac:dyDescent="0.2">
      <c r="B262" s="88" t="str">
        <f t="shared" si="40"/>
        <v>&gt; Total Length</v>
      </c>
      <c r="C262" s="88" t="str">
        <f t="shared" si="41"/>
        <v>&gt; Total Length</v>
      </c>
      <c r="D262" s="96" t="str">
        <f t="shared" si="42"/>
        <v>&gt; Total Length</v>
      </c>
      <c r="E262" s="96" t="str">
        <f t="shared" si="43"/>
        <v>&gt; Total Length</v>
      </c>
      <c r="F262" s="97" t="str">
        <f t="shared" si="44"/>
        <v>&gt; Total Length</v>
      </c>
      <c r="G262" s="97" t="str">
        <f t="shared" si="45"/>
        <v>&gt; Total Length</v>
      </c>
      <c r="H262" s="98"/>
      <c r="I262" s="99"/>
      <c r="J262" s="88" t="str">
        <f>IF(ISBLANK(FiringRate[[#This Row],[Event/bin]]), " ", FiringRate[[#This Row],[Event/bin]]/BinSize_sec)</f>
        <v xml:space="preserve"> </v>
      </c>
      <c r="K262" s="100" t="str">
        <f>IF(ISBLANK(FiringRate[[#This Row],[Conc events/bin]]), " ", FiringRate[[#This Row],[Conc events/bin]]/BinSize_sec)</f>
        <v xml:space="preserve"> </v>
      </c>
      <c r="M262" s="2"/>
      <c r="N262" s="2"/>
      <c r="O262" s="2"/>
      <c r="P262" s="2"/>
    </row>
    <row r="263" spans="2:16" x14ac:dyDescent="0.2">
      <c r="B263" s="88" t="str">
        <f t="shared" si="40"/>
        <v>&gt; Total Length</v>
      </c>
      <c r="C263" s="88" t="str">
        <f t="shared" si="41"/>
        <v>&gt; Total Length</v>
      </c>
      <c r="D263" s="96" t="str">
        <f t="shared" si="42"/>
        <v>&gt; Total Length</v>
      </c>
      <c r="E263" s="96" t="str">
        <f t="shared" si="43"/>
        <v>&gt; Total Length</v>
      </c>
      <c r="F263" s="97" t="str">
        <f t="shared" si="44"/>
        <v>&gt; Total Length</v>
      </c>
      <c r="G263" s="97" t="str">
        <f t="shared" si="45"/>
        <v>&gt; Total Length</v>
      </c>
      <c r="H263" s="98"/>
      <c r="I263" s="99"/>
      <c r="J263" s="88" t="str">
        <f>IF(ISBLANK(FiringRate[[#This Row],[Event/bin]]), " ", FiringRate[[#This Row],[Event/bin]]/BinSize_sec)</f>
        <v xml:space="preserve"> </v>
      </c>
      <c r="K263" s="100" t="str">
        <f>IF(ISBLANK(FiringRate[[#This Row],[Conc events/bin]]), " ", FiringRate[[#This Row],[Conc events/bin]]/BinSize_sec)</f>
        <v xml:space="preserve"> </v>
      </c>
      <c r="M263" s="2"/>
      <c r="N263" s="2"/>
      <c r="O263" s="2"/>
      <c r="P263" s="2"/>
    </row>
    <row r="264" spans="2:16" x14ac:dyDescent="0.2">
      <c r="B264" s="88" t="str">
        <f t="shared" si="40"/>
        <v>&gt; Total Length</v>
      </c>
      <c r="C264" s="88" t="str">
        <f t="shared" si="41"/>
        <v>&gt; Total Length</v>
      </c>
      <c r="D264" s="96" t="str">
        <f t="shared" si="42"/>
        <v>&gt; Total Length</v>
      </c>
      <c r="E264" s="96" t="str">
        <f t="shared" si="43"/>
        <v>&gt; Total Length</v>
      </c>
      <c r="F264" s="97" t="str">
        <f t="shared" si="44"/>
        <v>&gt; Total Length</v>
      </c>
      <c r="G264" s="97" t="str">
        <f t="shared" si="45"/>
        <v>&gt; Total Length</v>
      </c>
      <c r="H264" s="98"/>
      <c r="I264" s="99"/>
      <c r="J264" s="88" t="str">
        <f>IF(ISBLANK(FiringRate[[#This Row],[Event/bin]]), " ", FiringRate[[#This Row],[Event/bin]]/BinSize_sec)</f>
        <v xml:space="preserve"> </v>
      </c>
      <c r="K264" s="100" t="str">
        <f>IF(ISBLANK(FiringRate[[#This Row],[Conc events/bin]]), " ", FiringRate[[#This Row],[Conc events/bin]]/BinSize_sec)</f>
        <v xml:space="preserve"> </v>
      </c>
      <c r="M264" s="2"/>
      <c r="N264" s="2"/>
      <c r="O264" s="2"/>
      <c r="P264" s="2"/>
    </row>
    <row r="265" spans="2:16" x14ac:dyDescent="0.2">
      <c r="B265" s="88" t="str">
        <f t="shared" si="40"/>
        <v>&gt; Total Length</v>
      </c>
      <c r="C265" s="88" t="str">
        <f t="shared" si="41"/>
        <v>&gt; Total Length</v>
      </c>
      <c r="D265" s="96" t="str">
        <f t="shared" si="42"/>
        <v>&gt; Total Length</v>
      </c>
      <c r="E265" s="96" t="str">
        <f t="shared" si="43"/>
        <v>&gt; Total Length</v>
      </c>
      <c r="F265" s="97" t="str">
        <f t="shared" si="44"/>
        <v>&gt; Total Length</v>
      </c>
      <c r="G265" s="97" t="str">
        <f t="shared" si="45"/>
        <v>&gt; Total Length</v>
      </c>
      <c r="H265" s="98"/>
      <c r="I265" s="99"/>
      <c r="J265" s="88" t="str">
        <f>IF(ISBLANK(FiringRate[[#This Row],[Event/bin]]), " ", FiringRate[[#This Row],[Event/bin]]/BinSize_sec)</f>
        <v xml:space="preserve"> </v>
      </c>
      <c r="K265" s="100" t="str">
        <f>IF(ISBLANK(FiringRate[[#This Row],[Conc events/bin]]), " ", FiringRate[[#This Row],[Conc events/bin]]/BinSize_sec)</f>
        <v xml:space="preserve"> </v>
      </c>
      <c r="M265" s="2"/>
      <c r="N265" s="2"/>
      <c r="O265" s="2"/>
      <c r="P265" s="2"/>
    </row>
    <row r="266" spans="2:16" x14ac:dyDescent="0.2">
      <c r="B266" s="88" t="str">
        <f t="shared" si="40"/>
        <v>&gt; Total Length</v>
      </c>
      <c r="C266" s="88" t="str">
        <f t="shared" si="41"/>
        <v>&gt; Total Length</v>
      </c>
      <c r="D266" s="96" t="str">
        <f t="shared" si="42"/>
        <v>&gt; Total Length</v>
      </c>
      <c r="E266" s="96" t="str">
        <f t="shared" si="43"/>
        <v>&gt; Total Length</v>
      </c>
      <c r="F266" s="97" t="str">
        <f t="shared" si="44"/>
        <v>&gt; Total Length</v>
      </c>
      <c r="G266" s="97" t="str">
        <f t="shared" si="45"/>
        <v>&gt; Total Length</v>
      </c>
      <c r="H266" s="98"/>
      <c r="I266" s="99"/>
      <c r="J266" s="88" t="str">
        <f>IF(ISBLANK(FiringRate[[#This Row],[Event/bin]]), " ", FiringRate[[#This Row],[Event/bin]]/BinSize_sec)</f>
        <v xml:space="preserve"> </v>
      </c>
      <c r="K266" s="100" t="str">
        <f>IF(ISBLANK(FiringRate[[#This Row],[Conc events/bin]]), " ", FiringRate[[#This Row],[Conc events/bin]]/BinSize_sec)</f>
        <v xml:space="preserve"> </v>
      </c>
      <c r="M266" s="2"/>
      <c r="N266" s="2"/>
      <c r="O266" s="2"/>
      <c r="P266" s="2"/>
    </row>
    <row r="267" spans="2:16" x14ac:dyDescent="0.2">
      <c r="B267" s="88" t="str">
        <f t="shared" si="40"/>
        <v>&gt; Total Length</v>
      </c>
      <c r="C267" s="88" t="str">
        <f t="shared" si="41"/>
        <v>&gt; Total Length</v>
      </c>
      <c r="D267" s="96" t="str">
        <f t="shared" si="42"/>
        <v>&gt; Total Length</v>
      </c>
      <c r="E267" s="96" t="str">
        <f t="shared" si="43"/>
        <v>&gt; Total Length</v>
      </c>
      <c r="F267" s="97" t="str">
        <f t="shared" si="44"/>
        <v>&gt; Total Length</v>
      </c>
      <c r="G267" s="97" t="str">
        <f t="shared" si="45"/>
        <v>&gt; Total Length</v>
      </c>
      <c r="H267" s="98"/>
      <c r="I267" s="99"/>
      <c r="J267" s="88" t="str">
        <f>IF(ISBLANK(FiringRate[[#This Row],[Event/bin]]), " ", FiringRate[[#This Row],[Event/bin]]/BinSize_sec)</f>
        <v xml:space="preserve"> </v>
      </c>
      <c r="K267" s="100" t="str">
        <f>IF(ISBLANK(FiringRate[[#This Row],[Conc events/bin]]), " ", FiringRate[[#This Row],[Conc events/bin]]/BinSize_sec)</f>
        <v xml:space="preserve"> </v>
      </c>
      <c r="M267" s="2"/>
      <c r="N267" s="2"/>
      <c r="O267" s="2"/>
      <c r="P267" s="2"/>
    </row>
    <row r="268" spans="2:16" x14ac:dyDescent="0.2">
      <c r="B268" s="88" t="str">
        <f t="shared" si="40"/>
        <v>&gt; Total Length</v>
      </c>
      <c r="C268" s="88" t="str">
        <f t="shared" si="41"/>
        <v>&gt; Total Length</v>
      </c>
      <c r="D268" s="96" t="str">
        <f t="shared" si="42"/>
        <v>&gt; Total Length</v>
      </c>
      <c r="E268" s="96" t="str">
        <f t="shared" si="43"/>
        <v>&gt; Total Length</v>
      </c>
      <c r="F268" s="97" t="str">
        <f t="shared" si="44"/>
        <v>&gt; Total Length</v>
      </c>
      <c r="G268" s="97" t="str">
        <f t="shared" si="45"/>
        <v>&gt; Total Length</v>
      </c>
      <c r="H268" s="98"/>
      <c r="I268" s="99"/>
      <c r="J268" s="88" t="str">
        <f>IF(ISBLANK(FiringRate[[#This Row],[Event/bin]]), " ", FiringRate[[#This Row],[Event/bin]]/BinSize_sec)</f>
        <v xml:space="preserve"> </v>
      </c>
      <c r="K268" s="100" t="str">
        <f>IF(ISBLANK(FiringRate[[#This Row],[Conc events/bin]]), " ", FiringRate[[#This Row],[Conc events/bin]]/BinSize_sec)</f>
        <v xml:space="preserve"> </v>
      </c>
      <c r="M268" s="2"/>
      <c r="N268" s="2"/>
      <c r="O268" s="2"/>
      <c r="P268" s="2"/>
    </row>
    <row r="269" spans="2:16" x14ac:dyDescent="0.2">
      <c r="B269" s="88" t="str">
        <f t="shared" si="40"/>
        <v>&gt; Total Length</v>
      </c>
      <c r="C269" s="88" t="str">
        <f t="shared" si="41"/>
        <v>&gt; Total Length</v>
      </c>
      <c r="D269" s="96" t="str">
        <f t="shared" si="42"/>
        <v>&gt; Total Length</v>
      </c>
      <c r="E269" s="96" t="str">
        <f t="shared" si="43"/>
        <v>&gt; Total Length</v>
      </c>
      <c r="F269" s="97" t="str">
        <f t="shared" si="44"/>
        <v>&gt; Total Length</v>
      </c>
      <c r="G269" s="97" t="str">
        <f t="shared" si="45"/>
        <v>&gt; Total Length</v>
      </c>
      <c r="H269" s="98"/>
      <c r="I269" s="99"/>
      <c r="J269" s="88" t="str">
        <f>IF(ISBLANK(FiringRate[[#This Row],[Event/bin]]), " ", FiringRate[[#This Row],[Event/bin]]/BinSize_sec)</f>
        <v xml:space="preserve"> </v>
      </c>
      <c r="K269" s="100" t="str">
        <f>IF(ISBLANK(FiringRate[[#This Row],[Conc events/bin]]), " ", FiringRate[[#This Row],[Conc events/bin]]/BinSize_sec)</f>
        <v xml:space="preserve"> </v>
      </c>
      <c r="M269" s="2"/>
      <c r="N269" s="2"/>
      <c r="O269" s="2"/>
      <c r="P269" s="2"/>
    </row>
    <row r="270" spans="2:16" x14ac:dyDescent="0.2">
      <c r="B270" s="88" t="str">
        <f t="shared" si="40"/>
        <v>&gt; Total Length</v>
      </c>
      <c r="C270" s="88" t="str">
        <f t="shared" si="41"/>
        <v>&gt; Total Length</v>
      </c>
      <c r="D270" s="96" t="str">
        <f t="shared" si="42"/>
        <v>&gt; Total Length</v>
      </c>
      <c r="E270" s="96" t="str">
        <f t="shared" si="43"/>
        <v>&gt; Total Length</v>
      </c>
      <c r="F270" s="97" t="str">
        <f t="shared" si="44"/>
        <v>&gt; Total Length</v>
      </c>
      <c r="G270" s="97" t="str">
        <f t="shared" si="45"/>
        <v>&gt; Total Length</v>
      </c>
      <c r="H270" s="98"/>
      <c r="I270" s="99"/>
      <c r="J270" s="88" t="str">
        <f>IF(ISBLANK(FiringRate[[#This Row],[Event/bin]]), " ", FiringRate[[#This Row],[Event/bin]]/BinSize_sec)</f>
        <v xml:space="preserve"> </v>
      </c>
      <c r="K270" s="100" t="str">
        <f>IF(ISBLANK(FiringRate[[#This Row],[Conc events/bin]]), " ", FiringRate[[#This Row],[Conc events/bin]]/BinSize_sec)</f>
        <v xml:space="preserve"> </v>
      </c>
      <c r="M270" s="2"/>
      <c r="N270" s="2"/>
      <c r="O270" s="2"/>
      <c r="P270" s="2"/>
    </row>
    <row r="271" spans="2:16" x14ac:dyDescent="0.2">
      <c r="B271" s="88" t="str">
        <f t="shared" si="40"/>
        <v>&gt; Total Length</v>
      </c>
      <c r="C271" s="88" t="str">
        <f t="shared" si="41"/>
        <v>&gt; Total Length</v>
      </c>
      <c r="D271" s="96" t="str">
        <f t="shared" si="42"/>
        <v>&gt; Total Length</v>
      </c>
      <c r="E271" s="96" t="str">
        <f t="shared" si="43"/>
        <v>&gt; Total Length</v>
      </c>
      <c r="F271" s="97" t="str">
        <f t="shared" si="44"/>
        <v>&gt; Total Length</v>
      </c>
      <c r="G271" s="97" t="str">
        <f t="shared" si="45"/>
        <v>&gt; Total Length</v>
      </c>
      <c r="H271" s="98"/>
      <c r="I271" s="99"/>
      <c r="J271" s="88" t="str">
        <f>IF(ISBLANK(FiringRate[[#This Row],[Event/bin]]), " ", FiringRate[[#This Row],[Event/bin]]/BinSize_sec)</f>
        <v xml:space="preserve"> </v>
      </c>
      <c r="K271" s="100" t="str">
        <f>IF(ISBLANK(FiringRate[[#This Row],[Conc events/bin]]), " ", FiringRate[[#This Row],[Conc events/bin]]/BinSize_sec)</f>
        <v xml:space="preserve"> </v>
      </c>
      <c r="M271" s="2"/>
      <c r="N271" s="2"/>
      <c r="O271" s="2"/>
      <c r="P271" s="2"/>
    </row>
    <row r="272" spans="2:16" x14ac:dyDescent="0.2">
      <c r="B272" s="88" t="str">
        <f t="shared" si="40"/>
        <v>&gt; Total Length</v>
      </c>
      <c r="C272" s="88" t="str">
        <f t="shared" si="41"/>
        <v>&gt; Total Length</v>
      </c>
      <c r="D272" s="96" t="str">
        <f t="shared" si="42"/>
        <v>&gt; Total Length</v>
      </c>
      <c r="E272" s="96" t="str">
        <f t="shared" si="43"/>
        <v>&gt; Total Length</v>
      </c>
      <c r="F272" s="97" t="str">
        <f t="shared" si="44"/>
        <v>&gt; Total Length</v>
      </c>
      <c r="G272" s="97" t="str">
        <f t="shared" si="45"/>
        <v>&gt; Total Length</v>
      </c>
      <c r="H272" s="98"/>
      <c r="I272" s="99"/>
      <c r="J272" s="88" t="str">
        <f>IF(ISBLANK(FiringRate[[#This Row],[Event/bin]]), " ", FiringRate[[#This Row],[Event/bin]]/BinSize_sec)</f>
        <v xml:space="preserve"> </v>
      </c>
      <c r="K272" s="100" t="str">
        <f>IF(ISBLANK(FiringRate[[#This Row],[Conc events/bin]]), " ", FiringRate[[#This Row],[Conc events/bin]]/BinSize_sec)</f>
        <v xml:space="preserve"> </v>
      </c>
      <c r="M272" s="2"/>
      <c r="N272" s="2"/>
      <c r="O272" s="2"/>
      <c r="P272" s="2"/>
    </row>
    <row r="273" spans="2:16" x14ac:dyDescent="0.2">
      <c r="B273" s="88" t="str">
        <f t="shared" ref="B273:B291" si="46">IF(E272&lt;TotalLength_min, IF(ISNONTEXT(B272), IF(C273&gt;C272, B272, IF(B272&lt;LastSeries, B272+1)), B272), "&gt; Total Length")</f>
        <v>&gt; Total Length</v>
      </c>
      <c r="C273" s="88" t="str">
        <f t="shared" ref="C273:C291" si="47">IF(E272&lt;TotalLength_min, IF(ISNONTEXT(C272), IF(C272&lt;(BinsPerSeries-1),C272+1,0), C272), "&gt; Total Length")</f>
        <v>&gt; Total Length</v>
      </c>
      <c r="D273" s="96" t="str">
        <f t="shared" ref="D273:D291" si="48">IF(BinSize_sec &gt; 0, IF(ISNONTEXT(F272), IF(F272 + BinSize_sec &lt; TotalLength_sec, F273/60, "&gt; Total Length"), F272), "No bin size")</f>
        <v>&gt; Total Length</v>
      </c>
      <c r="E273" s="96" t="str">
        <f t="shared" ref="E273:E291" si="49">IF(BinSize_sec &gt; 0, IF(ISNONTEXT(G272), IF(G272 + BinSize_sec &gt; TotalLength_sec, "&gt; Total Length", G273/60), G272), "No bin size")</f>
        <v>&gt; Total Length</v>
      </c>
      <c r="F273" s="97" t="str">
        <f t="shared" ref="F273:F291" si="50">IF(BinSize_sec &gt; 0, IF(ISNONTEXT(F272), IF(F272 + BinSize_sec &lt; TotalLength_sec, F272 + BinSize_sec, "&gt; Total Length"), F272), "No bin size")</f>
        <v>&gt; Total Length</v>
      </c>
      <c r="G273" s="97" t="str">
        <f t="shared" ref="G273:G291" si="51">IF(BinSize_sec &gt; 0, IF(ISNONTEXT(G272), IF(G272 + BinSize_sec &gt; TotalLength_sec, "&gt; Total Length", G272 + BinSize_sec), G272), "No bin size")</f>
        <v>&gt; Total Length</v>
      </c>
      <c r="H273" s="98"/>
      <c r="I273" s="99"/>
      <c r="J273" s="88" t="str">
        <f>IF(ISBLANK(FiringRate[[#This Row],[Event/bin]]), " ", FiringRate[[#This Row],[Event/bin]]/BinSize_sec)</f>
        <v xml:space="preserve"> </v>
      </c>
      <c r="K273" s="100" t="str">
        <f>IF(ISBLANK(FiringRate[[#This Row],[Conc events/bin]]), " ", FiringRate[[#This Row],[Conc events/bin]]/BinSize_sec)</f>
        <v xml:space="preserve"> </v>
      </c>
      <c r="M273" s="2"/>
      <c r="N273" s="2"/>
      <c r="O273" s="2"/>
      <c r="P273" s="2"/>
    </row>
    <row r="274" spans="2:16" x14ac:dyDescent="0.2">
      <c r="B274" s="88" t="str">
        <f t="shared" si="46"/>
        <v>&gt; Total Length</v>
      </c>
      <c r="C274" s="88" t="str">
        <f t="shared" si="47"/>
        <v>&gt; Total Length</v>
      </c>
      <c r="D274" s="96" t="str">
        <f t="shared" si="48"/>
        <v>&gt; Total Length</v>
      </c>
      <c r="E274" s="96" t="str">
        <f t="shared" si="49"/>
        <v>&gt; Total Length</v>
      </c>
      <c r="F274" s="97" t="str">
        <f t="shared" si="50"/>
        <v>&gt; Total Length</v>
      </c>
      <c r="G274" s="97" t="str">
        <f t="shared" si="51"/>
        <v>&gt; Total Length</v>
      </c>
      <c r="H274" s="98"/>
      <c r="I274" s="99"/>
      <c r="J274" s="88" t="str">
        <f>IF(ISBLANK(FiringRate[[#This Row],[Event/bin]]), " ", FiringRate[[#This Row],[Event/bin]]/BinSize_sec)</f>
        <v xml:space="preserve"> </v>
      </c>
      <c r="K274" s="100" t="str">
        <f>IF(ISBLANK(FiringRate[[#This Row],[Conc events/bin]]), " ", FiringRate[[#This Row],[Conc events/bin]]/BinSize_sec)</f>
        <v xml:space="preserve"> </v>
      </c>
      <c r="M274" s="2"/>
      <c r="N274" s="2"/>
      <c r="O274" s="2"/>
      <c r="P274" s="2"/>
    </row>
    <row r="275" spans="2:16" x14ac:dyDescent="0.2">
      <c r="B275" s="88" t="str">
        <f t="shared" si="46"/>
        <v>&gt; Total Length</v>
      </c>
      <c r="C275" s="88" t="str">
        <f t="shared" si="47"/>
        <v>&gt; Total Length</v>
      </c>
      <c r="D275" s="96" t="str">
        <f t="shared" si="48"/>
        <v>&gt; Total Length</v>
      </c>
      <c r="E275" s="96" t="str">
        <f t="shared" si="49"/>
        <v>&gt; Total Length</v>
      </c>
      <c r="F275" s="97" t="str">
        <f t="shared" si="50"/>
        <v>&gt; Total Length</v>
      </c>
      <c r="G275" s="97" t="str">
        <f t="shared" si="51"/>
        <v>&gt; Total Length</v>
      </c>
      <c r="H275" s="98"/>
      <c r="I275" s="99"/>
      <c r="J275" s="88" t="str">
        <f>IF(ISBLANK(FiringRate[[#This Row],[Event/bin]]), " ", FiringRate[[#This Row],[Event/bin]]/BinSize_sec)</f>
        <v xml:space="preserve"> </v>
      </c>
      <c r="K275" s="100" t="str">
        <f>IF(ISBLANK(FiringRate[[#This Row],[Conc events/bin]]), " ", FiringRate[[#This Row],[Conc events/bin]]/BinSize_sec)</f>
        <v xml:space="preserve"> </v>
      </c>
      <c r="M275" s="2"/>
      <c r="N275" s="2"/>
      <c r="O275" s="2"/>
      <c r="P275" s="2"/>
    </row>
    <row r="276" spans="2:16" x14ac:dyDescent="0.2">
      <c r="B276" s="88" t="str">
        <f t="shared" si="46"/>
        <v>&gt; Total Length</v>
      </c>
      <c r="C276" s="88" t="str">
        <f t="shared" si="47"/>
        <v>&gt; Total Length</v>
      </c>
      <c r="D276" s="96" t="str">
        <f t="shared" si="48"/>
        <v>&gt; Total Length</v>
      </c>
      <c r="E276" s="96" t="str">
        <f t="shared" si="49"/>
        <v>&gt; Total Length</v>
      </c>
      <c r="F276" s="97" t="str">
        <f t="shared" si="50"/>
        <v>&gt; Total Length</v>
      </c>
      <c r="G276" s="97" t="str">
        <f t="shared" si="51"/>
        <v>&gt; Total Length</v>
      </c>
      <c r="H276" s="98"/>
      <c r="I276" s="99"/>
      <c r="J276" s="88" t="str">
        <f>IF(ISBLANK(FiringRate[[#This Row],[Event/bin]]), " ", FiringRate[[#This Row],[Event/bin]]/BinSize_sec)</f>
        <v xml:space="preserve"> </v>
      </c>
      <c r="K276" s="100" t="str">
        <f>IF(ISBLANK(FiringRate[[#This Row],[Conc events/bin]]), " ", FiringRate[[#This Row],[Conc events/bin]]/BinSize_sec)</f>
        <v xml:space="preserve"> </v>
      </c>
      <c r="M276" s="2"/>
      <c r="N276" s="2"/>
      <c r="O276" s="2"/>
      <c r="P276" s="2"/>
    </row>
    <row r="277" spans="2:16" x14ac:dyDescent="0.2">
      <c r="B277" s="88" t="str">
        <f t="shared" si="46"/>
        <v>&gt; Total Length</v>
      </c>
      <c r="C277" s="88" t="str">
        <f t="shared" si="47"/>
        <v>&gt; Total Length</v>
      </c>
      <c r="D277" s="96" t="str">
        <f t="shared" si="48"/>
        <v>&gt; Total Length</v>
      </c>
      <c r="E277" s="96" t="str">
        <f t="shared" si="49"/>
        <v>&gt; Total Length</v>
      </c>
      <c r="F277" s="97" t="str">
        <f t="shared" si="50"/>
        <v>&gt; Total Length</v>
      </c>
      <c r="G277" s="97" t="str">
        <f t="shared" si="51"/>
        <v>&gt; Total Length</v>
      </c>
      <c r="H277" s="98"/>
      <c r="I277" s="99"/>
      <c r="J277" s="88" t="str">
        <f>IF(ISBLANK(FiringRate[[#This Row],[Event/bin]]), " ", FiringRate[[#This Row],[Event/bin]]/BinSize_sec)</f>
        <v xml:space="preserve"> </v>
      </c>
      <c r="K277" s="100" t="str">
        <f>IF(ISBLANK(FiringRate[[#This Row],[Conc events/bin]]), " ", FiringRate[[#This Row],[Conc events/bin]]/BinSize_sec)</f>
        <v xml:space="preserve"> </v>
      </c>
      <c r="M277" s="2"/>
      <c r="N277" s="2"/>
      <c r="O277" s="2"/>
      <c r="P277" s="2"/>
    </row>
    <row r="278" spans="2:16" x14ac:dyDescent="0.2">
      <c r="B278" s="88" t="str">
        <f t="shared" si="46"/>
        <v>&gt; Total Length</v>
      </c>
      <c r="C278" s="88" t="str">
        <f t="shared" si="47"/>
        <v>&gt; Total Length</v>
      </c>
      <c r="D278" s="96" t="str">
        <f t="shared" si="48"/>
        <v>&gt; Total Length</v>
      </c>
      <c r="E278" s="96" t="str">
        <f t="shared" si="49"/>
        <v>&gt; Total Length</v>
      </c>
      <c r="F278" s="97" t="str">
        <f t="shared" si="50"/>
        <v>&gt; Total Length</v>
      </c>
      <c r="G278" s="97" t="str">
        <f t="shared" si="51"/>
        <v>&gt; Total Length</v>
      </c>
      <c r="H278" s="98"/>
      <c r="I278" s="99"/>
      <c r="J278" s="88" t="str">
        <f>IF(ISBLANK(FiringRate[[#This Row],[Event/bin]]), " ", FiringRate[[#This Row],[Event/bin]]/BinSize_sec)</f>
        <v xml:space="preserve"> </v>
      </c>
      <c r="K278" s="100" t="str">
        <f>IF(ISBLANK(FiringRate[[#This Row],[Conc events/bin]]), " ", FiringRate[[#This Row],[Conc events/bin]]/BinSize_sec)</f>
        <v xml:space="preserve"> </v>
      </c>
      <c r="M278" s="2"/>
      <c r="N278" s="2"/>
      <c r="O278" s="2"/>
      <c r="P278" s="2"/>
    </row>
    <row r="279" spans="2:16" x14ac:dyDescent="0.2">
      <c r="B279" s="88" t="str">
        <f t="shared" si="46"/>
        <v>&gt; Total Length</v>
      </c>
      <c r="C279" s="88" t="str">
        <f t="shared" si="47"/>
        <v>&gt; Total Length</v>
      </c>
      <c r="D279" s="96" t="str">
        <f t="shared" si="48"/>
        <v>&gt; Total Length</v>
      </c>
      <c r="E279" s="96" t="str">
        <f t="shared" si="49"/>
        <v>&gt; Total Length</v>
      </c>
      <c r="F279" s="97" t="str">
        <f t="shared" si="50"/>
        <v>&gt; Total Length</v>
      </c>
      <c r="G279" s="97" t="str">
        <f t="shared" si="51"/>
        <v>&gt; Total Length</v>
      </c>
      <c r="H279" s="98"/>
      <c r="I279" s="99"/>
      <c r="J279" s="88" t="str">
        <f>IF(ISBLANK(FiringRate[[#This Row],[Event/bin]]), " ", FiringRate[[#This Row],[Event/bin]]/BinSize_sec)</f>
        <v xml:space="preserve"> </v>
      </c>
      <c r="K279" s="100" t="str">
        <f>IF(ISBLANK(FiringRate[[#This Row],[Conc events/bin]]), " ", FiringRate[[#This Row],[Conc events/bin]]/BinSize_sec)</f>
        <v xml:space="preserve"> </v>
      </c>
      <c r="M279" s="2"/>
      <c r="N279" s="2"/>
      <c r="O279" s="2"/>
      <c r="P279" s="2"/>
    </row>
    <row r="280" spans="2:16" x14ac:dyDescent="0.2">
      <c r="B280" s="88" t="str">
        <f t="shared" si="46"/>
        <v>&gt; Total Length</v>
      </c>
      <c r="C280" s="88" t="str">
        <f t="shared" si="47"/>
        <v>&gt; Total Length</v>
      </c>
      <c r="D280" s="96" t="str">
        <f t="shared" si="48"/>
        <v>&gt; Total Length</v>
      </c>
      <c r="E280" s="96" t="str">
        <f t="shared" si="49"/>
        <v>&gt; Total Length</v>
      </c>
      <c r="F280" s="97" t="str">
        <f t="shared" si="50"/>
        <v>&gt; Total Length</v>
      </c>
      <c r="G280" s="97" t="str">
        <f t="shared" si="51"/>
        <v>&gt; Total Length</v>
      </c>
      <c r="H280" s="98"/>
      <c r="I280" s="99"/>
      <c r="J280" s="88" t="str">
        <f>IF(ISBLANK(FiringRate[[#This Row],[Event/bin]]), " ", FiringRate[[#This Row],[Event/bin]]/BinSize_sec)</f>
        <v xml:space="preserve"> </v>
      </c>
      <c r="K280" s="100" t="str">
        <f>IF(ISBLANK(FiringRate[[#This Row],[Conc events/bin]]), " ", FiringRate[[#This Row],[Conc events/bin]]/BinSize_sec)</f>
        <v xml:space="preserve"> </v>
      </c>
      <c r="M280" s="2"/>
      <c r="N280" s="2"/>
      <c r="O280" s="2"/>
      <c r="P280" s="2"/>
    </row>
    <row r="281" spans="2:16" x14ac:dyDescent="0.2">
      <c r="B281" s="88" t="str">
        <f t="shared" si="46"/>
        <v>&gt; Total Length</v>
      </c>
      <c r="C281" s="88" t="str">
        <f t="shared" si="47"/>
        <v>&gt; Total Length</v>
      </c>
      <c r="D281" s="96" t="str">
        <f t="shared" si="48"/>
        <v>&gt; Total Length</v>
      </c>
      <c r="E281" s="96" t="str">
        <f t="shared" si="49"/>
        <v>&gt; Total Length</v>
      </c>
      <c r="F281" s="97" t="str">
        <f t="shared" si="50"/>
        <v>&gt; Total Length</v>
      </c>
      <c r="G281" s="97" t="str">
        <f t="shared" si="51"/>
        <v>&gt; Total Length</v>
      </c>
      <c r="H281" s="98"/>
      <c r="I281" s="99"/>
      <c r="J281" s="88" t="str">
        <f>IF(ISBLANK(FiringRate[[#This Row],[Event/bin]]), " ", FiringRate[[#This Row],[Event/bin]]/BinSize_sec)</f>
        <v xml:space="preserve"> </v>
      </c>
      <c r="K281" s="100" t="str">
        <f>IF(ISBLANK(FiringRate[[#This Row],[Conc events/bin]]), " ", FiringRate[[#This Row],[Conc events/bin]]/BinSize_sec)</f>
        <v xml:space="preserve"> </v>
      </c>
      <c r="M281" s="2"/>
      <c r="N281" s="2"/>
      <c r="O281" s="2"/>
      <c r="P281" s="2"/>
    </row>
    <row r="282" spans="2:16" x14ac:dyDescent="0.2">
      <c r="B282" s="88" t="str">
        <f t="shared" si="46"/>
        <v>&gt; Total Length</v>
      </c>
      <c r="C282" s="88" t="str">
        <f t="shared" si="47"/>
        <v>&gt; Total Length</v>
      </c>
      <c r="D282" s="96" t="str">
        <f t="shared" si="48"/>
        <v>&gt; Total Length</v>
      </c>
      <c r="E282" s="96" t="str">
        <f t="shared" si="49"/>
        <v>&gt; Total Length</v>
      </c>
      <c r="F282" s="97" t="str">
        <f t="shared" si="50"/>
        <v>&gt; Total Length</v>
      </c>
      <c r="G282" s="97" t="str">
        <f t="shared" si="51"/>
        <v>&gt; Total Length</v>
      </c>
      <c r="H282" s="98"/>
      <c r="I282" s="99"/>
      <c r="J282" s="88" t="str">
        <f>IF(ISBLANK(FiringRate[[#This Row],[Event/bin]]), " ", FiringRate[[#This Row],[Event/bin]]/BinSize_sec)</f>
        <v xml:space="preserve"> </v>
      </c>
      <c r="K282" s="100" t="str">
        <f>IF(ISBLANK(FiringRate[[#This Row],[Conc events/bin]]), " ", FiringRate[[#This Row],[Conc events/bin]]/BinSize_sec)</f>
        <v xml:space="preserve"> </v>
      </c>
      <c r="M282" s="2"/>
      <c r="N282" s="2"/>
      <c r="O282" s="2"/>
      <c r="P282" s="2"/>
    </row>
    <row r="283" spans="2:16" x14ac:dyDescent="0.2">
      <c r="B283" s="88" t="str">
        <f t="shared" si="46"/>
        <v>&gt; Total Length</v>
      </c>
      <c r="C283" s="88" t="str">
        <f t="shared" si="47"/>
        <v>&gt; Total Length</v>
      </c>
      <c r="D283" s="96" t="str">
        <f t="shared" si="48"/>
        <v>&gt; Total Length</v>
      </c>
      <c r="E283" s="96" t="str">
        <f t="shared" si="49"/>
        <v>&gt; Total Length</v>
      </c>
      <c r="F283" s="97" t="str">
        <f t="shared" si="50"/>
        <v>&gt; Total Length</v>
      </c>
      <c r="G283" s="97" t="str">
        <f t="shared" si="51"/>
        <v>&gt; Total Length</v>
      </c>
      <c r="H283" s="98"/>
      <c r="I283" s="99"/>
      <c r="J283" s="88" t="str">
        <f>IF(ISBLANK(FiringRate[[#This Row],[Event/bin]]), " ", FiringRate[[#This Row],[Event/bin]]/BinSize_sec)</f>
        <v xml:space="preserve"> </v>
      </c>
      <c r="K283" s="100" t="str">
        <f>IF(ISBLANK(FiringRate[[#This Row],[Conc events/bin]]), " ", FiringRate[[#This Row],[Conc events/bin]]/BinSize_sec)</f>
        <v xml:space="preserve"> </v>
      </c>
      <c r="M283" s="2"/>
      <c r="N283" s="2"/>
      <c r="O283" s="2"/>
      <c r="P283" s="2"/>
    </row>
    <row r="284" spans="2:16" x14ac:dyDescent="0.2">
      <c r="B284" s="88" t="str">
        <f t="shared" si="46"/>
        <v>&gt; Total Length</v>
      </c>
      <c r="C284" s="88" t="str">
        <f t="shared" si="47"/>
        <v>&gt; Total Length</v>
      </c>
      <c r="D284" s="96" t="str">
        <f t="shared" si="48"/>
        <v>&gt; Total Length</v>
      </c>
      <c r="E284" s="96" t="str">
        <f t="shared" si="49"/>
        <v>&gt; Total Length</v>
      </c>
      <c r="F284" s="97" t="str">
        <f t="shared" si="50"/>
        <v>&gt; Total Length</v>
      </c>
      <c r="G284" s="97" t="str">
        <f t="shared" si="51"/>
        <v>&gt; Total Length</v>
      </c>
      <c r="H284" s="98"/>
      <c r="I284" s="99"/>
      <c r="J284" s="88" t="str">
        <f>IF(ISBLANK(FiringRate[[#This Row],[Event/bin]]), " ", FiringRate[[#This Row],[Event/bin]]/BinSize_sec)</f>
        <v xml:space="preserve"> </v>
      </c>
      <c r="K284" s="100" t="str">
        <f>IF(ISBLANK(FiringRate[[#This Row],[Conc events/bin]]), " ", FiringRate[[#This Row],[Conc events/bin]]/BinSize_sec)</f>
        <v xml:space="preserve"> </v>
      </c>
      <c r="M284" s="2"/>
      <c r="N284" s="2"/>
      <c r="O284" s="2"/>
      <c r="P284" s="2"/>
    </row>
    <row r="285" spans="2:16" x14ac:dyDescent="0.2">
      <c r="B285" s="88" t="str">
        <f t="shared" si="46"/>
        <v>&gt; Total Length</v>
      </c>
      <c r="C285" s="88" t="str">
        <f t="shared" si="47"/>
        <v>&gt; Total Length</v>
      </c>
      <c r="D285" s="96" t="str">
        <f t="shared" si="48"/>
        <v>&gt; Total Length</v>
      </c>
      <c r="E285" s="96" t="str">
        <f t="shared" si="49"/>
        <v>&gt; Total Length</v>
      </c>
      <c r="F285" s="97" t="str">
        <f t="shared" si="50"/>
        <v>&gt; Total Length</v>
      </c>
      <c r="G285" s="97" t="str">
        <f t="shared" si="51"/>
        <v>&gt; Total Length</v>
      </c>
      <c r="H285" s="98"/>
      <c r="I285" s="99"/>
      <c r="J285" s="88" t="str">
        <f>IF(ISBLANK(FiringRate[[#This Row],[Event/bin]]), " ", FiringRate[[#This Row],[Event/bin]]/BinSize_sec)</f>
        <v xml:space="preserve"> </v>
      </c>
      <c r="K285" s="100" t="str">
        <f>IF(ISBLANK(FiringRate[[#This Row],[Conc events/bin]]), " ", FiringRate[[#This Row],[Conc events/bin]]/BinSize_sec)</f>
        <v xml:space="preserve"> </v>
      </c>
      <c r="M285" s="2"/>
      <c r="N285" s="2"/>
      <c r="O285" s="2"/>
      <c r="P285" s="2"/>
    </row>
    <row r="286" spans="2:16" x14ac:dyDescent="0.2">
      <c r="B286" s="88" t="str">
        <f t="shared" si="46"/>
        <v>&gt; Total Length</v>
      </c>
      <c r="C286" s="88" t="str">
        <f t="shared" si="47"/>
        <v>&gt; Total Length</v>
      </c>
      <c r="D286" s="96" t="str">
        <f t="shared" si="48"/>
        <v>&gt; Total Length</v>
      </c>
      <c r="E286" s="96" t="str">
        <f t="shared" si="49"/>
        <v>&gt; Total Length</v>
      </c>
      <c r="F286" s="97" t="str">
        <f t="shared" si="50"/>
        <v>&gt; Total Length</v>
      </c>
      <c r="G286" s="97" t="str">
        <f t="shared" si="51"/>
        <v>&gt; Total Length</v>
      </c>
      <c r="H286" s="98"/>
      <c r="I286" s="99"/>
      <c r="J286" s="88" t="str">
        <f>IF(ISBLANK(FiringRate[[#This Row],[Event/bin]]), " ", FiringRate[[#This Row],[Event/bin]]/BinSize_sec)</f>
        <v xml:space="preserve"> </v>
      </c>
      <c r="K286" s="100" t="str">
        <f>IF(ISBLANK(FiringRate[[#This Row],[Conc events/bin]]), " ", FiringRate[[#This Row],[Conc events/bin]]/BinSize_sec)</f>
        <v xml:space="preserve"> </v>
      </c>
      <c r="M286" s="2"/>
      <c r="N286" s="2"/>
      <c r="O286" s="2"/>
      <c r="P286" s="2"/>
    </row>
    <row r="287" spans="2:16" x14ac:dyDescent="0.2">
      <c r="B287" s="88" t="str">
        <f t="shared" si="46"/>
        <v>&gt; Total Length</v>
      </c>
      <c r="C287" s="88" t="str">
        <f t="shared" si="47"/>
        <v>&gt; Total Length</v>
      </c>
      <c r="D287" s="96" t="str">
        <f t="shared" si="48"/>
        <v>&gt; Total Length</v>
      </c>
      <c r="E287" s="96" t="str">
        <f t="shared" si="49"/>
        <v>&gt; Total Length</v>
      </c>
      <c r="F287" s="97" t="str">
        <f t="shared" si="50"/>
        <v>&gt; Total Length</v>
      </c>
      <c r="G287" s="97" t="str">
        <f t="shared" si="51"/>
        <v>&gt; Total Length</v>
      </c>
      <c r="H287" s="98"/>
      <c r="I287" s="99"/>
      <c r="J287" s="88" t="str">
        <f>IF(ISBLANK(FiringRate[[#This Row],[Event/bin]]), " ", FiringRate[[#This Row],[Event/bin]]/BinSize_sec)</f>
        <v xml:space="preserve"> </v>
      </c>
      <c r="K287" s="100" t="str">
        <f>IF(ISBLANK(FiringRate[[#This Row],[Conc events/bin]]), " ", FiringRate[[#This Row],[Conc events/bin]]/BinSize_sec)</f>
        <v xml:space="preserve"> </v>
      </c>
      <c r="M287" s="2"/>
      <c r="N287" s="2"/>
      <c r="O287" s="2"/>
      <c r="P287" s="2"/>
    </row>
    <row r="288" spans="2:16" x14ac:dyDescent="0.2">
      <c r="B288" s="88" t="str">
        <f t="shared" si="46"/>
        <v>&gt; Total Length</v>
      </c>
      <c r="C288" s="88" t="str">
        <f t="shared" si="47"/>
        <v>&gt; Total Length</v>
      </c>
      <c r="D288" s="96" t="str">
        <f t="shared" si="48"/>
        <v>&gt; Total Length</v>
      </c>
      <c r="E288" s="96" t="str">
        <f t="shared" si="49"/>
        <v>&gt; Total Length</v>
      </c>
      <c r="F288" s="97" t="str">
        <f t="shared" si="50"/>
        <v>&gt; Total Length</v>
      </c>
      <c r="G288" s="97" t="str">
        <f t="shared" si="51"/>
        <v>&gt; Total Length</v>
      </c>
      <c r="H288" s="98"/>
      <c r="I288" s="99"/>
      <c r="J288" s="88" t="str">
        <f>IF(ISBLANK(FiringRate[[#This Row],[Event/bin]]), " ", FiringRate[[#This Row],[Event/bin]]/BinSize_sec)</f>
        <v xml:space="preserve"> </v>
      </c>
      <c r="K288" s="100" t="str">
        <f>IF(ISBLANK(FiringRate[[#This Row],[Conc events/bin]]), " ", FiringRate[[#This Row],[Conc events/bin]]/BinSize_sec)</f>
        <v xml:space="preserve"> </v>
      </c>
      <c r="M288" s="2"/>
      <c r="N288" s="2"/>
      <c r="O288" s="2"/>
      <c r="P288" s="2"/>
    </row>
    <row r="289" spans="2:16" x14ac:dyDescent="0.2">
      <c r="B289" s="88" t="str">
        <f t="shared" si="46"/>
        <v>&gt; Total Length</v>
      </c>
      <c r="C289" s="88" t="str">
        <f t="shared" si="47"/>
        <v>&gt; Total Length</v>
      </c>
      <c r="D289" s="96" t="str">
        <f t="shared" si="48"/>
        <v>&gt; Total Length</v>
      </c>
      <c r="E289" s="96" t="str">
        <f t="shared" si="49"/>
        <v>&gt; Total Length</v>
      </c>
      <c r="F289" s="97" t="str">
        <f t="shared" si="50"/>
        <v>&gt; Total Length</v>
      </c>
      <c r="G289" s="97" t="str">
        <f t="shared" si="51"/>
        <v>&gt; Total Length</v>
      </c>
      <c r="H289" s="98"/>
      <c r="I289" s="99"/>
      <c r="J289" s="88" t="str">
        <f>IF(ISBLANK(FiringRate[[#This Row],[Event/bin]]), " ", FiringRate[[#This Row],[Event/bin]]/BinSize_sec)</f>
        <v xml:space="preserve"> </v>
      </c>
      <c r="K289" s="100" t="str">
        <f>IF(ISBLANK(FiringRate[[#This Row],[Conc events/bin]]), " ", FiringRate[[#This Row],[Conc events/bin]]/BinSize_sec)</f>
        <v xml:space="preserve"> </v>
      </c>
      <c r="M289" s="2"/>
      <c r="N289" s="2"/>
      <c r="O289" s="2"/>
      <c r="P289" s="2"/>
    </row>
    <row r="290" spans="2:16" x14ac:dyDescent="0.2">
      <c r="B290" s="88" t="str">
        <f t="shared" si="46"/>
        <v>&gt; Total Length</v>
      </c>
      <c r="C290" s="88" t="str">
        <f t="shared" si="47"/>
        <v>&gt; Total Length</v>
      </c>
      <c r="D290" s="96" t="str">
        <f t="shared" si="48"/>
        <v>&gt; Total Length</v>
      </c>
      <c r="E290" s="96" t="str">
        <f t="shared" si="49"/>
        <v>&gt; Total Length</v>
      </c>
      <c r="F290" s="97" t="str">
        <f t="shared" si="50"/>
        <v>&gt; Total Length</v>
      </c>
      <c r="G290" s="97" t="str">
        <f t="shared" si="51"/>
        <v>&gt; Total Length</v>
      </c>
      <c r="H290" s="98"/>
      <c r="I290" s="99"/>
      <c r="J290" s="88" t="str">
        <f>IF(ISBLANK(FiringRate[[#This Row],[Event/bin]]), " ", FiringRate[[#This Row],[Event/bin]]/BinSize_sec)</f>
        <v xml:space="preserve"> </v>
      </c>
      <c r="K290" s="100" t="str">
        <f>IF(ISBLANK(FiringRate[[#This Row],[Conc events/bin]]), " ", FiringRate[[#This Row],[Conc events/bin]]/BinSize_sec)</f>
        <v xml:space="preserve"> </v>
      </c>
      <c r="M290" s="2"/>
      <c r="N290" s="2"/>
      <c r="O290" s="2"/>
      <c r="P290" s="2"/>
    </row>
    <row r="291" spans="2:16" x14ac:dyDescent="0.2">
      <c r="B291" s="88" t="str">
        <f t="shared" si="46"/>
        <v>&gt; Total Length</v>
      </c>
      <c r="C291" s="88" t="str">
        <f t="shared" si="47"/>
        <v>&gt; Total Length</v>
      </c>
      <c r="D291" s="96" t="str">
        <f t="shared" si="48"/>
        <v>&gt; Total Length</v>
      </c>
      <c r="E291" s="96" t="str">
        <f t="shared" si="49"/>
        <v>&gt; Total Length</v>
      </c>
      <c r="F291" s="97" t="str">
        <f t="shared" si="50"/>
        <v>&gt; Total Length</v>
      </c>
      <c r="G291" s="97" t="str">
        <f t="shared" si="51"/>
        <v>&gt; Total Length</v>
      </c>
      <c r="H291" s="98"/>
      <c r="I291" s="99"/>
      <c r="J291" s="88" t="str">
        <f>IF(ISBLANK(FiringRate[[#This Row],[Event/bin]]), " ", FiringRate[[#This Row],[Event/bin]]/BinSize_sec)</f>
        <v xml:space="preserve"> </v>
      </c>
      <c r="K291" s="100" t="str">
        <f>IF(ISBLANK(FiringRate[[#This Row],[Conc events/bin]]), " ", FiringRate[[#This Row],[Conc events/bin]]/BinSize_sec)</f>
        <v xml:space="preserve"> </v>
      </c>
      <c r="M291" s="2"/>
      <c r="N291" s="2"/>
      <c r="O291" s="2"/>
      <c r="P291" s="2"/>
    </row>
    <row r="292" spans="2:16" x14ac:dyDescent="0.2">
      <c r="J292" s="2"/>
      <c r="K292" s="2"/>
      <c r="L292" s="2"/>
      <c r="M292" s="2"/>
      <c r="N292" s="2"/>
      <c r="O292" s="2"/>
      <c r="P292" s="2"/>
    </row>
  </sheetData>
  <mergeCells count="16">
    <mergeCell ref="BP1:BY1"/>
    <mergeCell ref="B110:H110"/>
    <mergeCell ref="W110:AC110"/>
    <mergeCell ref="N127:Q129"/>
    <mergeCell ref="Z1:AC1"/>
    <mergeCell ref="AD1:AG1"/>
    <mergeCell ref="AH1:AK1"/>
    <mergeCell ref="AL1:AN1"/>
    <mergeCell ref="AR1:BA1"/>
    <mergeCell ref="BD1:BM1"/>
    <mergeCell ref="B1:E1"/>
    <mergeCell ref="F1:I1"/>
    <mergeCell ref="J1:M1"/>
    <mergeCell ref="N1:Q1"/>
    <mergeCell ref="R1:U1"/>
    <mergeCell ref="V1:Y1"/>
  </mergeCells>
  <conditionalFormatting sqref="I111:I291">
    <cfRule type="top10" dxfId="237" priority="16" rank="1"/>
  </conditionalFormatting>
  <conditionalFormatting sqref="AD112:AG201">
    <cfRule type="containsText" dxfId="236" priority="14" operator="containsText" text="Peak">
      <formula>NOT(ISERROR(SEARCH("Peak",AD112)))</formula>
    </cfRule>
    <cfRule type="containsText" dxfId="235" priority="15" operator="containsText" text="Nadir">
      <formula>NOT(ISERROR(SEARCH("Nadir",AD112)))</formula>
    </cfRule>
  </conditionalFormatting>
  <conditionalFormatting sqref="AA111:AA201">
    <cfRule type="top10" dxfId="234" priority="17" rank="1"/>
  </conditionalFormatting>
  <conditionalFormatting sqref="AD3:AL103">
    <cfRule type="top10" dxfId="233" priority="13" rank="1"/>
  </conditionalFormatting>
  <conditionalFormatting sqref="AM121:AM136">
    <cfRule type="cellIs" dxfId="232" priority="8" operator="equal">
      <formula>2</formula>
    </cfRule>
  </conditionalFormatting>
  <conditionalFormatting sqref="AT121:AT136">
    <cfRule type="cellIs" dxfId="231" priority="7" operator="equal">
      <formula>2</formula>
    </cfRule>
  </conditionalFormatting>
  <conditionalFormatting sqref="AI121:AJ136 AM121:AN136">
    <cfRule type="expression" dxfId="230" priority="11">
      <formula>$AJ121="Nadir"</formula>
    </cfRule>
    <cfRule type="expression" dxfId="229" priority="12">
      <formula>$AJ121 = "Peak"</formula>
    </cfRule>
  </conditionalFormatting>
  <conditionalFormatting sqref="AP121:AQ136 AT121:AU136">
    <cfRule type="expression" dxfId="228" priority="9">
      <formula>$AQ121 = "Nadir"</formula>
    </cfRule>
    <cfRule type="expression" dxfId="227" priority="10">
      <formula>$AQ121 = "Peak"</formula>
    </cfRule>
  </conditionalFormatting>
  <conditionalFormatting sqref="BA121:BA136">
    <cfRule type="cellIs" dxfId="226" priority="4" operator="equal">
      <formula>2</formula>
    </cfRule>
  </conditionalFormatting>
  <conditionalFormatting sqref="AW121:AX136 BA121:BB136">
    <cfRule type="expression" dxfId="225" priority="5">
      <formula>$AX121 = "Nadir"</formula>
    </cfRule>
    <cfRule type="expression" dxfId="224" priority="6">
      <formula>$AX121 = "Peak"</formula>
    </cfRule>
  </conditionalFormatting>
  <conditionalFormatting sqref="BH121:BH136">
    <cfRule type="cellIs" dxfId="223" priority="1" operator="equal">
      <formula>2</formula>
    </cfRule>
  </conditionalFormatting>
  <conditionalFormatting sqref="BD121:BE136 BH121:BI136">
    <cfRule type="expression" dxfId="222" priority="2">
      <formula>$BE121 = "Nadir"</formula>
    </cfRule>
    <cfRule type="expression" dxfId="221" priority="3">
      <formula>$BE121 = "Peak"</formula>
    </cfRule>
  </conditionalFormatting>
  <dataValidations count="4">
    <dataValidation type="custom" errorStyle="warning" allowBlank="1" showInputMessage="1" showErrorMessage="1" errorTitle="Enter Multiple of 2" error="This allows for appropriate comparison with cluster analysis" promptTitle="Enter Multiple of 2" prompt="This allows for appropriate comparison with cluster analysis" sqref="P116" xr:uid="{0A8F7983-EC8F-C940-80D5-7B05346ECFA1}">
      <formula1>MOD(P116, 2) = 0</formula1>
    </dataValidation>
    <dataValidation type="custom" errorStyle="warning" allowBlank="1" showInputMessage="1" showErrorMessage="1" errorTitle="Enter Multiple of 2" promptTitle="Enter Multiple of 2" prompt="This allows for appropriate comparison with cluster analysis" sqref="O116" xr:uid="{0B769968-AEFA-B84C-B74E-F5A58358603A}">
      <formula1>MOD(O116,2) = 0</formula1>
    </dataValidation>
    <dataValidation type="custom" errorStyle="warning" allowBlank="1" showInputMessage="1" showErrorMessage="1" errorTitle="Enter Multiple of Bin Size" promptTitle="Enter Multiple of Bin Size" prompt="Enter a multiple of bin size - keep in mind sec to min calculation" sqref="O117:P119" xr:uid="{293ABECD-5BFA-A14E-870B-9B4414915CB8}">
      <formula1>MOD(O117, BinSize_sec/60) = 0</formula1>
    </dataValidation>
    <dataValidation type="list" allowBlank="1" showInputMessage="1" showErrorMessage="1" sqref="T116 AJ114 AQ114 AX114 BE114" xr:uid="{4D2FAD10-1D28-CB4E-A572-D14D2F62C749}">
      <formula1>TrueFalse</formula1>
    </dataValidation>
  </dataValidation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069-031F-4989-80E7-1A170A878BE1}">
  <dimension ref="A1:CI292"/>
  <sheetViews>
    <sheetView topLeftCell="A109" zoomScale="80" zoomScaleNormal="80" workbookViewId="0">
      <pane xSplit="1" topLeftCell="B1" activePane="topRight" state="frozen"/>
      <selection pane="topRight" activeCell="C106" sqref="C106"/>
    </sheetView>
  </sheetViews>
  <sheetFormatPr baseColWidth="10" defaultColWidth="15.6640625" defaultRowHeight="16" x14ac:dyDescent="0.2"/>
  <cols>
    <col min="1" max="16384" width="15.6640625" style="1"/>
  </cols>
  <sheetData>
    <row r="1" spans="1:77" x14ac:dyDescent="0.2">
      <c r="B1" s="170" t="s">
        <v>0</v>
      </c>
      <c r="C1" s="170"/>
      <c r="D1" s="170"/>
      <c r="E1" s="170"/>
      <c r="F1" s="170" t="s">
        <v>1</v>
      </c>
      <c r="G1" s="170"/>
      <c r="H1" s="170"/>
      <c r="I1" s="170"/>
      <c r="J1" s="170" t="s">
        <v>2</v>
      </c>
      <c r="K1" s="170"/>
      <c r="L1" s="170"/>
      <c r="M1" s="170"/>
      <c r="N1" s="170" t="s">
        <v>3</v>
      </c>
      <c r="O1" s="170"/>
      <c r="P1" s="170"/>
      <c r="Q1" s="170"/>
      <c r="R1" s="170" t="s">
        <v>4</v>
      </c>
      <c r="S1" s="170"/>
      <c r="T1" s="170"/>
      <c r="U1" s="170"/>
      <c r="V1" s="170" t="s">
        <v>5</v>
      </c>
      <c r="W1" s="170"/>
      <c r="X1" s="170"/>
      <c r="Y1" s="170"/>
      <c r="Z1" s="170" t="s">
        <v>6</v>
      </c>
      <c r="AA1" s="170"/>
      <c r="AB1" s="170"/>
      <c r="AC1" s="170"/>
      <c r="AD1" s="170" t="s">
        <v>7</v>
      </c>
      <c r="AE1" s="170"/>
      <c r="AF1" s="170"/>
      <c r="AG1" s="170"/>
      <c r="AH1" s="170" t="s">
        <v>8</v>
      </c>
      <c r="AI1" s="170"/>
      <c r="AJ1" s="170"/>
      <c r="AK1" s="170"/>
      <c r="AL1" s="170" t="s">
        <v>9</v>
      </c>
      <c r="AM1" s="170"/>
      <c r="AN1" s="170"/>
      <c r="AR1" s="168" t="s">
        <v>10</v>
      </c>
      <c r="AS1" s="168"/>
      <c r="AT1" s="168"/>
      <c r="AU1" s="168"/>
      <c r="AV1" s="168"/>
      <c r="AW1" s="168"/>
      <c r="AX1" s="168"/>
      <c r="AY1" s="168"/>
      <c r="AZ1" s="168"/>
      <c r="BA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P1" s="168"/>
      <c r="BQ1" s="168"/>
      <c r="BR1" s="168"/>
      <c r="BS1" s="168"/>
      <c r="BT1" s="168"/>
      <c r="BU1" s="168"/>
      <c r="BV1" s="168"/>
      <c r="BW1" s="168"/>
      <c r="BX1" s="168"/>
      <c r="BY1" s="168"/>
    </row>
    <row r="2" spans="1:77" x14ac:dyDescent="0.2">
      <c r="A2" s="2" t="s">
        <v>11</v>
      </c>
      <c r="B2" s="2" t="s">
        <v>142</v>
      </c>
      <c r="C2" s="2" t="s">
        <v>217</v>
      </c>
      <c r="D2" s="2" t="s">
        <v>12</v>
      </c>
      <c r="E2" s="2" t="s">
        <v>13</v>
      </c>
      <c r="F2" s="2" t="s">
        <v>143</v>
      </c>
      <c r="G2" s="2" t="s">
        <v>218</v>
      </c>
      <c r="H2" s="2" t="s">
        <v>14</v>
      </c>
      <c r="I2" s="2" t="s">
        <v>15</v>
      </c>
      <c r="J2" s="2" t="s">
        <v>144</v>
      </c>
      <c r="K2" s="2" t="s">
        <v>219</v>
      </c>
      <c r="L2" s="2" t="s">
        <v>16</v>
      </c>
      <c r="M2" s="2" t="s">
        <v>17</v>
      </c>
      <c r="N2" s="2" t="s">
        <v>145</v>
      </c>
      <c r="O2" s="2" t="s">
        <v>220</v>
      </c>
      <c r="P2" s="2" t="s">
        <v>18</v>
      </c>
      <c r="Q2" s="2" t="s">
        <v>19</v>
      </c>
      <c r="R2" s="2" t="s">
        <v>146</v>
      </c>
      <c r="S2" s="2" t="s">
        <v>221</v>
      </c>
      <c r="T2" s="2" t="s">
        <v>20</v>
      </c>
      <c r="U2" s="2" t="s">
        <v>21</v>
      </c>
      <c r="V2" s="2" t="s">
        <v>147</v>
      </c>
      <c r="W2" s="2" t="s">
        <v>222</v>
      </c>
      <c r="X2" s="2" t="s">
        <v>22</v>
      </c>
      <c r="Y2" s="2" t="s">
        <v>23</v>
      </c>
      <c r="Z2" s="2" t="s">
        <v>148</v>
      </c>
      <c r="AA2" s="2" t="s">
        <v>223</v>
      </c>
      <c r="AB2" s="2" t="s">
        <v>24</v>
      </c>
      <c r="AC2" s="2" t="s">
        <v>25</v>
      </c>
      <c r="AD2" s="2" t="s">
        <v>149</v>
      </c>
      <c r="AE2" s="2" t="s">
        <v>224</v>
      </c>
      <c r="AF2" s="2" t="s">
        <v>26</v>
      </c>
      <c r="AG2" s="2" t="s">
        <v>27</v>
      </c>
      <c r="AH2" s="2" t="s">
        <v>150</v>
      </c>
      <c r="AI2" s="2" t="s">
        <v>225</v>
      </c>
      <c r="AJ2" s="2" t="s">
        <v>28</v>
      </c>
      <c r="AK2" s="2" t="s">
        <v>29</v>
      </c>
      <c r="AL2" s="2" t="s">
        <v>151</v>
      </c>
      <c r="AM2" s="2" t="s">
        <v>226</v>
      </c>
      <c r="AN2" s="2" t="s">
        <v>30</v>
      </c>
      <c r="AO2" s="2" t="s">
        <v>31</v>
      </c>
      <c r="AQ2" s="1" t="s">
        <v>11</v>
      </c>
      <c r="AR2" s="3" t="str">
        <f>BurstIgor14[[#Headers],[BurstNum_spont]]</f>
        <v>BurstNum_spont</v>
      </c>
      <c r="AS2" s="3" t="str">
        <f>BurstIgor14[[#Headers],[Mbd_spont]]</f>
        <v>Mbd_spont</v>
      </c>
      <c r="AT2" s="3" t="str">
        <f>BurstIgor14[[#Headers],[SpikesPerBurst_spont]]</f>
        <v>SpikesPerBurst_spont</v>
      </c>
      <c r="AU2" s="3" t="str">
        <f>BurstIgor14[[#Headers],[BurstFreq_spont]]</f>
        <v>BurstFreq_spont</v>
      </c>
      <c r="AV2" s="3" t="str">
        <f>BurstIgor14[[#Headers],[SingleSpikeNum_spont]]</f>
        <v>SingleSpikeNum_spont</v>
      </c>
      <c r="AW2" s="3" t="str">
        <f>BurstIgor14[[#Headers],[SingleSpikeFreq_spont]]</f>
        <v>SingleSpikeFreq_spont</v>
      </c>
      <c r="AX2" s="3" t="str">
        <f>BurstIgor14[[#Headers],[TotalFreq_spont]]</f>
        <v>TotalFreq_spont</v>
      </c>
      <c r="AY2" s="3" t="str">
        <f>BurstIgor14[[#Headers],[InterBurst_spont]]</f>
        <v>InterBurst_spont</v>
      </c>
      <c r="AZ2" s="3" t="str">
        <f>BurstIgor14[[#Headers],[IntraBurst_spont]]</f>
        <v>IntraBurst_spont</v>
      </c>
      <c r="BA2" s="3" t="str">
        <f>BurstIgor14[[#Headers],[BurstsPerHour_spont]]</f>
        <v>BurstsPerHour_spont</v>
      </c>
      <c r="BC2" s="1" t="s">
        <v>32</v>
      </c>
      <c r="BD2" s="4" t="str">
        <f>BurstIgor14[[#Headers],[BurstNum_senktide]]</f>
        <v>BurstNum_senktide</v>
      </c>
      <c r="BE2" s="4" t="str">
        <f>BurstIgor14[[#Headers],[Mbd_senktide]]</f>
        <v>Mbd_senktide</v>
      </c>
      <c r="BF2" s="4" t="str">
        <f>BurstIgor14[[#Headers],[SpikesPerBurst_senktide]]</f>
        <v>SpikesPerBurst_senktide</v>
      </c>
      <c r="BG2" s="4" t="str">
        <f>BurstIgor14[[#Headers],[BurstFreq_senktide]]</f>
        <v>BurstFreq_senktide</v>
      </c>
      <c r="BH2" s="4" t="str">
        <f>BurstIgor14[[#Headers],[SingleSpikeNum_senktide]]</f>
        <v>SingleSpikeNum_senktide</v>
      </c>
      <c r="BI2" s="4" t="str">
        <f>BurstIgor14[[#Headers],[SingleSpikeFreq_senktide]]</f>
        <v>SingleSpikeFreq_senktide</v>
      </c>
      <c r="BJ2" s="4" t="str">
        <f>BurstIgor14[[#Headers],[TotalFreq_senktide]]</f>
        <v>TotalFreq_senktide</v>
      </c>
      <c r="BK2" s="4" t="str">
        <f>BurstIgor14[[#Headers],[InterBurst_senktide]]</f>
        <v>InterBurst_senktide</v>
      </c>
      <c r="BL2" s="4" t="str">
        <f>BurstIgor14[[#Headers],[IntraBurst_senktide]]</f>
        <v>IntraBurst_senktide</v>
      </c>
      <c r="BM2" s="4" t="str">
        <f>BurstIgor14[[#Headers],[BurstsPerHour_senktide]]</f>
        <v>BurstsPerHour_senktide</v>
      </c>
      <c r="BO2" s="1" t="s">
        <v>32</v>
      </c>
      <c r="BP2" s="5" t="str">
        <f>BurstIgor14[[#Headers],[BurstNum_temp2]]</f>
        <v>BurstNum_temp2</v>
      </c>
      <c r="BQ2" s="5" t="str">
        <f>BurstIgor14[[#Headers],[Mbd_temp2]]</f>
        <v>Mbd_temp2</v>
      </c>
      <c r="BR2" s="5" t="str">
        <f>BurstIgor14[[#Headers],[SpikesPerBurst_senktide]]</f>
        <v>SpikesPerBurst_senktide</v>
      </c>
      <c r="BS2" s="5" t="str">
        <f>BurstIgor14[[#Headers],[BurstFreq_temp2]]</f>
        <v>BurstFreq_temp2</v>
      </c>
      <c r="BT2" s="5" t="str">
        <f>BurstIgor14[[#Headers],[SingleSpikeNum_temp2]]</f>
        <v>SingleSpikeNum_temp2</v>
      </c>
      <c r="BU2" s="5" t="str">
        <f>BurstIgor14[[#Headers],[SingleSpikeFreq_temp2]]</f>
        <v>SingleSpikeFreq_temp2</v>
      </c>
      <c r="BV2" s="5" t="str">
        <f>BurstIgor14[[#Headers],[TotalFreq_temp2]]</f>
        <v>TotalFreq_temp2</v>
      </c>
      <c r="BW2" s="5" t="str">
        <f>BurstIgor14[[#Headers],[InterBurst_temp2]]</f>
        <v>InterBurst_temp2</v>
      </c>
      <c r="BX2" s="5" t="str">
        <f>BurstIgor14[[#Headers],[IntraBurst_temp2]]</f>
        <v>IntraBurst_temp2</v>
      </c>
      <c r="BY2" s="5" t="str">
        <f>BurstIgor14[[#Headers],[BurstsPerHour_temp2]]</f>
        <v>BurstsPerHour_temp2</v>
      </c>
    </row>
    <row r="3" spans="1:77" x14ac:dyDescent="0.2">
      <c r="A3" s="1">
        <v>0.01</v>
      </c>
      <c r="B3" s="6">
        <v>0</v>
      </c>
      <c r="C3" s="7">
        <v>0</v>
      </c>
      <c r="D3" s="8">
        <v>0</v>
      </c>
      <c r="E3" s="9">
        <v>0</v>
      </c>
      <c r="F3" s="6"/>
      <c r="G3" s="7"/>
      <c r="H3" s="8"/>
      <c r="I3" s="9"/>
      <c r="J3" s="6">
        <v>0</v>
      </c>
      <c r="K3" s="7">
        <v>0</v>
      </c>
      <c r="L3" s="8">
        <v>0</v>
      </c>
      <c r="M3" s="9">
        <v>0</v>
      </c>
      <c r="N3" s="6"/>
      <c r="O3" s="7"/>
      <c r="P3" s="8"/>
      <c r="Q3" s="9"/>
      <c r="R3" s="6">
        <v>3955</v>
      </c>
      <c r="S3" s="7">
        <v>2</v>
      </c>
      <c r="T3" s="8">
        <v>2</v>
      </c>
      <c r="U3" s="9">
        <v>320</v>
      </c>
      <c r="V3" s="6">
        <v>0.82393998000000002</v>
      </c>
      <c r="W3" s="7">
        <v>4.1666001000000003E-4</v>
      </c>
      <c r="X3" s="8">
        <v>4.1666001000000003E-4</v>
      </c>
      <c r="Y3" s="9">
        <v>6.6665001000000002E-2</v>
      </c>
      <c r="Z3" s="6">
        <v>0.82393998000000002</v>
      </c>
      <c r="AA3" s="7">
        <v>4.1666001000000003E-4</v>
      </c>
      <c r="AB3" s="8">
        <v>4.1666001000000003E-4</v>
      </c>
      <c r="AC3" s="9">
        <v>6.6665001000000002E-2</v>
      </c>
      <c r="AD3" s="6">
        <v>1.1085</v>
      </c>
      <c r="AE3" s="7">
        <v>41.289000999999999</v>
      </c>
      <c r="AF3" s="8">
        <v>41.289000999999999</v>
      </c>
      <c r="AG3" s="9">
        <v>2.6547000000000001</v>
      </c>
      <c r="AH3" s="6"/>
      <c r="AI3" s="7"/>
      <c r="AJ3" s="8"/>
      <c r="AK3" s="9"/>
      <c r="AL3" s="3">
        <f>IF(ISNUMBER(BurstIgor14[[#This Row],[BurstNum_spont]]), IF(ISNUMBER(SpontLength_min), BurstIgor14[[#This Row],[BurstNum_spont]]/SpontLength_min*60, "Enter Length"), "Enter Burst Vals")</f>
        <v>0</v>
      </c>
      <c r="AM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" s="11" t="str" cm="1">
        <f t="array" ref="AN3">IF(ISNUMBER(BurstIgor14[[#This Row],[BurstNum_temp2]]), IF(ISNUMBER(Temp2_length), BurstIgor14[[#This Row],[BurstNum_temp2]]/Temp2_length*60, "Enter Length"), "Enter Burst Vals")</f>
        <v>Enter Length</v>
      </c>
      <c r="AO3" s="12" t="str" cm="1">
        <f t="array" ref="AO3">IF(ISNUMBER(BurstIgor14[[#This Row],[BurstNum_temp3]]), IF(ISNUMBER(Temp3_length), BurstIgor14[[#This Row],[BurstNum_temp3]]/Temp3_length*60, "Enter Length"), "Enter Burst Vals")</f>
        <v>Enter Length</v>
      </c>
      <c r="AQ3" s="1">
        <v>0.01</v>
      </c>
      <c r="AR3" s="3" cm="1">
        <f t="array" ref="AR3:AR102">IF(ISBLANK($B$3),"",BurstIgor14[BurstNum_spont])</f>
        <v>0</v>
      </c>
      <c r="AS3" s="3" cm="1">
        <f t="array" ref="AS3:AS102">IF(ISBLANK($B$3),"",BurstIgor14[Mbd_spont])</f>
        <v>0</v>
      </c>
      <c r="AT3" s="3" cm="1">
        <f t="array" ref="AT3:AT102">IF(ISBLANK($B$3),"",BurstIgor14[SpikesPerBurst_spont])</f>
        <v>0</v>
      </c>
      <c r="AU3" s="3" cm="1">
        <f t="array" ref="AU3:AU102">IF(ISBLANK($B$3),"",BurstIgor14[BurstFreq_spont])</f>
        <v>0</v>
      </c>
      <c r="AV3" s="3" cm="1">
        <f t="array" ref="AV3:AV102">IF(ISBLANK($B$3),"",BurstIgor14[SingleSpikeNum_spont])</f>
        <v>3955</v>
      </c>
      <c r="AW3" s="3" cm="1">
        <f t="array" ref="AW3:AW102">IF(ISBLANK($B$3),"",BurstIgor14[SingleSpikeFreq_spont])</f>
        <v>0.82393998000000002</v>
      </c>
      <c r="AX3" s="3" cm="1">
        <f t="array" ref="AX3:AX102">IF(ISBLANK($B$3),"",BurstIgor14[TotalFreq_spont])</f>
        <v>0.82393998000000002</v>
      </c>
      <c r="AY3" s="3" cm="1">
        <f t="array" ref="AY3:AY102">IF(ISBLANK($B$3),"",BurstIgor14[InterBurst_spont])</f>
        <v>1.1085</v>
      </c>
      <c r="AZ3" s="3" cm="1">
        <f t="array" ref="AZ3:AZ102">IF(ISBLANK($B$3),"",BurstIgor14[IntraBurst_spont])</f>
        <v>0</v>
      </c>
      <c r="BA3" s="3" cm="1">
        <f t="array" ref="BA3:BA102">IF(ISBLANK($B$3),"",BurstIgor14[BurstsPerHour_spont])</f>
        <v>0</v>
      </c>
      <c r="BC3" s="1">
        <v>0.01</v>
      </c>
      <c r="BD3" s="10" cm="1">
        <f t="array" ref="BD3:BD102">IF(ISBLANK($C$3),"",BurstIgor14[BurstNum_senktide])</f>
        <v>0</v>
      </c>
      <c r="BE3" s="10" cm="1">
        <f t="array" ref="BE3:BE102">IF(ISBLANK($C$3),"",BurstIgor14[Mbd_senktide])</f>
        <v>0</v>
      </c>
      <c r="BF3" s="10" cm="1">
        <f t="array" ref="BF3:BF102">IF(ISBLANK($C$3),"",BurstIgor14[SpikesPerBurst_senktide])</f>
        <v>0</v>
      </c>
      <c r="BG3" s="10" cm="1">
        <f t="array" ref="BG3:BG102">IF(ISBLANK($C$3),"",BurstIgor14[BurstFreq_senktide])</f>
        <v>0</v>
      </c>
      <c r="BH3" s="10" cm="1">
        <f t="array" ref="BH3:BH102">IF(ISBLANK($C$3),"",BurstIgor14[SingleSpikeNum_senktide])</f>
        <v>2</v>
      </c>
      <c r="BI3" s="10" cm="1">
        <f t="array" ref="BI3:BI102">IF(ISBLANK($C$3),"",BurstIgor14[SingleSpikeFreq_senktide])</f>
        <v>4.1666001000000003E-4</v>
      </c>
      <c r="BJ3" s="10" cm="1">
        <f t="array" ref="BJ3:BJ102">IF(ISBLANK($C$3),"",BurstIgor14[TotalFreq_senktide])</f>
        <v>4.1666001000000003E-4</v>
      </c>
      <c r="BK3" s="10" cm="1">
        <f t="array" ref="BK3:BK102">IF(ISBLANK($C$3),"",BurstIgor14[InterBurst_senktide])</f>
        <v>41.289000999999999</v>
      </c>
      <c r="BL3" s="10" cm="1">
        <f t="array" ref="BL3:BL102">IF(ISBLANK($C$3),"",BurstIgor14[IntraBurst_senktide])</f>
        <v>0</v>
      </c>
      <c r="BM3" s="10" t="str" cm="1">
        <f t="array" ref="BM3:BM102">IF(ISBLANK($B$3),"",BurstIgor14[BurstsPerHour_senktide])</f>
        <v>NA</v>
      </c>
      <c r="BO3" s="1">
        <v>0.01</v>
      </c>
      <c r="BP3" s="11" cm="1">
        <f t="array" ref="BP3:BP102">IF(ISBLANK($D$3),"",BurstIgor14[BurstNum_temp2])</f>
        <v>0</v>
      </c>
      <c r="BQ3" s="11" cm="1">
        <f t="array" ref="BQ3:BQ102">IF(ISBLANK($D$3),"",BurstIgor14[Mbd_temp2])</f>
        <v>0</v>
      </c>
      <c r="BR3" s="11" cm="1">
        <f t="array" ref="BR3:BR102">IF(ISBLANK($D$3),"",BurstIgor14[SpikesPerBurst_temp2])</f>
        <v>0</v>
      </c>
      <c r="BS3" s="11" cm="1">
        <f t="array" ref="BS3:BS102">IF(ISBLANK($D$3),"",BurstIgor14[BurstFreq_temp2])</f>
        <v>0</v>
      </c>
      <c r="BT3" s="11" cm="1">
        <f t="array" ref="BT3:BT102">IF(ISBLANK($D$3),"",BurstIgor14[SingleSpikeNum_temp2])</f>
        <v>2</v>
      </c>
      <c r="BU3" s="11" cm="1">
        <f t="array" ref="BU3:BU102">IF(ISBLANK($D$3),"",BurstIgor14[SingleSpikeFreq_temp2])</f>
        <v>4.1666001000000003E-4</v>
      </c>
      <c r="BV3" s="11" cm="1">
        <f t="array" ref="BV3:BV102">IF(ISBLANK($D$3),"",BurstIgor14[TotalFreq_temp2])</f>
        <v>4.1666001000000003E-4</v>
      </c>
      <c r="BW3" s="11" cm="1">
        <f t="array" ref="BW3:BW102">IF(ISBLANK($D$3),"",BurstIgor14[InterBurst_temp2])</f>
        <v>41.289000999999999</v>
      </c>
      <c r="BX3" s="11" cm="1">
        <f t="array" ref="BX3:BX102">IF(ISBLANK($D$3),"",BurstIgor14[IntraBurst_temp2])</f>
        <v>0</v>
      </c>
      <c r="BY3" s="11" t="str" cm="1">
        <f t="array" ref="BY3:BY102">IF(ISBLANK($B$3),"",BurstIgor14[BurstsPerHour_temp2])</f>
        <v>Enter Length</v>
      </c>
    </row>
    <row r="4" spans="1:77" x14ac:dyDescent="0.2">
      <c r="A4" s="1">
        <v>0.02</v>
      </c>
      <c r="B4" s="6">
        <v>2</v>
      </c>
      <c r="C4" s="7">
        <v>0</v>
      </c>
      <c r="D4" s="8">
        <v>0</v>
      </c>
      <c r="E4" s="9">
        <v>0</v>
      </c>
      <c r="F4" s="6">
        <v>8.9294000999999998E-2</v>
      </c>
      <c r="G4" s="7"/>
      <c r="H4" s="8"/>
      <c r="I4" s="9"/>
      <c r="J4" s="6">
        <v>7</v>
      </c>
      <c r="K4" s="7">
        <v>0</v>
      </c>
      <c r="L4" s="8">
        <v>0</v>
      </c>
      <c r="M4" s="9">
        <v>0</v>
      </c>
      <c r="N4" s="6">
        <v>4.1666001000000003E-4</v>
      </c>
      <c r="O4" s="7"/>
      <c r="P4" s="8"/>
      <c r="Q4" s="9"/>
      <c r="R4" s="6">
        <v>3941</v>
      </c>
      <c r="S4" s="7">
        <v>2</v>
      </c>
      <c r="T4" s="8">
        <v>2</v>
      </c>
      <c r="U4" s="9">
        <v>320</v>
      </c>
      <c r="V4" s="6">
        <v>0.82102001000000002</v>
      </c>
      <c r="W4" s="7">
        <v>4.1666001000000003E-4</v>
      </c>
      <c r="X4" s="8">
        <v>4.1666001000000003E-4</v>
      </c>
      <c r="Y4" s="9">
        <v>6.6665001000000002E-2</v>
      </c>
      <c r="Z4" s="6">
        <v>0.82393998000000002</v>
      </c>
      <c r="AA4" s="7">
        <v>4.1666001000000003E-4</v>
      </c>
      <c r="AB4" s="8">
        <v>4.1666001000000003E-4</v>
      </c>
      <c r="AC4" s="9">
        <v>6.6665001000000002E-2</v>
      </c>
      <c r="AD4" s="6">
        <v>1.1117999999999999</v>
      </c>
      <c r="AE4" s="7">
        <v>41.289000999999999</v>
      </c>
      <c r="AF4" s="8">
        <v>41.289000999999999</v>
      </c>
      <c r="AG4" s="9">
        <v>2.6547000000000001</v>
      </c>
      <c r="AH4" s="6">
        <v>1.4881999999999999E-2</v>
      </c>
      <c r="AI4" s="7"/>
      <c r="AJ4" s="8"/>
      <c r="AK4" s="9"/>
      <c r="AL4" s="3">
        <f>IF(ISNUMBER(BurstIgor14[[#This Row],[BurstNum_spont]]), IF(ISNUMBER(SpontLength_min), BurstIgor14[[#This Row],[BurstNum_spont]]/SpontLength_min*60, "Enter Length"), "Enter Burst Vals")</f>
        <v>1.6216216216216217</v>
      </c>
      <c r="AM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" s="11" t="str" cm="1">
        <f t="array" ref="AN4">IF(ISNUMBER(BurstIgor14[[#This Row],[BurstNum_temp2]]), IF(ISNUMBER(Temp2_length), BurstIgor14[[#This Row],[BurstNum_temp2]]/Temp2_length*60, "Enter Length"), "Enter Burst Vals")</f>
        <v>Enter Length</v>
      </c>
      <c r="AO4" s="12" t="str" cm="1">
        <f t="array" ref="AO4">IF(ISNUMBER(BurstIgor14[[#This Row],[BurstNum_temp3]]), IF(ISNUMBER(Temp3_length), BurstIgor14[[#This Row],[BurstNum_temp3]]/Temp3_length*60, "Enter Length"), "Enter Burst Vals")</f>
        <v>Enter Length</v>
      </c>
      <c r="AQ4" s="1">
        <v>0.02</v>
      </c>
      <c r="AR4" s="3">
        <v>2</v>
      </c>
      <c r="AS4" s="3">
        <v>8.9294000999999998E-2</v>
      </c>
      <c r="AT4" s="3">
        <v>7</v>
      </c>
      <c r="AU4" s="3">
        <v>4.1666001000000003E-4</v>
      </c>
      <c r="AV4" s="3">
        <v>3941</v>
      </c>
      <c r="AW4" s="3">
        <v>0.82102001000000002</v>
      </c>
      <c r="AX4" s="3">
        <v>0.82393998000000002</v>
      </c>
      <c r="AY4" s="3">
        <v>1.1117999999999999</v>
      </c>
      <c r="AZ4" s="3">
        <v>1.4881999999999999E-2</v>
      </c>
      <c r="BA4" s="3">
        <v>1.6216216216216217</v>
      </c>
      <c r="BC4" s="1">
        <v>0.02</v>
      </c>
      <c r="BD4" s="10">
        <v>0</v>
      </c>
      <c r="BE4" s="10">
        <v>0</v>
      </c>
      <c r="BF4" s="10">
        <v>0</v>
      </c>
      <c r="BG4" s="10">
        <v>0</v>
      </c>
      <c r="BH4" s="10">
        <v>2</v>
      </c>
      <c r="BI4" s="10">
        <v>4.1666001000000003E-4</v>
      </c>
      <c r="BJ4" s="10">
        <v>4.1666001000000003E-4</v>
      </c>
      <c r="BK4" s="10">
        <v>41.289000999999999</v>
      </c>
      <c r="BL4" s="10">
        <v>0</v>
      </c>
      <c r="BM4" s="10" t="str">
        <v>NA</v>
      </c>
      <c r="BO4" s="1">
        <v>0.02</v>
      </c>
      <c r="BP4" s="11">
        <v>0</v>
      </c>
      <c r="BQ4" s="11">
        <v>0</v>
      </c>
      <c r="BR4" s="11">
        <v>0</v>
      </c>
      <c r="BS4" s="11">
        <v>0</v>
      </c>
      <c r="BT4" s="11">
        <v>2</v>
      </c>
      <c r="BU4" s="11">
        <v>4.1666001000000003E-4</v>
      </c>
      <c r="BV4" s="11">
        <v>4.1666001000000003E-4</v>
      </c>
      <c r="BW4" s="11">
        <v>41.289000999999999</v>
      </c>
      <c r="BX4" s="11">
        <v>0</v>
      </c>
      <c r="BY4" s="11" t="str">
        <v>Enter Length</v>
      </c>
    </row>
    <row r="5" spans="1:77" x14ac:dyDescent="0.2">
      <c r="A5" s="1">
        <v>0.03</v>
      </c>
      <c r="B5" s="6">
        <v>5</v>
      </c>
      <c r="C5" s="7">
        <v>0</v>
      </c>
      <c r="D5" s="8">
        <v>0</v>
      </c>
      <c r="E5" s="9">
        <v>0</v>
      </c>
      <c r="F5" s="6">
        <v>5.6763001E-2</v>
      </c>
      <c r="G5" s="7"/>
      <c r="H5" s="8"/>
      <c r="I5" s="9"/>
      <c r="J5" s="6">
        <v>4.1999997999999996</v>
      </c>
      <c r="K5" s="7">
        <v>0</v>
      </c>
      <c r="L5" s="8">
        <v>0</v>
      </c>
      <c r="M5" s="9">
        <v>0</v>
      </c>
      <c r="N5" s="6">
        <v>1.0415999999999999E-3</v>
      </c>
      <c r="O5" s="7"/>
      <c r="P5" s="8"/>
      <c r="Q5" s="9"/>
      <c r="R5" s="6">
        <v>3934</v>
      </c>
      <c r="S5" s="7">
        <v>2</v>
      </c>
      <c r="T5" s="8">
        <v>2</v>
      </c>
      <c r="U5" s="9">
        <v>320</v>
      </c>
      <c r="V5" s="6">
        <v>0.81957000000000002</v>
      </c>
      <c r="W5" s="7">
        <v>4.1666001000000003E-4</v>
      </c>
      <c r="X5" s="8">
        <v>4.1666001000000003E-4</v>
      </c>
      <c r="Y5" s="9">
        <v>6.6665001000000002E-2</v>
      </c>
      <c r="Z5" s="6">
        <v>0.82393998000000002</v>
      </c>
      <c r="AA5" s="7">
        <v>4.1666001000000003E-4</v>
      </c>
      <c r="AB5" s="8">
        <v>4.1666001000000003E-4</v>
      </c>
      <c r="AC5" s="9">
        <v>6.6665001000000002E-2</v>
      </c>
      <c r="AD5" s="6">
        <v>1.1129</v>
      </c>
      <c r="AE5" s="7">
        <v>41.289000999999999</v>
      </c>
      <c r="AF5" s="8">
        <v>41.289000999999999</v>
      </c>
      <c r="AG5" s="9">
        <v>2.6547000000000001</v>
      </c>
      <c r="AH5" s="6">
        <v>1.7738E-2</v>
      </c>
      <c r="AI5" s="7"/>
      <c r="AJ5" s="8"/>
      <c r="AK5" s="9"/>
      <c r="AL5" s="3">
        <f>IF(ISNUMBER(BurstIgor14[[#This Row],[BurstNum_spont]]), IF(ISNUMBER(SpontLength_min), BurstIgor14[[#This Row],[BurstNum_spont]]/SpontLength_min*60, "Enter Length"), "Enter Burst Vals")</f>
        <v>4.0540540540540544</v>
      </c>
      <c r="AM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" s="11" t="str" cm="1">
        <f t="array" ref="AN5">IF(ISNUMBER(BurstIgor14[[#This Row],[BurstNum_temp2]]), IF(ISNUMBER(Temp2_length), BurstIgor14[[#This Row],[BurstNum_temp2]]/Temp2_length*60, "Enter Length"), "Enter Burst Vals")</f>
        <v>Enter Length</v>
      </c>
      <c r="AO5" s="12" t="str" cm="1">
        <f t="array" ref="AO5">IF(ISNUMBER(BurstIgor14[[#This Row],[BurstNum_temp3]]), IF(ISNUMBER(Temp3_length), BurstIgor14[[#This Row],[BurstNum_temp3]]/Temp3_length*60, "Enter Length"), "Enter Burst Vals")</f>
        <v>Enter Length</v>
      </c>
      <c r="AQ5" s="1">
        <v>0.03</v>
      </c>
      <c r="AR5" s="3">
        <v>5</v>
      </c>
      <c r="AS5" s="3">
        <v>5.6763001E-2</v>
      </c>
      <c r="AT5" s="3">
        <v>4.1999997999999996</v>
      </c>
      <c r="AU5" s="3">
        <v>1.0415999999999999E-3</v>
      </c>
      <c r="AV5" s="3">
        <v>3934</v>
      </c>
      <c r="AW5" s="3">
        <v>0.81957000000000002</v>
      </c>
      <c r="AX5" s="3">
        <v>0.82393998000000002</v>
      </c>
      <c r="AY5" s="3">
        <v>1.1129</v>
      </c>
      <c r="AZ5" s="3">
        <v>1.7738E-2</v>
      </c>
      <c r="BA5" s="3">
        <v>4.0540540540540544</v>
      </c>
      <c r="BC5" s="1">
        <v>0.03</v>
      </c>
      <c r="BD5" s="10">
        <v>0</v>
      </c>
      <c r="BE5" s="10">
        <v>0</v>
      </c>
      <c r="BF5" s="10">
        <v>0</v>
      </c>
      <c r="BG5" s="10">
        <v>0</v>
      </c>
      <c r="BH5" s="10">
        <v>2</v>
      </c>
      <c r="BI5" s="10">
        <v>4.1666001000000003E-4</v>
      </c>
      <c r="BJ5" s="10">
        <v>4.1666001000000003E-4</v>
      </c>
      <c r="BK5" s="10">
        <v>41.289000999999999</v>
      </c>
      <c r="BL5" s="10">
        <v>0</v>
      </c>
      <c r="BM5" s="10" t="str">
        <v>NA</v>
      </c>
      <c r="BO5" s="1">
        <v>0.03</v>
      </c>
      <c r="BP5" s="11">
        <v>0</v>
      </c>
      <c r="BQ5" s="11">
        <v>0</v>
      </c>
      <c r="BR5" s="11">
        <v>0</v>
      </c>
      <c r="BS5" s="11">
        <v>0</v>
      </c>
      <c r="BT5" s="11">
        <v>2</v>
      </c>
      <c r="BU5" s="11">
        <v>4.1666001000000003E-4</v>
      </c>
      <c r="BV5" s="11">
        <v>4.1666001000000003E-4</v>
      </c>
      <c r="BW5" s="11">
        <v>41.289000999999999</v>
      </c>
      <c r="BX5" s="11">
        <v>0</v>
      </c>
      <c r="BY5" s="11" t="str">
        <v>Enter Length</v>
      </c>
    </row>
    <row r="6" spans="1:77" x14ac:dyDescent="0.2">
      <c r="A6" s="1">
        <v>0.04</v>
      </c>
      <c r="B6" s="6">
        <v>25</v>
      </c>
      <c r="C6" s="7">
        <v>0</v>
      </c>
      <c r="D6" s="8">
        <v>0</v>
      </c>
      <c r="E6" s="9">
        <v>0</v>
      </c>
      <c r="F6" s="6">
        <v>4.9098997999999998E-2</v>
      </c>
      <c r="G6" s="7"/>
      <c r="H6" s="8"/>
      <c r="I6" s="9"/>
      <c r="J6" s="6">
        <v>2.72</v>
      </c>
      <c r="K6" s="7">
        <v>0</v>
      </c>
      <c r="L6" s="8">
        <v>0</v>
      </c>
      <c r="M6" s="9">
        <v>0</v>
      </c>
      <c r="N6" s="6">
        <v>5.2081997999999996E-3</v>
      </c>
      <c r="O6" s="7"/>
      <c r="P6" s="8"/>
      <c r="Q6" s="9"/>
      <c r="R6" s="6">
        <v>3887</v>
      </c>
      <c r="S6" s="7">
        <v>2</v>
      </c>
      <c r="T6" s="8">
        <v>2</v>
      </c>
      <c r="U6" s="9">
        <v>320</v>
      </c>
      <c r="V6" s="6">
        <v>0.80976999000000005</v>
      </c>
      <c r="W6" s="7">
        <v>4.1666001000000003E-4</v>
      </c>
      <c r="X6" s="8">
        <v>4.1666001000000003E-4</v>
      </c>
      <c r="Y6" s="9">
        <v>6.6665001000000002E-2</v>
      </c>
      <c r="Z6" s="6">
        <v>0.82393998000000002</v>
      </c>
      <c r="AA6" s="7">
        <v>4.1666001000000003E-4</v>
      </c>
      <c r="AB6" s="8">
        <v>4.1666001000000003E-4</v>
      </c>
      <c r="AC6" s="9">
        <v>6.6665001000000002E-2</v>
      </c>
      <c r="AD6" s="6">
        <v>1.1203000999999999</v>
      </c>
      <c r="AE6" s="7">
        <v>41.289000999999999</v>
      </c>
      <c r="AF6" s="8">
        <v>41.289000999999999</v>
      </c>
      <c r="AG6" s="9">
        <v>2.6547000000000001</v>
      </c>
      <c r="AH6" s="6">
        <v>2.8545999999999998E-2</v>
      </c>
      <c r="AI6" s="7"/>
      <c r="AJ6" s="8"/>
      <c r="AK6" s="9"/>
      <c r="AL6" s="3">
        <f>IF(ISNUMBER(BurstIgor14[[#This Row],[BurstNum_spont]]), IF(ISNUMBER(SpontLength_min), BurstIgor14[[#This Row],[BurstNum_spont]]/SpontLength_min*60, "Enter Length"), "Enter Burst Vals")</f>
        <v>20.27027027027027</v>
      </c>
      <c r="AM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" s="11" t="str" cm="1">
        <f t="array" ref="AN6">IF(ISNUMBER(BurstIgor14[[#This Row],[BurstNum_temp2]]), IF(ISNUMBER(Temp2_length), BurstIgor14[[#This Row],[BurstNum_temp2]]/Temp2_length*60, "Enter Length"), "Enter Burst Vals")</f>
        <v>Enter Length</v>
      </c>
      <c r="AO6" s="12" t="str" cm="1">
        <f t="array" ref="AO6">IF(ISNUMBER(BurstIgor14[[#This Row],[BurstNum_temp3]]), IF(ISNUMBER(Temp3_length), BurstIgor14[[#This Row],[BurstNum_temp3]]/Temp3_length*60, "Enter Length"), "Enter Burst Vals")</f>
        <v>Enter Length</v>
      </c>
      <c r="AQ6" s="1">
        <v>0.04</v>
      </c>
      <c r="AR6" s="3">
        <v>25</v>
      </c>
      <c r="AS6" s="3">
        <v>4.9098997999999998E-2</v>
      </c>
      <c r="AT6" s="3">
        <v>2.72</v>
      </c>
      <c r="AU6" s="3">
        <v>5.2081997999999996E-3</v>
      </c>
      <c r="AV6" s="3">
        <v>3887</v>
      </c>
      <c r="AW6" s="3">
        <v>0.80976999000000005</v>
      </c>
      <c r="AX6" s="3">
        <v>0.82393998000000002</v>
      </c>
      <c r="AY6" s="3">
        <v>1.1203000999999999</v>
      </c>
      <c r="AZ6" s="3">
        <v>2.8545999999999998E-2</v>
      </c>
      <c r="BA6" s="3">
        <v>20.27027027027027</v>
      </c>
      <c r="BC6" s="1">
        <v>0.04</v>
      </c>
      <c r="BD6" s="10">
        <v>0</v>
      </c>
      <c r="BE6" s="10">
        <v>0</v>
      </c>
      <c r="BF6" s="10">
        <v>0</v>
      </c>
      <c r="BG6" s="10">
        <v>0</v>
      </c>
      <c r="BH6" s="10">
        <v>2</v>
      </c>
      <c r="BI6" s="10">
        <v>4.1666001000000003E-4</v>
      </c>
      <c r="BJ6" s="10">
        <v>4.1666001000000003E-4</v>
      </c>
      <c r="BK6" s="10">
        <v>41.289000999999999</v>
      </c>
      <c r="BL6" s="10">
        <v>0</v>
      </c>
      <c r="BM6" s="10" t="str">
        <v>NA</v>
      </c>
      <c r="BO6" s="1">
        <v>0.04</v>
      </c>
      <c r="BP6" s="11">
        <v>0</v>
      </c>
      <c r="BQ6" s="11">
        <v>0</v>
      </c>
      <c r="BR6" s="11">
        <v>0</v>
      </c>
      <c r="BS6" s="11">
        <v>0</v>
      </c>
      <c r="BT6" s="11">
        <v>2</v>
      </c>
      <c r="BU6" s="11">
        <v>4.1666001000000003E-4</v>
      </c>
      <c r="BV6" s="11">
        <v>4.1666001000000003E-4</v>
      </c>
      <c r="BW6" s="11">
        <v>41.289000999999999</v>
      </c>
      <c r="BX6" s="11">
        <v>0</v>
      </c>
      <c r="BY6" s="11" t="str">
        <v>Enter Length</v>
      </c>
    </row>
    <row r="7" spans="1:77" x14ac:dyDescent="0.2">
      <c r="A7" s="1">
        <v>0.05</v>
      </c>
      <c r="B7" s="6">
        <v>53</v>
      </c>
      <c r="C7" s="7">
        <v>0</v>
      </c>
      <c r="D7" s="8">
        <v>0</v>
      </c>
      <c r="E7" s="9">
        <v>1</v>
      </c>
      <c r="F7" s="6">
        <v>5.4618999000000001E-2</v>
      </c>
      <c r="G7" s="7"/>
      <c r="H7" s="8"/>
      <c r="I7" s="9">
        <v>4.1503999E-2</v>
      </c>
      <c r="J7" s="6">
        <v>2.5093999</v>
      </c>
      <c r="K7" s="7">
        <v>0</v>
      </c>
      <c r="L7" s="8">
        <v>0</v>
      </c>
      <c r="M7" s="9">
        <v>2</v>
      </c>
      <c r="N7" s="6">
        <v>1.1041E-2</v>
      </c>
      <c r="O7" s="7"/>
      <c r="P7" s="8"/>
      <c r="Q7" s="9">
        <v>2.0833000999999999E-4</v>
      </c>
      <c r="R7" s="6">
        <v>3822</v>
      </c>
      <c r="S7" s="7">
        <v>2</v>
      </c>
      <c r="T7" s="8">
        <v>2</v>
      </c>
      <c r="U7" s="9">
        <v>318</v>
      </c>
      <c r="V7" s="6">
        <v>0.79623001999999998</v>
      </c>
      <c r="W7" s="7">
        <v>4.1666001000000003E-4</v>
      </c>
      <c r="X7" s="8">
        <v>4.1666001000000003E-4</v>
      </c>
      <c r="Y7" s="9">
        <v>6.6248998000000003E-2</v>
      </c>
      <c r="Z7" s="6">
        <v>0.82393998000000002</v>
      </c>
      <c r="AA7" s="7">
        <v>4.1666001000000003E-4</v>
      </c>
      <c r="AB7" s="8">
        <v>4.1666001000000003E-4</v>
      </c>
      <c r="AC7" s="9">
        <v>6.6665001000000002E-2</v>
      </c>
      <c r="AD7" s="6">
        <v>1.1306</v>
      </c>
      <c r="AE7" s="7">
        <v>41.289000999999999</v>
      </c>
      <c r="AF7" s="8">
        <v>41.289000999999999</v>
      </c>
      <c r="AG7" s="9">
        <v>2.6629</v>
      </c>
      <c r="AH7" s="6">
        <v>3.6185000000000002E-2</v>
      </c>
      <c r="AI7" s="7"/>
      <c r="AJ7" s="8"/>
      <c r="AK7" s="9">
        <v>4.1503999E-2</v>
      </c>
      <c r="AL7" s="3">
        <f>IF(ISNUMBER(BurstIgor14[[#This Row],[BurstNum_spont]]), IF(ISNUMBER(SpontLength_min), BurstIgor14[[#This Row],[BurstNum_spont]]/SpontLength_min*60, "Enter Length"), "Enter Burst Vals")</f>
        <v>42.972972972972975</v>
      </c>
      <c r="AM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" s="11" t="str" cm="1">
        <f t="array" ref="AN7">IF(ISNUMBER(BurstIgor14[[#This Row],[BurstNum_temp2]]), IF(ISNUMBER(Temp2_length), BurstIgor14[[#This Row],[BurstNum_temp2]]/Temp2_length*60, "Enter Length"), "Enter Burst Vals")</f>
        <v>Enter Length</v>
      </c>
      <c r="AO7" s="12" t="str" cm="1">
        <f t="array" ref="AO7">IF(ISNUMBER(BurstIgor14[[#This Row],[BurstNum_temp3]]), IF(ISNUMBER(Temp3_length), BurstIgor14[[#This Row],[BurstNum_temp3]]/Temp3_length*60, "Enter Length"), "Enter Burst Vals")</f>
        <v>Enter Length</v>
      </c>
      <c r="AQ7" s="1">
        <v>0.05</v>
      </c>
      <c r="AR7" s="3">
        <v>53</v>
      </c>
      <c r="AS7" s="3">
        <v>5.4618999000000001E-2</v>
      </c>
      <c r="AT7" s="3">
        <v>2.5093999</v>
      </c>
      <c r="AU7" s="3">
        <v>1.1041E-2</v>
      </c>
      <c r="AV7" s="3">
        <v>3822</v>
      </c>
      <c r="AW7" s="3">
        <v>0.79623001999999998</v>
      </c>
      <c r="AX7" s="3">
        <v>0.82393998000000002</v>
      </c>
      <c r="AY7" s="3">
        <v>1.1306</v>
      </c>
      <c r="AZ7" s="3">
        <v>3.6185000000000002E-2</v>
      </c>
      <c r="BA7" s="3">
        <v>42.972972972972975</v>
      </c>
      <c r="BC7" s="1">
        <v>0.05</v>
      </c>
      <c r="BD7" s="10">
        <v>0</v>
      </c>
      <c r="BE7" s="10">
        <v>0</v>
      </c>
      <c r="BF7" s="10">
        <v>0</v>
      </c>
      <c r="BG7" s="10">
        <v>0</v>
      </c>
      <c r="BH7" s="10">
        <v>2</v>
      </c>
      <c r="BI7" s="10">
        <v>4.1666001000000003E-4</v>
      </c>
      <c r="BJ7" s="10">
        <v>4.1666001000000003E-4</v>
      </c>
      <c r="BK7" s="10">
        <v>41.289000999999999</v>
      </c>
      <c r="BL7" s="10">
        <v>0</v>
      </c>
      <c r="BM7" s="10" t="str">
        <v>NA</v>
      </c>
      <c r="BO7" s="1">
        <v>0.05</v>
      </c>
      <c r="BP7" s="11">
        <v>0</v>
      </c>
      <c r="BQ7" s="11">
        <v>0</v>
      </c>
      <c r="BR7" s="11">
        <v>0</v>
      </c>
      <c r="BS7" s="11">
        <v>0</v>
      </c>
      <c r="BT7" s="11">
        <v>2</v>
      </c>
      <c r="BU7" s="11">
        <v>4.1666001000000003E-4</v>
      </c>
      <c r="BV7" s="11">
        <v>4.1666001000000003E-4</v>
      </c>
      <c r="BW7" s="11">
        <v>41.289000999999999</v>
      </c>
      <c r="BX7" s="11">
        <v>0</v>
      </c>
      <c r="BY7" s="11" t="str">
        <v>Enter Length</v>
      </c>
    </row>
    <row r="8" spans="1:77" x14ac:dyDescent="0.2">
      <c r="A8" s="1">
        <v>0.06</v>
      </c>
      <c r="B8" s="6">
        <v>92</v>
      </c>
      <c r="C8" s="7">
        <v>0</v>
      </c>
      <c r="D8" s="8">
        <v>0</v>
      </c>
      <c r="E8" s="9">
        <v>5</v>
      </c>
      <c r="F8" s="6">
        <v>6.1675001E-2</v>
      </c>
      <c r="G8" s="7"/>
      <c r="H8" s="8"/>
      <c r="I8" s="9">
        <v>5.2637000000000003E-2</v>
      </c>
      <c r="J8" s="6">
        <v>2.4130001000000001</v>
      </c>
      <c r="K8" s="7">
        <v>0</v>
      </c>
      <c r="L8" s="8">
        <v>0</v>
      </c>
      <c r="M8" s="9">
        <v>2</v>
      </c>
      <c r="N8" s="6">
        <v>1.9165999999999999E-2</v>
      </c>
      <c r="O8" s="7"/>
      <c r="P8" s="8"/>
      <c r="Q8" s="9">
        <v>1.0415999999999999E-3</v>
      </c>
      <c r="R8" s="6">
        <v>3733</v>
      </c>
      <c r="S8" s="7">
        <v>2</v>
      </c>
      <c r="T8" s="8">
        <v>2</v>
      </c>
      <c r="U8" s="9">
        <v>310</v>
      </c>
      <c r="V8" s="6">
        <v>0.77768999000000005</v>
      </c>
      <c r="W8" s="7">
        <v>4.1666001000000003E-4</v>
      </c>
      <c r="X8" s="8">
        <v>4.1666001000000003E-4</v>
      </c>
      <c r="Y8" s="9">
        <v>6.4581998000000002E-2</v>
      </c>
      <c r="Z8" s="6">
        <v>0.82393998000000002</v>
      </c>
      <c r="AA8" s="7">
        <v>4.1666001000000003E-4</v>
      </c>
      <c r="AB8" s="8">
        <v>4.1666001000000003E-4</v>
      </c>
      <c r="AC8" s="9">
        <v>6.6665001000000002E-2</v>
      </c>
      <c r="AD8" s="6">
        <v>1.1447001000000001</v>
      </c>
      <c r="AE8" s="7">
        <v>41.289000999999999</v>
      </c>
      <c r="AF8" s="8">
        <v>41.289000999999999</v>
      </c>
      <c r="AG8" s="9">
        <v>2.6960999999999999</v>
      </c>
      <c r="AH8" s="6">
        <v>4.3646998999999999E-2</v>
      </c>
      <c r="AI8" s="7"/>
      <c r="AJ8" s="8"/>
      <c r="AK8" s="9">
        <v>5.2637000000000003E-2</v>
      </c>
      <c r="AL8" s="3">
        <f>IF(ISNUMBER(BurstIgor14[[#This Row],[BurstNum_spont]]), IF(ISNUMBER(SpontLength_min), BurstIgor14[[#This Row],[BurstNum_spont]]/SpontLength_min*60, "Enter Length"), "Enter Burst Vals")</f>
        <v>74.594594594594597</v>
      </c>
      <c r="AM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" s="11" t="str" cm="1">
        <f t="array" ref="AN8">IF(ISNUMBER(BurstIgor14[[#This Row],[BurstNum_temp2]]), IF(ISNUMBER(Temp2_length), BurstIgor14[[#This Row],[BurstNum_temp2]]/Temp2_length*60, "Enter Length"), "Enter Burst Vals")</f>
        <v>Enter Length</v>
      </c>
      <c r="AO8" s="12" t="str" cm="1">
        <f t="array" ref="AO8">IF(ISNUMBER(BurstIgor14[[#This Row],[BurstNum_temp3]]), IF(ISNUMBER(Temp3_length), BurstIgor14[[#This Row],[BurstNum_temp3]]/Temp3_length*60, "Enter Length"), "Enter Burst Vals")</f>
        <v>Enter Length</v>
      </c>
      <c r="AQ8" s="1">
        <v>0.06</v>
      </c>
      <c r="AR8" s="3">
        <v>92</v>
      </c>
      <c r="AS8" s="3">
        <v>6.1675001E-2</v>
      </c>
      <c r="AT8" s="3">
        <v>2.4130001000000001</v>
      </c>
      <c r="AU8" s="3">
        <v>1.9165999999999999E-2</v>
      </c>
      <c r="AV8" s="3">
        <v>3733</v>
      </c>
      <c r="AW8" s="3">
        <v>0.77768999000000005</v>
      </c>
      <c r="AX8" s="3">
        <v>0.82393998000000002</v>
      </c>
      <c r="AY8" s="3">
        <v>1.1447001000000001</v>
      </c>
      <c r="AZ8" s="3">
        <v>4.3646998999999999E-2</v>
      </c>
      <c r="BA8" s="3">
        <v>74.594594594594597</v>
      </c>
      <c r="BC8" s="1">
        <v>0.06</v>
      </c>
      <c r="BD8" s="10">
        <v>0</v>
      </c>
      <c r="BE8" s="10">
        <v>0</v>
      </c>
      <c r="BF8" s="10">
        <v>0</v>
      </c>
      <c r="BG8" s="10">
        <v>0</v>
      </c>
      <c r="BH8" s="10">
        <v>2</v>
      </c>
      <c r="BI8" s="10">
        <v>4.1666001000000003E-4</v>
      </c>
      <c r="BJ8" s="10">
        <v>4.1666001000000003E-4</v>
      </c>
      <c r="BK8" s="10">
        <v>41.289000999999999</v>
      </c>
      <c r="BL8" s="10">
        <v>0</v>
      </c>
      <c r="BM8" s="10" t="str">
        <v>NA</v>
      </c>
      <c r="BO8" s="1">
        <v>0.06</v>
      </c>
      <c r="BP8" s="11">
        <v>0</v>
      </c>
      <c r="BQ8" s="11">
        <v>0</v>
      </c>
      <c r="BR8" s="11">
        <v>0</v>
      </c>
      <c r="BS8" s="11">
        <v>0</v>
      </c>
      <c r="BT8" s="11">
        <v>2</v>
      </c>
      <c r="BU8" s="11">
        <v>4.1666001000000003E-4</v>
      </c>
      <c r="BV8" s="11">
        <v>4.1666001000000003E-4</v>
      </c>
      <c r="BW8" s="11">
        <v>41.289000999999999</v>
      </c>
      <c r="BX8" s="11">
        <v>0</v>
      </c>
      <c r="BY8" s="11" t="str">
        <v>Enter Length</v>
      </c>
    </row>
    <row r="9" spans="1:77" x14ac:dyDescent="0.2">
      <c r="A9" s="1">
        <v>7.0000000000000007E-2</v>
      </c>
      <c r="B9" s="6">
        <v>154</v>
      </c>
      <c r="C9" s="7">
        <v>0</v>
      </c>
      <c r="D9" s="8">
        <v>0</v>
      </c>
      <c r="E9" s="9">
        <v>10</v>
      </c>
      <c r="F9" s="6">
        <v>6.9957003000000004E-2</v>
      </c>
      <c r="G9" s="7"/>
      <c r="H9" s="8"/>
      <c r="I9" s="9">
        <v>6.5112002000000002E-2</v>
      </c>
      <c r="J9" s="6">
        <v>2.3571</v>
      </c>
      <c r="K9" s="7">
        <v>0</v>
      </c>
      <c r="L9" s="8">
        <v>0</v>
      </c>
      <c r="M9" s="9">
        <v>2.0999998999999998</v>
      </c>
      <c r="N9" s="6">
        <v>3.2083001E-2</v>
      </c>
      <c r="O9" s="7"/>
      <c r="P9" s="8"/>
      <c r="Q9" s="9">
        <v>2.0832999000000001E-3</v>
      </c>
      <c r="R9" s="6">
        <v>3592</v>
      </c>
      <c r="S9" s="7">
        <v>2</v>
      </c>
      <c r="T9" s="8">
        <v>2</v>
      </c>
      <c r="U9" s="9">
        <v>299</v>
      </c>
      <c r="V9" s="6">
        <v>0.74831998</v>
      </c>
      <c r="W9" s="7">
        <v>4.1666001000000003E-4</v>
      </c>
      <c r="X9" s="8">
        <v>4.1666001000000003E-4</v>
      </c>
      <c r="Y9" s="9">
        <v>6.2290001999999997E-2</v>
      </c>
      <c r="Z9" s="6">
        <v>0.82393998000000002</v>
      </c>
      <c r="AA9" s="7">
        <v>4.1666001000000003E-4</v>
      </c>
      <c r="AB9" s="8">
        <v>4.1666001000000003E-4</v>
      </c>
      <c r="AC9" s="9">
        <v>6.6665001000000002E-2</v>
      </c>
      <c r="AD9" s="6">
        <v>1.1674</v>
      </c>
      <c r="AE9" s="7">
        <v>41.289000999999999</v>
      </c>
      <c r="AF9" s="8">
        <v>41.289000999999999</v>
      </c>
      <c r="AG9" s="9">
        <v>2.7473999999999998</v>
      </c>
      <c r="AH9" s="6">
        <v>5.1546997999999997E-2</v>
      </c>
      <c r="AI9" s="7"/>
      <c r="AJ9" s="8"/>
      <c r="AK9" s="9">
        <v>5.9193000000000003E-2</v>
      </c>
      <c r="AL9" s="3">
        <f>IF(ISNUMBER(BurstIgor14[[#This Row],[BurstNum_spont]]), IF(ISNUMBER(SpontLength_min), BurstIgor14[[#This Row],[BurstNum_spont]]/SpontLength_min*60, "Enter Length"), "Enter Burst Vals")</f>
        <v>124.86486486486487</v>
      </c>
      <c r="AM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" s="11" t="str" cm="1">
        <f t="array" ref="AN9">IF(ISNUMBER(BurstIgor14[[#This Row],[BurstNum_temp2]]), IF(ISNUMBER(Temp2_length), BurstIgor14[[#This Row],[BurstNum_temp2]]/Temp2_length*60, "Enter Length"), "Enter Burst Vals")</f>
        <v>Enter Length</v>
      </c>
      <c r="AO9" s="12" t="str" cm="1">
        <f t="array" ref="AO9">IF(ISNUMBER(BurstIgor14[[#This Row],[BurstNum_temp3]]), IF(ISNUMBER(Temp3_length), BurstIgor14[[#This Row],[BurstNum_temp3]]/Temp3_length*60, "Enter Length"), "Enter Burst Vals")</f>
        <v>Enter Length</v>
      </c>
      <c r="AQ9" s="1">
        <v>7.0000000000000007E-2</v>
      </c>
      <c r="AR9" s="3">
        <v>154</v>
      </c>
      <c r="AS9" s="3">
        <v>6.9957003000000004E-2</v>
      </c>
      <c r="AT9" s="3">
        <v>2.3571</v>
      </c>
      <c r="AU9" s="3">
        <v>3.2083001E-2</v>
      </c>
      <c r="AV9" s="3">
        <v>3592</v>
      </c>
      <c r="AW9" s="3">
        <v>0.74831998</v>
      </c>
      <c r="AX9" s="3">
        <v>0.82393998000000002</v>
      </c>
      <c r="AY9" s="3">
        <v>1.1674</v>
      </c>
      <c r="AZ9" s="3">
        <v>5.1546997999999997E-2</v>
      </c>
      <c r="BA9" s="3">
        <v>124.86486486486487</v>
      </c>
      <c r="BC9" s="1">
        <v>7.0000000000000007E-2</v>
      </c>
      <c r="BD9" s="10">
        <v>0</v>
      </c>
      <c r="BE9" s="10">
        <v>0</v>
      </c>
      <c r="BF9" s="10">
        <v>0</v>
      </c>
      <c r="BG9" s="10">
        <v>0</v>
      </c>
      <c r="BH9" s="10">
        <v>2</v>
      </c>
      <c r="BI9" s="10">
        <v>4.1666001000000003E-4</v>
      </c>
      <c r="BJ9" s="10">
        <v>4.1666001000000003E-4</v>
      </c>
      <c r="BK9" s="10">
        <v>41.289000999999999</v>
      </c>
      <c r="BL9" s="10">
        <v>0</v>
      </c>
      <c r="BM9" s="10" t="str">
        <v>NA</v>
      </c>
      <c r="BO9" s="1">
        <v>7.0000000000000007E-2</v>
      </c>
      <c r="BP9" s="11">
        <v>0</v>
      </c>
      <c r="BQ9" s="11">
        <v>0</v>
      </c>
      <c r="BR9" s="11">
        <v>0</v>
      </c>
      <c r="BS9" s="11">
        <v>0</v>
      </c>
      <c r="BT9" s="11">
        <v>2</v>
      </c>
      <c r="BU9" s="11">
        <v>4.1666001000000003E-4</v>
      </c>
      <c r="BV9" s="11">
        <v>4.1666001000000003E-4</v>
      </c>
      <c r="BW9" s="11">
        <v>41.289000999999999</v>
      </c>
      <c r="BX9" s="11">
        <v>0</v>
      </c>
      <c r="BY9" s="11" t="str">
        <v>Enter Length</v>
      </c>
    </row>
    <row r="10" spans="1:77" x14ac:dyDescent="0.2">
      <c r="A10" s="1">
        <v>0.08</v>
      </c>
      <c r="B10" s="6">
        <v>211</v>
      </c>
      <c r="C10" s="7">
        <v>0</v>
      </c>
      <c r="D10" s="8">
        <v>0</v>
      </c>
      <c r="E10" s="9">
        <v>19</v>
      </c>
      <c r="F10" s="6">
        <v>7.9894996999999995E-2</v>
      </c>
      <c r="G10" s="7"/>
      <c r="H10" s="8"/>
      <c r="I10" s="9">
        <v>8.5808999999999996E-2</v>
      </c>
      <c r="J10" s="6">
        <v>2.3743998999999998</v>
      </c>
      <c r="K10" s="7">
        <v>0</v>
      </c>
      <c r="L10" s="8">
        <v>0</v>
      </c>
      <c r="M10" s="9">
        <v>2.2631999999999999</v>
      </c>
      <c r="N10" s="6">
        <v>4.3956998999999997E-2</v>
      </c>
      <c r="O10" s="7"/>
      <c r="P10" s="8"/>
      <c r="Q10" s="9">
        <v>3.9583001999999997E-3</v>
      </c>
      <c r="R10" s="6">
        <v>3454</v>
      </c>
      <c r="S10" s="7">
        <v>2</v>
      </c>
      <c r="T10" s="8">
        <v>2</v>
      </c>
      <c r="U10" s="9">
        <v>277</v>
      </c>
      <c r="V10" s="6">
        <v>0.71956998000000005</v>
      </c>
      <c r="W10" s="7">
        <v>4.1666001000000003E-4</v>
      </c>
      <c r="X10" s="8">
        <v>4.1666001000000003E-4</v>
      </c>
      <c r="Y10" s="9">
        <v>5.7707001000000001E-2</v>
      </c>
      <c r="Z10" s="6">
        <v>0.82393998000000002</v>
      </c>
      <c r="AA10" s="7">
        <v>4.1666001000000003E-4</v>
      </c>
      <c r="AB10" s="8">
        <v>4.1666001000000003E-4</v>
      </c>
      <c r="AC10" s="9">
        <v>6.6665001000000002E-2</v>
      </c>
      <c r="AD10" s="6">
        <v>1.1916</v>
      </c>
      <c r="AE10" s="7">
        <v>41.289000999999999</v>
      </c>
      <c r="AF10" s="8">
        <v>41.289000999999999</v>
      </c>
      <c r="AG10" s="9">
        <v>2.8650999000000001</v>
      </c>
      <c r="AH10" s="6">
        <v>5.8130998000000003E-2</v>
      </c>
      <c r="AI10" s="7"/>
      <c r="AJ10" s="8"/>
      <c r="AK10" s="9">
        <v>6.7932002000000005E-2</v>
      </c>
      <c r="AL10" s="3">
        <f>IF(ISNUMBER(BurstIgor14[[#This Row],[BurstNum_spont]]), IF(ISNUMBER(SpontLength_min), BurstIgor14[[#This Row],[BurstNum_spont]]/SpontLength_min*60, "Enter Length"), "Enter Burst Vals")</f>
        <v>171.08108108108107</v>
      </c>
      <c r="AM1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0" s="11" t="str" cm="1">
        <f t="array" ref="AN10">IF(ISNUMBER(BurstIgor14[[#This Row],[BurstNum_temp2]]), IF(ISNUMBER(Temp2_length), BurstIgor14[[#This Row],[BurstNum_temp2]]/Temp2_length*60, "Enter Length"), "Enter Burst Vals")</f>
        <v>Enter Length</v>
      </c>
      <c r="AO10" s="12" t="str" cm="1">
        <f t="array" ref="AO10">IF(ISNUMBER(BurstIgor14[[#This Row],[BurstNum_temp3]]), IF(ISNUMBER(Temp3_length), BurstIgor14[[#This Row],[BurstNum_temp3]]/Temp3_length*60, "Enter Length"), "Enter Burst Vals")</f>
        <v>Enter Length</v>
      </c>
      <c r="AQ10" s="1">
        <v>0.08</v>
      </c>
      <c r="AR10" s="3">
        <v>211</v>
      </c>
      <c r="AS10" s="3">
        <v>7.9894996999999995E-2</v>
      </c>
      <c r="AT10" s="3">
        <v>2.3743998999999998</v>
      </c>
      <c r="AU10" s="3">
        <v>4.3956998999999997E-2</v>
      </c>
      <c r="AV10" s="3">
        <v>3454</v>
      </c>
      <c r="AW10" s="3">
        <v>0.71956998000000005</v>
      </c>
      <c r="AX10" s="3">
        <v>0.82393998000000002</v>
      </c>
      <c r="AY10" s="3">
        <v>1.1916</v>
      </c>
      <c r="AZ10" s="3">
        <v>5.8130998000000003E-2</v>
      </c>
      <c r="BA10" s="3">
        <v>171.08108108108107</v>
      </c>
      <c r="BC10" s="1">
        <v>0.08</v>
      </c>
      <c r="BD10" s="10">
        <v>0</v>
      </c>
      <c r="BE10" s="10">
        <v>0</v>
      </c>
      <c r="BF10" s="10">
        <v>0</v>
      </c>
      <c r="BG10" s="10">
        <v>0</v>
      </c>
      <c r="BH10" s="10">
        <v>2</v>
      </c>
      <c r="BI10" s="10">
        <v>4.1666001000000003E-4</v>
      </c>
      <c r="BJ10" s="10">
        <v>4.1666001000000003E-4</v>
      </c>
      <c r="BK10" s="10">
        <v>41.289000999999999</v>
      </c>
      <c r="BL10" s="10">
        <v>0</v>
      </c>
      <c r="BM10" s="10" t="str">
        <v>NA</v>
      </c>
      <c r="BO10" s="1">
        <v>0.08</v>
      </c>
      <c r="BP10" s="11">
        <v>0</v>
      </c>
      <c r="BQ10" s="11">
        <v>0</v>
      </c>
      <c r="BR10" s="11">
        <v>0</v>
      </c>
      <c r="BS10" s="11">
        <v>0</v>
      </c>
      <c r="BT10" s="11">
        <v>2</v>
      </c>
      <c r="BU10" s="11">
        <v>4.1666001000000003E-4</v>
      </c>
      <c r="BV10" s="11">
        <v>4.1666001000000003E-4</v>
      </c>
      <c r="BW10" s="11">
        <v>41.289000999999999</v>
      </c>
      <c r="BX10" s="11">
        <v>0</v>
      </c>
      <c r="BY10" s="11" t="str">
        <v>Enter Length</v>
      </c>
    </row>
    <row r="11" spans="1:77" x14ac:dyDescent="0.2">
      <c r="A11" s="1">
        <v>0.09</v>
      </c>
      <c r="B11" s="6">
        <v>273</v>
      </c>
      <c r="C11" s="7">
        <v>0</v>
      </c>
      <c r="D11" s="8">
        <v>0</v>
      </c>
      <c r="E11" s="9">
        <v>24</v>
      </c>
      <c r="F11" s="6">
        <v>8.9527002999999994E-2</v>
      </c>
      <c r="G11" s="7"/>
      <c r="H11" s="8"/>
      <c r="I11" s="9">
        <v>9.5764004E-2</v>
      </c>
      <c r="J11" s="6">
        <v>2.3882998999999998</v>
      </c>
      <c r="K11" s="7">
        <v>0</v>
      </c>
      <c r="L11" s="8">
        <v>0</v>
      </c>
      <c r="M11" s="9">
        <v>2.3333001000000002</v>
      </c>
      <c r="N11" s="6">
        <v>5.6874000000000001E-2</v>
      </c>
      <c r="O11" s="7"/>
      <c r="P11" s="8"/>
      <c r="Q11" s="9">
        <v>4.9998997999999998E-3</v>
      </c>
      <c r="R11" s="6">
        <v>3303</v>
      </c>
      <c r="S11" s="7">
        <v>2</v>
      </c>
      <c r="T11" s="8">
        <v>2</v>
      </c>
      <c r="U11" s="9">
        <v>264</v>
      </c>
      <c r="V11" s="6">
        <v>0.68810998999999995</v>
      </c>
      <c r="W11" s="7">
        <v>4.1666001000000003E-4</v>
      </c>
      <c r="X11" s="8">
        <v>4.1666001000000003E-4</v>
      </c>
      <c r="Y11" s="9">
        <v>5.4999000999999999E-2</v>
      </c>
      <c r="Z11" s="6">
        <v>0.82393998000000002</v>
      </c>
      <c r="AA11" s="7">
        <v>4.1666001000000003E-4</v>
      </c>
      <c r="AB11" s="8">
        <v>4.1666001000000003E-4</v>
      </c>
      <c r="AC11" s="9">
        <v>6.6665001000000002E-2</v>
      </c>
      <c r="AD11" s="6">
        <v>1.2191000000000001</v>
      </c>
      <c r="AE11" s="7">
        <v>41.289000999999999</v>
      </c>
      <c r="AF11" s="8">
        <v>41.289000999999999</v>
      </c>
      <c r="AG11" s="9">
        <v>2.9426999</v>
      </c>
      <c r="AH11" s="6">
        <v>6.4488001000000003E-2</v>
      </c>
      <c r="AI11" s="7"/>
      <c r="AJ11" s="8"/>
      <c r="AK11" s="9">
        <v>7.1823000999999997E-2</v>
      </c>
      <c r="AL11" s="3">
        <f>IF(ISNUMBER(BurstIgor14[[#This Row],[BurstNum_spont]]), IF(ISNUMBER(SpontLength_min), BurstIgor14[[#This Row],[BurstNum_spont]]/SpontLength_min*60, "Enter Length"), "Enter Burst Vals")</f>
        <v>221.35135135135135</v>
      </c>
      <c r="AM1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1" s="11" t="str" cm="1">
        <f t="array" ref="AN11">IF(ISNUMBER(BurstIgor14[[#This Row],[BurstNum_temp2]]), IF(ISNUMBER(Temp2_length), BurstIgor14[[#This Row],[BurstNum_temp2]]/Temp2_length*60, "Enter Length"), "Enter Burst Vals")</f>
        <v>Enter Length</v>
      </c>
      <c r="AO11" s="12" t="str" cm="1">
        <f t="array" ref="AO11">IF(ISNUMBER(BurstIgor14[[#This Row],[BurstNum_temp3]]), IF(ISNUMBER(Temp3_length), BurstIgor14[[#This Row],[BurstNum_temp3]]/Temp3_length*60, "Enter Length"), "Enter Burst Vals")</f>
        <v>Enter Length</v>
      </c>
      <c r="AQ11" s="1">
        <v>0.09</v>
      </c>
      <c r="AR11" s="3">
        <v>273</v>
      </c>
      <c r="AS11" s="3">
        <v>8.9527002999999994E-2</v>
      </c>
      <c r="AT11" s="3">
        <v>2.3882998999999998</v>
      </c>
      <c r="AU11" s="3">
        <v>5.6874000000000001E-2</v>
      </c>
      <c r="AV11" s="3">
        <v>3303</v>
      </c>
      <c r="AW11" s="3">
        <v>0.68810998999999995</v>
      </c>
      <c r="AX11" s="3">
        <v>0.82393998000000002</v>
      </c>
      <c r="AY11" s="3">
        <v>1.2191000000000001</v>
      </c>
      <c r="AZ11" s="3">
        <v>6.4488001000000003E-2</v>
      </c>
      <c r="BA11" s="3">
        <v>221.35135135135135</v>
      </c>
      <c r="BC11" s="1">
        <v>0.09</v>
      </c>
      <c r="BD11" s="10">
        <v>0</v>
      </c>
      <c r="BE11" s="10">
        <v>0</v>
      </c>
      <c r="BF11" s="10">
        <v>0</v>
      </c>
      <c r="BG11" s="10">
        <v>0</v>
      </c>
      <c r="BH11" s="10">
        <v>2</v>
      </c>
      <c r="BI11" s="10">
        <v>4.1666001000000003E-4</v>
      </c>
      <c r="BJ11" s="10">
        <v>4.1666001000000003E-4</v>
      </c>
      <c r="BK11" s="10">
        <v>41.289000999999999</v>
      </c>
      <c r="BL11" s="10">
        <v>0</v>
      </c>
      <c r="BM11" s="10" t="str">
        <v>NA</v>
      </c>
      <c r="BO11" s="1">
        <v>0.09</v>
      </c>
      <c r="BP11" s="11">
        <v>0</v>
      </c>
      <c r="BQ11" s="11">
        <v>0</v>
      </c>
      <c r="BR11" s="11">
        <v>0</v>
      </c>
      <c r="BS11" s="11">
        <v>0</v>
      </c>
      <c r="BT11" s="11">
        <v>2</v>
      </c>
      <c r="BU11" s="11">
        <v>4.1666001000000003E-4</v>
      </c>
      <c r="BV11" s="11">
        <v>4.1666001000000003E-4</v>
      </c>
      <c r="BW11" s="11">
        <v>41.289000999999999</v>
      </c>
      <c r="BX11" s="11">
        <v>0</v>
      </c>
      <c r="BY11" s="11" t="str">
        <v>Enter Length</v>
      </c>
    </row>
    <row r="12" spans="1:77" x14ac:dyDescent="0.2">
      <c r="A12" s="1">
        <v>0.1</v>
      </c>
      <c r="B12" s="6">
        <v>315</v>
      </c>
      <c r="C12" s="7">
        <v>0</v>
      </c>
      <c r="D12" s="8">
        <v>0</v>
      </c>
      <c r="E12" s="9">
        <v>28</v>
      </c>
      <c r="F12" s="6">
        <v>9.5145002000000006E-2</v>
      </c>
      <c r="G12" s="7"/>
      <c r="H12" s="8"/>
      <c r="I12" s="9">
        <v>9.5503002000000004E-2</v>
      </c>
      <c r="J12" s="6">
        <v>2.3873000000000002</v>
      </c>
      <c r="K12" s="7">
        <v>0</v>
      </c>
      <c r="L12" s="8">
        <v>0</v>
      </c>
      <c r="M12" s="9">
        <v>2.2857001000000001</v>
      </c>
      <c r="N12" s="6">
        <v>6.5623999000000002E-2</v>
      </c>
      <c r="O12" s="7"/>
      <c r="P12" s="8"/>
      <c r="Q12" s="9">
        <v>5.8332002000000003E-3</v>
      </c>
      <c r="R12" s="6">
        <v>3203</v>
      </c>
      <c r="S12" s="7">
        <v>2</v>
      </c>
      <c r="T12" s="8">
        <v>2</v>
      </c>
      <c r="U12" s="9">
        <v>256</v>
      </c>
      <c r="V12" s="6">
        <v>0.66728001999999997</v>
      </c>
      <c r="W12" s="7">
        <v>4.1666001000000003E-4</v>
      </c>
      <c r="X12" s="8">
        <v>4.1666001000000003E-4</v>
      </c>
      <c r="Y12" s="9">
        <v>5.3332000999999997E-2</v>
      </c>
      <c r="Z12" s="6">
        <v>0.82393998000000002</v>
      </c>
      <c r="AA12" s="7">
        <v>4.1666001000000003E-4</v>
      </c>
      <c r="AB12" s="8">
        <v>4.1666001000000003E-4</v>
      </c>
      <c r="AC12" s="9">
        <v>6.6665001000000002E-2</v>
      </c>
      <c r="AD12" s="6">
        <v>1.2377</v>
      </c>
      <c r="AE12" s="7">
        <v>41.289000999999999</v>
      </c>
      <c r="AF12" s="8">
        <v>41.289000999999999</v>
      </c>
      <c r="AG12" s="9">
        <v>2.9828999</v>
      </c>
      <c r="AH12" s="6">
        <v>6.8582997000000007E-2</v>
      </c>
      <c r="AI12" s="7"/>
      <c r="AJ12" s="8"/>
      <c r="AK12" s="9">
        <v>7.4280000999999998E-2</v>
      </c>
      <c r="AL12" s="3">
        <f>IF(ISNUMBER(BurstIgor14[[#This Row],[BurstNum_spont]]), IF(ISNUMBER(SpontLength_min), BurstIgor14[[#This Row],[BurstNum_spont]]/SpontLength_min*60, "Enter Length"), "Enter Burst Vals")</f>
        <v>255.40540540540542</v>
      </c>
      <c r="AM1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2" s="11" t="str" cm="1">
        <f t="array" ref="AN12">IF(ISNUMBER(BurstIgor14[[#This Row],[BurstNum_temp2]]), IF(ISNUMBER(Temp2_length), BurstIgor14[[#This Row],[BurstNum_temp2]]/Temp2_length*60, "Enter Length"), "Enter Burst Vals")</f>
        <v>Enter Length</v>
      </c>
      <c r="AO12" s="12" t="str" cm="1">
        <f t="array" ref="AO12">IF(ISNUMBER(BurstIgor14[[#This Row],[BurstNum_temp3]]), IF(ISNUMBER(Temp3_length), BurstIgor14[[#This Row],[BurstNum_temp3]]/Temp3_length*60, "Enter Length"), "Enter Burst Vals")</f>
        <v>Enter Length</v>
      </c>
      <c r="AQ12" s="1">
        <v>0.1</v>
      </c>
      <c r="AR12" s="3">
        <v>315</v>
      </c>
      <c r="AS12" s="3">
        <v>9.5145002000000006E-2</v>
      </c>
      <c r="AT12" s="3">
        <v>2.3873000000000002</v>
      </c>
      <c r="AU12" s="3">
        <v>6.5623999000000002E-2</v>
      </c>
      <c r="AV12" s="3">
        <v>3203</v>
      </c>
      <c r="AW12" s="3">
        <v>0.66728001999999997</v>
      </c>
      <c r="AX12" s="3">
        <v>0.82393998000000002</v>
      </c>
      <c r="AY12" s="3">
        <v>1.2377</v>
      </c>
      <c r="AZ12" s="3">
        <v>6.8582997000000007E-2</v>
      </c>
      <c r="BA12" s="3">
        <v>255.40540540540542</v>
      </c>
      <c r="BC12" s="1">
        <v>0.1</v>
      </c>
      <c r="BD12" s="10">
        <v>0</v>
      </c>
      <c r="BE12" s="10">
        <v>0</v>
      </c>
      <c r="BF12" s="10">
        <v>0</v>
      </c>
      <c r="BG12" s="10">
        <v>0</v>
      </c>
      <c r="BH12" s="10">
        <v>2</v>
      </c>
      <c r="BI12" s="10">
        <v>4.1666001000000003E-4</v>
      </c>
      <c r="BJ12" s="10">
        <v>4.1666001000000003E-4</v>
      </c>
      <c r="BK12" s="10">
        <v>41.289000999999999</v>
      </c>
      <c r="BL12" s="10">
        <v>0</v>
      </c>
      <c r="BM12" s="10" t="str">
        <v>NA</v>
      </c>
      <c r="BO12" s="1">
        <v>0.1</v>
      </c>
      <c r="BP12" s="11">
        <v>0</v>
      </c>
      <c r="BQ12" s="11">
        <v>0</v>
      </c>
      <c r="BR12" s="11">
        <v>0</v>
      </c>
      <c r="BS12" s="11">
        <v>0</v>
      </c>
      <c r="BT12" s="11">
        <v>2</v>
      </c>
      <c r="BU12" s="11">
        <v>4.1666001000000003E-4</v>
      </c>
      <c r="BV12" s="11">
        <v>4.1666001000000003E-4</v>
      </c>
      <c r="BW12" s="11">
        <v>41.289000999999999</v>
      </c>
      <c r="BX12" s="11">
        <v>0</v>
      </c>
      <c r="BY12" s="11" t="str">
        <v>Enter Length</v>
      </c>
    </row>
    <row r="13" spans="1:77" x14ac:dyDescent="0.2">
      <c r="A13" s="1">
        <v>0.11</v>
      </c>
      <c r="B13" s="6">
        <v>377</v>
      </c>
      <c r="C13" s="7">
        <v>0</v>
      </c>
      <c r="D13" s="8">
        <v>0</v>
      </c>
      <c r="E13" s="9">
        <v>30</v>
      </c>
      <c r="F13" s="6">
        <v>0.10111000000000001</v>
      </c>
      <c r="G13" s="7"/>
      <c r="H13" s="8"/>
      <c r="I13" s="9">
        <v>9.6151001999999999E-2</v>
      </c>
      <c r="J13" s="6">
        <v>2.3659998999999998</v>
      </c>
      <c r="K13" s="7">
        <v>0</v>
      </c>
      <c r="L13" s="8">
        <v>0</v>
      </c>
      <c r="M13" s="9">
        <v>2.2667000000000002</v>
      </c>
      <c r="N13" s="6">
        <v>7.8539997E-2</v>
      </c>
      <c r="O13" s="7"/>
      <c r="P13" s="8"/>
      <c r="Q13" s="9">
        <v>6.2499000000000001E-3</v>
      </c>
      <c r="R13" s="6">
        <v>3063</v>
      </c>
      <c r="S13" s="7">
        <v>2</v>
      </c>
      <c r="T13" s="8">
        <v>2</v>
      </c>
      <c r="U13" s="9">
        <v>252</v>
      </c>
      <c r="V13" s="6">
        <v>0.63810997999999997</v>
      </c>
      <c r="W13" s="7">
        <v>4.1666001000000003E-4</v>
      </c>
      <c r="X13" s="8">
        <v>4.1666001000000003E-4</v>
      </c>
      <c r="Y13" s="9">
        <v>5.2498999999999997E-2</v>
      </c>
      <c r="Z13" s="6">
        <v>0.82393998000000002</v>
      </c>
      <c r="AA13" s="7">
        <v>4.1666001000000003E-4</v>
      </c>
      <c r="AB13" s="8">
        <v>4.1666001000000003E-4</v>
      </c>
      <c r="AC13" s="9">
        <v>6.6665001000000002E-2</v>
      </c>
      <c r="AD13" s="6">
        <v>1.2634000000000001</v>
      </c>
      <c r="AE13" s="7">
        <v>41.289000999999999</v>
      </c>
      <c r="AF13" s="8">
        <v>41.289000999999999</v>
      </c>
      <c r="AG13" s="9">
        <v>3.0034000999999999</v>
      </c>
      <c r="AH13" s="6">
        <v>7.4014998999999998E-2</v>
      </c>
      <c r="AI13" s="7"/>
      <c r="AJ13" s="8"/>
      <c r="AK13" s="9">
        <v>7.5907998000000004E-2</v>
      </c>
      <c r="AL13" s="3">
        <f>IF(ISNUMBER(BurstIgor14[[#This Row],[BurstNum_spont]]), IF(ISNUMBER(SpontLength_min), BurstIgor14[[#This Row],[BurstNum_spont]]/SpontLength_min*60, "Enter Length"), "Enter Burst Vals")</f>
        <v>305.67567567567568</v>
      </c>
      <c r="AM1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3" s="11" t="str" cm="1">
        <f t="array" ref="AN13">IF(ISNUMBER(BurstIgor14[[#This Row],[BurstNum_temp2]]), IF(ISNUMBER(Temp2_length), BurstIgor14[[#This Row],[BurstNum_temp2]]/Temp2_length*60, "Enter Length"), "Enter Burst Vals")</f>
        <v>Enter Length</v>
      </c>
      <c r="AO13" s="12" t="str" cm="1">
        <f t="array" ref="AO13">IF(ISNUMBER(BurstIgor14[[#This Row],[BurstNum_temp3]]), IF(ISNUMBER(Temp3_length), BurstIgor14[[#This Row],[BurstNum_temp3]]/Temp3_length*60, "Enter Length"), "Enter Burst Vals")</f>
        <v>Enter Length</v>
      </c>
      <c r="AQ13" s="1">
        <v>0.11</v>
      </c>
      <c r="AR13" s="3">
        <v>377</v>
      </c>
      <c r="AS13" s="3">
        <v>0.10111000000000001</v>
      </c>
      <c r="AT13" s="3">
        <v>2.3659998999999998</v>
      </c>
      <c r="AU13" s="3">
        <v>7.8539997E-2</v>
      </c>
      <c r="AV13" s="3">
        <v>3063</v>
      </c>
      <c r="AW13" s="3">
        <v>0.63810997999999997</v>
      </c>
      <c r="AX13" s="3">
        <v>0.82393998000000002</v>
      </c>
      <c r="AY13" s="3">
        <v>1.2634000000000001</v>
      </c>
      <c r="AZ13" s="3">
        <v>7.4014998999999998E-2</v>
      </c>
      <c r="BA13" s="3">
        <v>305.67567567567568</v>
      </c>
      <c r="BC13" s="1">
        <v>0.11</v>
      </c>
      <c r="BD13" s="10">
        <v>0</v>
      </c>
      <c r="BE13" s="10">
        <v>0</v>
      </c>
      <c r="BF13" s="10">
        <v>0</v>
      </c>
      <c r="BG13" s="10">
        <v>0</v>
      </c>
      <c r="BH13" s="10">
        <v>2</v>
      </c>
      <c r="BI13" s="10">
        <v>4.1666001000000003E-4</v>
      </c>
      <c r="BJ13" s="10">
        <v>4.1666001000000003E-4</v>
      </c>
      <c r="BK13" s="10">
        <v>41.289000999999999</v>
      </c>
      <c r="BL13" s="10">
        <v>0</v>
      </c>
      <c r="BM13" s="10" t="str">
        <v>NA</v>
      </c>
      <c r="BO13" s="1">
        <v>0.11</v>
      </c>
      <c r="BP13" s="11">
        <v>0</v>
      </c>
      <c r="BQ13" s="11">
        <v>0</v>
      </c>
      <c r="BR13" s="11">
        <v>0</v>
      </c>
      <c r="BS13" s="11">
        <v>0</v>
      </c>
      <c r="BT13" s="11">
        <v>2</v>
      </c>
      <c r="BU13" s="11">
        <v>4.1666001000000003E-4</v>
      </c>
      <c r="BV13" s="11">
        <v>4.1666001000000003E-4</v>
      </c>
      <c r="BW13" s="11">
        <v>41.289000999999999</v>
      </c>
      <c r="BX13" s="11">
        <v>0</v>
      </c>
      <c r="BY13" s="11" t="str">
        <v>Enter Length</v>
      </c>
    </row>
    <row r="14" spans="1:77" x14ac:dyDescent="0.2">
      <c r="A14" s="1">
        <v>0.12</v>
      </c>
      <c r="B14" s="6">
        <v>417</v>
      </c>
      <c r="C14" s="7">
        <v>0</v>
      </c>
      <c r="D14" s="8">
        <v>0</v>
      </c>
      <c r="E14" s="9">
        <v>34</v>
      </c>
      <c r="F14" s="6">
        <v>0.11205</v>
      </c>
      <c r="G14" s="7"/>
      <c r="H14" s="8"/>
      <c r="I14" s="9">
        <v>0.10517</v>
      </c>
      <c r="J14" s="6">
        <v>2.4149001000000001</v>
      </c>
      <c r="K14" s="7">
        <v>0</v>
      </c>
      <c r="L14" s="8">
        <v>0</v>
      </c>
      <c r="M14" s="9">
        <v>2.2940999999999998</v>
      </c>
      <c r="N14" s="6">
        <v>8.6873002000000005E-2</v>
      </c>
      <c r="O14" s="7"/>
      <c r="P14" s="8"/>
      <c r="Q14" s="9">
        <v>7.0831999E-3</v>
      </c>
      <c r="R14" s="6">
        <v>2948</v>
      </c>
      <c r="S14" s="7">
        <v>2</v>
      </c>
      <c r="T14" s="8">
        <v>2</v>
      </c>
      <c r="U14" s="9">
        <v>242</v>
      </c>
      <c r="V14" s="6">
        <v>0.61414999000000003</v>
      </c>
      <c r="W14" s="7">
        <v>4.1666001000000003E-4</v>
      </c>
      <c r="X14" s="8">
        <v>4.1666001000000003E-4</v>
      </c>
      <c r="Y14" s="9">
        <v>5.0416000000000002E-2</v>
      </c>
      <c r="Z14" s="6">
        <v>0.82393998000000002</v>
      </c>
      <c r="AA14" s="7">
        <v>4.1666001000000003E-4</v>
      </c>
      <c r="AB14" s="8">
        <v>4.1666001000000003E-4</v>
      </c>
      <c r="AC14" s="9">
        <v>6.6665001000000002E-2</v>
      </c>
      <c r="AD14" s="6">
        <v>1.2889999999999999</v>
      </c>
      <c r="AE14" s="7">
        <v>41.289000999999999</v>
      </c>
      <c r="AF14" s="8">
        <v>41.289000999999999</v>
      </c>
      <c r="AG14" s="9">
        <v>3.0664001000000001</v>
      </c>
      <c r="AH14" s="6">
        <v>7.9194001999999999E-2</v>
      </c>
      <c r="AI14" s="7"/>
      <c r="AJ14" s="8"/>
      <c r="AK14" s="9">
        <v>8.1266001000000004E-2</v>
      </c>
      <c r="AL14" s="3">
        <f>IF(ISNUMBER(BurstIgor14[[#This Row],[BurstNum_spont]]), IF(ISNUMBER(SpontLength_min), BurstIgor14[[#This Row],[BurstNum_spont]]/SpontLength_min*60, "Enter Length"), "Enter Burst Vals")</f>
        <v>338.10810810810813</v>
      </c>
      <c r="AM1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4" s="11" t="str" cm="1">
        <f t="array" ref="AN14">IF(ISNUMBER(BurstIgor14[[#This Row],[BurstNum_temp2]]), IF(ISNUMBER(Temp2_length), BurstIgor14[[#This Row],[BurstNum_temp2]]/Temp2_length*60, "Enter Length"), "Enter Burst Vals")</f>
        <v>Enter Length</v>
      </c>
      <c r="AO14" s="12" t="str" cm="1">
        <f t="array" ref="AO14">IF(ISNUMBER(BurstIgor14[[#This Row],[BurstNum_temp3]]), IF(ISNUMBER(Temp3_length), BurstIgor14[[#This Row],[BurstNum_temp3]]/Temp3_length*60, "Enter Length"), "Enter Burst Vals")</f>
        <v>Enter Length</v>
      </c>
      <c r="AQ14" s="1">
        <v>0.12</v>
      </c>
      <c r="AR14" s="3">
        <v>417</v>
      </c>
      <c r="AS14" s="3">
        <v>0.11205</v>
      </c>
      <c r="AT14" s="3">
        <v>2.4149001000000001</v>
      </c>
      <c r="AU14" s="3">
        <v>8.6873002000000005E-2</v>
      </c>
      <c r="AV14" s="3">
        <v>2948</v>
      </c>
      <c r="AW14" s="3">
        <v>0.61414999000000003</v>
      </c>
      <c r="AX14" s="3">
        <v>0.82393998000000002</v>
      </c>
      <c r="AY14" s="3">
        <v>1.2889999999999999</v>
      </c>
      <c r="AZ14" s="3">
        <v>7.9194001999999999E-2</v>
      </c>
      <c r="BA14" s="3">
        <v>338.10810810810813</v>
      </c>
      <c r="BC14" s="1">
        <v>0.12</v>
      </c>
      <c r="BD14" s="10">
        <v>0</v>
      </c>
      <c r="BE14" s="10">
        <v>0</v>
      </c>
      <c r="BF14" s="10">
        <v>0</v>
      </c>
      <c r="BG14" s="10">
        <v>0</v>
      </c>
      <c r="BH14" s="10">
        <v>2</v>
      </c>
      <c r="BI14" s="10">
        <v>4.1666001000000003E-4</v>
      </c>
      <c r="BJ14" s="10">
        <v>4.1666001000000003E-4</v>
      </c>
      <c r="BK14" s="10">
        <v>41.289000999999999</v>
      </c>
      <c r="BL14" s="10">
        <v>0</v>
      </c>
      <c r="BM14" s="10" t="str">
        <v>NA</v>
      </c>
      <c r="BO14" s="1">
        <v>0.12</v>
      </c>
      <c r="BP14" s="11">
        <v>0</v>
      </c>
      <c r="BQ14" s="11">
        <v>0</v>
      </c>
      <c r="BR14" s="11">
        <v>0</v>
      </c>
      <c r="BS14" s="11">
        <v>0</v>
      </c>
      <c r="BT14" s="11">
        <v>2</v>
      </c>
      <c r="BU14" s="11">
        <v>4.1666001000000003E-4</v>
      </c>
      <c r="BV14" s="11">
        <v>4.1666001000000003E-4</v>
      </c>
      <c r="BW14" s="11">
        <v>41.289000999999999</v>
      </c>
      <c r="BX14" s="11">
        <v>0</v>
      </c>
      <c r="BY14" s="11" t="str">
        <v>Enter Length</v>
      </c>
    </row>
    <row r="15" spans="1:77" x14ac:dyDescent="0.2">
      <c r="A15" s="1">
        <v>0.13</v>
      </c>
      <c r="B15" s="6">
        <v>458</v>
      </c>
      <c r="C15" s="7">
        <v>0</v>
      </c>
      <c r="D15" s="8">
        <v>0</v>
      </c>
      <c r="E15" s="9">
        <v>35</v>
      </c>
      <c r="F15" s="6">
        <v>0.12223000000000001</v>
      </c>
      <c r="G15" s="7"/>
      <c r="H15" s="8"/>
      <c r="I15" s="9">
        <v>0.1236</v>
      </c>
      <c r="J15" s="6">
        <v>2.4498000000000002</v>
      </c>
      <c r="K15" s="7">
        <v>0</v>
      </c>
      <c r="L15" s="8">
        <v>0</v>
      </c>
      <c r="M15" s="9">
        <v>2.4286001000000002</v>
      </c>
      <c r="N15" s="6">
        <v>9.5415003999999998E-2</v>
      </c>
      <c r="O15" s="7"/>
      <c r="P15" s="8"/>
      <c r="Q15" s="9">
        <v>7.2915000000000002E-3</v>
      </c>
      <c r="R15" s="6">
        <v>2833</v>
      </c>
      <c r="S15" s="7">
        <v>2</v>
      </c>
      <c r="T15" s="8">
        <v>2</v>
      </c>
      <c r="U15" s="9">
        <v>235</v>
      </c>
      <c r="V15" s="6">
        <v>0.59020001</v>
      </c>
      <c r="W15" s="7">
        <v>4.1666001000000003E-4</v>
      </c>
      <c r="X15" s="8">
        <v>4.1666001000000003E-4</v>
      </c>
      <c r="Y15" s="9">
        <v>4.8957001E-2</v>
      </c>
      <c r="Z15" s="6">
        <v>0.82393998000000002</v>
      </c>
      <c r="AA15" s="7">
        <v>4.1666001000000003E-4</v>
      </c>
      <c r="AB15" s="8">
        <v>4.1666001000000003E-4</v>
      </c>
      <c r="AC15" s="9">
        <v>6.6665001000000002E-2</v>
      </c>
      <c r="AD15" s="6">
        <v>1.3150999999999999</v>
      </c>
      <c r="AE15" s="7">
        <v>41.289000999999999</v>
      </c>
      <c r="AF15" s="8">
        <v>41.289000999999999</v>
      </c>
      <c r="AG15" s="9">
        <v>3.1320000000000001</v>
      </c>
      <c r="AH15" s="6">
        <v>8.4311000999999997E-2</v>
      </c>
      <c r="AI15" s="7"/>
      <c r="AJ15" s="8"/>
      <c r="AK15" s="9">
        <v>8.6519002999999997E-2</v>
      </c>
      <c r="AL15" s="3">
        <f>IF(ISNUMBER(BurstIgor14[[#This Row],[BurstNum_spont]]), IF(ISNUMBER(SpontLength_min), BurstIgor14[[#This Row],[BurstNum_spont]]/SpontLength_min*60, "Enter Length"), "Enter Burst Vals")</f>
        <v>371.35135135135135</v>
      </c>
      <c r="AM1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5" s="11" t="str" cm="1">
        <f t="array" ref="AN15">IF(ISNUMBER(BurstIgor14[[#This Row],[BurstNum_temp2]]), IF(ISNUMBER(Temp2_length), BurstIgor14[[#This Row],[BurstNum_temp2]]/Temp2_length*60, "Enter Length"), "Enter Burst Vals")</f>
        <v>Enter Length</v>
      </c>
      <c r="AO15" s="12" t="str" cm="1">
        <f t="array" ref="AO15">IF(ISNUMBER(BurstIgor14[[#This Row],[BurstNum_temp3]]), IF(ISNUMBER(Temp3_length), BurstIgor14[[#This Row],[BurstNum_temp3]]/Temp3_length*60, "Enter Length"), "Enter Burst Vals")</f>
        <v>Enter Length</v>
      </c>
      <c r="AQ15" s="1">
        <v>0.13</v>
      </c>
      <c r="AR15" s="3">
        <v>458</v>
      </c>
      <c r="AS15" s="3">
        <v>0.12223000000000001</v>
      </c>
      <c r="AT15" s="3">
        <v>2.4498000000000002</v>
      </c>
      <c r="AU15" s="3">
        <v>9.5415003999999998E-2</v>
      </c>
      <c r="AV15" s="3">
        <v>2833</v>
      </c>
      <c r="AW15" s="3">
        <v>0.59020001</v>
      </c>
      <c r="AX15" s="3">
        <v>0.82393998000000002</v>
      </c>
      <c r="AY15" s="3">
        <v>1.3150999999999999</v>
      </c>
      <c r="AZ15" s="3">
        <v>8.4311000999999997E-2</v>
      </c>
      <c r="BA15" s="3">
        <v>371.35135135135135</v>
      </c>
      <c r="BC15" s="1">
        <v>0.13</v>
      </c>
      <c r="BD15" s="10">
        <v>0</v>
      </c>
      <c r="BE15" s="10">
        <v>0</v>
      </c>
      <c r="BF15" s="10">
        <v>0</v>
      </c>
      <c r="BG15" s="10">
        <v>0</v>
      </c>
      <c r="BH15" s="10">
        <v>2</v>
      </c>
      <c r="BI15" s="10">
        <v>4.1666001000000003E-4</v>
      </c>
      <c r="BJ15" s="10">
        <v>4.1666001000000003E-4</v>
      </c>
      <c r="BK15" s="10">
        <v>41.289000999999999</v>
      </c>
      <c r="BL15" s="10">
        <v>0</v>
      </c>
      <c r="BM15" s="10" t="str">
        <v>NA</v>
      </c>
      <c r="BO15" s="1">
        <v>0.13</v>
      </c>
      <c r="BP15" s="11">
        <v>0</v>
      </c>
      <c r="BQ15" s="11">
        <v>0</v>
      </c>
      <c r="BR15" s="11">
        <v>0</v>
      </c>
      <c r="BS15" s="11">
        <v>0</v>
      </c>
      <c r="BT15" s="11">
        <v>2</v>
      </c>
      <c r="BU15" s="11">
        <v>4.1666001000000003E-4</v>
      </c>
      <c r="BV15" s="11">
        <v>4.1666001000000003E-4</v>
      </c>
      <c r="BW15" s="11">
        <v>41.289000999999999</v>
      </c>
      <c r="BX15" s="11">
        <v>0</v>
      </c>
      <c r="BY15" s="11" t="str">
        <v>Enter Length</v>
      </c>
    </row>
    <row r="16" spans="1:77" x14ac:dyDescent="0.2">
      <c r="A16" s="1">
        <v>0.14000000000000001</v>
      </c>
      <c r="B16" s="6">
        <v>498</v>
      </c>
      <c r="C16" s="7">
        <v>0</v>
      </c>
      <c r="D16" s="8">
        <v>0</v>
      </c>
      <c r="E16" s="9">
        <v>37</v>
      </c>
      <c r="F16" s="6">
        <v>0.13052</v>
      </c>
      <c r="G16" s="7"/>
      <c r="H16" s="8"/>
      <c r="I16" s="9">
        <v>0.12409000000000001</v>
      </c>
      <c r="J16" s="6">
        <v>2.4679000000000002</v>
      </c>
      <c r="K16" s="7">
        <v>0</v>
      </c>
      <c r="L16" s="8">
        <v>0</v>
      </c>
      <c r="M16" s="9">
        <v>2.4054000000000002</v>
      </c>
      <c r="N16" s="6">
        <v>0.10375</v>
      </c>
      <c r="O16" s="7"/>
      <c r="P16" s="8"/>
      <c r="Q16" s="9">
        <v>7.7081998000000001E-3</v>
      </c>
      <c r="R16" s="6">
        <v>2726</v>
      </c>
      <c r="S16" s="7">
        <v>2</v>
      </c>
      <c r="T16" s="8">
        <v>2</v>
      </c>
      <c r="U16" s="9">
        <v>231</v>
      </c>
      <c r="V16" s="6">
        <v>0.56789999999999996</v>
      </c>
      <c r="W16" s="7">
        <v>4.1666001000000003E-4</v>
      </c>
      <c r="X16" s="8">
        <v>4.1666001000000003E-4</v>
      </c>
      <c r="Y16" s="9">
        <v>4.8124E-2</v>
      </c>
      <c r="Z16" s="6">
        <v>0.82393998000000002</v>
      </c>
      <c r="AA16" s="7">
        <v>4.1666001000000003E-4</v>
      </c>
      <c r="AB16" s="8">
        <v>4.1666001000000003E-4</v>
      </c>
      <c r="AC16" s="9">
        <v>6.6665001000000002E-2</v>
      </c>
      <c r="AD16" s="6">
        <v>1.3396999999999999</v>
      </c>
      <c r="AE16" s="7">
        <v>41.289000999999999</v>
      </c>
      <c r="AF16" s="8">
        <v>41.289000999999999</v>
      </c>
      <c r="AG16" s="9">
        <v>3.1545000000000001</v>
      </c>
      <c r="AH16" s="6">
        <v>8.8918998999999999E-2</v>
      </c>
      <c r="AI16" s="7"/>
      <c r="AJ16" s="8"/>
      <c r="AK16" s="9">
        <v>8.8293998999999998E-2</v>
      </c>
      <c r="AL16" s="3">
        <f>IF(ISNUMBER(BurstIgor14[[#This Row],[BurstNum_spont]]), IF(ISNUMBER(SpontLength_min), BurstIgor14[[#This Row],[BurstNum_spont]]/SpontLength_min*60, "Enter Length"), "Enter Burst Vals")</f>
        <v>403.7837837837838</v>
      </c>
      <c r="AM1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6" s="11" t="str" cm="1">
        <f t="array" ref="AN16">IF(ISNUMBER(BurstIgor14[[#This Row],[BurstNum_temp2]]), IF(ISNUMBER(Temp2_length), BurstIgor14[[#This Row],[BurstNum_temp2]]/Temp2_length*60, "Enter Length"), "Enter Burst Vals")</f>
        <v>Enter Length</v>
      </c>
      <c r="AO16" s="12" t="str" cm="1">
        <f t="array" ref="AO16">IF(ISNUMBER(BurstIgor14[[#This Row],[BurstNum_temp3]]), IF(ISNUMBER(Temp3_length), BurstIgor14[[#This Row],[BurstNum_temp3]]/Temp3_length*60, "Enter Length"), "Enter Burst Vals")</f>
        <v>Enter Length</v>
      </c>
      <c r="AQ16" s="1">
        <v>0.14000000000000001</v>
      </c>
      <c r="AR16" s="3">
        <v>498</v>
      </c>
      <c r="AS16" s="3">
        <v>0.13052</v>
      </c>
      <c r="AT16" s="3">
        <v>2.4679000000000002</v>
      </c>
      <c r="AU16" s="3">
        <v>0.10375</v>
      </c>
      <c r="AV16" s="3">
        <v>2726</v>
      </c>
      <c r="AW16" s="3">
        <v>0.56789999999999996</v>
      </c>
      <c r="AX16" s="3">
        <v>0.82393998000000002</v>
      </c>
      <c r="AY16" s="3">
        <v>1.3396999999999999</v>
      </c>
      <c r="AZ16" s="3">
        <v>8.8918998999999999E-2</v>
      </c>
      <c r="BA16" s="3">
        <v>403.7837837837838</v>
      </c>
      <c r="BC16" s="1">
        <v>0.14000000000000001</v>
      </c>
      <c r="BD16" s="10">
        <v>0</v>
      </c>
      <c r="BE16" s="10">
        <v>0</v>
      </c>
      <c r="BF16" s="10">
        <v>0</v>
      </c>
      <c r="BG16" s="10">
        <v>0</v>
      </c>
      <c r="BH16" s="10">
        <v>2</v>
      </c>
      <c r="BI16" s="10">
        <v>4.1666001000000003E-4</v>
      </c>
      <c r="BJ16" s="10">
        <v>4.1666001000000003E-4</v>
      </c>
      <c r="BK16" s="10">
        <v>41.289000999999999</v>
      </c>
      <c r="BL16" s="10">
        <v>0</v>
      </c>
      <c r="BM16" s="10" t="str">
        <v>NA</v>
      </c>
      <c r="BO16" s="1">
        <v>0.14000000000000001</v>
      </c>
      <c r="BP16" s="11">
        <v>0</v>
      </c>
      <c r="BQ16" s="11">
        <v>0</v>
      </c>
      <c r="BR16" s="11">
        <v>0</v>
      </c>
      <c r="BS16" s="11">
        <v>0</v>
      </c>
      <c r="BT16" s="11">
        <v>2</v>
      </c>
      <c r="BU16" s="11">
        <v>4.1666001000000003E-4</v>
      </c>
      <c r="BV16" s="11">
        <v>4.1666001000000003E-4</v>
      </c>
      <c r="BW16" s="11">
        <v>41.289000999999999</v>
      </c>
      <c r="BX16" s="11">
        <v>0</v>
      </c>
      <c r="BY16" s="11" t="str">
        <v>Enter Length</v>
      </c>
    </row>
    <row r="17" spans="1:77" x14ac:dyDescent="0.2">
      <c r="A17" s="1">
        <v>0.15</v>
      </c>
      <c r="B17" s="6">
        <v>536</v>
      </c>
      <c r="C17" s="7">
        <v>0</v>
      </c>
      <c r="D17" s="8">
        <v>0</v>
      </c>
      <c r="E17" s="9">
        <v>38</v>
      </c>
      <c r="F17" s="6">
        <v>0.13879</v>
      </c>
      <c r="G17" s="7"/>
      <c r="H17" s="8"/>
      <c r="I17" s="9">
        <v>0.12825</v>
      </c>
      <c r="J17" s="6">
        <v>2.4851000000000001</v>
      </c>
      <c r="K17" s="7">
        <v>0</v>
      </c>
      <c r="L17" s="8">
        <v>0</v>
      </c>
      <c r="M17" s="9">
        <v>2.4210999000000002</v>
      </c>
      <c r="N17" s="6">
        <v>0.11166</v>
      </c>
      <c r="O17" s="7"/>
      <c r="P17" s="8"/>
      <c r="Q17" s="9">
        <v>7.9164999000000003E-3</v>
      </c>
      <c r="R17" s="6">
        <v>2623</v>
      </c>
      <c r="S17" s="7">
        <v>2</v>
      </c>
      <c r="T17" s="8">
        <v>2</v>
      </c>
      <c r="U17" s="9">
        <v>228</v>
      </c>
      <c r="V17" s="6">
        <v>0.54645001999999998</v>
      </c>
      <c r="W17" s="7">
        <v>4.1666001000000003E-4</v>
      </c>
      <c r="X17" s="8">
        <v>4.1666001000000003E-4</v>
      </c>
      <c r="Y17" s="9">
        <v>4.7499000999999999E-2</v>
      </c>
      <c r="Z17" s="6">
        <v>0.82393998000000002</v>
      </c>
      <c r="AA17" s="7">
        <v>4.1666001000000003E-4</v>
      </c>
      <c r="AB17" s="8">
        <v>4.1666001000000003E-4</v>
      </c>
      <c r="AC17" s="9">
        <v>6.6665001000000002E-2</v>
      </c>
      <c r="AD17" s="6">
        <v>1.3643000000000001</v>
      </c>
      <c r="AE17" s="7">
        <v>41.289000999999999</v>
      </c>
      <c r="AF17" s="8">
        <v>41.289000999999999</v>
      </c>
      <c r="AG17" s="9">
        <v>3.1772000999999999</v>
      </c>
      <c r="AH17" s="6">
        <v>9.3457997000000001E-2</v>
      </c>
      <c r="AI17" s="7"/>
      <c r="AJ17" s="8"/>
      <c r="AK17" s="9">
        <v>9.0250998999999998E-2</v>
      </c>
      <c r="AL17" s="3">
        <f>IF(ISNUMBER(BurstIgor14[[#This Row],[BurstNum_spont]]), IF(ISNUMBER(SpontLength_min), BurstIgor14[[#This Row],[BurstNum_spont]]/SpontLength_min*60, "Enter Length"), "Enter Burst Vals")</f>
        <v>434.59459459459458</v>
      </c>
      <c r="AM1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7" s="11" t="str" cm="1">
        <f t="array" ref="AN17">IF(ISNUMBER(BurstIgor14[[#This Row],[BurstNum_temp2]]), IF(ISNUMBER(Temp2_length), BurstIgor14[[#This Row],[BurstNum_temp2]]/Temp2_length*60, "Enter Length"), "Enter Burst Vals")</f>
        <v>Enter Length</v>
      </c>
      <c r="AO17" s="12" t="str" cm="1">
        <f t="array" ref="AO17">IF(ISNUMBER(BurstIgor14[[#This Row],[BurstNum_temp3]]), IF(ISNUMBER(Temp3_length), BurstIgor14[[#This Row],[BurstNum_temp3]]/Temp3_length*60, "Enter Length"), "Enter Burst Vals")</f>
        <v>Enter Length</v>
      </c>
      <c r="AQ17" s="1">
        <v>0.15</v>
      </c>
      <c r="AR17" s="3">
        <v>536</v>
      </c>
      <c r="AS17" s="3">
        <v>0.13879</v>
      </c>
      <c r="AT17" s="3">
        <v>2.4851000000000001</v>
      </c>
      <c r="AU17" s="3">
        <v>0.11166</v>
      </c>
      <c r="AV17" s="3">
        <v>2623</v>
      </c>
      <c r="AW17" s="3">
        <v>0.54645001999999998</v>
      </c>
      <c r="AX17" s="3">
        <v>0.82393998000000002</v>
      </c>
      <c r="AY17" s="3">
        <v>1.3643000000000001</v>
      </c>
      <c r="AZ17" s="3">
        <v>9.3457997000000001E-2</v>
      </c>
      <c r="BA17" s="3">
        <v>434.59459459459458</v>
      </c>
      <c r="BC17" s="1">
        <v>0.15</v>
      </c>
      <c r="BD17" s="10">
        <v>0</v>
      </c>
      <c r="BE17" s="10">
        <v>0</v>
      </c>
      <c r="BF17" s="10">
        <v>0</v>
      </c>
      <c r="BG17" s="10">
        <v>0</v>
      </c>
      <c r="BH17" s="10">
        <v>2</v>
      </c>
      <c r="BI17" s="10">
        <v>4.1666001000000003E-4</v>
      </c>
      <c r="BJ17" s="10">
        <v>4.1666001000000003E-4</v>
      </c>
      <c r="BK17" s="10">
        <v>41.289000999999999</v>
      </c>
      <c r="BL17" s="10">
        <v>0</v>
      </c>
      <c r="BM17" s="10" t="str">
        <v>NA</v>
      </c>
      <c r="BO17" s="1">
        <v>0.15</v>
      </c>
      <c r="BP17" s="11">
        <v>0</v>
      </c>
      <c r="BQ17" s="11">
        <v>0</v>
      </c>
      <c r="BR17" s="11">
        <v>0</v>
      </c>
      <c r="BS17" s="11">
        <v>0</v>
      </c>
      <c r="BT17" s="11">
        <v>2</v>
      </c>
      <c r="BU17" s="11">
        <v>4.1666001000000003E-4</v>
      </c>
      <c r="BV17" s="11">
        <v>4.1666001000000003E-4</v>
      </c>
      <c r="BW17" s="11">
        <v>41.289000999999999</v>
      </c>
      <c r="BX17" s="11">
        <v>0</v>
      </c>
      <c r="BY17" s="11" t="str">
        <v>Enter Length</v>
      </c>
    </row>
    <row r="18" spans="1:77" x14ac:dyDescent="0.2">
      <c r="A18" s="1">
        <v>0.16</v>
      </c>
      <c r="B18" s="6">
        <v>571</v>
      </c>
      <c r="C18" s="7">
        <v>0</v>
      </c>
      <c r="D18" s="8">
        <v>0</v>
      </c>
      <c r="E18" s="9">
        <v>38</v>
      </c>
      <c r="F18" s="6">
        <v>0.14548000999999999</v>
      </c>
      <c r="G18" s="7"/>
      <c r="H18" s="8"/>
      <c r="I18" s="9">
        <v>0.12825</v>
      </c>
      <c r="J18" s="6">
        <v>2.4921000000000002</v>
      </c>
      <c r="K18" s="7">
        <v>0</v>
      </c>
      <c r="L18" s="8">
        <v>0</v>
      </c>
      <c r="M18" s="9">
        <v>2.4210999000000002</v>
      </c>
      <c r="N18" s="6">
        <v>0.11896</v>
      </c>
      <c r="O18" s="7"/>
      <c r="P18" s="8"/>
      <c r="Q18" s="9">
        <v>7.9164999000000003E-3</v>
      </c>
      <c r="R18" s="6">
        <v>2532</v>
      </c>
      <c r="S18" s="7">
        <v>2</v>
      </c>
      <c r="T18" s="8">
        <v>2</v>
      </c>
      <c r="U18" s="9">
        <v>228</v>
      </c>
      <c r="V18" s="6">
        <v>0.52749002</v>
      </c>
      <c r="W18" s="7">
        <v>4.1666001000000003E-4</v>
      </c>
      <c r="X18" s="8">
        <v>4.1666001000000003E-4</v>
      </c>
      <c r="Y18" s="9">
        <v>4.7499000999999999E-2</v>
      </c>
      <c r="Z18" s="6">
        <v>0.82393998000000002</v>
      </c>
      <c r="AA18" s="7">
        <v>4.1666001000000003E-4</v>
      </c>
      <c r="AB18" s="8">
        <v>4.1666001000000003E-4</v>
      </c>
      <c r="AC18" s="9">
        <v>6.6665001000000002E-2</v>
      </c>
      <c r="AD18" s="6">
        <v>1.3861000999999999</v>
      </c>
      <c r="AE18" s="7">
        <v>41.289000999999999</v>
      </c>
      <c r="AF18" s="8">
        <v>41.289000999999999</v>
      </c>
      <c r="AG18" s="9">
        <v>3.1772000999999999</v>
      </c>
      <c r="AH18" s="6">
        <v>9.7499996000000005E-2</v>
      </c>
      <c r="AI18" s="7"/>
      <c r="AJ18" s="8"/>
      <c r="AK18" s="9">
        <v>9.0250998999999998E-2</v>
      </c>
      <c r="AL18" s="3">
        <f>IF(ISNUMBER(BurstIgor14[[#This Row],[BurstNum_spont]]), IF(ISNUMBER(SpontLength_min), BurstIgor14[[#This Row],[BurstNum_spont]]/SpontLength_min*60, "Enter Length"), "Enter Burst Vals")</f>
        <v>462.97297297297297</v>
      </c>
      <c r="AM1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8" s="11" t="str" cm="1">
        <f t="array" ref="AN18">IF(ISNUMBER(BurstIgor14[[#This Row],[BurstNum_temp2]]), IF(ISNUMBER(Temp2_length), BurstIgor14[[#This Row],[BurstNum_temp2]]/Temp2_length*60, "Enter Length"), "Enter Burst Vals")</f>
        <v>Enter Length</v>
      </c>
      <c r="AO18" s="12" t="str" cm="1">
        <f t="array" ref="AO18">IF(ISNUMBER(BurstIgor14[[#This Row],[BurstNum_temp3]]), IF(ISNUMBER(Temp3_length), BurstIgor14[[#This Row],[BurstNum_temp3]]/Temp3_length*60, "Enter Length"), "Enter Burst Vals")</f>
        <v>Enter Length</v>
      </c>
      <c r="AQ18" s="1">
        <v>0.16</v>
      </c>
      <c r="AR18" s="3">
        <v>571</v>
      </c>
      <c r="AS18" s="3">
        <v>0.14548000999999999</v>
      </c>
      <c r="AT18" s="3">
        <v>2.4921000000000002</v>
      </c>
      <c r="AU18" s="3">
        <v>0.11896</v>
      </c>
      <c r="AV18" s="3">
        <v>2532</v>
      </c>
      <c r="AW18" s="3">
        <v>0.52749002</v>
      </c>
      <c r="AX18" s="3">
        <v>0.82393998000000002</v>
      </c>
      <c r="AY18" s="3">
        <v>1.3861000999999999</v>
      </c>
      <c r="AZ18" s="3">
        <v>9.7499996000000005E-2</v>
      </c>
      <c r="BA18" s="3">
        <v>462.97297297297297</v>
      </c>
      <c r="BC18" s="1">
        <v>0.16</v>
      </c>
      <c r="BD18" s="10">
        <v>0</v>
      </c>
      <c r="BE18" s="10">
        <v>0</v>
      </c>
      <c r="BF18" s="10">
        <v>0</v>
      </c>
      <c r="BG18" s="10">
        <v>0</v>
      </c>
      <c r="BH18" s="10">
        <v>2</v>
      </c>
      <c r="BI18" s="10">
        <v>4.1666001000000003E-4</v>
      </c>
      <c r="BJ18" s="10">
        <v>4.1666001000000003E-4</v>
      </c>
      <c r="BK18" s="10">
        <v>41.289000999999999</v>
      </c>
      <c r="BL18" s="10">
        <v>0</v>
      </c>
      <c r="BM18" s="10" t="str">
        <v>NA</v>
      </c>
      <c r="BO18" s="1">
        <v>0.16</v>
      </c>
      <c r="BP18" s="11">
        <v>0</v>
      </c>
      <c r="BQ18" s="11">
        <v>0</v>
      </c>
      <c r="BR18" s="11">
        <v>0</v>
      </c>
      <c r="BS18" s="11">
        <v>0</v>
      </c>
      <c r="BT18" s="11">
        <v>2</v>
      </c>
      <c r="BU18" s="11">
        <v>4.1666001000000003E-4</v>
      </c>
      <c r="BV18" s="11">
        <v>4.1666001000000003E-4</v>
      </c>
      <c r="BW18" s="11">
        <v>41.289000999999999</v>
      </c>
      <c r="BX18" s="11">
        <v>0</v>
      </c>
      <c r="BY18" s="11" t="str">
        <v>Enter Length</v>
      </c>
    </row>
    <row r="19" spans="1:77" x14ac:dyDescent="0.2">
      <c r="A19" s="1">
        <v>0.17</v>
      </c>
      <c r="B19" s="6">
        <v>600</v>
      </c>
      <c r="C19" s="7">
        <v>0</v>
      </c>
      <c r="D19" s="8">
        <v>0</v>
      </c>
      <c r="E19" s="9">
        <v>39</v>
      </c>
      <c r="F19" s="6">
        <v>0.15464</v>
      </c>
      <c r="G19" s="7"/>
      <c r="H19" s="8"/>
      <c r="I19" s="9">
        <v>0.13764999999999999</v>
      </c>
      <c r="J19" s="6">
        <v>2.5183000999999998</v>
      </c>
      <c r="K19" s="7">
        <v>0</v>
      </c>
      <c r="L19" s="8">
        <v>0</v>
      </c>
      <c r="M19" s="9">
        <v>2.4614999000000002</v>
      </c>
      <c r="N19" s="6">
        <v>0.125</v>
      </c>
      <c r="O19" s="7"/>
      <c r="P19" s="8"/>
      <c r="Q19" s="9">
        <v>8.1248003999999999E-3</v>
      </c>
      <c r="R19" s="6">
        <v>2444</v>
      </c>
      <c r="S19" s="7">
        <v>2</v>
      </c>
      <c r="T19" s="8">
        <v>2</v>
      </c>
      <c r="U19" s="9">
        <v>224</v>
      </c>
      <c r="V19" s="6">
        <v>0.50915997999999996</v>
      </c>
      <c r="W19" s="7">
        <v>4.1666001000000003E-4</v>
      </c>
      <c r="X19" s="8">
        <v>4.1666001000000003E-4</v>
      </c>
      <c r="Y19" s="9">
        <v>4.6665999999999999E-2</v>
      </c>
      <c r="Z19" s="6">
        <v>0.82393998000000002</v>
      </c>
      <c r="AA19" s="7">
        <v>4.1666001000000003E-4</v>
      </c>
      <c r="AB19" s="8">
        <v>4.1666001000000003E-4</v>
      </c>
      <c r="AC19" s="9">
        <v>6.6665001000000002E-2</v>
      </c>
      <c r="AD19" s="6">
        <v>1.4098001</v>
      </c>
      <c r="AE19" s="7">
        <v>41.289000999999999</v>
      </c>
      <c r="AF19" s="8">
        <v>41.289000999999999</v>
      </c>
      <c r="AG19" s="9">
        <v>3.2117</v>
      </c>
      <c r="AH19" s="6">
        <v>0.10185</v>
      </c>
      <c r="AI19" s="7"/>
      <c r="AJ19" s="8"/>
      <c r="AK19" s="9">
        <v>9.4177998999999998E-2</v>
      </c>
      <c r="AL19" s="3">
        <f>IF(ISNUMBER(BurstIgor14[[#This Row],[BurstNum_spont]]), IF(ISNUMBER(SpontLength_min), BurstIgor14[[#This Row],[BurstNum_spont]]/SpontLength_min*60, "Enter Length"), "Enter Burst Vals")</f>
        <v>486.48648648648651</v>
      </c>
      <c r="AM1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9" s="11" t="str" cm="1">
        <f t="array" ref="AN19">IF(ISNUMBER(BurstIgor14[[#This Row],[BurstNum_temp2]]), IF(ISNUMBER(Temp2_length), BurstIgor14[[#This Row],[BurstNum_temp2]]/Temp2_length*60, "Enter Length"), "Enter Burst Vals")</f>
        <v>Enter Length</v>
      </c>
      <c r="AO19" s="12" t="str" cm="1">
        <f t="array" ref="AO19">IF(ISNUMBER(BurstIgor14[[#This Row],[BurstNum_temp3]]), IF(ISNUMBER(Temp3_length), BurstIgor14[[#This Row],[BurstNum_temp3]]/Temp3_length*60, "Enter Length"), "Enter Burst Vals")</f>
        <v>Enter Length</v>
      </c>
      <c r="AQ19" s="1">
        <v>0.17</v>
      </c>
      <c r="AR19" s="3">
        <v>600</v>
      </c>
      <c r="AS19" s="3">
        <v>0.15464</v>
      </c>
      <c r="AT19" s="3">
        <v>2.5183000999999998</v>
      </c>
      <c r="AU19" s="3">
        <v>0.125</v>
      </c>
      <c r="AV19" s="3">
        <v>2444</v>
      </c>
      <c r="AW19" s="3">
        <v>0.50915997999999996</v>
      </c>
      <c r="AX19" s="3">
        <v>0.82393998000000002</v>
      </c>
      <c r="AY19" s="3">
        <v>1.4098001</v>
      </c>
      <c r="AZ19" s="3">
        <v>0.10185</v>
      </c>
      <c r="BA19" s="3">
        <v>486.48648648648651</v>
      </c>
      <c r="BC19" s="1">
        <v>0.17</v>
      </c>
      <c r="BD19" s="10">
        <v>0</v>
      </c>
      <c r="BE19" s="10">
        <v>0</v>
      </c>
      <c r="BF19" s="10">
        <v>0</v>
      </c>
      <c r="BG19" s="10">
        <v>0</v>
      </c>
      <c r="BH19" s="10">
        <v>2</v>
      </c>
      <c r="BI19" s="10">
        <v>4.1666001000000003E-4</v>
      </c>
      <c r="BJ19" s="10">
        <v>4.1666001000000003E-4</v>
      </c>
      <c r="BK19" s="10">
        <v>41.289000999999999</v>
      </c>
      <c r="BL19" s="10">
        <v>0</v>
      </c>
      <c r="BM19" s="10" t="str">
        <v>NA</v>
      </c>
      <c r="BO19" s="1">
        <v>0.17</v>
      </c>
      <c r="BP19" s="11">
        <v>0</v>
      </c>
      <c r="BQ19" s="11">
        <v>0</v>
      </c>
      <c r="BR19" s="11">
        <v>0</v>
      </c>
      <c r="BS19" s="11">
        <v>0</v>
      </c>
      <c r="BT19" s="11">
        <v>2</v>
      </c>
      <c r="BU19" s="11">
        <v>4.1666001000000003E-4</v>
      </c>
      <c r="BV19" s="11">
        <v>4.1666001000000003E-4</v>
      </c>
      <c r="BW19" s="11">
        <v>41.289000999999999</v>
      </c>
      <c r="BX19" s="11">
        <v>0</v>
      </c>
      <c r="BY19" s="11" t="str">
        <v>Enter Length</v>
      </c>
    </row>
    <row r="20" spans="1:77" x14ac:dyDescent="0.2">
      <c r="A20" s="1">
        <v>0.18</v>
      </c>
      <c r="B20" s="6">
        <v>624</v>
      </c>
      <c r="C20" s="7">
        <v>0</v>
      </c>
      <c r="D20" s="8">
        <v>0</v>
      </c>
      <c r="E20" s="9">
        <v>40</v>
      </c>
      <c r="F20" s="6">
        <v>0.16525000000000001</v>
      </c>
      <c r="G20" s="7"/>
      <c r="H20" s="8"/>
      <c r="I20" s="9">
        <v>0.14713999999999999</v>
      </c>
      <c r="J20" s="6">
        <v>2.5545000999999998</v>
      </c>
      <c r="K20" s="7">
        <v>0</v>
      </c>
      <c r="L20" s="8">
        <v>0</v>
      </c>
      <c r="M20" s="9">
        <v>2.5</v>
      </c>
      <c r="N20" s="6">
        <v>0.13</v>
      </c>
      <c r="O20" s="7"/>
      <c r="P20" s="8"/>
      <c r="Q20" s="9">
        <v>8.3331997000000001E-3</v>
      </c>
      <c r="R20" s="6">
        <v>2361</v>
      </c>
      <c r="S20" s="7">
        <v>2</v>
      </c>
      <c r="T20" s="8">
        <v>2</v>
      </c>
      <c r="U20" s="9">
        <v>220</v>
      </c>
      <c r="V20" s="6">
        <v>0.49186000000000002</v>
      </c>
      <c r="W20" s="7">
        <v>4.1666001000000003E-4</v>
      </c>
      <c r="X20" s="8">
        <v>4.1666001000000003E-4</v>
      </c>
      <c r="Y20" s="9">
        <v>4.5832000999999997E-2</v>
      </c>
      <c r="Z20" s="6">
        <v>0.82393998000000002</v>
      </c>
      <c r="AA20" s="7">
        <v>4.1666001000000003E-4</v>
      </c>
      <c r="AB20" s="8">
        <v>4.1666001000000003E-4</v>
      </c>
      <c r="AC20" s="9">
        <v>6.6665001000000002E-2</v>
      </c>
      <c r="AD20" s="6">
        <v>1.4341999999999999</v>
      </c>
      <c r="AE20" s="7">
        <v>41.289000999999999</v>
      </c>
      <c r="AF20" s="8">
        <v>41.289000999999999</v>
      </c>
      <c r="AG20" s="9">
        <v>3.2469001</v>
      </c>
      <c r="AH20" s="6">
        <v>0.10630000000000001</v>
      </c>
      <c r="AI20" s="7"/>
      <c r="AJ20" s="8"/>
      <c r="AK20" s="9">
        <v>9.8091997E-2</v>
      </c>
      <c r="AL20" s="3">
        <f>IF(ISNUMBER(BurstIgor14[[#This Row],[BurstNum_spont]]), IF(ISNUMBER(SpontLength_min), BurstIgor14[[#This Row],[BurstNum_spont]]/SpontLength_min*60, "Enter Length"), "Enter Burst Vals")</f>
        <v>505.94594594594588</v>
      </c>
      <c r="AM2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0" s="11" t="str" cm="1">
        <f t="array" ref="AN20">IF(ISNUMBER(BurstIgor14[[#This Row],[BurstNum_temp2]]), IF(ISNUMBER(Temp2_length), BurstIgor14[[#This Row],[BurstNum_temp2]]/Temp2_length*60, "Enter Length"), "Enter Burst Vals")</f>
        <v>Enter Length</v>
      </c>
      <c r="AO20" s="12" t="str" cm="1">
        <f t="array" ref="AO20">IF(ISNUMBER(BurstIgor14[[#This Row],[BurstNum_temp3]]), IF(ISNUMBER(Temp3_length), BurstIgor14[[#This Row],[BurstNum_temp3]]/Temp3_length*60, "Enter Length"), "Enter Burst Vals")</f>
        <v>Enter Length</v>
      </c>
      <c r="AQ20" s="1">
        <v>0.18</v>
      </c>
      <c r="AR20" s="3">
        <v>624</v>
      </c>
      <c r="AS20" s="3">
        <v>0.16525000000000001</v>
      </c>
      <c r="AT20" s="3">
        <v>2.5545000999999998</v>
      </c>
      <c r="AU20" s="3">
        <v>0.13</v>
      </c>
      <c r="AV20" s="3">
        <v>2361</v>
      </c>
      <c r="AW20" s="3">
        <v>0.49186000000000002</v>
      </c>
      <c r="AX20" s="3">
        <v>0.82393998000000002</v>
      </c>
      <c r="AY20" s="3">
        <v>1.4341999999999999</v>
      </c>
      <c r="AZ20" s="3">
        <v>0.10630000000000001</v>
      </c>
      <c r="BA20" s="3">
        <v>505.94594594594588</v>
      </c>
      <c r="BC20" s="1">
        <v>0.18</v>
      </c>
      <c r="BD20" s="10">
        <v>0</v>
      </c>
      <c r="BE20" s="10">
        <v>0</v>
      </c>
      <c r="BF20" s="10">
        <v>0</v>
      </c>
      <c r="BG20" s="10">
        <v>0</v>
      </c>
      <c r="BH20" s="10">
        <v>2</v>
      </c>
      <c r="BI20" s="10">
        <v>4.1666001000000003E-4</v>
      </c>
      <c r="BJ20" s="10">
        <v>4.1666001000000003E-4</v>
      </c>
      <c r="BK20" s="10">
        <v>41.289000999999999</v>
      </c>
      <c r="BL20" s="10">
        <v>0</v>
      </c>
      <c r="BM20" s="10" t="str">
        <v>NA</v>
      </c>
      <c r="BO20" s="1">
        <v>0.18</v>
      </c>
      <c r="BP20" s="11">
        <v>0</v>
      </c>
      <c r="BQ20" s="11">
        <v>0</v>
      </c>
      <c r="BR20" s="11">
        <v>0</v>
      </c>
      <c r="BS20" s="11">
        <v>0</v>
      </c>
      <c r="BT20" s="11">
        <v>2</v>
      </c>
      <c r="BU20" s="11">
        <v>4.1666001000000003E-4</v>
      </c>
      <c r="BV20" s="11">
        <v>4.1666001000000003E-4</v>
      </c>
      <c r="BW20" s="11">
        <v>41.289000999999999</v>
      </c>
      <c r="BX20" s="11">
        <v>0</v>
      </c>
      <c r="BY20" s="11" t="str">
        <v>Enter Length</v>
      </c>
    </row>
    <row r="21" spans="1:77" x14ac:dyDescent="0.2">
      <c r="A21" s="1">
        <v>0.19</v>
      </c>
      <c r="B21" s="6">
        <v>652</v>
      </c>
      <c r="C21" s="7">
        <v>0</v>
      </c>
      <c r="D21" s="8">
        <v>0</v>
      </c>
      <c r="E21" s="9">
        <v>41</v>
      </c>
      <c r="F21" s="6">
        <v>0.17630999999999999</v>
      </c>
      <c r="G21" s="7"/>
      <c r="H21" s="8"/>
      <c r="I21" s="9">
        <v>0.15256998999999999</v>
      </c>
      <c r="J21" s="6">
        <v>2.5859000999999999</v>
      </c>
      <c r="K21" s="7">
        <v>0</v>
      </c>
      <c r="L21" s="8">
        <v>0</v>
      </c>
      <c r="M21" s="9">
        <v>2.5122000999999998</v>
      </c>
      <c r="N21" s="6">
        <v>0.13583000000000001</v>
      </c>
      <c r="O21" s="7"/>
      <c r="P21" s="8"/>
      <c r="Q21" s="9">
        <v>8.5415001999999997E-3</v>
      </c>
      <c r="R21" s="6">
        <v>2269</v>
      </c>
      <c r="S21" s="7">
        <v>2</v>
      </c>
      <c r="T21" s="8">
        <v>2</v>
      </c>
      <c r="U21" s="9">
        <v>217</v>
      </c>
      <c r="V21" s="6">
        <v>0.47270000000000001</v>
      </c>
      <c r="W21" s="7">
        <v>4.1666001000000003E-4</v>
      </c>
      <c r="X21" s="8">
        <v>4.1666001000000003E-4</v>
      </c>
      <c r="Y21" s="9">
        <v>4.5207000999999997E-2</v>
      </c>
      <c r="Z21" s="6">
        <v>0.82393998000000002</v>
      </c>
      <c r="AA21" s="7">
        <v>4.1666001000000003E-4</v>
      </c>
      <c r="AB21" s="8">
        <v>4.1666001000000003E-4</v>
      </c>
      <c r="AC21" s="9">
        <v>6.6665001000000002E-2</v>
      </c>
      <c r="AD21" s="6">
        <v>1.4615999</v>
      </c>
      <c r="AE21" s="7">
        <v>41.289000999999999</v>
      </c>
      <c r="AF21" s="8">
        <v>41.289000999999999</v>
      </c>
      <c r="AG21" s="9">
        <v>3.2708001000000002</v>
      </c>
      <c r="AH21" s="6">
        <v>0.11117</v>
      </c>
      <c r="AI21" s="7"/>
      <c r="AJ21" s="8"/>
      <c r="AK21" s="9">
        <v>0.10088999999999999</v>
      </c>
      <c r="AL21" s="3">
        <f>IF(ISNUMBER(BurstIgor14[[#This Row],[BurstNum_spont]]), IF(ISNUMBER(SpontLength_min), BurstIgor14[[#This Row],[BurstNum_spont]]/SpontLength_min*60, "Enter Length"), "Enter Burst Vals")</f>
        <v>528.64864864864865</v>
      </c>
      <c r="AM2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1" s="11" t="str" cm="1">
        <f t="array" ref="AN21">IF(ISNUMBER(BurstIgor14[[#This Row],[BurstNum_temp2]]), IF(ISNUMBER(Temp2_length), BurstIgor14[[#This Row],[BurstNum_temp2]]/Temp2_length*60, "Enter Length"), "Enter Burst Vals")</f>
        <v>Enter Length</v>
      </c>
      <c r="AO21" s="12" t="str" cm="1">
        <f t="array" ref="AO21">IF(ISNUMBER(BurstIgor14[[#This Row],[BurstNum_temp3]]), IF(ISNUMBER(Temp3_length), BurstIgor14[[#This Row],[BurstNum_temp3]]/Temp3_length*60, "Enter Length"), "Enter Burst Vals")</f>
        <v>Enter Length</v>
      </c>
      <c r="AQ21" s="1">
        <v>0.19</v>
      </c>
      <c r="AR21" s="3">
        <v>652</v>
      </c>
      <c r="AS21" s="3">
        <v>0.17630999999999999</v>
      </c>
      <c r="AT21" s="3">
        <v>2.5859000999999999</v>
      </c>
      <c r="AU21" s="3">
        <v>0.13583000000000001</v>
      </c>
      <c r="AV21" s="3">
        <v>2269</v>
      </c>
      <c r="AW21" s="3">
        <v>0.47270000000000001</v>
      </c>
      <c r="AX21" s="3">
        <v>0.82393998000000002</v>
      </c>
      <c r="AY21" s="3">
        <v>1.4615999</v>
      </c>
      <c r="AZ21" s="3">
        <v>0.11117</v>
      </c>
      <c r="BA21" s="3">
        <v>528.64864864864865</v>
      </c>
      <c r="BC21" s="1">
        <v>0.19</v>
      </c>
      <c r="BD21" s="10">
        <v>0</v>
      </c>
      <c r="BE21" s="10">
        <v>0</v>
      </c>
      <c r="BF21" s="10">
        <v>0</v>
      </c>
      <c r="BG21" s="10">
        <v>0</v>
      </c>
      <c r="BH21" s="10">
        <v>2</v>
      </c>
      <c r="BI21" s="10">
        <v>4.1666001000000003E-4</v>
      </c>
      <c r="BJ21" s="10">
        <v>4.1666001000000003E-4</v>
      </c>
      <c r="BK21" s="10">
        <v>41.289000999999999</v>
      </c>
      <c r="BL21" s="10">
        <v>0</v>
      </c>
      <c r="BM21" s="10" t="str">
        <v>NA</v>
      </c>
      <c r="BO21" s="1">
        <v>0.19</v>
      </c>
      <c r="BP21" s="11">
        <v>0</v>
      </c>
      <c r="BQ21" s="11">
        <v>0</v>
      </c>
      <c r="BR21" s="11">
        <v>0</v>
      </c>
      <c r="BS21" s="11">
        <v>0</v>
      </c>
      <c r="BT21" s="11">
        <v>2</v>
      </c>
      <c r="BU21" s="11">
        <v>4.1666001000000003E-4</v>
      </c>
      <c r="BV21" s="11">
        <v>4.1666001000000003E-4</v>
      </c>
      <c r="BW21" s="11">
        <v>41.289000999999999</v>
      </c>
      <c r="BX21" s="11">
        <v>0</v>
      </c>
      <c r="BY21" s="11" t="str">
        <v>Enter Length</v>
      </c>
    </row>
    <row r="22" spans="1:77" x14ac:dyDescent="0.2">
      <c r="A22" s="1">
        <v>0.2</v>
      </c>
      <c r="B22" s="6">
        <v>666</v>
      </c>
      <c r="C22" s="7">
        <v>0</v>
      </c>
      <c r="D22" s="8">
        <v>0</v>
      </c>
      <c r="E22" s="9">
        <v>41</v>
      </c>
      <c r="F22" s="6">
        <v>0.18434</v>
      </c>
      <c r="G22" s="7"/>
      <c r="H22" s="8"/>
      <c r="I22" s="9">
        <v>0.15729000000000001</v>
      </c>
      <c r="J22" s="6">
        <v>2.6126000999999999</v>
      </c>
      <c r="K22" s="7">
        <v>0</v>
      </c>
      <c r="L22" s="8">
        <v>0</v>
      </c>
      <c r="M22" s="9">
        <v>2.5366000999999998</v>
      </c>
      <c r="N22" s="6">
        <v>0.13875000000000001</v>
      </c>
      <c r="O22" s="7"/>
      <c r="P22" s="8"/>
      <c r="Q22" s="9">
        <v>8.5415001999999997E-3</v>
      </c>
      <c r="R22" s="6">
        <v>2215</v>
      </c>
      <c r="S22" s="7">
        <v>2</v>
      </c>
      <c r="T22" s="8">
        <v>2</v>
      </c>
      <c r="U22" s="9">
        <v>216</v>
      </c>
      <c r="V22" s="6">
        <v>0.46145001000000002</v>
      </c>
      <c r="W22" s="7">
        <v>4.1666001000000003E-4</v>
      </c>
      <c r="X22" s="8">
        <v>4.1666001000000003E-4</v>
      </c>
      <c r="Y22" s="9">
        <v>4.4998999999999997E-2</v>
      </c>
      <c r="Z22" s="6">
        <v>0.82393998000000002</v>
      </c>
      <c r="AA22" s="7">
        <v>4.1666001000000003E-4</v>
      </c>
      <c r="AB22" s="8">
        <v>4.1666001000000003E-4</v>
      </c>
      <c r="AC22" s="9">
        <v>6.6665001000000002E-2</v>
      </c>
      <c r="AD22" s="6">
        <v>1.4792000000000001</v>
      </c>
      <c r="AE22" s="7">
        <v>41.289000999999999</v>
      </c>
      <c r="AF22" s="8">
        <v>41.289000999999999</v>
      </c>
      <c r="AG22" s="9">
        <v>3.2827999999999999</v>
      </c>
      <c r="AH22" s="6">
        <v>0.11430999999999999</v>
      </c>
      <c r="AI22" s="7"/>
      <c r="AJ22" s="8"/>
      <c r="AK22" s="9">
        <v>0.10236000000000001</v>
      </c>
      <c r="AL22" s="3">
        <f>IF(ISNUMBER(BurstIgor14[[#This Row],[BurstNum_spont]]), IF(ISNUMBER(SpontLength_min), BurstIgor14[[#This Row],[BurstNum_spont]]/SpontLength_min*60, "Enter Length"), "Enter Burst Vals")</f>
        <v>540</v>
      </c>
      <c r="AM2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2" s="11" t="str" cm="1">
        <f t="array" ref="AN22">IF(ISNUMBER(BurstIgor14[[#This Row],[BurstNum_temp2]]), IF(ISNUMBER(Temp2_length), BurstIgor14[[#This Row],[BurstNum_temp2]]/Temp2_length*60, "Enter Length"), "Enter Burst Vals")</f>
        <v>Enter Length</v>
      </c>
      <c r="AO22" s="12" t="str" cm="1">
        <f t="array" ref="AO22">IF(ISNUMBER(BurstIgor14[[#This Row],[BurstNum_temp3]]), IF(ISNUMBER(Temp3_length), BurstIgor14[[#This Row],[BurstNum_temp3]]/Temp3_length*60, "Enter Length"), "Enter Burst Vals")</f>
        <v>Enter Length</v>
      </c>
      <c r="AQ22" s="1">
        <v>0.2</v>
      </c>
      <c r="AR22" s="3">
        <v>666</v>
      </c>
      <c r="AS22" s="3">
        <v>0.18434</v>
      </c>
      <c r="AT22" s="3">
        <v>2.6126000999999999</v>
      </c>
      <c r="AU22" s="3">
        <v>0.13875000000000001</v>
      </c>
      <c r="AV22" s="3">
        <v>2215</v>
      </c>
      <c r="AW22" s="3">
        <v>0.46145001000000002</v>
      </c>
      <c r="AX22" s="3">
        <v>0.82393998000000002</v>
      </c>
      <c r="AY22" s="3">
        <v>1.4792000000000001</v>
      </c>
      <c r="AZ22" s="3">
        <v>0.11430999999999999</v>
      </c>
      <c r="BA22" s="3">
        <v>540</v>
      </c>
      <c r="BC22" s="1">
        <v>0.2</v>
      </c>
      <c r="BD22" s="10">
        <v>0</v>
      </c>
      <c r="BE22" s="10">
        <v>0</v>
      </c>
      <c r="BF22" s="10">
        <v>0</v>
      </c>
      <c r="BG22" s="10">
        <v>0</v>
      </c>
      <c r="BH22" s="10">
        <v>2</v>
      </c>
      <c r="BI22" s="10">
        <v>4.1666001000000003E-4</v>
      </c>
      <c r="BJ22" s="10">
        <v>4.1666001000000003E-4</v>
      </c>
      <c r="BK22" s="10">
        <v>41.289000999999999</v>
      </c>
      <c r="BL22" s="10">
        <v>0</v>
      </c>
      <c r="BM22" s="10" t="str">
        <v>NA</v>
      </c>
      <c r="BO22" s="1">
        <v>0.2</v>
      </c>
      <c r="BP22" s="11">
        <v>0</v>
      </c>
      <c r="BQ22" s="11">
        <v>0</v>
      </c>
      <c r="BR22" s="11">
        <v>0</v>
      </c>
      <c r="BS22" s="11">
        <v>0</v>
      </c>
      <c r="BT22" s="11">
        <v>2</v>
      </c>
      <c r="BU22" s="11">
        <v>4.1666001000000003E-4</v>
      </c>
      <c r="BV22" s="11">
        <v>4.1666001000000003E-4</v>
      </c>
      <c r="BW22" s="11">
        <v>41.289000999999999</v>
      </c>
      <c r="BX22" s="11">
        <v>0</v>
      </c>
      <c r="BY22" s="11" t="str">
        <v>Enter Length</v>
      </c>
    </row>
    <row r="23" spans="1:77" x14ac:dyDescent="0.2">
      <c r="A23" s="1">
        <v>0.21</v>
      </c>
      <c r="B23" s="6">
        <v>704</v>
      </c>
      <c r="C23" s="7">
        <v>0</v>
      </c>
      <c r="D23" s="8">
        <v>0</v>
      </c>
      <c r="E23" s="9">
        <v>44</v>
      </c>
      <c r="F23" s="6">
        <v>0.19484000000000001</v>
      </c>
      <c r="G23" s="7"/>
      <c r="H23" s="8"/>
      <c r="I23" s="9">
        <v>0.16525999999999999</v>
      </c>
      <c r="J23" s="6">
        <v>2.625</v>
      </c>
      <c r="K23" s="7">
        <v>0</v>
      </c>
      <c r="L23" s="8">
        <v>0</v>
      </c>
      <c r="M23" s="9">
        <v>2.5227000999999998</v>
      </c>
      <c r="N23" s="6">
        <v>0.14666000000000001</v>
      </c>
      <c r="O23" s="7"/>
      <c r="P23" s="8"/>
      <c r="Q23" s="9">
        <v>9.1664995999999992E-3</v>
      </c>
      <c r="R23" s="6">
        <v>2107</v>
      </c>
      <c r="S23" s="7">
        <v>2</v>
      </c>
      <c r="T23" s="8">
        <v>2</v>
      </c>
      <c r="U23" s="9">
        <v>209</v>
      </c>
      <c r="V23" s="6">
        <v>0.43895000000000001</v>
      </c>
      <c r="W23" s="7">
        <v>4.1666001000000003E-4</v>
      </c>
      <c r="X23" s="8">
        <v>4.1666001000000003E-4</v>
      </c>
      <c r="Y23" s="9">
        <v>4.3540998999999997E-2</v>
      </c>
      <c r="Z23" s="6">
        <v>0.82393998000000002</v>
      </c>
      <c r="AA23" s="7">
        <v>4.1666001000000003E-4</v>
      </c>
      <c r="AB23" s="8">
        <v>4.1666001000000003E-4</v>
      </c>
      <c r="AC23" s="9">
        <v>6.6665001000000002E-2</v>
      </c>
      <c r="AD23" s="6">
        <v>1.5108999999999999</v>
      </c>
      <c r="AE23" s="7">
        <v>41.289000999999999</v>
      </c>
      <c r="AF23" s="8">
        <v>41.289000999999999</v>
      </c>
      <c r="AG23" s="9">
        <v>3.3315999999999999</v>
      </c>
      <c r="AH23" s="6">
        <v>0.11990000000000001</v>
      </c>
      <c r="AI23" s="7"/>
      <c r="AJ23" s="8"/>
      <c r="AK23" s="9">
        <v>0.10853</v>
      </c>
      <c r="AL23" s="3">
        <f>IF(ISNUMBER(BurstIgor14[[#This Row],[BurstNum_spont]]), IF(ISNUMBER(SpontLength_min), BurstIgor14[[#This Row],[BurstNum_spont]]/SpontLength_min*60, "Enter Length"), "Enter Burst Vals")</f>
        <v>570.81081081081084</v>
      </c>
      <c r="AM2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3" s="11" t="str" cm="1">
        <f t="array" ref="AN23">IF(ISNUMBER(BurstIgor14[[#This Row],[BurstNum_temp2]]), IF(ISNUMBER(Temp2_length), BurstIgor14[[#This Row],[BurstNum_temp2]]/Temp2_length*60, "Enter Length"), "Enter Burst Vals")</f>
        <v>Enter Length</v>
      </c>
      <c r="AO23" s="12" t="str" cm="1">
        <f t="array" ref="AO23">IF(ISNUMBER(BurstIgor14[[#This Row],[BurstNum_temp3]]), IF(ISNUMBER(Temp3_length), BurstIgor14[[#This Row],[BurstNum_temp3]]/Temp3_length*60, "Enter Length"), "Enter Burst Vals")</f>
        <v>Enter Length</v>
      </c>
      <c r="AQ23" s="1">
        <v>0.21</v>
      </c>
      <c r="AR23" s="3">
        <v>704</v>
      </c>
      <c r="AS23" s="3">
        <v>0.19484000000000001</v>
      </c>
      <c r="AT23" s="3">
        <v>2.625</v>
      </c>
      <c r="AU23" s="3">
        <v>0.14666000000000001</v>
      </c>
      <c r="AV23" s="3">
        <v>2107</v>
      </c>
      <c r="AW23" s="3">
        <v>0.43895000000000001</v>
      </c>
      <c r="AX23" s="3">
        <v>0.82393998000000002</v>
      </c>
      <c r="AY23" s="3">
        <v>1.5108999999999999</v>
      </c>
      <c r="AZ23" s="3">
        <v>0.11990000000000001</v>
      </c>
      <c r="BA23" s="3">
        <v>570.81081081081084</v>
      </c>
      <c r="BC23" s="1">
        <v>0.21</v>
      </c>
      <c r="BD23" s="10">
        <v>0</v>
      </c>
      <c r="BE23" s="10">
        <v>0</v>
      </c>
      <c r="BF23" s="10">
        <v>0</v>
      </c>
      <c r="BG23" s="10">
        <v>0</v>
      </c>
      <c r="BH23" s="10">
        <v>2</v>
      </c>
      <c r="BI23" s="10">
        <v>4.1666001000000003E-4</v>
      </c>
      <c r="BJ23" s="10">
        <v>4.1666001000000003E-4</v>
      </c>
      <c r="BK23" s="10">
        <v>41.289000999999999</v>
      </c>
      <c r="BL23" s="10">
        <v>0</v>
      </c>
      <c r="BM23" s="10" t="str">
        <v>NA</v>
      </c>
      <c r="BO23" s="1">
        <v>0.21</v>
      </c>
      <c r="BP23" s="11">
        <v>0</v>
      </c>
      <c r="BQ23" s="11">
        <v>0</v>
      </c>
      <c r="BR23" s="11">
        <v>0</v>
      </c>
      <c r="BS23" s="11">
        <v>0</v>
      </c>
      <c r="BT23" s="11">
        <v>2</v>
      </c>
      <c r="BU23" s="11">
        <v>4.1666001000000003E-4</v>
      </c>
      <c r="BV23" s="11">
        <v>4.1666001000000003E-4</v>
      </c>
      <c r="BW23" s="11">
        <v>41.289000999999999</v>
      </c>
      <c r="BX23" s="11">
        <v>0</v>
      </c>
      <c r="BY23" s="11" t="str">
        <v>Enter Length</v>
      </c>
    </row>
    <row r="24" spans="1:77" x14ac:dyDescent="0.2">
      <c r="A24" s="1">
        <v>0.22</v>
      </c>
      <c r="B24" s="6">
        <v>716</v>
      </c>
      <c r="C24" s="7">
        <v>0</v>
      </c>
      <c r="D24" s="8">
        <v>0</v>
      </c>
      <c r="E24" s="9">
        <v>44</v>
      </c>
      <c r="F24" s="6">
        <v>0.20991001000000001</v>
      </c>
      <c r="G24" s="7"/>
      <c r="H24" s="8"/>
      <c r="I24" s="9">
        <v>0.17015</v>
      </c>
      <c r="J24" s="6">
        <v>2.6830001000000001</v>
      </c>
      <c r="K24" s="7">
        <v>0</v>
      </c>
      <c r="L24" s="8">
        <v>0</v>
      </c>
      <c r="M24" s="9">
        <v>2.5455000000000001</v>
      </c>
      <c r="N24" s="6">
        <v>0.14915999999999999</v>
      </c>
      <c r="O24" s="7"/>
      <c r="P24" s="8"/>
      <c r="Q24" s="9">
        <v>9.1664995999999992E-3</v>
      </c>
      <c r="R24" s="6">
        <v>2034</v>
      </c>
      <c r="S24" s="7">
        <v>2</v>
      </c>
      <c r="T24" s="8">
        <v>2</v>
      </c>
      <c r="U24" s="9">
        <v>208</v>
      </c>
      <c r="V24" s="6">
        <v>0.42374000000000001</v>
      </c>
      <c r="W24" s="7">
        <v>4.1666001000000003E-4</v>
      </c>
      <c r="X24" s="8">
        <v>4.1666001000000003E-4</v>
      </c>
      <c r="Y24" s="9">
        <v>4.3331999000000003E-2</v>
      </c>
      <c r="Z24" s="6">
        <v>0.82393998000000002</v>
      </c>
      <c r="AA24" s="7">
        <v>4.1666001000000003E-4</v>
      </c>
      <c r="AB24" s="8">
        <v>4.1666001000000003E-4</v>
      </c>
      <c r="AC24" s="9">
        <v>6.6665001000000002E-2</v>
      </c>
      <c r="AD24" s="6">
        <v>1.5397000000000001</v>
      </c>
      <c r="AE24" s="7">
        <v>41.289000999999999</v>
      </c>
      <c r="AF24" s="8">
        <v>41.289000999999999</v>
      </c>
      <c r="AG24" s="9">
        <v>3.3441000000000001</v>
      </c>
      <c r="AH24" s="6">
        <v>0.12472999999999999</v>
      </c>
      <c r="AI24" s="7"/>
      <c r="AJ24" s="8"/>
      <c r="AK24" s="9">
        <v>0.1101</v>
      </c>
      <c r="AL24" s="3">
        <f>IF(ISNUMBER(BurstIgor14[[#This Row],[BurstNum_spont]]), IF(ISNUMBER(SpontLength_min), BurstIgor14[[#This Row],[BurstNum_spont]]/SpontLength_min*60, "Enter Length"), "Enter Burst Vals")</f>
        <v>580.54054054054052</v>
      </c>
      <c r="AM2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4" s="11" t="str" cm="1">
        <f t="array" ref="AN24">IF(ISNUMBER(BurstIgor14[[#This Row],[BurstNum_temp2]]), IF(ISNUMBER(Temp2_length), BurstIgor14[[#This Row],[BurstNum_temp2]]/Temp2_length*60, "Enter Length"), "Enter Burst Vals")</f>
        <v>Enter Length</v>
      </c>
      <c r="AO24" s="12" t="str" cm="1">
        <f t="array" ref="AO24">IF(ISNUMBER(BurstIgor14[[#This Row],[BurstNum_temp3]]), IF(ISNUMBER(Temp3_length), BurstIgor14[[#This Row],[BurstNum_temp3]]/Temp3_length*60, "Enter Length"), "Enter Burst Vals")</f>
        <v>Enter Length</v>
      </c>
      <c r="AQ24" s="1">
        <v>0.22</v>
      </c>
      <c r="AR24" s="3">
        <v>716</v>
      </c>
      <c r="AS24" s="3">
        <v>0.20991001000000001</v>
      </c>
      <c r="AT24" s="3">
        <v>2.6830001000000001</v>
      </c>
      <c r="AU24" s="3">
        <v>0.14915999999999999</v>
      </c>
      <c r="AV24" s="3">
        <v>2034</v>
      </c>
      <c r="AW24" s="3">
        <v>0.42374000000000001</v>
      </c>
      <c r="AX24" s="3">
        <v>0.82393998000000002</v>
      </c>
      <c r="AY24" s="3">
        <v>1.5397000000000001</v>
      </c>
      <c r="AZ24" s="3">
        <v>0.12472999999999999</v>
      </c>
      <c r="BA24" s="3">
        <v>580.54054054054052</v>
      </c>
      <c r="BC24" s="1">
        <v>0.22</v>
      </c>
      <c r="BD24" s="10">
        <v>0</v>
      </c>
      <c r="BE24" s="10">
        <v>0</v>
      </c>
      <c r="BF24" s="10">
        <v>0</v>
      </c>
      <c r="BG24" s="10">
        <v>0</v>
      </c>
      <c r="BH24" s="10">
        <v>2</v>
      </c>
      <c r="BI24" s="10">
        <v>4.1666001000000003E-4</v>
      </c>
      <c r="BJ24" s="10">
        <v>4.1666001000000003E-4</v>
      </c>
      <c r="BK24" s="10">
        <v>41.289000999999999</v>
      </c>
      <c r="BL24" s="10">
        <v>0</v>
      </c>
      <c r="BM24" s="10" t="str">
        <v>NA</v>
      </c>
      <c r="BO24" s="1">
        <v>0.22</v>
      </c>
      <c r="BP24" s="11">
        <v>0</v>
      </c>
      <c r="BQ24" s="11">
        <v>0</v>
      </c>
      <c r="BR24" s="11">
        <v>0</v>
      </c>
      <c r="BS24" s="11">
        <v>0</v>
      </c>
      <c r="BT24" s="11">
        <v>2</v>
      </c>
      <c r="BU24" s="11">
        <v>4.1666001000000003E-4</v>
      </c>
      <c r="BV24" s="11">
        <v>4.1666001000000003E-4</v>
      </c>
      <c r="BW24" s="11">
        <v>41.289000999999999</v>
      </c>
      <c r="BX24" s="11">
        <v>0</v>
      </c>
      <c r="BY24" s="11" t="str">
        <v>Enter Length</v>
      </c>
    </row>
    <row r="25" spans="1:77" x14ac:dyDescent="0.2">
      <c r="A25" s="1">
        <v>0.23</v>
      </c>
      <c r="B25" s="6">
        <v>739</v>
      </c>
      <c r="C25" s="7">
        <v>0</v>
      </c>
      <c r="D25" s="8">
        <v>0</v>
      </c>
      <c r="E25" s="9">
        <v>45</v>
      </c>
      <c r="F25" s="6">
        <v>0.22075</v>
      </c>
      <c r="G25" s="7"/>
      <c r="H25" s="8"/>
      <c r="I25" s="9">
        <v>0.18126999999999999</v>
      </c>
      <c r="J25" s="6">
        <v>2.7077</v>
      </c>
      <c r="K25" s="7">
        <v>0</v>
      </c>
      <c r="L25" s="8">
        <v>0</v>
      </c>
      <c r="M25" s="9">
        <v>2.5777999999999999</v>
      </c>
      <c r="N25" s="6">
        <v>0.15396000000000001</v>
      </c>
      <c r="O25" s="7"/>
      <c r="P25" s="8"/>
      <c r="Q25" s="9">
        <v>9.3748001000000004E-3</v>
      </c>
      <c r="R25" s="6">
        <v>1954</v>
      </c>
      <c r="S25" s="7">
        <v>2</v>
      </c>
      <c r="T25" s="8">
        <v>2</v>
      </c>
      <c r="U25" s="9">
        <v>204</v>
      </c>
      <c r="V25" s="6">
        <v>0.40707000999999998</v>
      </c>
      <c r="W25" s="7">
        <v>4.1666001000000003E-4</v>
      </c>
      <c r="X25" s="8">
        <v>4.1666001000000003E-4</v>
      </c>
      <c r="Y25" s="9">
        <v>4.2498998000000003E-2</v>
      </c>
      <c r="Z25" s="6">
        <v>0.82393998000000002</v>
      </c>
      <c r="AA25" s="7">
        <v>4.1666001000000003E-4</v>
      </c>
      <c r="AB25" s="8">
        <v>4.1666001000000003E-4</v>
      </c>
      <c r="AC25" s="9">
        <v>6.6665001000000002E-2</v>
      </c>
      <c r="AD25" s="6">
        <v>1.5674999999999999</v>
      </c>
      <c r="AE25" s="7">
        <v>41.289000999999999</v>
      </c>
      <c r="AF25" s="8">
        <v>41.289000999999999</v>
      </c>
      <c r="AG25" s="9">
        <v>3.3817998999999999</v>
      </c>
      <c r="AH25" s="6">
        <v>0.12926000000000001</v>
      </c>
      <c r="AI25" s="7"/>
      <c r="AJ25" s="8"/>
      <c r="AK25" s="9">
        <v>0.11489000000000001</v>
      </c>
      <c r="AL25" s="3">
        <f>IF(ISNUMBER(BurstIgor14[[#This Row],[BurstNum_spont]]), IF(ISNUMBER(SpontLength_min), BurstIgor14[[#This Row],[BurstNum_spont]]/SpontLength_min*60, "Enter Length"), "Enter Burst Vals")</f>
        <v>599.18918918918916</v>
      </c>
      <c r="AM2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5" s="11" t="str" cm="1">
        <f t="array" ref="AN25">IF(ISNUMBER(BurstIgor14[[#This Row],[BurstNum_temp2]]), IF(ISNUMBER(Temp2_length), BurstIgor14[[#This Row],[BurstNum_temp2]]/Temp2_length*60, "Enter Length"), "Enter Burst Vals")</f>
        <v>Enter Length</v>
      </c>
      <c r="AO25" s="12" t="str" cm="1">
        <f t="array" ref="AO25">IF(ISNUMBER(BurstIgor14[[#This Row],[BurstNum_temp3]]), IF(ISNUMBER(Temp3_length), BurstIgor14[[#This Row],[BurstNum_temp3]]/Temp3_length*60, "Enter Length"), "Enter Burst Vals")</f>
        <v>Enter Length</v>
      </c>
      <c r="AQ25" s="1">
        <v>0.23</v>
      </c>
      <c r="AR25" s="3">
        <v>739</v>
      </c>
      <c r="AS25" s="3">
        <v>0.22075</v>
      </c>
      <c r="AT25" s="3">
        <v>2.7077</v>
      </c>
      <c r="AU25" s="3">
        <v>0.15396000000000001</v>
      </c>
      <c r="AV25" s="3">
        <v>1954</v>
      </c>
      <c r="AW25" s="3">
        <v>0.40707000999999998</v>
      </c>
      <c r="AX25" s="3">
        <v>0.82393998000000002</v>
      </c>
      <c r="AY25" s="3">
        <v>1.5674999999999999</v>
      </c>
      <c r="AZ25" s="3">
        <v>0.12926000000000001</v>
      </c>
      <c r="BA25" s="3">
        <v>599.18918918918916</v>
      </c>
      <c r="BC25" s="1">
        <v>0.23</v>
      </c>
      <c r="BD25" s="10">
        <v>0</v>
      </c>
      <c r="BE25" s="10">
        <v>0</v>
      </c>
      <c r="BF25" s="10">
        <v>0</v>
      </c>
      <c r="BG25" s="10">
        <v>0</v>
      </c>
      <c r="BH25" s="10">
        <v>2</v>
      </c>
      <c r="BI25" s="10">
        <v>4.1666001000000003E-4</v>
      </c>
      <c r="BJ25" s="10">
        <v>4.1666001000000003E-4</v>
      </c>
      <c r="BK25" s="10">
        <v>41.289000999999999</v>
      </c>
      <c r="BL25" s="10">
        <v>0</v>
      </c>
      <c r="BM25" s="10" t="str">
        <v>NA</v>
      </c>
      <c r="BO25" s="1">
        <v>0.23</v>
      </c>
      <c r="BP25" s="11">
        <v>0</v>
      </c>
      <c r="BQ25" s="11">
        <v>0</v>
      </c>
      <c r="BR25" s="11">
        <v>0</v>
      </c>
      <c r="BS25" s="11">
        <v>0</v>
      </c>
      <c r="BT25" s="11">
        <v>2</v>
      </c>
      <c r="BU25" s="11">
        <v>4.1666001000000003E-4</v>
      </c>
      <c r="BV25" s="11">
        <v>4.1666001000000003E-4</v>
      </c>
      <c r="BW25" s="11">
        <v>41.289000999999999</v>
      </c>
      <c r="BX25" s="11">
        <v>0</v>
      </c>
      <c r="BY25" s="11" t="str">
        <v>Enter Length</v>
      </c>
    </row>
    <row r="26" spans="1:77" x14ac:dyDescent="0.2">
      <c r="A26" s="1">
        <v>0.24</v>
      </c>
      <c r="B26" s="6">
        <v>753</v>
      </c>
      <c r="C26" s="7">
        <v>0</v>
      </c>
      <c r="D26" s="8">
        <v>0</v>
      </c>
      <c r="E26" s="9">
        <v>46</v>
      </c>
      <c r="F26" s="6">
        <v>0.22756999999999999</v>
      </c>
      <c r="G26" s="7"/>
      <c r="H26" s="8"/>
      <c r="I26" s="9">
        <v>0.18237001</v>
      </c>
      <c r="J26" s="6">
        <v>2.7223999999999999</v>
      </c>
      <c r="K26" s="7">
        <v>0</v>
      </c>
      <c r="L26" s="8">
        <v>0</v>
      </c>
      <c r="M26" s="9">
        <v>2.5652001000000002</v>
      </c>
      <c r="N26" s="6">
        <v>0.15686998999999999</v>
      </c>
      <c r="O26" s="7"/>
      <c r="P26" s="8"/>
      <c r="Q26" s="9">
        <v>9.5830997000000001E-3</v>
      </c>
      <c r="R26" s="6">
        <v>1905</v>
      </c>
      <c r="S26" s="7">
        <v>2</v>
      </c>
      <c r="T26" s="8">
        <v>2</v>
      </c>
      <c r="U26" s="9">
        <v>202</v>
      </c>
      <c r="V26" s="6">
        <v>0.39686999000000001</v>
      </c>
      <c r="W26" s="7">
        <v>4.1666001000000003E-4</v>
      </c>
      <c r="X26" s="8">
        <v>4.1666001000000003E-4</v>
      </c>
      <c r="Y26" s="9">
        <v>4.2082001000000001E-2</v>
      </c>
      <c r="Z26" s="6">
        <v>0.82393998000000002</v>
      </c>
      <c r="AA26" s="7">
        <v>4.1666001000000003E-4</v>
      </c>
      <c r="AB26" s="8">
        <v>4.1666001000000003E-4</v>
      </c>
      <c r="AC26" s="9">
        <v>6.6665001000000002E-2</v>
      </c>
      <c r="AD26" s="6">
        <v>1.585</v>
      </c>
      <c r="AE26" s="7">
        <v>41.289000999999999</v>
      </c>
      <c r="AF26" s="8">
        <v>41.289000999999999</v>
      </c>
      <c r="AG26" s="9">
        <v>3.3945998999999998</v>
      </c>
      <c r="AH26" s="6">
        <v>0.13211999999999999</v>
      </c>
      <c r="AI26" s="7"/>
      <c r="AJ26" s="8"/>
      <c r="AK26" s="9">
        <v>0.11652</v>
      </c>
      <c r="AL26" s="3">
        <f>IF(ISNUMBER(BurstIgor14[[#This Row],[BurstNum_spont]]), IF(ISNUMBER(SpontLength_min), BurstIgor14[[#This Row],[BurstNum_spont]]/SpontLength_min*60, "Enter Length"), "Enter Burst Vals")</f>
        <v>610.54054054054052</v>
      </c>
      <c r="AM2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6" s="11" t="str" cm="1">
        <f t="array" ref="AN26">IF(ISNUMBER(BurstIgor14[[#This Row],[BurstNum_temp2]]), IF(ISNUMBER(Temp2_length), BurstIgor14[[#This Row],[BurstNum_temp2]]/Temp2_length*60, "Enter Length"), "Enter Burst Vals")</f>
        <v>Enter Length</v>
      </c>
      <c r="AO26" s="12" t="str" cm="1">
        <f t="array" ref="AO26">IF(ISNUMBER(BurstIgor14[[#This Row],[BurstNum_temp3]]), IF(ISNUMBER(Temp3_length), BurstIgor14[[#This Row],[BurstNum_temp3]]/Temp3_length*60, "Enter Length"), "Enter Burst Vals")</f>
        <v>Enter Length</v>
      </c>
      <c r="AQ26" s="1">
        <v>0.24</v>
      </c>
      <c r="AR26" s="3">
        <v>753</v>
      </c>
      <c r="AS26" s="3">
        <v>0.22756999999999999</v>
      </c>
      <c r="AT26" s="3">
        <v>2.7223999999999999</v>
      </c>
      <c r="AU26" s="3">
        <v>0.15686998999999999</v>
      </c>
      <c r="AV26" s="3">
        <v>1905</v>
      </c>
      <c r="AW26" s="3">
        <v>0.39686999000000001</v>
      </c>
      <c r="AX26" s="3">
        <v>0.82393998000000002</v>
      </c>
      <c r="AY26" s="3">
        <v>1.585</v>
      </c>
      <c r="AZ26" s="3">
        <v>0.13211999999999999</v>
      </c>
      <c r="BA26" s="3">
        <v>610.54054054054052</v>
      </c>
      <c r="BC26" s="1">
        <v>0.24</v>
      </c>
      <c r="BD26" s="10">
        <v>0</v>
      </c>
      <c r="BE26" s="10">
        <v>0</v>
      </c>
      <c r="BF26" s="10">
        <v>0</v>
      </c>
      <c r="BG26" s="10">
        <v>0</v>
      </c>
      <c r="BH26" s="10">
        <v>2</v>
      </c>
      <c r="BI26" s="10">
        <v>4.1666001000000003E-4</v>
      </c>
      <c r="BJ26" s="10">
        <v>4.1666001000000003E-4</v>
      </c>
      <c r="BK26" s="10">
        <v>41.289000999999999</v>
      </c>
      <c r="BL26" s="10">
        <v>0</v>
      </c>
      <c r="BM26" s="10" t="str">
        <v>NA</v>
      </c>
      <c r="BO26" s="1">
        <v>0.24</v>
      </c>
      <c r="BP26" s="11">
        <v>0</v>
      </c>
      <c r="BQ26" s="11">
        <v>0</v>
      </c>
      <c r="BR26" s="11">
        <v>0</v>
      </c>
      <c r="BS26" s="11">
        <v>0</v>
      </c>
      <c r="BT26" s="11">
        <v>2</v>
      </c>
      <c r="BU26" s="11">
        <v>4.1666001000000003E-4</v>
      </c>
      <c r="BV26" s="11">
        <v>4.1666001000000003E-4</v>
      </c>
      <c r="BW26" s="11">
        <v>41.289000999999999</v>
      </c>
      <c r="BX26" s="11">
        <v>0</v>
      </c>
      <c r="BY26" s="11" t="str">
        <v>Enter Length</v>
      </c>
    </row>
    <row r="27" spans="1:77" x14ac:dyDescent="0.2">
      <c r="A27" s="1">
        <v>0.25</v>
      </c>
      <c r="B27" s="6">
        <v>766</v>
      </c>
      <c r="C27" s="7">
        <v>0</v>
      </c>
      <c r="D27" s="8">
        <v>0</v>
      </c>
      <c r="E27" s="9">
        <v>49</v>
      </c>
      <c r="F27" s="6">
        <v>0.23743001</v>
      </c>
      <c r="G27" s="7"/>
      <c r="H27" s="8"/>
      <c r="I27" s="9">
        <v>0.18617</v>
      </c>
      <c r="J27" s="6">
        <v>2.7492999999999999</v>
      </c>
      <c r="K27" s="7">
        <v>0</v>
      </c>
      <c r="L27" s="8">
        <v>0</v>
      </c>
      <c r="M27" s="9">
        <v>2.5306001</v>
      </c>
      <c r="N27" s="6">
        <v>0.15958000999999999</v>
      </c>
      <c r="O27" s="7"/>
      <c r="P27" s="8"/>
      <c r="Q27" s="9">
        <v>1.0208E-2</v>
      </c>
      <c r="R27" s="6">
        <v>1849</v>
      </c>
      <c r="S27" s="7">
        <v>2</v>
      </c>
      <c r="T27" s="8">
        <v>2</v>
      </c>
      <c r="U27" s="9">
        <v>196</v>
      </c>
      <c r="V27" s="6">
        <v>0.38519998999999999</v>
      </c>
      <c r="W27" s="7">
        <v>4.1666001000000003E-4</v>
      </c>
      <c r="X27" s="8">
        <v>4.1666001000000003E-4</v>
      </c>
      <c r="Y27" s="9">
        <v>4.0832001999999999E-2</v>
      </c>
      <c r="Z27" s="6">
        <v>0.82393998000000002</v>
      </c>
      <c r="AA27" s="7">
        <v>4.1666001000000003E-4</v>
      </c>
      <c r="AB27" s="8">
        <v>4.1666001000000003E-4</v>
      </c>
      <c r="AC27" s="9">
        <v>6.6665001000000002E-2</v>
      </c>
      <c r="AD27" s="6">
        <v>1.6071</v>
      </c>
      <c r="AE27" s="7">
        <v>41.289000999999999</v>
      </c>
      <c r="AF27" s="8">
        <v>41.289000999999999</v>
      </c>
      <c r="AG27" s="9">
        <v>3.4333</v>
      </c>
      <c r="AH27" s="6">
        <v>0.13572000000000001</v>
      </c>
      <c r="AI27" s="7"/>
      <c r="AJ27" s="8"/>
      <c r="AK27" s="9">
        <v>0.12163</v>
      </c>
      <c r="AL27" s="3">
        <f>IF(ISNUMBER(BurstIgor14[[#This Row],[BurstNum_spont]]), IF(ISNUMBER(SpontLength_min), BurstIgor14[[#This Row],[BurstNum_spont]]/SpontLength_min*60, "Enter Length"), "Enter Burst Vals")</f>
        <v>621.08108108108104</v>
      </c>
      <c r="AM2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7" s="11" t="str" cm="1">
        <f t="array" ref="AN27">IF(ISNUMBER(BurstIgor14[[#This Row],[BurstNum_temp2]]), IF(ISNUMBER(Temp2_length), BurstIgor14[[#This Row],[BurstNum_temp2]]/Temp2_length*60, "Enter Length"), "Enter Burst Vals")</f>
        <v>Enter Length</v>
      </c>
      <c r="AO27" s="12" t="str" cm="1">
        <f t="array" ref="AO27">IF(ISNUMBER(BurstIgor14[[#This Row],[BurstNum_temp3]]), IF(ISNUMBER(Temp3_length), BurstIgor14[[#This Row],[BurstNum_temp3]]/Temp3_length*60, "Enter Length"), "Enter Burst Vals")</f>
        <v>Enter Length</v>
      </c>
      <c r="AQ27" s="1">
        <v>0.25</v>
      </c>
      <c r="AR27" s="3">
        <v>766</v>
      </c>
      <c r="AS27" s="3">
        <v>0.23743001</v>
      </c>
      <c r="AT27" s="3">
        <v>2.7492999999999999</v>
      </c>
      <c r="AU27" s="3">
        <v>0.15958000999999999</v>
      </c>
      <c r="AV27" s="3">
        <v>1849</v>
      </c>
      <c r="AW27" s="3">
        <v>0.38519998999999999</v>
      </c>
      <c r="AX27" s="3">
        <v>0.82393998000000002</v>
      </c>
      <c r="AY27" s="3">
        <v>1.6071</v>
      </c>
      <c r="AZ27" s="3">
        <v>0.13572000000000001</v>
      </c>
      <c r="BA27" s="3">
        <v>621.08108108108104</v>
      </c>
      <c r="BC27" s="1">
        <v>0.25</v>
      </c>
      <c r="BD27" s="10">
        <v>0</v>
      </c>
      <c r="BE27" s="10">
        <v>0</v>
      </c>
      <c r="BF27" s="10">
        <v>0</v>
      </c>
      <c r="BG27" s="10">
        <v>0</v>
      </c>
      <c r="BH27" s="10">
        <v>2</v>
      </c>
      <c r="BI27" s="10">
        <v>4.1666001000000003E-4</v>
      </c>
      <c r="BJ27" s="10">
        <v>4.1666001000000003E-4</v>
      </c>
      <c r="BK27" s="10">
        <v>41.289000999999999</v>
      </c>
      <c r="BL27" s="10">
        <v>0</v>
      </c>
      <c r="BM27" s="10" t="str">
        <v>NA</v>
      </c>
      <c r="BO27" s="1">
        <v>0.25</v>
      </c>
      <c r="BP27" s="11">
        <v>0</v>
      </c>
      <c r="BQ27" s="11">
        <v>0</v>
      </c>
      <c r="BR27" s="11">
        <v>0</v>
      </c>
      <c r="BS27" s="11">
        <v>0</v>
      </c>
      <c r="BT27" s="11">
        <v>2</v>
      </c>
      <c r="BU27" s="11">
        <v>4.1666001000000003E-4</v>
      </c>
      <c r="BV27" s="11">
        <v>4.1666001000000003E-4</v>
      </c>
      <c r="BW27" s="11">
        <v>41.289000999999999</v>
      </c>
      <c r="BX27" s="11">
        <v>0</v>
      </c>
      <c r="BY27" s="11" t="str">
        <v>Enter Length</v>
      </c>
    </row>
    <row r="28" spans="1:77" x14ac:dyDescent="0.2">
      <c r="A28" s="1">
        <v>0.26</v>
      </c>
      <c r="B28" s="6">
        <v>771</v>
      </c>
      <c r="C28" s="7">
        <v>0</v>
      </c>
      <c r="D28" s="8">
        <v>0</v>
      </c>
      <c r="E28" s="9">
        <v>50</v>
      </c>
      <c r="F28" s="6">
        <v>0.24676998999999999</v>
      </c>
      <c r="G28" s="7"/>
      <c r="H28" s="8"/>
      <c r="I28" s="9">
        <v>0.1875</v>
      </c>
      <c r="J28" s="6">
        <v>2.7808001</v>
      </c>
      <c r="K28" s="7">
        <v>0</v>
      </c>
      <c r="L28" s="8">
        <v>0</v>
      </c>
      <c r="M28" s="9">
        <v>2.52</v>
      </c>
      <c r="N28" s="6">
        <v>0.16062000000000001</v>
      </c>
      <c r="O28" s="7"/>
      <c r="P28" s="8"/>
      <c r="Q28" s="9">
        <v>1.0416E-2</v>
      </c>
      <c r="R28" s="6">
        <v>1811</v>
      </c>
      <c r="S28" s="7">
        <v>2</v>
      </c>
      <c r="T28" s="8">
        <v>2</v>
      </c>
      <c r="U28" s="9">
        <v>194</v>
      </c>
      <c r="V28" s="6">
        <v>0.37728</v>
      </c>
      <c r="W28" s="7">
        <v>4.1666001000000003E-4</v>
      </c>
      <c r="X28" s="8">
        <v>4.1666001000000003E-4</v>
      </c>
      <c r="Y28" s="9">
        <v>4.0415999000000001E-2</v>
      </c>
      <c r="Z28" s="6">
        <v>0.82393998000000002</v>
      </c>
      <c r="AA28" s="7">
        <v>4.1666001000000003E-4</v>
      </c>
      <c r="AB28" s="8">
        <v>4.1666001000000003E-4</v>
      </c>
      <c r="AC28" s="9">
        <v>6.6665001000000002E-2</v>
      </c>
      <c r="AD28" s="6">
        <v>1.6244000000000001</v>
      </c>
      <c r="AE28" s="7">
        <v>41.289000999999999</v>
      </c>
      <c r="AF28" s="8">
        <v>41.289000999999999</v>
      </c>
      <c r="AG28" s="9">
        <v>3.4463998999999998</v>
      </c>
      <c r="AH28" s="6">
        <v>0.13857</v>
      </c>
      <c r="AI28" s="7"/>
      <c r="AJ28" s="8"/>
      <c r="AK28" s="9">
        <v>0.12335</v>
      </c>
      <c r="AL28" s="3">
        <f>IF(ISNUMBER(BurstIgor14[[#This Row],[BurstNum_spont]]), IF(ISNUMBER(SpontLength_min), BurstIgor14[[#This Row],[BurstNum_spont]]/SpontLength_min*60, "Enter Length"), "Enter Burst Vals")</f>
        <v>625.13513513513522</v>
      </c>
      <c r="AM2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8" s="11" t="str" cm="1">
        <f t="array" ref="AN28">IF(ISNUMBER(BurstIgor14[[#This Row],[BurstNum_temp2]]), IF(ISNUMBER(Temp2_length), BurstIgor14[[#This Row],[BurstNum_temp2]]/Temp2_length*60, "Enter Length"), "Enter Burst Vals")</f>
        <v>Enter Length</v>
      </c>
      <c r="AO28" s="12" t="str" cm="1">
        <f t="array" ref="AO28">IF(ISNUMBER(BurstIgor14[[#This Row],[BurstNum_temp3]]), IF(ISNUMBER(Temp3_length), BurstIgor14[[#This Row],[BurstNum_temp3]]/Temp3_length*60, "Enter Length"), "Enter Burst Vals")</f>
        <v>Enter Length</v>
      </c>
      <c r="AQ28" s="1">
        <v>0.26</v>
      </c>
      <c r="AR28" s="3">
        <v>771</v>
      </c>
      <c r="AS28" s="3">
        <v>0.24676998999999999</v>
      </c>
      <c r="AT28" s="3">
        <v>2.7808001</v>
      </c>
      <c r="AU28" s="3">
        <v>0.16062000000000001</v>
      </c>
      <c r="AV28" s="3">
        <v>1811</v>
      </c>
      <c r="AW28" s="3">
        <v>0.37728</v>
      </c>
      <c r="AX28" s="3">
        <v>0.82393998000000002</v>
      </c>
      <c r="AY28" s="3">
        <v>1.6244000000000001</v>
      </c>
      <c r="AZ28" s="3">
        <v>0.13857</v>
      </c>
      <c r="BA28" s="3">
        <v>625.13513513513522</v>
      </c>
      <c r="BC28" s="1">
        <v>0.26</v>
      </c>
      <c r="BD28" s="10">
        <v>0</v>
      </c>
      <c r="BE28" s="10">
        <v>0</v>
      </c>
      <c r="BF28" s="10">
        <v>0</v>
      </c>
      <c r="BG28" s="10">
        <v>0</v>
      </c>
      <c r="BH28" s="10">
        <v>2</v>
      </c>
      <c r="BI28" s="10">
        <v>4.1666001000000003E-4</v>
      </c>
      <c r="BJ28" s="10">
        <v>4.1666001000000003E-4</v>
      </c>
      <c r="BK28" s="10">
        <v>41.289000999999999</v>
      </c>
      <c r="BL28" s="10">
        <v>0</v>
      </c>
      <c r="BM28" s="10" t="str">
        <v>NA</v>
      </c>
      <c r="BO28" s="1">
        <v>0.26</v>
      </c>
      <c r="BP28" s="11">
        <v>0</v>
      </c>
      <c r="BQ28" s="11">
        <v>0</v>
      </c>
      <c r="BR28" s="11">
        <v>0</v>
      </c>
      <c r="BS28" s="11">
        <v>0</v>
      </c>
      <c r="BT28" s="11">
        <v>2</v>
      </c>
      <c r="BU28" s="11">
        <v>4.1666001000000003E-4</v>
      </c>
      <c r="BV28" s="11">
        <v>4.1666001000000003E-4</v>
      </c>
      <c r="BW28" s="11">
        <v>41.289000999999999</v>
      </c>
      <c r="BX28" s="11">
        <v>0</v>
      </c>
      <c r="BY28" s="11" t="str">
        <v>Enter Length</v>
      </c>
    </row>
    <row r="29" spans="1:77" x14ac:dyDescent="0.2">
      <c r="A29" s="1">
        <v>0.27</v>
      </c>
      <c r="B29" s="6">
        <v>783</v>
      </c>
      <c r="C29" s="7">
        <v>0</v>
      </c>
      <c r="D29" s="8">
        <v>0</v>
      </c>
      <c r="E29" s="9">
        <v>51</v>
      </c>
      <c r="F29" s="6">
        <v>0.25685000000000002</v>
      </c>
      <c r="G29" s="7"/>
      <c r="H29" s="8"/>
      <c r="I29" s="9">
        <v>0.18895999999999999</v>
      </c>
      <c r="J29" s="6">
        <v>2.8059001000000001</v>
      </c>
      <c r="K29" s="7">
        <v>0</v>
      </c>
      <c r="L29" s="8">
        <v>0</v>
      </c>
      <c r="M29" s="9">
        <v>2.5097999999999998</v>
      </c>
      <c r="N29" s="6">
        <v>0.16311999999999999</v>
      </c>
      <c r="O29" s="7"/>
      <c r="P29" s="8"/>
      <c r="Q29" s="9">
        <v>1.0625000000000001E-2</v>
      </c>
      <c r="R29" s="6">
        <v>1758</v>
      </c>
      <c r="S29" s="7">
        <v>2</v>
      </c>
      <c r="T29" s="8">
        <v>2</v>
      </c>
      <c r="U29" s="9">
        <v>192</v>
      </c>
      <c r="V29" s="6">
        <v>0.36623999000000002</v>
      </c>
      <c r="W29" s="7">
        <v>4.1666001000000003E-4</v>
      </c>
      <c r="X29" s="8">
        <v>4.1666001000000003E-4</v>
      </c>
      <c r="Y29" s="9">
        <v>3.9999000999999999E-2</v>
      </c>
      <c r="Z29" s="6">
        <v>0.82393998000000002</v>
      </c>
      <c r="AA29" s="7">
        <v>4.1666001000000003E-4</v>
      </c>
      <c r="AB29" s="8">
        <v>4.1666001000000003E-4</v>
      </c>
      <c r="AC29" s="9">
        <v>6.6665001000000002E-2</v>
      </c>
      <c r="AD29" s="6">
        <v>1.6463000000000001</v>
      </c>
      <c r="AE29" s="7">
        <v>41.289000999999999</v>
      </c>
      <c r="AF29" s="8">
        <v>41.289000999999999</v>
      </c>
      <c r="AG29" s="9">
        <v>3.4595001000000001</v>
      </c>
      <c r="AH29" s="6">
        <v>0.14223</v>
      </c>
      <c r="AI29" s="7"/>
      <c r="AJ29" s="8"/>
      <c r="AK29" s="9">
        <v>0.12515999</v>
      </c>
      <c r="AL29" s="3">
        <f>IF(ISNUMBER(BurstIgor14[[#This Row],[BurstNum_spont]]), IF(ISNUMBER(SpontLength_min), BurstIgor14[[#This Row],[BurstNum_spont]]/SpontLength_min*60, "Enter Length"), "Enter Burst Vals")</f>
        <v>634.86486486486478</v>
      </c>
      <c r="AM2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29" s="11" t="str" cm="1">
        <f t="array" ref="AN29">IF(ISNUMBER(BurstIgor14[[#This Row],[BurstNum_temp2]]), IF(ISNUMBER(Temp2_length), BurstIgor14[[#This Row],[BurstNum_temp2]]/Temp2_length*60, "Enter Length"), "Enter Burst Vals")</f>
        <v>Enter Length</v>
      </c>
      <c r="AO29" s="12" t="str" cm="1">
        <f t="array" ref="AO29">IF(ISNUMBER(BurstIgor14[[#This Row],[BurstNum_temp3]]), IF(ISNUMBER(Temp3_length), BurstIgor14[[#This Row],[BurstNum_temp3]]/Temp3_length*60, "Enter Length"), "Enter Burst Vals")</f>
        <v>Enter Length</v>
      </c>
      <c r="AQ29" s="1">
        <v>0.27</v>
      </c>
      <c r="AR29" s="3">
        <v>783</v>
      </c>
      <c r="AS29" s="3">
        <v>0.25685000000000002</v>
      </c>
      <c r="AT29" s="3">
        <v>2.8059001000000001</v>
      </c>
      <c r="AU29" s="3">
        <v>0.16311999999999999</v>
      </c>
      <c r="AV29" s="3">
        <v>1758</v>
      </c>
      <c r="AW29" s="3">
        <v>0.36623999000000002</v>
      </c>
      <c r="AX29" s="3">
        <v>0.82393998000000002</v>
      </c>
      <c r="AY29" s="3">
        <v>1.6463000000000001</v>
      </c>
      <c r="AZ29" s="3">
        <v>0.14223</v>
      </c>
      <c r="BA29" s="3">
        <v>634.86486486486478</v>
      </c>
      <c r="BC29" s="1">
        <v>0.27</v>
      </c>
      <c r="BD29" s="10">
        <v>0</v>
      </c>
      <c r="BE29" s="10">
        <v>0</v>
      </c>
      <c r="BF29" s="10">
        <v>0</v>
      </c>
      <c r="BG29" s="10">
        <v>0</v>
      </c>
      <c r="BH29" s="10">
        <v>2</v>
      </c>
      <c r="BI29" s="10">
        <v>4.1666001000000003E-4</v>
      </c>
      <c r="BJ29" s="10">
        <v>4.1666001000000003E-4</v>
      </c>
      <c r="BK29" s="10">
        <v>41.289000999999999</v>
      </c>
      <c r="BL29" s="10">
        <v>0</v>
      </c>
      <c r="BM29" s="10" t="str">
        <v>NA</v>
      </c>
      <c r="BO29" s="1">
        <v>0.27</v>
      </c>
      <c r="BP29" s="11">
        <v>0</v>
      </c>
      <c r="BQ29" s="11">
        <v>0</v>
      </c>
      <c r="BR29" s="11">
        <v>0</v>
      </c>
      <c r="BS29" s="11">
        <v>0</v>
      </c>
      <c r="BT29" s="11">
        <v>2</v>
      </c>
      <c r="BU29" s="11">
        <v>4.1666001000000003E-4</v>
      </c>
      <c r="BV29" s="11">
        <v>4.1666001000000003E-4</v>
      </c>
      <c r="BW29" s="11">
        <v>41.289000999999999</v>
      </c>
      <c r="BX29" s="11">
        <v>0</v>
      </c>
      <c r="BY29" s="11" t="str">
        <v>Enter Length</v>
      </c>
    </row>
    <row r="30" spans="1:77" x14ac:dyDescent="0.2">
      <c r="A30" s="1">
        <v>0.28000000000000003</v>
      </c>
      <c r="B30" s="6">
        <v>789</v>
      </c>
      <c r="C30" s="7">
        <v>0</v>
      </c>
      <c r="D30" s="8">
        <v>0</v>
      </c>
      <c r="E30" s="9">
        <v>51</v>
      </c>
      <c r="F30" s="6">
        <v>0.26675999</v>
      </c>
      <c r="G30" s="7"/>
      <c r="H30" s="8"/>
      <c r="I30" s="9">
        <v>0.19439000000000001</v>
      </c>
      <c r="J30" s="6">
        <v>2.8352000999999998</v>
      </c>
      <c r="K30" s="7">
        <v>0</v>
      </c>
      <c r="L30" s="8">
        <v>0</v>
      </c>
      <c r="M30" s="9">
        <v>2.5294001000000002</v>
      </c>
      <c r="N30" s="6">
        <v>0.16436999999999999</v>
      </c>
      <c r="O30" s="7"/>
      <c r="P30" s="8"/>
      <c r="Q30" s="9">
        <v>1.0625000000000001E-2</v>
      </c>
      <c r="R30" s="6">
        <v>1718</v>
      </c>
      <c r="S30" s="7">
        <v>2</v>
      </c>
      <c r="T30" s="8">
        <v>2</v>
      </c>
      <c r="U30" s="9">
        <v>191</v>
      </c>
      <c r="V30" s="6">
        <v>0.35791001</v>
      </c>
      <c r="W30" s="7">
        <v>4.1666001000000003E-4</v>
      </c>
      <c r="X30" s="8">
        <v>4.1666001000000003E-4</v>
      </c>
      <c r="Y30" s="9">
        <v>3.9790999000000001E-2</v>
      </c>
      <c r="Z30" s="6">
        <v>0.82393998000000002</v>
      </c>
      <c r="AA30" s="7">
        <v>4.1666001000000003E-4</v>
      </c>
      <c r="AB30" s="8">
        <v>4.1666001000000003E-4</v>
      </c>
      <c r="AC30" s="9">
        <v>6.6665001000000002E-2</v>
      </c>
      <c r="AD30" s="6">
        <v>1.6648999</v>
      </c>
      <c r="AE30" s="7">
        <v>41.289000999999999</v>
      </c>
      <c r="AF30" s="8">
        <v>41.289000999999999</v>
      </c>
      <c r="AG30" s="9">
        <v>3.4727001</v>
      </c>
      <c r="AH30" s="6">
        <v>0.14534999000000001</v>
      </c>
      <c r="AI30" s="7"/>
      <c r="AJ30" s="8"/>
      <c r="AK30" s="9">
        <v>0.12710001000000001</v>
      </c>
      <c r="AL30" s="3">
        <f>IF(ISNUMBER(BurstIgor14[[#This Row],[BurstNum_spont]]), IF(ISNUMBER(SpontLength_min), BurstIgor14[[#This Row],[BurstNum_spont]]/SpontLength_min*60, "Enter Length"), "Enter Burst Vals")</f>
        <v>639.72972972972968</v>
      </c>
      <c r="AM3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0" s="11" t="str" cm="1">
        <f t="array" ref="AN30">IF(ISNUMBER(BurstIgor14[[#This Row],[BurstNum_temp2]]), IF(ISNUMBER(Temp2_length), BurstIgor14[[#This Row],[BurstNum_temp2]]/Temp2_length*60, "Enter Length"), "Enter Burst Vals")</f>
        <v>Enter Length</v>
      </c>
      <c r="AO30" s="12" t="str" cm="1">
        <f t="array" ref="AO30">IF(ISNUMBER(BurstIgor14[[#This Row],[BurstNum_temp3]]), IF(ISNUMBER(Temp3_length), BurstIgor14[[#This Row],[BurstNum_temp3]]/Temp3_length*60, "Enter Length"), "Enter Burst Vals")</f>
        <v>Enter Length</v>
      </c>
      <c r="AQ30" s="1">
        <v>0.28000000000000003</v>
      </c>
      <c r="AR30" s="3">
        <v>789</v>
      </c>
      <c r="AS30" s="3">
        <v>0.26675999</v>
      </c>
      <c r="AT30" s="3">
        <v>2.8352000999999998</v>
      </c>
      <c r="AU30" s="3">
        <v>0.16436999999999999</v>
      </c>
      <c r="AV30" s="3">
        <v>1718</v>
      </c>
      <c r="AW30" s="3">
        <v>0.35791001</v>
      </c>
      <c r="AX30" s="3">
        <v>0.82393998000000002</v>
      </c>
      <c r="AY30" s="3">
        <v>1.6648999</v>
      </c>
      <c r="AZ30" s="3">
        <v>0.14534999000000001</v>
      </c>
      <c r="BA30" s="3">
        <v>639.72972972972968</v>
      </c>
      <c r="BC30" s="1">
        <v>0.28000000000000003</v>
      </c>
      <c r="BD30" s="10">
        <v>0</v>
      </c>
      <c r="BE30" s="10">
        <v>0</v>
      </c>
      <c r="BF30" s="10">
        <v>0</v>
      </c>
      <c r="BG30" s="10">
        <v>0</v>
      </c>
      <c r="BH30" s="10">
        <v>2</v>
      </c>
      <c r="BI30" s="10">
        <v>4.1666001000000003E-4</v>
      </c>
      <c r="BJ30" s="10">
        <v>4.1666001000000003E-4</v>
      </c>
      <c r="BK30" s="10">
        <v>41.289000999999999</v>
      </c>
      <c r="BL30" s="10">
        <v>0</v>
      </c>
      <c r="BM30" s="10" t="str">
        <v>NA</v>
      </c>
      <c r="BO30" s="1">
        <v>0.28000000000000003</v>
      </c>
      <c r="BP30" s="11">
        <v>0</v>
      </c>
      <c r="BQ30" s="11">
        <v>0</v>
      </c>
      <c r="BR30" s="11">
        <v>0</v>
      </c>
      <c r="BS30" s="11">
        <v>0</v>
      </c>
      <c r="BT30" s="11">
        <v>2</v>
      </c>
      <c r="BU30" s="11">
        <v>4.1666001000000003E-4</v>
      </c>
      <c r="BV30" s="11">
        <v>4.1666001000000003E-4</v>
      </c>
      <c r="BW30" s="11">
        <v>41.289000999999999</v>
      </c>
      <c r="BX30" s="11">
        <v>0</v>
      </c>
      <c r="BY30" s="11" t="str">
        <v>Enter Length</v>
      </c>
    </row>
    <row r="31" spans="1:77" x14ac:dyDescent="0.2">
      <c r="A31" s="1">
        <v>0.28999999999999998</v>
      </c>
      <c r="B31" s="6">
        <v>798</v>
      </c>
      <c r="C31" s="7">
        <v>0</v>
      </c>
      <c r="D31" s="8">
        <v>0</v>
      </c>
      <c r="E31" s="9">
        <v>52</v>
      </c>
      <c r="F31" s="6">
        <v>0.27660998999999997</v>
      </c>
      <c r="G31" s="7"/>
      <c r="H31" s="8"/>
      <c r="I31" s="9">
        <v>0.19612999</v>
      </c>
      <c r="J31" s="6">
        <v>2.8596001000000002</v>
      </c>
      <c r="K31" s="7">
        <v>0</v>
      </c>
      <c r="L31" s="8">
        <v>0</v>
      </c>
      <c r="M31" s="9">
        <v>2.5192000999999999</v>
      </c>
      <c r="N31" s="6">
        <v>0.16625001</v>
      </c>
      <c r="O31" s="7"/>
      <c r="P31" s="8"/>
      <c r="Q31" s="9">
        <v>1.0833000000000001E-2</v>
      </c>
      <c r="R31" s="6">
        <v>1673</v>
      </c>
      <c r="S31" s="7">
        <v>2</v>
      </c>
      <c r="T31" s="8">
        <v>2</v>
      </c>
      <c r="U31" s="9">
        <v>189</v>
      </c>
      <c r="V31" s="6">
        <v>0.34852999000000001</v>
      </c>
      <c r="W31" s="7">
        <v>4.1666001000000003E-4</v>
      </c>
      <c r="X31" s="8">
        <v>4.1666001000000003E-4</v>
      </c>
      <c r="Y31" s="9">
        <v>3.9374000999999999E-2</v>
      </c>
      <c r="Z31" s="6">
        <v>0.82393998000000002</v>
      </c>
      <c r="AA31" s="7">
        <v>4.1666001000000003E-4</v>
      </c>
      <c r="AB31" s="8">
        <v>4.1666001000000003E-4</v>
      </c>
      <c r="AC31" s="9">
        <v>6.6665001000000002E-2</v>
      </c>
      <c r="AD31" s="6">
        <v>1.6851</v>
      </c>
      <c r="AE31" s="7">
        <v>41.289000999999999</v>
      </c>
      <c r="AF31" s="8">
        <v>41.289000999999999</v>
      </c>
      <c r="AG31" s="9">
        <v>3.4860001</v>
      </c>
      <c r="AH31" s="6">
        <v>0.14873998999999999</v>
      </c>
      <c r="AI31" s="7"/>
      <c r="AJ31" s="8"/>
      <c r="AK31" s="9">
        <v>0.12909999</v>
      </c>
      <c r="AL31" s="3">
        <f>IF(ISNUMBER(BurstIgor14[[#This Row],[BurstNum_spont]]), IF(ISNUMBER(SpontLength_min), BurstIgor14[[#This Row],[BurstNum_spont]]/SpontLength_min*60, "Enter Length"), "Enter Burst Vals")</f>
        <v>647.02702702702709</v>
      </c>
      <c r="AM3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1" s="11" t="str" cm="1">
        <f t="array" ref="AN31">IF(ISNUMBER(BurstIgor14[[#This Row],[BurstNum_temp2]]), IF(ISNUMBER(Temp2_length), BurstIgor14[[#This Row],[BurstNum_temp2]]/Temp2_length*60, "Enter Length"), "Enter Burst Vals")</f>
        <v>Enter Length</v>
      </c>
      <c r="AO31" s="12" t="str" cm="1">
        <f t="array" ref="AO31">IF(ISNUMBER(BurstIgor14[[#This Row],[BurstNum_temp3]]), IF(ISNUMBER(Temp3_length), BurstIgor14[[#This Row],[BurstNum_temp3]]/Temp3_length*60, "Enter Length"), "Enter Burst Vals")</f>
        <v>Enter Length</v>
      </c>
      <c r="AQ31" s="1">
        <v>0.28999999999999998</v>
      </c>
      <c r="AR31" s="3">
        <v>798</v>
      </c>
      <c r="AS31" s="3">
        <v>0.27660998999999997</v>
      </c>
      <c r="AT31" s="3">
        <v>2.8596001000000002</v>
      </c>
      <c r="AU31" s="3">
        <v>0.16625001</v>
      </c>
      <c r="AV31" s="3">
        <v>1673</v>
      </c>
      <c r="AW31" s="3">
        <v>0.34852999000000001</v>
      </c>
      <c r="AX31" s="3">
        <v>0.82393998000000002</v>
      </c>
      <c r="AY31" s="3">
        <v>1.6851</v>
      </c>
      <c r="AZ31" s="3">
        <v>0.14873998999999999</v>
      </c>
      <c r="BA31" s="3">
        <v>647.02702702702709</v>
      </c>
      <c r="BC31" s="1">
        <v>0.28999999999999998</v>
      </c>
      <c r="BD31" s="10">
        <v>0</v>
      </c>
      <c r="BE31" s="10">
        <v>0</v>
      </c>
      <c r="BF31" s="10">
        <v>0</v>
      </c>
      <c r="BG31" s="10">
        <v>0</v>
      </c>
      <c r="BH31" s="10">
        <v>2</v>
      </c>
      <c r="BI31" s="10">
        <v>4.1666001000000003E-4</v>
      </c>
      <c r="BJ31" s="10">
        <v>4.1666001000000003E-4</v>
      </c>
      <c r="BK31" s="10">
        <v>41.289000999999999</v>
      </c>
      <c r="BL31" s="10">
        <v>0</v>
      </c>
      <c r="BM31" s="10" t="str">
        <v>NA</v>
      </c>
      <c r="BO31" s="1">
        <v>0.28999999999999998</v>
      </c>
      <c r="BP31" s="11">
        <v>0</v>
      </c>
      <c r="BQ31" s="11">
        <v>0</v>
      </c>
      <c r="BR31" s="11">
        <v>0</v>
      </c>
      <c r="BS31" s="11">
        <v>0</v>
      </c>
      <c r="BT31" s="11">
        <v>2</v>
      </c>
      <c r="BU31" s="11">
        <v>4.1666001000000003E-4</v>
      </c>
      <c r="BV31" s="11">
        <v>4.1666001000000003E-4</v>
      </c>
      <c r="BW31" s="11">
        <v>41.289000999999999</v>
      </c>
      <c r="BX31" s="11">
        <v>0</v>
      </c>
      <c r="BY31" s="11" t="str">
        <v>Enter Length</v>
      </c>
    </row>
    <row r="32" spans="1:77" x14ac:dyDescent="0.2">
      <c r="A32" s="1">
        <v>0.3</v>
      </c>
      <c r="B32" s="6">
        <v>805</v>
      </c>
      <c r="C32" s="7">
        <v>0</v>
      </c>
      <c r="D32" s="8">
        <v>0</v>
      </c>
      <c r="E32" s="9">
        <v>53</v>
      </c>
      <c r="F32" s="6">
        <v>0.28336</v>
      </c>
      <c r="G32" s="7"/>
      <c r="H32" s="8"/>
      <c r="I32" s="9">
        <v>0.19795001000000001</v>
      </c>
      <c r="J32" s="6">
        <v>2.8744999999999998</v>
      </c>
      <c r="K32" s="7">
        <v>0</v>
      </c>
      <c r="L32" s="8">
        <v>0</v>
      </c>
      <c r="M32" s="9">
        <v>2.5093999</v>
      </c>
      <c r="N32" s="6">
        <v>0.16769998999999999</v>
      </c>
      <c r="O32" s="7"/>
      <c r="P32" s="8"/>
      <c r="Q32" s="9">
        <v>1.1041E-2</v>
      </c>
      <c r="R32" s="6">
        <v>1641</v>
      </c>
      <c r="S32" s="7">
        <v>2</v>
      </c>
      <c r="T32" s="8">
        <v>2</v>
      </c>
      <c r="U32" s="9">
        <v>187</v>
      </c>
      <c r="V32" s="6">
        <v>0.34187001</v>
      </c>
      <c r="W32" s="7">
        <v>4.1666001000000003E-4</v>
      </c>
      <c r="X32" s="8">
        <v>4.1666001000000003E-4</v>
      </c>
      <c r="Y32" s="9">
        <v>3.8957998000000001E-2</v>
      </c>
      <c r="Z32" s="6">
        <v>0.82393998000000002</v>
      </c>
      <c r="AA32" s="7">
        <v>4.1666001000000003E-4</v>
      </c>
      <c r="AB32" s="8">
        <v>4.1666001000000003E-4</v>
      </c>
      <c r="AC32" s="9">
        <v>6.6665001000000002E-2</v>
      </c>
      <c r="AD32" s="6">
        <v>1.6993001000000001</v>
      </c>
      <c r="AE32" s="7">
        <v>41.289000999999999</v>
      </c>
      <c r="AF32" s="8">
        <v>41.289000999999999</v>
      </c>
      <c r="AG32" s="9">
        <v>3.4993998999999998</v>
      </c>
      <c r="AH32" s="6">
        <v>0.15115999999999999</v>
      </c>
      <c r="AI32" s="7"/>
      <c r="AJ32" s="8"/>
      <c r="AK32" s="9">
        <v>0.13113999000000001</v>
      </c>
      <c r="AL32" s="3">
        <f>IF(ISNUMBER(BurstIgor14[[#This Row],[BurstNum_spont]]), IF(ISNUMBER(SpontLength_min), BurstIgor14[[#This Row],[BurstNum_spont]]/SpontLength_min*60, "Enter Length"), "Enter Burst Vals")</f>
        <v>652.70270270270271</v>
      </c>
      <c r="AM3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2" s="11" t="str" cm="1">
        <f t="array" ref="AN32">IF(ISNUMBER(BurstIgor14[[#This Row],[BurstNum_temp2]]), IF(ISNUMBER(Temp2_length), BurstIgor14[[#This Row],[BurstNum_temp2]]/Temp2_length*60, "Enter Length"), "Enter Burst Vals")</f>
        <v>Enter Length</v>
      </c>
      <c r="AO32" s="12" t="str" cm="1">
        <f t="array" ref="AO32">IF(ISNUMBER(BurstIgor14[[#This Row],[BurstNum_temp3]]), IF(ISNUMBER(Temp3_length), BurstIgor14[[#This Row],[BurstNum_temp3]]/Temp3_length*60, "Enter Length"), "Enter Burst Vals")</f>
        <v>Enter Length</v>
      </c>
      <c r="AQ32" s="1">
        <v>0.3</v>
      </c>
      <c r="AR32" s="3">
        <v>805</v>
      </c>
      <c r="AS32" s="3">
        <v>0.28336</v>
      </c>
      <c r="AT32" s="3">
        <v>2.8744999999999998</v>
      </c>
      <c r="AU32" s="3">
        <v>0.16769998999999999</v>
      </c>
      <c r="AV32" s="3">
        <v>1641</v>
      </c>
      <c r="AW32" s="3">
        <v>0.34187001</v>
      </c>
      <c r="AX32" s="3">
        <v>0.82393998000000002</v>
      </c>
      <c r="AY32" s="3">
        <v>1.6993001000000001</v>
      </c>
      <c r="AZ32" s="3">
        <v>0.15115999999999999</v>
      </c>
      <c r="BA32" s="3">
        <v>652.70270270270271</v>
      </c>
      <c r="BC32" s="1">
        <v>0.3</v>
      </c>
      <c r="BD32" s="10">
        <v>0</v>
      </c>
      <c r="BE32" s="10">
        <v>0</v>
      </c>
      <c r="BF32" s="10">
        <v>0</v>
      </c>
      <c r="BG32" s="10">
        <v>0</v>
      </c>
      <c r="BH32" s="10">
        <v>2</v>
      </c>
      <c r="BI32" s="10">
        <v>4.1666001000000003E-4</v>
      </c>
      <c r="BJ32" s="10">
        <v>4.1666001000000003E-4</v>
      </c>
      <c r="BK32" s="10">
        <v>41.289000999999999</v>
      </c>
      <c r="BL32" s="10">
        <v>0</v>
      </c>
      <c r="BM32" s="10" t="str">
        <v>NA</v>
      </c>
      <c r="BO32" s="1">
        <v>0.3</v>
      </c>
      <c r="BP32" s="11">
        <v>0</v>
      </c>
      <c r="BQ32" s="11">
        <v>0</v>
      </c>
      <c r="BR32" s="11">
        <v>0</v>
      </c>
      <c r="BS32" s="11">
        <v>0</v>
      </c>
      <c r="BT32" s="11">
        <v>2</v>
      </c>
      <c r="BU32" s="11">
        <v>4.1666001000000003E-4</v>
      </c>
      <c r="BV32" s="11">
        <v>4.1666001000000003E-4</v>
      </c>
      <c r="BW32" s="11">
        <v>41.289000999999999</v>
      </c>
      <c r="BX32" s="11">
        <v>0</v>
      </c>
      <c r="BY32" s="11" t="str">
        <v>Enter Length</v>
      </c>
    </row>
    <row r="33" spans="1:77" x14ac:dyDescent="0.2">
      <c r="A33" s="1">
        <v>0.31</v>
      </c>
      <c r="B33" s="6">
        <v>815</v>
      </c>
      <c r="C33" s="7">
        <v>0</v>
      </c>
      <c r="D33" s="8">
        <v>0</v>
      </c>
      <c r="E33" s="9">
        <v>53</v>
      </c>
      <c r="F33" s="6">
        <v>0.29372000999999998</v>
      </c>
      <c r="G33" s="7"/>
      <c r="H33" s="8"/>
      <c r="I33" s="9">
        <v>0.20372999999999999</v>
      </c>
      <c r="J33" s="6">
        <v>2.8968999000000002</v>
      </c>
      <c r="K33" s="7">
        <v>0</v>
      </c>
      <c r="L33" s="8">
        <v>0</v>
      </c>
      <c r="M33" s="9">
        <v>2.5283000000000002</v>
      </c>
      <c r="N33" s="6">
        <v>0.16979</v>
      </c>
      <c r="O33" s="7"/>
      <c r="P33" s="8"/>
      <c r="Q33" s="9">
        <v>1.1041E-2</v>
      </c>
      <c r="R33" s="6">
        <v>1594</v>
      </c>
      <c r="S33" s="7">
        <v>2</v>
      </c>
      <c r="T33" s="8">
        <v>2</v>
      </c>
      <c r="U33" s="9">
        <v>186</v>
      </c>
      <c r="V33" s="6">
        <v>0.33208000999999998</v>
      </c>
      <c r="W33" s="7">
        <v>4.1666001000000003E-4</v>
      </c>
      <c r="X33" s="8">
        <v>4.1666001000000003E-4</v>
      </c>
      <c r="Y33" s="9">
        <v>3.8748998E-2</v>
      </c>
      <c r="Z33" s="6">
        <v>0.82393998000000002</v>
      </c>
      <c r="AA33" s="7">
        <v>4.1666001000000003E-4</v>
      </c>
      <c r="AB33" s="8">
        <v>4.1666001000000003E-4</v>
      </c>
      <c r="AC33" s="9">
        <v>6.6665001000000002E-2</v>
      </c>
      <c r="AD33" s="6">
        <v>1.7206999999999999</v>
      </c>
      <c r="AE33" s="7">
        <v>41.289000999999999</v>
      </c>
      <c r="AF33" s="8">
        <v>41.289000999999999</v>
      </c>
      <c r="AG33" s="9">
        <v>3.5127999999999999</v>
      </c>
      <c r="AH33" s="6">
        <v>0.15484001</v>
      </c>
      <c r="AI33" s="7"/>
      <c r="AJ33" s="8"/>
      <c r="AK33" s="9">
        <v>0.13330001</v>
      </c>
      <c r="AL33" s="3">
        <f>IF(ISNUMBER(BurstIgor14[[#This Row],[BurstNum_spont]]), IF(ISNUMBER(SpontLength_min), BurstIgor14[[#This Row],[BurstNum_spont]]/SpontLength_min*60, "Enter Length"), "Enter Burst Vals")</f>
        <v>660.81081081081084</v>
      </c>
      <c r="AM3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3" s="11" t="str" cm="1">
        <f t="array" ref="AN33">IF(ISNUMBER(BurstIgor14[[#This Row],[BurstNum_temp2]]), IF(ISNUMBER(Temp2_length), BurstIgor14[[#This Row],[BurstNum_temp2]]/Temp2_length*60, "Enter Length"), "Enter Burst Vals")</f>
        <v>Enter Length</v>
      </c>
      <c r="AO33" s="12" t="str" cm="1">
        <f t="array" ref="AO33">IF(ISNUMBER(BurstIgor14[[#This Row],[BurstNum_temp3]]), IF(ISNUMBER(Temp3_length), BurstIgor14[[#This Row],[BurstNum_temp3]]/Temp3_length*60, "Enter Length"), "Enter Burst Vals")</f>
        <v>Enter Length</v>
      </c>
      <c r="AQ33" s="1">
        <v>0.31</v>
      </c>
      <c r="AR33" s="3">
        <v>815</v>
      </c>
      <c r="AS33" s="3">
        <v>0.29372000999999998</v>
      </c>
      <c r="AT33" s="3">
        <v>2.8968999000000002</v>
      </c>
      <c r="AU33" s="3">
        <v>0.16979</v>
      </c>
      <c r="AV33" s="3">
        <v>1594</v>
      </c>
      <c r="AW33" s="3">
        <v>0.33208000999999998</v>
      </c>
      <c r="AX33" s="3">
        <v>0.82393998000000002</v>
      </c>
      <c r="AY33" s="3">
        <v>1.7206999999999999</v>
      </c>
      <c r="AZ33" s="3">
        <v>0.15484001</v>
      </c>
      <c r="BA33" s="3">
        <v>660.81081081081084</v>
      </c>
      <c r="BC33" s="1">
        <v>0.31</v>
      </c>
      <c r="BD33" s="10">
        <v>0</v>
      </c>
      <c r="BE33" s="10">
        <v>0</v>
      </c>
      <c r="BF33" s="10">
        <v>0</v>
      </c>
      <c r="BG33" s="10">
        <v>0</v>
      </c>
      <c r="BH33" s="10">
        <v>2</v>
      </c>
      <c r="BI33" s="10">
        <v>4.1666001000000003E-4</v>
      </c>
      <c r="BJ33" s="10">
        <v>4.1666001000000003E-4</v>
      </c>
      <c r="BK33" s="10">
        <v>41.289000999999999</v>
      </c>
      <c r="BL33" s="10">
        <v>0</v>
      </c>
      <c r="BM33" s="10" t="str">
        <v>NA</v>
      </c>
      <c r="BO33" s="1">
        <v>0.31</v>
      </c>
      <c r="BP33" s="11">
        <v>0</v>
      </c>
      <c r="BQ33" s="11">
        <v>0</v>
      </c>
      <c r="BR33" s="11">
        <v>0</v>
      </c>
      <c r="BS33" s="11">
        <v>0</v>
      </c>
      <c r="BT33" s="11">
        <v>2</v>
      </c>
      <c r="BU33" s="11">
        <v>4.1666001000000003E-4</v>
      </c>
      <c r="BV33" s="11">
        <v>4.1666001000000003E-4</v>
      </c>
      <c r="BW33" s="11">
        <v>41.289000999999999</v>
      </c>
      <c r="BX33" s="11">
        <v>0</v>
      </c>
      <c r="BY33" s="11" t="str">
        <v>Enter Length</v>
      </c>
    </row>
    <row r="34" spans="1:77" x14ac:dyDescent="0.2">
      <c r="A34" s="1">
        <v>0.32</v>
      </c>
      <c r="B34" s="6">
        <v>820</v>
      </c>
      <c r="C34" s="7">
        <v>0</v>
      </c>
      <c r="D34" s="8">
        <v>0</v>
      </c>
      <c r="E34" s="9">
        <v>53</v>
      </c>
      <c r="F34" s="6">
        <v>0.30541000000000001</v>
      </c>
      <c r="G34" s="7"/>
      <c r="H34" s="8"/>
      <c r="I34" s="9">
        <v>0.22155</v>
      </c>
      <c r="J34" s="6">
        <v>2.9279999999999999</v>
      </c>
      <c r="K34" s="7">
        <v>0</v>
      </c>
      <c r="L34" s="8">
        <v>0</v>
      </c>
      <c r="M34" s="9">
        <v>2.5848998999999999</v>
      </c>
      <c r="N34" s="6">
        <v>0.17083000000000001</v>
      </c>
      <c r="O34" s="7"/>
      <c r="P34" s="8"/>
      <c r="Q34" s="9">
        <v>1.1041E-2</v>
      </c>
      <c r="R34" s="6">
        <v>1554</v>
      </c>
      <c r="S34" s="7">
        <v>2</v>
      </c>
      <c r="T34" s="8">
        <v>2</v>
      </c>
      <c r="U34" s="9">
        <v>183</v>
      </c>
      <c r="V34" s="6">
        <v>0.32374001000000002</v>
      </c>
      <c r="W34" s="7">
        <v>4.1666001000000003E-4</v>
      </c>
      <c r="X34" s="8">
        <v>4.1666001000000003E-4</v>
      </c>
      <c r="Y34" s="9">
        <v>3.8123998999999999E-2</v>
      </c>
      <c r="Z34" s="6">
        <v>0.82393998000000002</v>
      </c>
      <c r="AA34" s="7">
        <v>4.1666001000000003E-4</v>
      </c>
      <c r="AB34" s="8">
        <v>4.1666001000000003E-4</v>
      </c>
      <c r="AC34" s="9">
        <v>6.6665001000000002E-2</v>
      </c>
      <c r="AD34" s="6">
        <v>1.7414000000000001</v>
      </c>
      <c r="AE34" s="7">
        <v>41.289000999999999</v>
      </c>
      <c r="AF34" s="8">
        <v>41.289000999999999</v>
      </c>
      <c r="AG34" s="9">
        <v>3.5536001000000002</v>
      </c>
      <c r="AH34" s="6">
        <v>0.15840000000000001</v>
      </c>
      <c r="AI34" s="7"/>
      <c r="AJ34" s="8"/>
      <c r="AK34" s="9">
        <v>0.13979</v>
      </c>
      <c r="AL34" s="3">
        <f>IF(ISNUMBER(BurstIgor14[[#This Row],[BurstNum_spont]]), IF(ISNUMBER(SpontLength_min), BurstIgor14[[#This Row],[BurstNum_spont]]/SpontLength_min*60, "Enter Length"), "Enter Burst Vals")</f>
        <v>664.86486486486478</v>
      </c>
      <c r="AM3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4" s="11" t="str" cm="1">
        <f t="array" ref="AN34">IF(ISNUMBER(BurstIgor14[[#This Row],[BurstNum_temp2]]), IF(ISNUMBER(Temp2_length), BurstIgor14[[#This Row],[BurstNum_temp2]]/Temp2_length*60, "Enter Length"), "Enter Burst Vals")</f>
        <v>Enter Length</v>
      </c>
      <c r="AO34" s="12" t="str" cm="1">
        <f t="array" ref="AO34">IF(ISNUMBER(BurstIgor14[[#This Row],[BurstNum_temp3]]), IF(ISNUMBER(Temp3_length), BurstIgor14[[#This Row],[BurstNum_temp3]]/Temp3_length*60, "Enter Length"), "Enter Burst Vals")</f>
        <v>Enter Length</v>
      </c>
      <c r="AQ34" s="1">
        <v>0.32</v>
      </c>
      <c r="AR34" s="3">
        <v>820</v>
      </c>
      <c r="AS34" s="3">
        <v>0.30541000000000001</v>
      </c>
      <c r="AT34" s="3">
        <v>2.9279999999999999</v>
      </c>
      <c r="AU34" s="3">
        <v>0.17083000000000001</v>
      </c>
      <c r="AV34" s="3">
        <v>1554</v>
      </c>
      <c r="AW34" s="3">
        <v>0.32374001000000002</v>
      </c>
      <c r="AX34" s="3">
        <v>0.82393998000000002</v>
      </c>
      <c r="AY34" s="3">
        <v>1.7414000000000001</v>
      </c>
      <c r="AZ34" s="3">
        <v>0.15840000000000001</v>
      </c>
      <c r="BA34" s="3">
        <v>664.86486486486478</v>
      </c>
      <c r="BC34" s="1">
        <v>0.32</v>
      </c>
      <c r="BD34" s="10">
        <v>0</v>
      </c>
      <c r="BE34" s="10">
        <v>0</v>
      </c>
      <c r="BF34" s="10">
        <v>0</v>
      </c>
      <c r="BG34" s="10">
        <v>0</v>
      </c>
      <c r="BH34" s="10">
        <v>2</v>
      </c>
      <c r="BI34" s="10">
        <v>4.1666001000000003E-4</v>
      </c>
      <c r="BJ34" s="10">
        <v>4.1666001000000003E-4</v>
      </c>
      <c r="BK34" s="10">
        <v>41.289000999999999</v>
      </c>
      <c r="BL34" s="10">
        <v>0</v>
      </c>
      <c r="BM34" s="10" t="str">
        <v>NA</v>
      </c>
      <c r="BO34" s="1">
        <v>0.32</v>
      </c>
      <c r="BP34" s="11">
        <v>0</v>
      </c>
      <c r="BQ34" s="11">
        <v>0</v>
      </c>
      <c r="BR34" s="11">
        <v>0</v>
      </c>
      <c r="BS34" s="11">
        <v>0</v>
      </c>
      <c r="BT34" s="11">
        <v>2</v>
      </c>
      <c r="BU34" s="11">
        <v>4.1666001000000003E-4</v>
      </c>
      <c r="BV34" s="11">
        <v>4.1666001000000003E-4</v>
      </c>
      <c r="BW34" s="11">
        <v>41.289000999999999</v>
      </c>
      <c r="BX34" s="11">
        <v>0</v>
      </c>
      <c r="BY34" s="11" t="str">
        <v>Enter Length</v>
      </c>
    </row>
    <row r="35" spans="1:77" x14ac:dyDescent="0.2">
      <c r="A35" s="1">
        <v>0.33</v>
      </c>
      <c r="B35" s="6">
        <v>827</v>
      </c>
      <c r="C35" s="7">
        <v>0</v>
      </c>
      <c r="D35" s="8">
        <v>0</v>
      </c>
      <c r="E35" s="9">
        <v>54</v>
      </c>
      <c r="F35" s="6">
        <v>0.31772</v>
      </c>
      <c r="G35" s="7"/>
      <c r="H35" s="8"/>
      <c r="I35" s="9">
        <v>0.24761</v>
      </c>
      <c r="J35" s="6">
        <v>2.9577</v>
      </c>
      <c r="K35" s="7">
        <v>0</v>
      </c>
      <c r="L35" s="8">
        <v>0</v>
      </c>
      <c r="M35" s="9">
        <v>2.6480999000000001</v>
      </c>
      <c r="N35" s="6">
        <v>0.17229</v>
      </c>
      <c r="O35" s="7"/>
      <c r="P35" s="8"/>
      <c r="Q35" s="9">
        <v>1.125E-2</v>
      </c>
      <c r="R35" s="6">
        <v>1509</v>
      </c>
      <c r="S35" s="7">
        <v>2</v>
      </c>
      <c r="T35" s="8">
        <v>2</v>
      </c>
      <c r="U35" s="9">
        <v>177</v>
      </c>
      <c r="V35" s="6">
        <v>0.31437000999999998</v>
      </c>
      <c r="W35" s="7">
        <v>4.1666001000000003E-4</v>
      </c>
      <c r="X35" s="8">
        <v>4.1666001000000003E-4</v>
      </c>
      <c r="Y35" s="9">
        <v>3.6873999999999997E-2</v>
      </c>
      <c r="Z35" s="6">
        <v>0.82393998000000002</v>
      </c>
      <c r="AA35" s="7">
        <v>4.1666001000000003E-4</v>
      </c>
      <c r="AB35" s="8">
        <v>4.1666001000000003E-4</v>
      </c>
      <c r="AC35" s="9">
        <v>6.6665001000000002E-2</v>
      </c>
      <c r="AD35" s="6">
        <v>1.7645</v>
      </c>
      <c r="AE35" s="7">
        <v>41.289000999999999</v>
      </c>
      <c r="AF35" s="8">
        <v>41.289000999999999</v>
      </c>
      <c r="AG35" s="9">
        <v>3.6238000000000001</v>
      </c>
      <c r="AH35" s="6">
        <v>0.16230000999999999</v>
      </c>
      <c r="AI35" s="7"/>
      <c r="AJ35" s="8"/>
      <c r="AK35" s="9">
        <v>0.15023001</v>
      </c>
      <c r="AL35" s="3">
        <f>IF(ISNUMBER(BurstIgor14[[#This Row],[BurstNum_spont]]), IF(ISNUMBER(SpontLength_min), BurstIgor14[[#This Row],[BurstNum_spont]]/SpontLength_min*60, "Enter Length"), "Enter Burst Vals")</f>
        <v>670.54054054054052</v>
      </c>
      <c r="AM3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5" s="11" t="str" cm="1">
        <f t="array" ref="AN35">IF(ISNUMBER(BurstIgor14[[#This Row],[BurstNum_temp2]]), IF(ISNUMBER(Temp2_length), BurstIgor14[[#This Row],[BurstNum_temp2]]/Temp2_length*60, "Enter Length"), "Enter Burst Vals")</f>
        <v>Enter Length</v>
      </c>
      <c r="AO35" s="12" t="str" cm="1">
        <f t="array" ref="AO35">IF(ISNUMBER(BurstIgor14[[#This Row],[BurstNum_temp3]]), IF(ISNUMBER(Temp3_length), BurstIgor14[[#This Row],[BurstNum_temp3]]/Temp3_length*60, "Enter Length"), "Enter Burst Vals")</f>
        <v>Enter Length</v>
      </c>
      <c r="AQ35" s="1">
        <v>0.33</v>
      </c>
      <c r="AR35" s="3">
        <v>827</v>
      </c>
      <c r="AS35" s="3">
        <v>0.31772</v>
      </c>
      <c r="AT35" s="3">
        <v>2.9577</v>
      </c>
      <c r="AU35" s="3">
        <v>0.17229</v>
      </c>
      <c r="AV35" s="3">
        <v>1509</v>
      </c>
      <c r="AW35" s="3">
        <v>0.31437000999999998</v>
      </c>
      <c r="AX35" s="3">
        <v>0.82393998000000002</v>
      </c>
      <c r="AY35" s="3">
        <v>1.7645</v>
      </c>
      <c r="AZ35" s="3">
        <v>0.16230000999999999</v>
      </c>
      <c r="BA35" s="3">
        <v>670.54054054054052</v>
      </c>
      <c r="BC35" s="1">
        <v>0.33</v>
      </c>
      <c r="BD35" s="10">
        <v>0</v>
      </c>
      <c r="BE35" s="10">
        <v>0</v>
      </c>
      <c r="BF35" s="10">
        <v>0</v>
      </c>
      <c r="BG35" s="10">
        <v>0</v>
      </c>
      <c r="BH35" s="10">
        <v>2</v>
      </c>
      <c r="BI35" s="10">
        <v>4.1666001000000003E-4</v>
      </c>
      <c r="BJ35" s="10">
        <v>4.1666001000000003E-4</v>
      </c>
      <c r="BK35" s="10">
        <v>41.289000999999999</v>
      </c>
      <c r="BL35" s="10">
        <v>0</v>
      </c>
      <c r="BM35" s="10" t="str">
        <v>NA</v>
      </c>
      <c r="BO35" s="1">
        <v>0.33</v>
      </c>
      <c r="BP35" s="11">
        <v>0</v>
      </c>
      <c r="BQ35" s="11">
        <v>0</v>
      </c>
      <c r="BR35" s="11">
        <v>0</v>
      </c>
      <c r="BS35" s="11">
        <v>0</v>
      </c>
      <c r="BT35" s="11">
        <v>2</v>
      </c>
      <c r="BU35" s="11">
        <v>4.1666001000000003E-4</v>
      </c>
      <c r="BV35" s="11">
        <v>4.1666001000000003E-4</v>
      </c>
      <c r="BW35" s="11">
        <v>41.289000999999999</v>
      </c>
      <c r="BX35" s="11">
        <v>0</v>
      </c>
      <c r="BY35" s="11" t="str">
        <v>Enter Length</v>
      </c>
    </row>
    <row r="36" spans="1:77" x14ac:dyDescent="0.2">
      <c r="A36" s="1">
        <v>0.34</v>
      </c>
      <c r="B36" s="6">
        <v>834</v>
      </c>
      <c r="C36" s="7">
        <v>0</v>
      </c>
      <c r="D36" s="8">
        <v>0</v>
      </c>
      <c r="E36" s="9">
        <v>56</v>
      </c>
      <c r="F36" s="6">
        <v>0.33072998999999997</v>
      </c>
      <c r="G36" s="7"/>
      <c r="H36" s="8"/>
      <c r="I36" s="9">
        <v>0.26278001000000001</v>
      </c>
      <c r="J36" s="6">
        <v>2.9879999000000002</v>
      </c>
      <c r="K36" s="7">
        <v>0</v>
      </c>
      <c r="L36" s="8">
        <v>0</v>
      </c>
      <c r="M36" s="9">
        <v>2.6607001000000001</v>
      </c>
      <c r="N36" s="6">
        <v>0.17374999999999999</v>
      </c>
      <c r="O36" s="7"/>
      <c r="P36" s="8"/>
      <c r="Q36" s="9">
        <v>1.1665999999999999E-2</v>
      </c>
      <c r="R36" s="6">
        <v>1463</v>
      </c>
      <c r="S36" s="7">
        <v>2</v>
      </c>
      <c r="T36" s="8">
        <v>2</v>
      </c>
      <c r="U36" s="9">
        <v>171</v>
      </c>
      <c r="V36" s="6">
        <v>0.30478999000000001</v>
      </c>
      <c r="W36" s="7">
        <v>4.1666001000000003E-4</v>
      </c>
      <c r="X36" s="8">
        <v>4.1666001000000003E-4</v>
      </c>
      <c r="Y36" s="9">
        <v>3.5624001000000002E-2</v>
      </c>
      <c r="Z36" s="6">
        <v>0.82393998000000002</v>
      </c>
      <c r="AA36" s="7">
        <v>4.1666001000000003E-4</v>
      </c>
      <c r="AB36" s="8">
        <v>4.1666001000000003E-4</v>
      </c>
      <c r="AC36" s="9">
        <v>6.6665001000000002E-2</v>
      </c>
      <c r="AD36" s="6">
        <v>1.7887999999999999</v>
      </c>
      <c r="AE36" s="7">
        <v>41.289000999999999</v>
      </c>
      <c r="AF36" s="8">
        <v>41.289000999999999</v>
      </c>
      <c r="AG36" s="9">
        <v>3.6819999000000001</v>
      </c>
      <c r="AH36" s="6">
        <v>0.16636001</v>
      </c>
      <c r="AI36" s="7"/>
      <c r="AJ36" s="8"/>
      <c r="AK36" s="9">
        <v>0.15823001</v>
      </c>
      <c r="AL36" s="3">
        <f>IF(ISNUMBER(BurstIgor14[[#This Row],[BurstNum_spont]]), IF(ISNUMBER(SpontLength_min), BurstIgor14[[#This Row],[BurstNum_spont]]/SpontLength_min*60, "Enter Length"), "Enter Burst Vals")</f>
        <v>676.21621621621625</v>
      </c>
      <c r="AM3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6" s="11" t="str" cm="1">
        <f t="array" ref="AN36">IF(ISNUMBER(BurstIgor14[[#This Row],[BurstNum_temp2]]), IF(ISNUMBER(Temp2_length), BurstIgor14[[#This Row],[BurstNum_temp2]]/Temp2_length*60, "Enter Length"), "Enter Burst Vals")</f>
        <v>Enter Length</v>
      </c>
      <c r="AO36" s="12" t="str" cm="1">
        <f t="array" ref="AO36">IF(ISNUMBER(BurstIgor14[[#This Row],[BurstNum_temp3]]), IF(ISNUMBER(Temp3_length), BurstIgor14[[#This Row],[BurstNum_temp3]]/Temp3_length*60, "Enter Length"), "Enter Burst Vals")</f>
        <v>Enter Length</v>
      </c>
      <c r="AQ36" s="1">
        <v>0.34</v>
      </c>
      <c r="AR36" s="3">
        <v>834</v>
      </c>
      <c r="AS36" s="3">
        <v>0.33072998999999997</v>
      </c>
      <c r="AT36" s="3">
        <v>2.9879999000000002</v>
      </c>
      <c r="AU36" s="3">
        <v>0.17374999999999999</v>
      </c>
      <c r="AV36" s="3">
        <v>1463</v>
      </c>
      <c r="AW36" s="3">
        <v>0.30478999000000001</v>
      </c>
      <c r="AX36" s="3">
        <v>0.82393998000000002</v>
      </c>
      <c r="AY36" s="3">
        <v>1.7887999999999999</v>
      </c>
      <c r="AZ36" s="3">
        <v>0.16636001</v>
      </c>
      <c r="BA36" s="3">
        <v>676.21621621621625</v>
      </c>
      <c r="BC36" s="1">
        <v>0.34</v>
      </c>
      <c r="BD36" s="10">
        <v>0</v>
      </c>
      <c r="BE36" s="10">
        <v>0</v>
      </c>
      <c r="BF36" s="10">
        <v>0</v>
      </c>
      <c r="BG36" s="10">
        <v>0</v>
      </c>
      <c r="BH36" s="10">
        <v>2</v>
      </c>
      <c r="BI36" s="10">
        <v>4.1666001000000003E-4</v>
      </c>
      <c r="BJ36" s="10">
        <v>4.1666001000000003E-4</v>
      </c>
      <c r="BK36" s="10">
        <v>41.289000999999999</v>
      </c>
      <c r="BL36" s="10">
        <v>0</v>
      </c>
      <c r="BM36" s="10" t="str">
        <v>NA</v>
      </c>
      <c r="BO36" s="1">
        <v>0.34</v>
      </c>
      <c r="BP36" s="11">
        <v>0</v>
      </c>
      <c r="BQ36" s="11">
        <v>0</v>
      </c>
      <c r="BR36" s="11">
        <v>0</v>
      </c>
      <c r="BS36" s="11">
        <v>0</v>
      </c>
      <c r="BT36" s="11">
        <v>2</v>
      </c>
      <c r="BU36" s="11">
        <v>4.1666001000000003E-4</v>
      </c>
      <c r="BV36" s="11">
        <v>4.1666001000000003E-4</v>
      </c>
      <c r="BW36" s="11">
        <v>41.289000999999999</v>
      </c>
      <c r="BX36" s="11">
        <v>0</v>
      </c>
      <c r="BY36" s="11" t="str">
        <v>Enter Length</v>
      </c>
    </row>
    <row r="37" spans="1:77" x14ac:dyDescent="0.2">
      <c r="A37" s="1">
        <v>0.35</v>
      </c>
      <c r="B37" s="6">
        <v>840</v>
      </c>
      <c r="C37" s="7">
        <v>0</v>
      </c>
      <c r="D37" s="8">
        <v>0</v>
      </c>
      <c r="E37" s="9">
        <v>60</v>
      </c>
      <c r="F37" s="6">
        <v>0.34068999</v>
      </c>
      <c r="G37" s="7"/>
      <c r="H37" s="8"/>
      <c r="I37" s="9">
        <v>0.26835001000000003</v>
      </c>
      <c r="J37" s="6">
        <v>3.0095000000000001</v>
      </c>
      <c r="K37" s="7">
        <v>0</v>
      </c>
      <c r="L37" s="8">
        <v>0</v>
      </c>
      <c r="M37" s="9">
        <v>2.6166999</v>
      </c>
      <c r="N37" s="6">
        <v>0.17499999999999999</v>
      </c>
      <c r="O37" s="7"/>
      <c r="P37" s="8"/>
      <c r="Q37" s="9">
        <v>1.2500000000000001E-2</v>
      </c>
      <c r="R37" s="6">
        <v>1427</v>
      </c>
      <c r="S37" s="7">
        <v>2</v>
      </c>
      <c r="T37" s="8">
        <v>2</v>
      </c>
      <c r="U37" s="9">
        <v>163</v>
      </c>
      <c r="V37" s="6">
        <v>0.29729</v>
      </c>
      <c r="W37" s="7">
        <v>4.1666001000000003E-4</v>
      </c>
      <c r="X37" s="8">
        <v>4.1666001000000003E-4</v>
      </c>
      <c r="Y37" s="9">
        <v>3.3957999000000003E-2</v>
      </c>
      <c r="Z37" s="6">
        <v>0.82393998000000002</v>
      </c>
      <c r="AA37" s="7">
        <v>4.1666001000000003E-4</v>
      </c>
      <c r="AB37" s="8">
        <v>4.1666001000000003E-4</v>
      </c>
      <c r="AC37" s="9">
        <v>6.6665001000000002E-2</v>
      </c>
      <c r="AD37" s="6">
        <v>1.8079000000000001</v>
      </c>
      <c r="AE37" s="7">
        <v>41.289000999999999</v>
      </c>
      <c r="AF37" s="8">
        <v>41.289000999999999</v>
      </c>
      <c r="AG37" s="9">
        <v>3.7421000000000002</v>
      </c>
      <c r="AH37" s="6">
        <v>0.16954</v>
      </c>
      <c r="AI37" s="7"/>
      <c r="AJ37" s="8"/>
      <c r="AK37" s="9">
        <v>0.16599</v>
      </c>
      <c r="AL37" s="3">
        <f>IF(ISNUMBER(BurstIgor14[[#This Row],[BurstNum_spont]]), IF(ISNUMBER(SpontLength_min), BurstIgor14[[#This Row],[BurstNum_spont]]/SpontLength_min*60, "Enter Length"), "Enter Burst Vals")</f>
        <v>681.08108108108104</v>
      </c>
      <c r="AM3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7" s="11" t="str" cm="1">
        <f t="array" ref="AN37">IF(ISNUMBER(BurstIgor14[[#This Row],[BurstNum_temp2]]), IF(ISNUMBER(Temp2_length), BurstIgor14[[#This Row],[BurstNum_temp2]]/Temp2_length*60, "Enter Length"), "Enter Burst Vals")</f>
        <v>Enter Length</v>
      </c>
      <c r="AO37" s="12" t="str" cm="1">
        <f t="array" ref="AO37">IF(ISNUMBER(BurstIgor14[[#This Row],[BurstNum_temp3]]), IF(ISNUMBER(Temp3_length), BurstIgor14[[#This Row],[BurstNum_temp3]]/Temp3_length*60, "Enter Length"), "Enter Burst Vals")</f>
        <v>Enter Length</v>
      </c>
      <c r="AQ37" s="1">
        <v>0.35</v>
      </c>
      <c r="AR37" s="3">
        <v>840</v>
      </c>
      <c r="AS37" s="3">
        <v>0.34068999</v>
      </c>
      <c r="AT37" s="3">
        <v>3.0095000000000001</v>
      </c>
      <c r="AU37" s="3">
        <v>0.17499999999999999</v>
      </c>
      <c r="AV37" s="3">
        <v>1427</v>
      </c>
      <c r="AW37" s="3">
        <v>0.29729</v>
      </c>
      <c r="AX37" s="3">
        <v>0.82393998000000002</v>
      </c>
      <c r="AY37" s="3">
        <v>1.8079000000000001</v>
      </c>
      <c r="AZ37" s="3">
        <v>0.16954</v>
      </c>
      <c r="BA37" s="3">
        <v>681.08108108108104</v>
      </c>
      <c r="BC37" s="1">
        <v>0.35</v>
      </c>
      <c r="BD37" s="10">
        <v>0</v>
      </c>
      <c r="BE37" s="10">
        <v>0</v>
      </c>
      <c r="BF37" s="10">
        <v>0</v>
      </c>
      <c r="BG37" s="10">
        <v>0</v>
      </c>
      <c r="BH37" s="10">
        <v>2</v>
      </c>
      <c r="BI37" s="10">
        <v>4.1666001000000003E-4</v>
      </c>
      <c r="BJ37" s="10">
        <v>4.1666001000000003E-4</v>
      </c>
      <c r="BK37" s="10">
        <v>41.289000999999999</v>
      </c>
      <c r="BL37" s="10">
        <v>0</v>
      </c>
      <c r="BM37" s="10" t="str">
        <v>NA</v>
      </c>
      <c r="BO37" s="1">
        <v>0.35</v>
      </c>
      <c r="BP37" s="11">
        <v>0</v>
      </c>
      <c r="BQ37" s="11">
        <v>0</v>
      </c>
      <c r="BR37" s="11">
        <v>0</v>
      </c>
      <c r="BS37" s="11">
        <v>0</v>
      </c>
      <c r="BT37" s="11">
        <v>2</v>
      </c>
      <c r="BU37" s="11">
        <v>4.1666001000000003E-4</v>
      </c>
      <c r="BV37" s="11">
        <v>4.1666001000000003E-4</v>
      </c>
      <c r="BW37" s="11">
        <v>41.289000999999999</v>
      </c>
      <c r="BX37" s="11">
        <v>0</v>
      </c>
      <c r="BY37" s="11" t="str">
        <v>Enter Length</v>
      </c>
    </row>
    <row r="38" spans="1:77" x14ac:dyDescent="0.2">
      <c r="A38" s="1">
        <v>0.36</v>
      </c>
      <c r="B38" s="6">
        <v>839</v>
      </c>
      <c r="C38" s="7">
        <v>0</v>
      </c>
      <c r="D38" s="8">
        <v>0</v>
      </c>
      <c r="E38" s="9">
        <v>60</v>
      </c>
      <c r="F38" s="6">
        <v>0.35210001000000002</v>
      </c>
      <c r="G38" s="7"/>
      <c r="H38" s="8"/>
      <c r="I38" s="9">
        <v>0.28621000000000002</v>
      </c>
      <c r="J38" s="6">
        <v>3.0429001000000002</v>
      </c>
      <c r="K38" s="7">
        <v>0</v>
      </c>
      <c r="L38" s="8">
        <v>0</v>
      </c>
      <c r="M38" s="9">
        <v>2.6666998999999998</v>
      </c>
      <c r="N38" s="6">
        <v>0.17478999000000001</v>
      </c>
      <c r="O38" s="7"/>
      <c r="P38" s="8"/>
      <c r="Q38" s="9">
        <v>1.2500000000000001E-2</v>
      </c>
      <c r="R38" s="6">
        <v>1402</v>
      </c>
      <c r="S38" s="7">
        <v>2</v>
      </c>
      <c r="T38" s="8">
        <v>2</v>
      </c>
      <c r="U38" s="9">
        <v>160</v>
      </c>
      <c r="V38" s="6">
        <v>0.29207999000000001</v>
      </c>
      <c r="W38" s="7">
        <v>4.1666001000000003E-4</v>
      </c>
      <c r="X38" s="8">
        <v>4.1666001000000003E-4</v>
      </c>
      <c r="Y38" s="9">
        <v>3.3333000000000002E-2</v>
      </c>
      <c r="Z38" s="6">
        <v>0.82393998000000002</v>
      </c>
      <c r="AA38" s="7">
        <v>4.1666001000000003E-4</v>
      </c>
      <c r="AB38" s="8">
        <v>4.1666001000000003E-4</v>
      </c>
      <c r="AC38" s="9">
        <v>6.6665001000000002E-2</v>
      </c>
      <c r="AD38" s="6">
        <v>1.8247</v>
      </c>
      <c r="AE38" s="7">
        <v>41.289000999999999</v>
      </c>
      <c r="AF38" s="8">
        <v>41.289000999999999</v>
      </c>
      <c r="AG38" s="9">
        <v>3.7885000999999998</v>
      </c>
      <c r="AH38" s="6">
        <v>0.17235</v>
      </c>
      <c r="AI38" s="7"/>
      <c r="AJ38" s="8"/>
      <c r="AK38" s="9">
        <v>0.17172999999999999</v>
      </c>
      <c r="AL38" s="3">
        <f>IF(ISNUMBER(BurstIgor14[[#This Row],[BurstNum_spont]]), IF(ISNUMBER(SpontLength_min), BurstIgor14[[#This Row],[BurstNum_spont]]/SpontLength_min*60, "Enter Length"), "Enter Burst Vals")</f>
        <v>680.27027027027032</v>
      </c>
      <c r="AM3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8" s="11" t="str" cm="1">
        <f t="array" ref="AN38">IF(ISNUMBER(BurstIgor14[[#This Row],[BurstNum_temp2]]), IF(ISNUMBER(Temp2_length), BurstIgor14[[#This Row],[BurstNum_temp2]]/Temp2_length*60, "Enter Length"), "Enter Burst Vals")</f>
        <v>Enter Length</v>
      </c>
      <c r="AO38" s="12" t="str" cm="1">
        <f t="array" ref="AO38">IF(ISNUMBER(BurstIgor14[[#This Row],[BurstNum_temp3]]), IF(ISNUMBER(Temp3_length), BurstIgor14[[#This Row],[BurstNum_temp3]]/Temp3_length*60, "Enter Length"), "Enter Burst Vals")</f>
        <v>Enter Length</v>
      </c>
      <c r="AQ38" s="1">
        <v>0.36</v>
      </c>
      <c r="AR38" s="3">
        <v>839</v>
      </c>
      <c r="AS38" s="3">
        <v>0.35210001000000002</v>
      </c>
      <c r="AT38" s="3">
        <v>3.0429001000000002</v>
      </c>
      <c r="AU38" s="3">
        <v>0.17478999000000001</v>
      </c>
      <c r="AV38" s="3">
        <v>1402</v>
      </c>
      <c r="AW38" s="3">
        <v>0.29207999000000001</v>
      </c>
      <c r="AX38" s="3">
        <v>0.82393998000000002</v>
      </c>
      <c r="AY38" s="3">
        <v>1.8247</v>
      </c>
      <c r="AZ38" s="3">
        <v>0.17235</v>
      </c>
      <c r="BA38" s="3">
        <v>680.27027027027032</v>
      </c>
      <c r="BC38" s="1">
        <v>0.36</v>
      </c>
      <c r="BD38" s="10">
        <v>0</v>
      </c>
      <c r="BE38" s="10">
        <v>0</v>
      </c>
      <c r="BF38" s="10">
        <v>0</v>
      </c>
      <c r="BG38" s="10">
        <v>0</v>
      </c>
      <c r="BH38" s="10">
        <v>2</v>
      </c>
      <c r="BI38" s="10">
        <v>4.1666001000000003E-4</v>
      </c>
      <c r="BJ38" s="10">
        <v>4.1666001000000003E-4</v>
      </c>
      <c r="BK38" s="10">
        <v>41.289000999999999</v>
      </c>
      <c r="BL38" s="10">
        <v>0</v>
      </c>
      <c r="BM38" s="10" t="str">
        <v>NA</v>
      </c>
      <c r="BO38" s="1">
        <v>0.36</v>
      </c>
      <c r="BP38" s="11">
        <v>0</v>
      </c>
      <c r="BQ38" s="11">
        <v>0</v>
      </c>
      <c r="BR38" s="11">
        <v>0</v>
      </c>
      <c r="BS38" s="11">
        <v>0</v>
      </c>
      <c r="BT38" s="11">
        <v>2</v>
      </c>
      <c r="BU38" s="11">
        <v>4.1666001000000003E-4</v>
      </c>
      <c r="BV38" s="11">
        <v>4.1666001000000003E-4</v>
      </c>
      <c r="BW38" s="11">
        <v>41.289000999999999</v>
      </c>
      <c r="BX38" s="11">
        <v>0</v>
      </c>
      <c r="BY38" s="11" t="str">
        <v>Enter Length</v>
      </c>
    </row>
    <row r="39" spans="1:77" x14ac:dyDescent="0.2">
      <c r="A39" s="1">
        <v>0.37</v>
      </c>
      <c r="B39" s="6">
        <v>849</v>
      </c>
      <c r="C39" s="7">
        <v>0</v>
      </c>
      <c r="D39" s="8">
        <v>0</v>
      </c>
      <c r="E39" s="9">
        <v>62</v>
      </c>
      <c r="F39" s="6">
        <v>0.36087000000000002</v>
      </c>
      <c r="G39" s="7"/>
      <c r="H39" s="8"/>
      <c r="I39" s="9">
        <v>0.29462999000000001</v>
      </c>
      <c r="J39" s="6">
        <v>3.0541999</v>
      </c>
      <c r="K39" s="7">
        <v>0</v>
      </c>
      <c r="L39" s="8">
        <v>0</v>
      </c>
      <c r="M39" s="9">
        <v>2.6612998999999999</v>
      </c>
      <c r="N39" s="6">
        <v>0.17687</v>
      </c>
      <c r="O39" s="7"/>
      <c r="P39" s="8"/>
      <c r="Q39" s="9">
        <v>1.2916E-2</v>
      </c>
      <c r="R39" s="6">
        <v>1362</v>
      </c>
      <c r="S39" s="7">
        <v>2</v>
      </c>
      <c r="T39" s="8">
        <v>2</v>
      </c>
      <c r="U39" s="9">
        <v>155</v>
      </c>
      <c r="V39" s="6">
        <v>0.28374000999999999</v>
      </c>
      <c r="W39" s="7">
        <v>4.1666001000000003E-4</v>
      </c>
      <c r="X39" s="8">
        <v>4.1666001000000003E-4</v>
      </c>
      <c r="Y39" s="9">
        <v>3.2290999000000001E-2</v>
      </c>
      <c r="Z39" s="6">
        <v>0.82393998000000002</v>
      </c>
      <c r="AA39" s="7">
        <v>4.1666001000000003E-4</v>
      </c>
      <c r="AB39" s="8">
        <v>4.1666001000000003E-4</v>
      </c>
      <c r="AC39" s="9">
        <v>6.6665001000000002E-2</v>
      </c>
      <c r="AD39" s="6">
        <v>1.8444999</v>
      </c>
      <c r="AE39" s="7">
        <v>41.289000999999999</v>
      </c>
      <c r="AF39" s="8">
        <v>41.289000999999999</v>
      </c>
      <c r="AG39" s="9">
        <v>3.8359999999999999</v>
      </c>
      <c r="AH39" s="6">
        <v>0.17566999999999999</v>
      </c>
      <c r="AI39" s="7"/>
      <c r="AJ39" s="8"/>
      <c r="AK39" s="9">
        <v>0.17735000000000001</v>
      </c>
      <c r="AL39" s="3">
        <f>IF(ISNUMBER(BurstIgor14[[#This Row],[BurstNum_spont]]), IF(ISNUMBER(SpontLength_min), BurstIgor14[[#This Row],[BurstNum_spont]]/SpontLength_min*60, "Enter Length"), "Enter Burst Vals")</f>
        <v>688.37837837837844</v>
      </c>
      <c r="AM3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39" s="11" t="str" cm="1">
        <f t="array" ref="AN39">IF(ISNUMBER(BurstIgor14[[#This Row],[BurstNum_temp2]]), IF(ISNUMBER(Temp2_length), BurstIgor14[[#This Row],[BurstNum_temp2]]/Temp2_length*60, "Enter Length"), "Enter Burst Vals")</f>
        <v>Enter Length</v>
      </c>
      <c r="AO39" s="12" t="str" cm="1">
        <f t="array" ref="AO39">IF(ISNUMBER(BurstIgor14[[#This Row],[BurstNum_temp3]]), IF(ISNUMBER(Temp3_length), BurstIgor14[[#This Row],[BurstNum_temp3]]/Temp3_length*60, "Enter Length"), "Enter Burst Vals")</f>
        <v>Enter Length</v>
      </c>
      <c r="AQ39" s="1">
        <v>0.37</v>
      </c>
      <c r="AR39" s="3">
        <v>849</v>
      </c>
      <c r="AS39" s="3">
        <v>0.36087000000000002</v>
      </c>
      <c r="AT39" s="3">
        <v>3.0541999</v>
      </c>
      <c r="AU39" s="3">
        <v>0.17687</v>
      </c>
      <c r="AV39" s="3">
        <v>1362</v>
      </c>
      <c r="AW39" s="3">
        <v>0.28374000999999999</v>
      </c>
      <c r="AX39" s="3">
        <v>0.82393998000000002</v>
      </c>
      <c r="AY39" s="3">
        <v>1.8444999</v>
      </c>
      <c r="AZ39" s="3">
        <v>0.17566999999999999</v>
      </c>
      <c r="BA39" s="3">
        <v>688.37837837837844</v>
      </c>
      <c r="BC39" s="1">
        <v>0.37</v>
      </c>
      <c r="BD39" s="10">
        <v>0</v>
      </c>
      <c r="BE39" s="10">
        <v>0</v>
      </c>
      <c r="BF39" s="10">
        <v>0</v>
      </c>
      <c r="BG39" s="10">
        <v>0</v>
      </c>
      <c r="BH39" s="10">
        <v>2</v>
      </c>
      <c r="BI39" s="10">
        <v>4.1666001000000003E-4</v>
      </c>
      <c r="BJ39" s="10">
        <v>4.1666001000000003E-4</v>
      </c>
      <c r="BK39" s="10">
        <v>41.289000999999999</v>
      </c>
      <c r="BL39" s="10">
        <v>0</v>
      </c>
      <c r="BM39" s="10" t="str">
        <v>NA</v>
      </c>
      <c r="BO39" s="1">
        <v>0.37</v>
      </c>
      <c r="BP39" s="11">
        <v>0</v>
      </c>
      <c r="BQ39" s="11">
        <v>0</v>
      </c>
      <c r="BR39" s="11">
        <v>0</v>
      </c>
      <c r="BS39" s="11">
        <v>0</v>
      </c>
      <c r="BT39" s="11">
        <v>2</v>
      </c>
      <c r="BU39" s="11">
        <v>4.1666001000000003E-4</v>
      </c>
      <c r="BV39" s="11">
        <v>4.1666001000000003E-4</v>
      </c>
      <c r="BW39" s="11">
        <v>41.289000999999999</v>
      </c>
      <c r="BX39" s="11">
        <v>0</v>
      </c>
      <c r="BY39" s="11" t="str">
        <v>Enter Length</v>
      </c>
    </row>
    <row r="40" spans="1:77" x14ac:dyDescent="0.2">
      <c r="A40" s="1">
        <v>0.38</v>
      </c>
      <c r="B40" s="6">
        <v>850</v>
      </c>
      <c r="C40" s="7">
        <v>0</v>
      </c>
      <c r="D40" s="8">
        <v>0</v>
      </c>
      <c r="E40" s="9">
        <v>62</v>
      </c>
      <c r="F40" s="6">
        <v>0.37193999</v>
      </c>
      <c r="G40" s="7"/>
      <c r="H40" s="8"/>
      <c r="I40" s="9">
        <v>0.30069000000000001</v>
      </c>
      <c r="J40" s="6">
        <v>3.0824001000000001</v>
      </c>
      <c r="K40" s="7">
        <v>0</v>
      </c>
      <c r="L40" s="8">
        <v>0</v>
      </c>
      <c r="M40" s="9">
        <v>2.6774000999999998</v>
      </c>
      <c r="N40" s="6">
        <v>0.17708001000000001</v>
      </c>
      <c r="O40" s="7"/>
      <c r="P40" s="8"/>
      <c r="Q40" s="9">
        <v>1.2916E-2</v>
      </c>
      <c r="R40" s="6">
        <v>1335</v>
      </c>
      <c r="S40" s="7">
        <v>2</v>
      </c>
      <c r="T40" s="8">
        <v>2</v>
      </c>
      <c r="U40" s="9">
        <v>154</v>
      </c>
      <c r="V40" s="6">
        <v>0.27812000999999997</v>
      </c>
      <c r="W40" s="7">
        <v>4.1666001000000003E-4</v>
      </c>
      <c r="X40" s="8">
        <v>4.1666001000000003E-4</v>
      </c>
      <c r="Y40" s="9">
        <v>3.2083001E-2</v>
      </c>
      <c r="Z40" s="6">
        <v>0.82393998000000002</v>
      </c>
      <c r="AA40" s="7">
        <v>4.1666001000000003E-4</v>
      </c>
      <c r="AB40" s="8">
        <v>4.1666001000000003E-4</v>
      </c>
      <c r="AC40" s="9">
        <v>6.6665001000000002E-2</v>
      </c>
      <c r="AD40" s="6">
        <v>1.8620000000000001</v>
      </c>
      <c r="AE40" s="7">
        <v>41.289000999999999</v>
      </c>
      <c r="AF40" s="8">
        <v>41.289000999999999</v>
      </c>
      <c r="AG40" s="9">
        <v>3.8520998999999998</v>
      </c>
      <c r="AH40" s="6">
        <v>0.17862</v>
      </c>
      <c r="AI40" s="7"/>
      <c r="AJ40" s="8"/>
      <c r="AK40" s="9">
        <v>0.17926</v>
      </c>
      <c r="AL40" s="3">
        <f>IF(ISNUMBER(BurstIgor14[[#This Row],[BurstNum_spont]]), IF(ISNUMBER(SpontLength_min), BurstIgor14[[#This Row],[BurstNum_spont]]/SpontLength_min*60, "Enter Length"), "Enter Burst Vals")</f>
        <v>689.18918918918916</v>
      </c>
      <c r="AM4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0" s="11" t="str" cm="1">
        <f t="array" ref="AN40">IF(ISNUMBER(BurstIgor14[[#This Row],[BurstNum_temp2]]), IF(ISNUMBER(Temp2_length), BurstIgor14[[#This Row],[BurstNum_temp2]]/Temp2_length*60, "Enter Length"), "Enter Burst Vals")</f>
        <v>Enter Length</v>
      </c>
      <c r="AO40" s="12" t="str" cm="1">
        <f t="array" ref="AO40">IF(ISNUMBER(BurstIgor14[[#This Row],[BurstNum_temp3]]), IF(ISNUMBER(Temp3_length), BurstIgor14[[#This Row],[BurstNum_temp3]]/Temp3_length*60, "Enter Length"), "Enter Burst Vals")</f>
        <v>Enter Length</v>
      </c>
      <c r="AQ40" s="1">
        <v>0.38</v>
      </c>
      <c r="AR40" s="3">
        <v>850</v>
      </c>
      <c r="AS40" s="3">
        <v>0.37193999</v>
      </c>
      <c r="AT40" s="3">
        <v>3.0824001000000001</v>
      </c>
      <c r="AU40" s="3">
        <v>0.17708001000000001</v>
      </c>
      <c r="AV40" s="3">
        <v>1335</v>
      </c>
      <c r="AW40" s="3">
        <v>0.27812000999999997</v>
      </c>
      <c r="AX40" s="3">
        <v>0.82393998000000002</v>
      </c>
      <c r="AY40" s="3">
        <v>1.8620000000000001</v>
      </c>
      <c r="AZ40" s="3">
        <v>0.17862</v>
      </c>
      <c r="BA40" s="3">
        <v>689.18918918918916</v>
      </c>
      <c r="BC40" s="1">
        <v>0.38</v>
      </c>
      <c r="BD40" s="10">
        <v>0</v>
      </c>
      <c r="BE40" s="10">
        <v>0</v>
      </c>
      <c r="BF40" s="10">
        <v>0</v>
      </c>
      <c r="BG40" s="10">
        <v>0</v>
      </c>
      <c r="BH40" s="10">
        <v>2</v>
      </c>
      <c r="BI40" s="10">
        <v>4.1666001000000003E-4</v>
      </c>
      <c r="BJ40" s="10">
        <v>4.1666001000000003E-4</v>
      </c>
      <c r="BK40" s="10">
        <v>41.289000999999999</v>
      </c>
      <c r="BL40" s="10">
        <v>0</v>
      </c>
      <c r="BM40" s="10" t="str">
        <v>NA</v>
      </c>
      <c r="BO40" s="1">
        <v>0.38</v>
      </c>
      <c r="BP40" s="11">
        <v>0</v>
      </c>
      <c r="BQ40" s="11">
        <v>0</v>
      </c>
      <c r="BR40" s="11">
        <v>0</v>
      </c>
      <c r="BS40" s="11">
        <v>0</v>
      </c>
      <c r="BT40" s="11">
        <v>2</v>
      </c>
      <c r="BU40" s="11">
        <v>4.1666001000000003E-4</v>
      </c>
      <c r="BV40" s="11">
        <v>4.1666001000000003E-4</v>
      </c>
      <c r="BW40" s="11">
        <v>41.289000999999999</v>
      </c>
      <c r="BX40" s="11">
        <v>0</v>
      </c>
      <c r="BY40" s="11" t="str">
        <v>Enter Length</v>
      </c>
    </row>
    <row r="41" spans="1:77" x14ac:dyDescent="0.2">
      <c r="A41" s="1">
        <v>0.39</v>
      </c>
      <c r="B41" s="6">
        <v>850</v>
      </c>
      <c r="C41" s="7">
        <v>0</v>
      </c>
      <c r="D41" s="8">
        <v>0</v>
      </c>
      <c r="E41" s="9">
        <v>62</v>
      </c>
      <c r="F41" s="6">
        <v>0.38688001</v>
      </c>
      <c r="G41" s="7"/>
      <c r="H41" s="8"/>
      <c r="I41" s="9">
        <v>0.31935998999999998</v>
      </c>
      <c r="J41" s="6">
        <v>3.1212000999999998</v>
      </c>
      <c r="K41" s="7">
        <v>0</v>
      </c>
      <c r="L41" s="8">
        <v>0</v>
      </c>
      <c r="M41" s="9">
        <v>2.7258</v>
      </c>
      <c r="N41" s="6">
        <v>0.17708001000000001</v>
      </c>
      <c r="O41" s="7"/>
      <c r="P41" s="8"/>
      <c r="Q41" s="9">
        <v>1.2916E-2</v>
      </c>
      <c r="R41" s="6">
        <v>1302</v>
      </c>
      <c r="S41" s="7">
        <v>2</v>
      </c>
      <c r="T41" s="8">
        <v>2</v>
      </c>
      <c r="U41" s="9">
        <v>151</v>
      </c>
      <c r="V41" s="6">
        <v>0.27123999999999998</v>
      </c>
      <c r="W41" s="7">
        <v>4.1666001000000003E-4</v>
      </c>
      <c r="X41" s="8">
        <v>4.1666001000000003E-4</v>
      </c>
      <c r="Y41" s="9">
        <v>3.1458001999999999E-2</v>
      </c>
      <c r="Z41" s="6">
        <v>0.82393998000000002</v>
      </c>
      <c r="AA41" s="7">
        <v>4.1666001000000003E-4</v>
      </c>
      <c r="AB41" s="8">
        <v>4.1666001000000003E-4</v>
      </c>
      <c r="AC41" s="9">
        <v>6.6665001000000002E-2</v>
      </c>
      <c r="AD41" s="6">
        <v>1.8846999</v>
      </c>
      <c r="AE41" s="7">
        <v>41.289000999999999</v>
      </c>
      <c r="AF41" s="8">
        <v>41.289000999999999</v>
      </c>
      <c r="AG41" s="9">
        <v>3.9012001000000001</v>
      </c>
      <c r="AH41" s="6">
        <v>0.18239</v>
      </c>
      <c r="AI41" s="7"/>
      <c r="AJ41" s="8"/>
      <c r="AK41" s="9">
        <v>0.18504999999999999</v>
      </c>
      <c r="AL41" s="3">
        <f>IF(ISNUMBER(BurstIgor14[[#This Row],[BurstNum_spont]]), IF(ISNUMBER(SpontLength_min), BurstIgor14[[#This Row],[BurstNum_spont]]/SpontLength_min*60, "Enter Length"), "Enter Burst Vals")</f>
        <v>689.18918918918916</v>
      </c>
      <c r="AM4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1" s="11" t="str" cm="1">
        <f t="array" ref="AN41">IF(ISNUMBER(BurstIgor14[[#This Row],[BurstNum_temp2]]), IF(ISNUMBER(Temp2_length), BurstIgor14[[#This Row],[BurstNum_temp2]]/Temp2_length*60, "Enter Length"), "Enter Burst Vals")</f>
        <v>Enter Length</v>
      </c>
      <c r="AO41" s="12" t="str" cm="1">
        <f t="array" ref="AO41">IF(ISNUMBER(BurstIgor14[[#This Row],[BurstNum_temp3]]), IF(ISNUMBER(Temp3_length), BurstIgor14[[#This Row],[BurstNum_temp3]]/Temp3_length*60, "Enter Length"), "Enter Burst Vals")</f>
        <v>Enter Length</v>
      </c>
      <c r="AQ41" s="1">
        <v>0.39</v>
      </c>
      <c r="AR41" s="3">
        <v>850</v>
      </c>
      <c r="AS41" s="3">
        <v>0.38688001</v>
      </c>
      <c r="AT41" s="3">
        <v>3.1212000999999998</v>
      </c>
      <c r="AU41" s="3">
        <v>0.17708001000000001</v>
      </c>
      <c r="AV41" s="3">
        <v>1302</v>
      </c>
      <c r="AW41" s="3">
        <v>0.27123999999999998</v>
      </c>
      <c r="AX41" s="3">
        <v>0.82393998000000002</v>
      </c>
      <c r="AY41" s="3">
        <v>1.8846999</v>
      </c>
      <c r="AZ41" s="3">
        <v>0.18239</v>
      </c>
      <c r="BA41" s="3">
        <v>689.18918918918916</v>
      </c>
      <c r="BC41" s="1">
        <v>0.39</v>
      </c>
      <c r="BD41" s="10">
        <v>0</v>
      </c>
      <c r="BE41" s="10">
        <v>0</v>
      </c>
      <c r="BF41" s="10">
        <v>0</v>
      </c>
      <c r="BG41" s="10">
        <v>0</v>
      </c>
      <c r="BH41" s="10">
        <v>2</v>
      </c>
      <c r="BI41" s="10">
        <v>4.1666001000000003E-4</v>
      </c>
      <c r="BJ41" s="10">
        <v>4.1666001000000003E-4</v>
      </c>
      <c r="BK41" s="10">
        <v>41.289000999999999</v>
      </c>
      <c r="BL41" s="10">
        <v>0</v>
      </c>
      <c r="BM41" s="10" t="str">
        <v>NA</v>
      </c>
      <c r="BO41" s="1">
        <v>0.39</v>
      </c>
      <c r="BP41" s="11">
        <v>0</v>
      </c>
      <c r="BQ41" s="11">
        <v>0</v>
      </c>
      <c r="BR41" s="11">
        <v>0</v>
      </c>
      <c r="BS41" s="11">
        <v>0</v>
      </c>
      <c r="BT41" s="11">
        <v>2</v>
      </c>
      <c r="BU41" s="11">
        <v>4.1666001000000003E-4</v>
      </c>
      <c r="BV41" s="11">
        <v>4.1666001000000003E-4</v>
      </c>
      <c r="BW41" s="11">
        <v>41.289000999999999</v>
      </c>
      <c r="BX41" s="11">
        <v>0</v>
      </c>
      <c r="BY41" s="11" t="str">
        <v>Enter Length</v>
      </c>
    </row>
    <row r="42" spans="1:77" x14ac:dyDescent="0.2">
      <c r="A42" s="1">
        <v>0.4</v>
      </c>
      <c r="B42" s="6">
        <v>856</v>
      </c>
      <c r="C42" s="7">
        <v>0</v>
      </c>
      <c r="D42" s="8">
        <v>0</v>
      </c>
      <c r="E42" s="9">
        <v>62</v>
      </c>
      <c r="F42" s="6">
        <v>0.39897000999999999</v>
      </c>
      <c r="G42" s="7"/>
      <c r="H42" s="8"/>
      <c r="I42" s="9">
        <v>0.31935998999999998</v>
      </c>
      <c r="J42" s="6">
        <v>3.1436999000000001</v>
      </c>
      <c r="K42" s="7">
        <v>0</v>
      </c>
      <c r="L42" s="8">
        <v>0</v>
      </c>
      <c r="M42" s="9">
        <v>2.7258</v>
      </c>
      <c r="N42" s="6">
        <v>0.17832999999999999</v>
      </c>
      <c r="O42" s="7"/>
      <c r="P42" s="8"/>
      <c r="Q42" s="9">
        <v>1.2916E-2</v>
      </c>
      <c r="R42" s="6">
        <v>1264</v>
      </c>
      <c r="S42" s="7">
        <v>2</v>
      </c>
      <c r="T42" s="8">
        <v>2</v>
      </c>
      <c r="U42" s="9">
        <v>151</v>
      </c>
      <c r="V42" s="6">
        <v>0.26333001</v>
      </c>
      <c r="W42" s="7">
        <v>4.1666001000000003E-4</v>
      </c>
      <c r="X42" s="8">
        <v>4.1666001000000003E-4</v>
      </c>
      <c r="Y42" s="9">
        <v>3.1458001999999999E-2</v>
      </c>
      <c r="Z42" s="6">
        <v>0.82393998000000002</v>
      </c>
      <c r="AA42" s="7">
        <v>4.1666001000000003E-4</v>
      </c>
      <c r="AB42" s="8">
        <v>4.1666001000000003E-4</v>
      </c>
      <c r="AC42" s="9">
        <v>6.6665001000000002E-2</v>
      </c>
      <c r="AD42" s="6">
        <v>1.9072</v>
      </c>
      <c r="AE42" s="7">
        <v>41.289000999999999</v>
      </c>
      <c r="AF42" s="8">
        <v>41.289000999999999</v>
      </c>
      <c r="AG42" s="9">
        <v>3.9012001000000001</v>
      </c>
      <c r="AH42" s="6">
        <v>0.18612000000000001</v>
      </c>
      <c r="AI42" s="7"/>
      <c r="AJ42" s="8"/>
      <c r="AK42" s="9">
        <v>0.18504999999999999</v>
      </c>
      <c r="AL42" s="3">
        <f>IF(ISNUMBER(BurstIgor14[[#This Row],[BurstNum_spont]]), IF(ISNUMBER(SpontLength_min), BurstIgor14[[#This Row],[BurstNum_spont]]/SpontLength_min*60, "Enter Length"), "Enter Burst Vals")</f>
        <v>694.05405405405406</v>
      </c>
      <c r="AM4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2" s="11" t="str" cm="1">
        <f t="array" ref="AN42">IF(ISNUMBER(BurstIgor14[[#This Row],[BurstNum_temp2]]), IF(ISNUMBER(Temp2_length), BurstIgor14[[#This Row],[BurstNum_temp2]]/Temp2_length*60, "Enter Length"), "Enter Burst Vals")</f>
        <v>Enter Length</v>
      </c>
      <c r="AO42" s="12" t="str" cm="1">
        <f t="array" ref="AO42">IF(ISNUMBER(BurstIgor14[[#This Row],[BurstNum_temp3]]), IF(ISNUMBER(Temp3_length), BurstIgor14[[#This Row],[BurstNum_temp3]]/Temp3_length*60, "Enter Length"), "Enter Burst Vals")</f>
        <v>Enter Length</v>
      </c>
      <c r="AQ42" s="1">
        <v>0.4</v>
      </c>
      <c r="AR42" s="3">
        <v>856</v>
      </c>
      <c r="AS42" s="3">
        <v>0.39897000999999999</v>
      </c>
      <c r="AT42" s="3">
        <v>3.1436999000000001</v>
      </c>
      <c r="AU42" s="3">
        <v>0.17832999999999999</v>
      </c>
      <c r="AV42" s="3">
        <v>1264</v>
      </c>
      <c r="AW42" s="3">
        <v>0.26333001</v>
      </c>
      <c r="AX42" s="3">
        <v>0.82393998000000002</v>
      </c>
      <c r="AY42" s="3">
        <v>1.9072</v>
      </c>
      <c r="AZ42" s="3">
        <v>0.18612000000000001</v>
      </c>
      <c r="BA42" s="3">
        <v>694.05405405405406</v>
      </c>
      <c r="BC42" s="1">
        <v>0.4</v>
      </c>
      <c r="BD42" s="10">
        <v>0</v>
      </c>
      <c r="BE42" s="10">
        <v>0</v>
      </c>
      <c r="BF42" s="10">
        <v>0</v>
      </c>
      <c r="BG42" s="10">
        <v>0</v>
      </c>
      <c r="BH42" s="10">
        <v>2</v>
      </c>
      <c r="BI42" s="10">
        <v>4.1666001000000003E-4</v>
      </c>
      <c r="BJ42" s="10">
        <v>4.1666001000000003E-4</v>
      </c>
      <c r="BK42" s="10">
        <v>41.289000999999999</v>
      </c>
      <c r="BL42" s="10">
        <v>0</v>
      </c>
      <c r="BM42" s="10" t="str">
        <v>NA</v>
      </c>
      <c r="BO42" s="1">
        <v>0.4</v>
      </c>
      <c r="BP42" s="11">
        <v>0</v>
      </c>
      <c r="BQ42" s="11">
        <v>0</v>
      </c>
      <c r="BR42" s="11">
        <v>0</v>
      </c>
      <c r="BS42" s="11">
        <v>0</v>
      </c>
      <c r="BT42" s="11">
        <v>2</v>
      </c>
      <c r="BU42" s="11">
        <v>4.1666001000000003E-4</v>
      </c>
      <c r="BV42" s="11">
        <v>4.1666001000000003E-4</v>
      </c>
      <c r="BW42" s="11">
        <v>41.289000999999999</v>
      </c>
      <c r="BX42" s="11">
        <v>0</v>
      </c>
      <c r="BY42" s="11" t="str">
        <v>Enter Length</v>
      </c>
    </row>
    <row r="43" spans="1:77" x14ac:dyDescent="0.2">
      <c r="A43" s="1">
        <v>0.41</v>
      </c>
      <c r="B43" s="6">
        <v>847</v>
      </c>
      <c r="C43" s="7">
        <v>0</v>
      </c>
      <c r="D43" s="8">
        <v>0</v>
      </c>
      <c r="E43" s="9">
        <v>62</v>
      </c>
      <c r="F43" s="6">
        <v>0.42044999999999999</v>
      </c>
      <c r="G43" s="7"/>
      <c r="H43" s="8"/>
      <c r="I43" s="9">
        <v>0.31935998999999998</v>
      </c>
      <c r="J43" s="6">
        <v>3.2090000999999999</v>
      </c>
      <c r="K43" s="7">
        <v>0</v>
      </c>
      <c r="L43" s="8">
        <v>0</v>
      </c>
      <c r="M43" s="9">
        <v>2.7258</v>
      </c>
      <c r="N43" s="6">
        <v>0.17645</v>
      </c>
      <c r="O43" s="7"/>
      <c r="P43" s="8"/>
      <c r="Q43" s="9">
        <v>1.2916E-2</v>
      </c>
      <c r="R43" s="6">
        <v>1237</v>
      </c>
      <c r="S43" s="7">
        <v>2</v>
      </c>
      <c r="T43" s="8">
        <v>2</v>
      </c>
      <c r="U43" s="9">
        <v>151</v>
      </c>
      <c r="V43" s="6">
        <v>0.25769999999999998</v>
      </c>
      <c r="W43" s="7">
        <v>4.1666001000000003E-4</v>
      </c>
      <c r="X43" s="8">
        <v>4.1666001000000003E-4</v>
      </c>
      <c r="Y43" s="9">
        <v>3.1458001999999999E-2</v>
      </c>
      <c r="Z43" s="6">
        <v>0.82393998000000002</v>
      </c>
      <c r="AA43" s="7">
        <v>4.1666001000000003E-4</v>
      </c>
      <c r="AB43" s="8">
        <v>4.1666001000000003E-4</v>
      </c>
      <c r="AC43" s="9">
        <v>6.6665001000000002E-2</v>
      </c>
      <c r="AD43" s="6">
        <v>1.9331</v>
      </c>
      <c r="AE43" s="7">
        <v>41.289000999999999</v>
      </c>
      <c r="AF43" s="8">
        <v>41.289000999999999</v>
      </c>
      <c r="AG43" s="9">
        <v>3.9012001000000001</v>
      </c>
      <c r="AH43" s="6">
        <v>0.19034000000000001</v>
      </c>
      <c r="AI43" s="7"/>
      <c r="AJ43" s="8"/>
      <c r="AK43" s="9">
        <v>0.18504999999999999</v>
      </c>
      <c r="AL43" s="3">
        <f>IF(ISNUMBER(BurstIgor14[[#This Row],[BurstNum_spont]]), IF(ISNUMBER(SpontLength_min), BurstIgor14[[#This Row],[BurstNum_spont]]/SpontLength_min*60, "Enter Length"), "Enter Burst Vals")</f>
        <v>686.75675675675677</v>
      </c>
      <c r="AM4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3" s="11" t="str" cm="1">
        <f t="array" ref="AN43">IF(ISNUMBER(BurstIgor14[[#This Row],[BurstNum_temp2]]), IF(ISNUMBER(Temp2_length), BurstIgor14[[#This Row],[BurstNum_temp2]]/Temp2_length*60, "Enter Length"), "Enter Burst Vals")</f>
        <v>Enter Length</v>
      </c>
      <c r="AO43" s="12" t="str" cm="1">
        <f t="array" ref="AO43">IF(ISNUMBER(BurstIgor14[[#This Row],[BurstNum_temp3]]), IF(ISNUMBER(Temp3_length), BurstIgor14[[#This Row],[BurstNum_temp3]]/Temp3_length*60, "Enter Length"), "Enter Burst Vals")</f>
        <v>Enter Length</v>
      </c>
      <c r="AQ43" s="1">
        <v>0.41</v>
      </c>
      <c r="AR43" s="3">
        <v>847</v>
      </c>
      <c r="AS43" s="3">
        <v>0.42044999999999999</v>
      </c>
      <c r="AT43" s="3">
        <v>3.2090000999999999</v>
      </c>
      <c r="AU43" s="3">
        <v>0.17645</v>
      </c>
      <c r="AV43" s="3">
        <v>1237</v>
      </c>
      <c r="AW43" s="3">
        <v>0.25769999999999998</v>
      </c>
      <c r="AX43" s="3">
        <v>0.82393998000000002</v>
      </c>
      <c r="AY43" s="3">
        <v>1.9331</v>
      </c>
      <c r="AZ43" s="3">
        <v>0.19034000000000001</v>
      </c>
      <c r="BA43" s="3">
        <v>686.75675675675677</v>
      </c>
      <c r="BC43" s="1">
        <v>0.41</v>
      </c>
      <c r="BD43" s="10">
        <v>0</v>
      </c>
      <c r="BE43" s="10">
        <v>0</v>
      </c>
      <c r="BF43" s="10">
        <v>0</v>
      </c>
      <c r="BG43" s="10">
        <v>0</v>
      </c>
      <c r="BH43" s="10">
        <v>2</v>
      </c>
      <c r="BI43" s="10">
        <v>4.1666001000000003E-4</v>
      </c>
      <c r="BJ43" s="10">
        <v>4.1666001000000003E-4</v>
      </c>
      <c r="BK43" s="10">
        <v>41.289000999999999</v>
      </c>
      <c r="BL43" s="10">
        <v>0</v>
      </c>
      <c r="BM43" s="10" t="str">
        <v>NA</v>
      </c>
      <c r="BO43" s="1">
        <v>0.41</v>
      </c>
      <c r="BP43" s="11">
        <v>0</v>
      </c>
      <c r="BQ43" s="11">
        <v>0</v>
      </c>
      <c r="BR43" s="11">
        <v>0</v>
      </c>
      <c r="BS43" s="11">
        <v>0</v>
      </c>
      <c r="BT43" s="11">
        <v>2</v>
      </c>
      <c r="BU43" s="11">
        <v>4.1666001000000003E-4</v>
      </c>
      <c r="BV43" s="11">
        <v>4.1666001000000003E-4</v>
      </c>
      <c r="BW43" s="11">
        <v>41.289000999999999</v>
      </c>
      <c r="BX43" s="11">
        <v>0</v>
      </c>
      <c r="BY43" s="11" t="str">
        <v>Enter Length</v>
      </c>
    </row>
    <row r="44" spans="1:77" x14ac:dyDescent="0.2">
      <c r="A44" s="1">
        <v>0.42</v>
      </c>
      <c r="B44" s="6">
        <v>850</v>
      </c>
      <c r="C44" s="7">
        <v>0</v>
      </c>
      <c r="D44" s="8">
        <v>0</v>
      </c>
      <c r="E44" s="9">
        <v>61</v>
      </c>
      <c r="F44" s="6">
        <v>0.43948999</v>
      </c>
      <c r="G44" s="7"/>
      <c r="H44" s="8"/>
      <c r="I44" s="9">
        <v>0.35192999000000003</v>
      </c>
      <c r="J44" s="6">
        <v>3.2506001000000002</v>
      </c>
      <c r="K44" s="7">
        <v>0</v>
      </c>
      <c r="L44" s="8">
        <v>0</v>
      </c>
      <c r="M44" s="9">
        <v>2.8197000000000001</v>
      </c>
      <c r="N44" s="6">
        <v>0.17708001000000001</v>
      </c>
      <c r="O44" s="7"/>
      <c r="P44" s="8"/>
      <c r="Q44" s="9">
        <v>1.2708000000000001E-2</v>
      </c>
      <c r="R44" s="6">
        <v>1192</v>
      </c>
      <c r="S44" s="7">
        <v>2</v>
      </c>
      <c r="T44" s="8">
        <v>2</v>
      </c>
      <c r="U44" s="9">
        <v>148</v>
      </c>
      <c r="V44" s="6">
        <v>0.24833</v>
      </c>
      <c r="W44" s="7">
        <v>4.1666001000000003E-4</v>
      </c>
      <c r="X44" s="8">
        <v>4.1666001000000003E-4</v>
      </c>
      <c r="Y44" s="9">
        <v>3.0832999999999999E-2</v>
      </c>
      <c r="Z44" s="6">
        <v>0.82393998000000002</v>
      </c>
      <c r="AA44" s="7">
        <v>4.1666001000000003E-4</v>
      </c>
      <c r="AB44" s="8">
        <v>4.1666001000000003E-4</v>
      </c>
      <c r="AC44" s="9">
        <v>6.6665001000000002E-2</v>
      </c>
      <c r="AD44" s="6">
        <v>1.9644001</v>
      </c>
      <c r="AE44" s="7">
        <v>41.289000999999999</v>
      </c>
      <c r="AF44" s="8">
        <v>41.289000999999999</v>
      </c>
      <c r="AG44" s="9">
        <v>3.9681999999999999</v>
      </c>
      <c r="AH44" s="6">
        <v>0.19528000000000001</v>
      </c>
      <c r="AI44" s="7"/>
      <c r="AJ44" s="8"/>
      <c r="AK44" s="9">
        <v>0.19340999</v>
      </c>
      <c r="AL44" s="3">
        <f>IF(ISNUMBER(BurstIgor14[[#This Row],[BurstNum_spont]]), IF(ISNUMBER(SpontLength_min), BurstIgor14[[#This Row],[BurstNum_spont]]/SpontLength_min*60, "Enter Length"), "Enter Burst Vals")</f>
        <v>689.18918918918916</v>
      </c>
      <c r="AM4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4" s="11" t="str" cm="1">
        <f t="array" ref="AN44">IF(ISNUMBER(BurstIgor14[[#This Row],[BurstNum_temp2]]), IF(ISNUMBER(Temp2_length), BurstIgor14[[#This Row],[BurstNum_temp2]]/Temp2_length*60, "Enter Length"), "Enter Burst Vals")</f>
        <v>Enter Length</v>
      </c>
      <c r="AO44" s="12" t="str" cm="1">
        <f t="array" ref="AO44">IF(ISNUMBER(BurstIgor14[[#This Row],[BurstNum_temp3]]), IF(ISNUMBER(Temp3_length), BurstIgor14[[#This Row],[BurstNum_temp3]]/Temp3_length*60, "Enter Length"), "Enter Burst Vals")</f>
        <v>Enter Length</v>
      </c>
      <c r="AQ44" s="1">
        <v>0.42</v>
      </c>
      <c r="AR44" s="3">
        <v>850</v>
      </c>
      <c r="AS44" s="3">
        <v>0.43948999</v>
      </c>
      <c r="AT44" s="3">
        <v>3.2506001000000002</v>
      </c>
      <c r="AU44" s="3">
        <v>0.17708001000000001</v>
      </c>
      <c r="AV44" s="3">
        <v>1192</v>
      </c>
      <c r="AW44" s="3">
        <v>0.24833</v>
      </c>
      <c r="AX44" s="3">
        <v>0.82393998000000002</v>
      </c>
      <c r="AY44" s="3">
        <v>1.9644001</v>
      </c>
      <c r="AZ44" s="3">
        <v>0.19528000000000001</v>
      </c>
      <c r="BA44" s="3">
        <v>689.18918918918916</v>
      </c>
      <c r="BC44" s="1">
        <v>0.42</v>
      </c>
      <c r="BD44" s="10">
        <v>0</v>
      </c>
      <c r="BE44" s="10">
        <v>0</v>
      </c>
      <c r="BF44" s="10">
        <v>0</v>
      </c>
      <c r="BG44" s="10">
        <v>0</v>
      </c>
      <c r="BH44" s="10">
        <v>2</v>
      </c>
      <c r="BI44" s="10">
        <v>4.1666001000000003E-4</v>
      </c>
      <c r="BJ44" s="10">
        <v>4.1666001000000003E-4</v>
      </c>
      <c r="BK44" s="10">
        <v>41.289000999999999</v>
      </c>
      <c r="BL44" s="10">
        <v>0</v>
      </c>
      <c r="BM44" s="10" t="str">
        <v>NA</v>
      </c>
      <c r="BO44" s="1">
        <v>0.42</v>
      </c>
      <c r="BP44" s="11">
        <v>0</v>
      </c>
      <c r="BQ44" s="11">
        <v>0</v>
      </c>
      <c r="BR44" s="11">
        <v>0</v>
      </c>
      <c r="BS44" s="11">
        <v>0</v>
      </c>
      <c r="BT44" s="11">
        <v>2</v>
      </c>
      <c r="BU44" s="11">
        <v>4.1666001000000003E-4</v>
      </c>
      <c r="BV44" s="11">
        <v>4.1666001000000003E-4</v>
      </c>
      <c r="BW44" s="11">
        <v>41.289000999999999</v>
      </c>
      <c r="BX44" s="11">
        <v>0</v>
      </c>
      <c r="BY44" s="11" t="str">
        <v>Enter Length</v>
      </c>
    </row>
    <row r="45" spans="1:77" x14ac:dyDescent="0.2">
      <c r="A45" s="1">
        <v>0.43</v>
      </c>
      <c r="B45" s="6">
        <v>850</v>
      </c>
      <c r="C45" s="7">
        <v>0</v>
      </c>
      <c r="D45" s="8">
        <v>0</v>
      </c>
      <c r="E45" s="9">
        <v>61</v>
      </c>
      <c r="F45" s="6">
        <v>0.45699999000000002</v>
      </c>
      <c r="G45" s="7"/>
      <c r="H45" s="8"/>
      <c r="I45" s="9">
        <v>0.35192999000000003</v>
      </c>
      <c r="J45" s="6">
        <v>3.2917999999999998</v>
      </c>
      <c r="K45" s="7">
        <v>0</v>
      </c>
      <c r="L45" s="8">
        <v>0</v>
      </c>
      <c r="M45" s="9">
        <v>2.8197000000000001</v>
      </c>
      <c r="N45" s="6">
        <v>0.17708001000000001</v>
      </c>
      <c r="O45" s="7"/>
      <c r="P45" s="8"/>
      <c r="Q45" s="9">
        <v>1.2708000000000001E-2</v>
      </c>
      <c r="R45" s="6">
        <v>1157</v>
      </c>
      <c r="S45" s="7">
        <v>2</v>
      </c>
      <c r="T45" s="8">
        <v>2</v>
      </c>
      <c r="U45" s="9">
        <v>148</v>
      </c>
      <c r="V45" s="6">
        <v>0.24104001</v>
      </c>
      <c r="W45" s="7">
        <v>4.1666001000000003E-4</v>
      </c>
      <c r="X45" s="8">
        <v>4.1666001000000003E-4</v>
      </c>
      <c r="Y45" s="9">
        <v>3.0832999999999999E-2</v>
      </c>
      <c r="Z45" s="6">
        <v>0.82393998000000002</v>
      </c>
      <c r="AA45" s="7">
        <v>4.1666001000000003E-4</v>
      </c>
      <c r="AB45" s="8">
        <v>4.1666001000000003E-4</v>
      </c>
      <c r="AC45" s="9">
        <v>6.6665001000000002E-2</v>
      </c>
      <c r="AD45" s="6">
        <v>1.9912000000000001</v>
      </c>
      <c r="AE45" s="7">
        <v>41.289000999999999</v>
      </c>
      <c r="AF45" s="8">
        <v>41.289000999999999</v>
      </c>
      <c r="AG45" s="9">
        <v>3.9681999999999999</v>
      </c>
      <c r="AH45" s="6">
        <v>0.19941001</v>
      </c>
      <c r="AI45" s="7"/>
      <c r="AJ45" s="8"/>
      <c r="AK45" s="9">
        <v>0.19340999</v>
      </c>
      <c r="AL45" s="3">
        <f>IF(ISNUMBER(BurstIgor14[[#This Row],[BurstNum_spont]]), IF(ISNUMBER(SpontLength_min), BurstIgor14[[#This Row],[BurstNum_spont]]/SpontLength_min*60, "Enter Length"), "Enter Burst Vals")</f>
        <v>689.18918918918916</v>
      </c>
      <c r="AM4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5" s="11" t="str" cm="1">
        <f t="array" ref="AN45">IF(ISNUMBER(BurstIgor14[[#This Row],[BurstNum_temp2]]), IF(ISNUMBER(Temp2_length), BurstIgor14[[#This Row],[BurstNum_temp2]]/Temp2_length*60, "Enter Length"), "Enter Burst Vals")</f>
        <v>Enter Length</v>
      </c>
      <c r="AO45" s="12" t="str" cm="1">
        <f t="array" ref="AO45">IF(ISNUMBER(BurstIgor14[[#This Row],[BurstNum_temp3]]), IF(ISNUMBER(Temp3_length), BurstIgor14[[#This Row],[BurstNum_temp3]]/Temp3_length*60, "Enter Length"), "Enter Burst Vals")</f>
        <v>Enter Length</v>
      </c>
      <c r="AQ45" s="1">
        <v>0.43</v>
      </c>
      <c r="AR45" s="3">
        <v>850</v>
      </c>
      <c r="AS45" s="3">
        <v>0.45699999000000002</v>
      </c>
      <c r="AT45" s="3">
        <v>3.2917999999999998</v>
      </c>
      <c r="AU45" s="3">
        <v>0.17708001000000001</v>
      </c>
      <c r="AV45" s="3">
        <v>1157</v>
      </c>
      <c r="AW45" s="3">
        <v>0.24104001</v>
      </c>
      <c r="AX45" s="3">
        <v>0.82393998000000002</v>
      </c>
      <c r="AY45" s="3">
        <v>1.9912000000000001</v>
      </c>
      <c r="AZ45" s="3">
        <v>0.19941001</v>
      </c>
      <c r="BA45" s="3">
        <v>689.18918918918916</v>
      </c>
      <c r="BC45" s="1">
        <v>0.43</v>
      </c>
      <c r="BD45" s="10">
        <v>0</v>
      </c>
      <c r="BE45" s="10">
        <v>0</v>
      </c>
      <c r="BF45" s="10">
        <v>0</v>
      </c>
      <c r="BG45" s="10">
        <v>0</v>
      </c>
      <c r="BH45" s="10">
        <v>2</v>
      </c>
      <c r="BI45" s="10">
        <v>4.1666001000000003E-4</v>
      </c>
      <c r="BJ45" s="10">
        <v>4.1666001000000003E-4</v>
      </c>
      <c r="BK45" s="10">
        <v>41.289000999999999</v>
      </c>
      <c r="BL45" s="10">
        <v>0</v>
      </c>
      <c r="BM45" s="10" t="str">
        <v>NA</v>
      </c>
      <c r="BO45" s="1">
        <v>0.43</v>
      </c>
      <c r="BP45" s="11">
        <v>0</v>
      </c>
      <c r="BQ45" s="11">
        <v>0</v>
      </c>
      <c r="BR45" s="11">
        <v>0</v>
      </c>
      <c r="BS45" s="11">
        <v>0</v>
      </c>
      <c r="BT45" s="11">
        <v>2</v>
      </c>
      <c r="BU45" s="11">
        <v>4.1666001000000003E-4</v>
      </c>
      <c r="BV45" s="11">
        <v>4.1666001000000003E-4</v>
      </c>
      <c r="BW45" s="11">
        <v>41.289000999999999</v>
      </c>
      <c r="BX45" s="11">
        <v>0</v>
      </c>
      <c r="BY45" s="11" t="str">
        <v>Enter Length</v>
      </c>
    </row>
    <row r="46" spans="1:77" x14ac:dyDescent="0.2">
      <c r="A46" s="1">
        <v>0.44</v>
      </c>
      <c r="B46" s="6">
        <v>846</v>
      </c>
      <c r="C46" s="7">
        <v>0</v>
      </c>
      <c r="D46" s="8">
        <v>0</v>
      </c>
      <c r="E46" s="9">
        <v>60</v>
      </c>
      <c r="F46" s="6">
        <v>0.47408</v>
      </c>
      <c r="G46" s="7"/>
      <c r="H46" s="8"/>
      <c r="I46" s="9">
        <v>0.37228</v>
      </c>
      <c r="J46" s="6">
        <v>3.3369</v>
      </c>
      <c r="K46" s="7">
        <v>0</v>
      </c>
      <c r="L46" s="8">
        <v>0</v>
      </c>
      <c r="M46" s="9">
        <v>2.8833001</v>
      </c>
      <c r="N46" s="6">
        <v>0.17624999999999999</v>
      </c>
      <c r="O46" s="7"/>
      <c r="P46" s="8"/>
      <c r="Q46" s="9">
        <v>1.2500000000000001E-2</v>
      </c>
      <c r="R46" s="6">
        <v>1132</v>
      </c>
      <c r="S46" s="7">
        <v>2</v>
      </c>
      <c r="T46" s="8">
        <v>2</v>
      </c>
      <c r="U46" s="9">
        <v>147</v>
      </c>
      <c r="V46" s="6">
        <v>0.23582998999999999</v>
      </c>
      <c r="W46" s="7">
        <v>4.1666001000000003E-4</v>
      </c>
      <c r="X46" s="8">
        <v>4.1666001000000003E-4</v>
      </c>
      <c r="Y46" s="9">
        <v>3.0623999999999998E-2</v>
      </c>
      <c r="Z46" s="6">
        <v>0.82393998000000002</v>
      </c>
      <c r="AA46" s="7">
        <v>4.1666001000000003E-4</v>
      </c>
      <c r="AB46" s="8">
        <v>4.1666001000000003E-4</v>
      </c>
      <c r="AC46" s="9">
        <v>6.6665001000000002E-2</v>
      </c>
      <c r="AD46" s="6">
        <v>2.0139999</v>
      </c>
      <c r="AE46" s="7">
        <v>41.289000999999999</v>
      </c>
      <c r="AF46" s="8">
        <v>41.289000999999999</v>
      </c>
      <c r="AG46" s="9">
        <v>4.0025000999999998</v>
      </c>
      <c r="AH46" s="6">
        <v>0.20286999999999999</v>
      </c>
      <c r="AI46" s="7"/>
      <c r="AJ46" s="8"/>
      <c r="AK46" s="9">
        <v>0.19767000000000001</v>
      </c>
      <c r="AL46" s="3">
        <f>IF(ISNUMBER(BurstIgor14[[#This Row],[BurstNum_spont]]), IF(ISNUMBER(SpontLength_min), BurstIgor14[[#This Row],[BurstNum_spont]]/SpontLength_min*60, "Enter Length"), "Enter Burst Vals")</f>
        <v>685.94594594594594</v>
      </c>
      <c r="AM4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6" s="11" t="str" cm="1">
        <f t="array" ref="AN46">IF(ISNUMBER(BurstIgor14[[#This Row],[BurstNum_temp2]]), IF(ISNUMBER(Temp2_length), BurstIgor14[[#This Row],[BurstNum_temp2]]/Temp2_length*60, "Enter Length"), "Enter Burst Vals")</f>
        <v>Enter Length</v>
      </c>
      <c r="AO46" s="12" t="str" cm="1">
        <f t="array" ref="AO46">IF(ISNUMBER(BurstIgor14[[#This Row],[BurstNum_temp3]]), IF(ISNUMBER(Temp3_length), BurstIgor14[[#This Row],[BurstNum_temp3]]/Temp3_length*60, "Enter Length"), "Enter Burst Vals")</f>
        <v>Enter Length</v>
      </c>
      <c r="AQ46" s="1">
        <v>0.44</v>
      </c>
      <c r="AR46" s="3">
        <v>846</v>
      </c>
      <c r="AS46" s="3">
        <v>0.47408</v>
      </c>
      <c r="AT46" s="3">
        <v>3.3369</v>
      </c>
      <c r="AU46" s="3">
        <v>0.17624999999999999</v>
      </c>
      <c r="AV46" s="3">
        <v>1132</v>
      </c>
      <c r="AW46" s="3">
        <v>0.23582998999999999</v>
      </c>
      <c r="AX46" s="3">
        <v>0.82393998000000002</v>
      </c>
      <c r="AY46" s="3">
        <v>2.0139999</v>
      </c>
      <c r="AZ46" s="3">
        <v>0.20286999999999999</v>
      </c>
      <c r="BA46" s="3">
        <v>685.94594594594594</v>
      </c>
      <c r="BC46" s="1">
        <v>0.44</v>
      </c>
      <c r="BD46" s="10">
        <v>0</v>
      </c>
      <c r="BE46" s="10">
        <v>0</v>
      </c>
      <c r="BF46" s="10">
        <v>0</v>
      </c>
      <c r="BG46" s="10">
        <v>0</v>
      </c>
      <c r="BH46" s="10">
        <v>2</v>
      </c>
      <c r="BI46" s="10">
        <v>4.1666001000000003E-4</v>
      </c>
      <c r="BJ46" s="10">
        <v>4.1666001000000003E-4</v>
      </c>
      <c r="BK46" s="10">
        <v>41.289000999999999</v>
      </c>
      <c r="BL46" s="10">
        <v>0</v>
      </c>
      <c r="BM46" s="10" t="str">
        <v>NA</v>
      </c>
      <c r="BO46" s="1">
        <v>0.44</v>
      </c>
      <c r="BP46" s="11">
        <v>0</v>
      </c>
      <c r="BQ46" s="11">
        <v>0</v>
      </c>
      <c r="BR46" s="11">
        <v>0</v>
      </c>
      <c r="BS46" s="11">
        <v>0</v>
      </c>
      <c r="BT46" s="11">
        <v>2</v>
      </c>
      <c r="BU46" s="11">
        <v>4.1666001000000003E-4</v>
      </c>
      <c r="BV46" s="11">
        <v>4.1666001000000003E-4</v>
      </c>
      <c r="BW46" s="11">
        <v>41.289000999999999</v>
      </c>
      <c r="BX46" s="11">
        <v>0</v>
      </c>
      <c r="BY46" s="11" t="str">
        <v>Enter Length</v>
      </c>
    </row>
    <row r="47" spans="1:77" x14ac:dyDescent="0.2">
      <c r="A47" s="1">
        <v>0.45</v>
      </c>
      <c r="B47" s="6">
        <v>846</v>
      </c>
      <c r="C47" s="7">
        <v>0</v>
      </c>
      <c r="D47" s="8">
        <v>0</v>
      </c>
      <c r="E47" s="9">
        <v>60</v>
      </c>
      <c r="F47" s="6">
        <v>0.48616000999999998</v>
      </c>
      <c r="G47" s="7"/>
      <c r="H47" s="8"/>
      <c r="I47" s="9">
        <v>0.37228</v>
      </c>
      <c r="J47" s="6">
        <v>3.3641000000000001</v>
      </c>
      <c r="K47" s="7">
        <v>0</v>
      </c>
      <c r="L47" s="8">
        <v>0</v>
      </c>
      <c r="M47" s="9">
        <v>2.8833001</v>
      </c>
      <c r="N47" s="6">
        <v>0.17624999999999999</v>
      </c>
      <c r="O47" s="7"/>
      <c r="P47" s="8"/>
      <c r="Q47" s="9">
        <v>1.2500000000000001E-2</v>
      </c>
      <c r="R47" s="6">
        <v>1109</v>
      </c>
      <c r="S47" s="7">
        <v>2</v>
      </c>
      <c r="T47" s="8">
        <v>2</v>
      </c>
      <c r="U47" s="9">
        <v>147</v>
      </c>
      <c r="V47" s="6">
        <v>0.23104</v>
      </c>
      <c r="W47" s="7">
        <v>4.1666001000000003E-4</v>
      </c>
      <c r="X47" s="8">
        <v>4.1666001000000003E-4</v>
      </c>
      <c r="Y47" s="9">
        <v>3.0623999999999998E-2</v>
      </c>
      <c r="Z47" s="6">
        <v>0.82393998000000002</v>
      </c>
      <c r="AA47" s="7">
        <v>4.1666001000000003E-4</v>
      </c>
      <c r="AB47" s="8">
        <v>4.1666001000000003E-4</v>
      </c>
      <c r="AC47" s="9">
        <v>6.6665001000000002E-2</v>
      </c>
      <c r="AD47" s="6">
        <v>2.0325000000000002</v>
      </c>
      <c r="AE47" s="7">
        <v>41.289000999999999</v>
      </c>
      <c r="AF47" s="8">
        <v>41.289000999999999</v>
      </c>
      <c r="AG47" s="9">
        <v>4.0025000999999998</v>
      </c>
      <c r="AH47" s="6">
        <v>0.20565</v>
      </c>
      <c r="AI47" s="7"/>
      <c r="AJ47" s="8"/>
      <c r="AK47" s="9">
        <v>0.19767000000000001</v>
      </c>
      <c r="AL47" s="3">
        <f>IF(ISNUMBER(BurstIgor14[[#This Row],[BurstNum_spont]]), IF(ISNUMBER(SpontLength_min), BurstIgor14[[#This Row],[BurstNum_spont]]/SpontLength_min*60, "Enter Length"), "Enter Burst Vals")</f>
        <v>685.94594594594594</v>
      </c>
      <c r="AM4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7" s="11" t="str" cm="1">
        <f t="array" ref="AN47">IF(ISNUMBER(BurstIgor14[[#This Row],[BurstNum_temp2]]), IF(ISNUMBER(Temp2_length), BurstIgor14[[#This Row],[BurstNum_temp2]]/Temp2_length*60, "Enter Length"), "Enter Burst Vals")</f>
        <v>Enter Length</v>
      </c>
      <c r="AO47" s="12" t="str" cm="1">
        <f t="array" ref="AO47">IF(ISNUMBER(BurstIgor14[[#This Row],[BurstNum_temp3]]), IF(ISNUMBER(Temp3_length), BurstIgor14[[#This Row],[BurstNum_temp3]]/Temp3_length*60, "Enter Length"), "Enter Burst Vals")</f>
        <v>Enter Length</v>
      </c>
      <c r="AQ47" s="1">
        <v>0.45</v>
      </c>
      <c r="AR47" s="3">
        <v>846</v>
      </c>
      <c r="AS47" s="3">
        <v>0.48616000999999998</v>
      </c>
      <c r="AT47" s="3">
        <v>3.3641000000000001</v>
      </c>
      <c r="AU47" s="3">
        <v>0.17624999999999999</v>
      </c>
      <c r="AV47" s="3">
        <v>1109</v>
      </c>
      <c r="AW47" s="3">
        <v>0.23104</v>
      </c>
      <c r="AX47" s="3">
        <v>0.82393998000000002</v>
      </c>
      <c r="AY47" s="3">
        <v>2.0325000000000002</v>
      </c>
      <c r="AZ47" s="3">
        <v>0.20565</v>
      </c>
      <c r="BA47" s="3">
        <v>685.94594594594594</v>
      </c>
      <c r="BC47" s="1">
        <v>0.45</v>
      </c>
      <c r="BD47" s="10">
        <v>0</v>
      </c>
      <c r="BE47" s="10">
        <v>0</v>
      </c>
      <c r="BF47" s="10">
        <v>0</v>
      </c>
      <c r="BG47" s="10">
        <v>0</v>
      </c>
      <c r="BH47" s="10">
        <v>2</v>
      </c>
      <c r="BI47" s="10">
        <v>4.1666001000000003E-4</v>
      </c>
      <c r="BJ47" s="10">
        <v>4.1666001000000003E-4</v>
      </c>
      <c r="BK47" s="10">
        <v>41.289000999999999</v>
      </c>
      <c r="BL47" s="10">
        <v>0</v>
      </c>
      <c r="BM47" s="10" t="str">
        <v>NA</v>
      </c>
      <c r="BO47" s="1">
        <v>0.45</v>
      </c>
      <c r="BP47" s="11">
        <v>0</v>
      </c>
      <c r="BQ47" s="11">
        <v>0</v>
      </c>
      <c r="BR47" s="11">
        <v>0</v>
      </c>
      <c r="BS47" s="11">
        <v>0</v>
      </c>
      <c r="BT47" s="11">
        <v>2</v>
      </c>
      <c r="BU47" s="11">
        <v>4.1666001000000003E-4</v>
      </c>
      <c r="BV47" s="11">
        <v>4.1666001000000003E-4</v>
      </c>
      <c r="BW47" s="11">
        <v>41.289000999999999</v>
      </c>
      <c r="BX47" s="11">
        <v>0</v>
      </c>
      <c r="BY47" s="11" t="str">
        <v>Enter Length</v>
      </c>
    </row>
    <row r="48" spans="1:77" x14ac:dyDescent="0.2">
      <c r="A48" s="1">
        <v>0.46</v>
      </c>
      <c r="B48" s="6">
        <v>849</v>
      </c>
      <c r="C48" s="7">
        <v>0</v>
      </c>
      <c r="D48" s="8">
        <v>0</v>
      </c>
      <c r="E48" s="9">
        <v>60</v>
      </c>
      <c r="F48" s="6">
        <v>0.50212002</v>
      </c>
      <c r="G48" s="7"/>
      <c r="H48" s="8"/>
      <c r="I48" s="9">
        <v>0.37983</v>
      </c>
      <c r="J48" s="6">
        <v>3.3945998999999998</v>
      </c>
      <c r="K48" s="7">
        <v>0</v>
      </c>
      <c r="L48" s="8">
        <v>0</v>
      </c>
      <c r="M48" s="9">
        <v>2.9000001000000002</v>
      </c>
      <c r="N48" s="6">
        <v>0.17687</v>
      </c>
      <c r="O48" s="7"/>
      <c r="P48" s="8"/>
      <c r="Q48" s="9">
        <v>1.2500000000000001E-2</v>
      </c>
      <c r="R48" s="6">
        <v>1073</v>
      </c>
      <c r="S48" s="7">
        <v>2</v>
      </c>
      <c r="T48" s="8">
        <v>2</v>
      </c>
      <c r="U48" s="9">
        <v>146</v>
      </c>
      <c r="V48" s="6">
        <v>0.22353998999999999</v>
      </c>
      <c r="W48" s="7">
        <v>4.1666001000000003E-4</v>
      </c>
      <c r="X48" s="8">
        <v>4.1666001000000003E-4</v>
      </c>
      <c r="Y48" s="9">
        <v>3.0416001000000002E-2</v>
      </c>
      <c r="Z48" s="6">
        <v>0.82393998000000002</v>
      </c>
      <c r="AA48" s="7">
        <v>4.1666001000000003E-4</v>
      </c>
      <c r="AB48" s="8">
        <v>4.1666001000000003E-4</v>
      </c>
      <c r="AC48" s="9">
        <v>6.6665001000000002E-2</v>
      </c>
      <c r="AD48" s="6">
        <v>2.0596000999999999</v>
      </c>
      <c r="AE48" s="7">
        <v>41.289000999999999</v>
      </c>
      <c r="AF48" s="8">
        <v>41.289000999999999</v>
      </c>
      <c r="AG48" s="9">
        <v>4.0198001999999997</v>
      </c>
      <c r="AH48" s="6">
        <v>0.20968999999999999</v>
      </c>
      <c r="AI48" s="7"/>
      <c r="AJ48" s="8"/>
      <c r="AK48" s="9">
        <v>0.19991</v>
      </c>
      <c r="AL48" s="3">
        <f>IF(ISNUMBER(BurstIgor14[[#This Row],[BurstNum_spont]]), IF(ISNUMBER(SpontLength_min), BurstIgor14[[#This Row],[BurstNum_spont]]/SpontLength_min*60, "Enter Length"), "Enter Burst Vals")</f>
        <v>688.37837837837844</v>
      </c>
      <c r="AM4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8" s="11" t="str" cm="1">
        <f t="array" ref="AN48">IF(ISNUMBER(BurstIgor14[[#This Row],[BurstNum_temp2]]), IF(ISNUMBER(Temp2_length), BurstIgor14[[#This Row],[BurstNum_temp2]]/Temp2_length*60, "Enter Length"), "Enter Burst Vals")</f>
        <v>Enter Length</v>
      </c>
      <c r="AO48" s="12" t="str" cm="1">
        <f t="array" ref="AO48">IF(ISNUMBER(BurstIgor14[[#This Row],[BurstNum_temp3]]), IF(ISNUMBER(Temp3_length), BurstIgor14[[#This Row],[BurstNum_temp3]]/Temp3_length*60, "Enter Length"), "Enter Burst Vals")</f>
        <v>Enter Length</v>
      </c>
      <c r="AQ48" s="1">
        <v>0.46</v>
      </c>
      <c r="AR48" s="3">
        <v>849</v>
      </c>
      <c r="AS48" s="3">
        <v>0.50212002</v>
      </c>
      <c r="AT48" s="3">
        <v>3.3945998999999998</v>
      </c>
      <c r="AU48" s="3">
        <v>0.17687</v>
      </c>
      <c r="AV48" s="3">
        <v>1073</v>
      </c>
      <c r="AW48" s="3">
        <v>0.22353998999999999</v>
      </c>
      <c r="AX48" s="3">
        <v>0.82393998000000002</v>
      </c>
      <c r="AY48" s="3">
        <v>2.0596000999999999</v>
      </c>
      <c r="AZ48" s="3">
        <v>0.20968999999999999</v>
      </c>
      <c r="BA48" s="3">
        <v>688.37837837837844</v>
      </c>
      <c r="BC48" s="1">
        <v>0.46</v>
      </c>
      <c r="BD48" s="10">
        <v>0</v>
      </c>
      <c r="BE48" s="10">
        <v>0</v>
      </c>
      <c r="BF48" s="10">
        <v>0</v>
      </c>
      <c r="BG48" s="10">
        <v>0</v>
      </c>
      <c r="BH48" s="10">
        <v>2</v>
      </c>
      <c r="BI48" s="10">
        <v>4.1666001000000003E-4</v>
      </c>
      <c r="BJ48" s="10">
        <v>4.1666001000000003E-4</v>
      </c>
      <c r="BK48" s="10">
        <v>41.289000999999999</v>
      </c>
      <c r="BL48" s="10">
        <v>0</v>
      </c>
      <c r="BM48" s="10" t="str">
        <v>NA</v>
      </c>
      <c r="BO48" s="1">
        <v>0.46</v>
      </c>
      <c r="BP48" s="11">
        <v>0</v>
      </c>
      <c r="BQ48" s="11">
        <v>0</v>
      </c>
      <c r="BR48" s="11">
        <v>0</v>
      </c>
      <c r="BS48" s="11">
        <v>0</v>
      </c>
      <c r="BT48" s="11">
        <v>2</v>
      </c>
      <c r="BU48" s="11">
        <v>4.1666001000000003E-4</v>
      </c>
      <c r="BV48" s="11">
        <v>4.1666001000000003E-4</v>
      </c>
      <c r="BW48" s="11">
        <v>41.289000999999999</v>
      </c>
      <c r="BX48" s="11">
        <v>0</v>
      </c>
      <c r="BY48" s="11" t="str">
        <v>Enter Length</v>
      </c>
    </row>
    <row r="49" spans="1:77" x14ac:dyDescent="0.2">
      <c r="A49" s="1">
        <v>0.47</v>
      </c>
      <c r="B49" s="6">
        <v>853</v>
      </c>
      <c r="C49" s="7">
        <v>0</v>
      </c>
      <c r="D49" s="8">
        <v>0</v>
      </c>
      <c r="E49" s="9">
        <v>62</v>
      </c>
      <c r="F49" s="6">
        <v>0.51230001000000003</v>
      </c>
      <c r="G49" s="7"/>
      <c r="H49" s="8"/>
      <c r="I49" s="9">
        <v>0.38249999000000001</v>
      </c>
      <c r="J49" s="6">
        <v>3.4102999999999999</v>
      </c>
      <c r="K49" s="7">
        <v>0</v>
      </c>
      <c r="L49" s="8">
        <v>0</v>
      </c>
      <c r="M49" s="9">
        <v>2.8710000999999998</v>
      </c>
      <c r="N49" s="6">
        <v>0.1777</v>
      </c>
      <c r="O49" s="7"/>
      <c r="P49" s="8"/>
      <c r="Q49" s="9">
        <v>1.2916E-2</v>
      </c>
      <c r="R49" s="6">
        <v>1046</v>
      </c>
      <c r="S49" s="7">
        <v>2</v>
      </c>
      <c r="T49" s="8">
        <v>2</v>
      </c>
      <c r="U49" s="9">
        <v>142</v>
      </c>
      <c r="V49" s="6">
        <v>0.21791000999999999</v>
      </c>
      <c r="W49" s="7">
        <v>4.1666001000000003E-4</v>
      </c>
      <c r="X49" s="8">
        <v>4.1666001000000003E-4</v>
      </c>
      <c r="Y49" s="9">
        <v>2.9583000000000002E-2</v>
      </c>
      <c r="Z49" s="6">
        <v>0.82393998000000002</v>
      </c>
      <c r="AA49" s="7">
        <v>4.1666001000000003E-4</v>
      </c>
      <c r="AB49" s="8">
        <v>4.1666001000000003E-4</v>
      </c>
      <c r="AC49" s="9">
        <v>6.6665001000000002E-2</v>
      </c>
      <c r="AD49" s="6">
        <v>2.0789000999999998</v>
      </c>
      <c r="AE49" s="7">
        <v>41.289000999999999</v>
      </c>
      <c r="AF49" s="8">
        <v>41.289000999999999</v>
      </c>
      <c r="AG49" s="9">
        <v>4.0548000000000002</v>
      </c>
      <c r="AH49" s="6">
        <v>0.21254000000000001</v>
      </c>
      <c r="AI49" s="7"/>
      <c r="AJ49" s="8"/>
      <c r="AK49" s="9">
        <v>0.20444000000000001</v>
      </c>
      <c r="AL49" s="3">
        <f>IF(ISNUMBER(BurstIgor14[[#This Row],[BurstNum_spont]]), IF(ISNUMBER(SpontLength_min), BurstIgor14[[#This Row],[BurstNum_spont]]/SpontLength_min*60, "Enter Length"), "Enter Burst Vals")</f>
        <v>691.62162162162156</v>
      </c>
      <c r="AM4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49" s="11" t="str" cm="1">
        <f t="array" ref="AN49">IF(ISNUMBER(BurstIgor14[[#This Row],[BurstNum_temp2]]), IF(ISNUMBER(Temp2_length), BurstIgor14[[#This Row],[BurstNum_temp2]]/Temp2_length*60, "Enter Length"), "Enter Burst Vals")</f>
        <v>Enter Length</v>
      </c>
      <c r="AO49" s="12" t="str" cm="1">
        <f t="array" ref="AO49">IF(ISNUMBER(BurstIgor14[[#This Row],[BurstNum_temp3]]), IF(ISNUMBER(Temp3_length), BurstIgor14[[#This Row],[BurstNum_temp3]]/Temp3_length*60, "Enter Length"), "Enter Burst Vals")</f>
        <v>Enter Length</v>
      </c>
      <c r="AQ49" s="1">
        <v>0.47</v>
      </c>
      <c r="AR49" s="3">
        <v>853</v>
      </c>
      <c r="AS49" s="3">
        <v>0.51230001000000003</v>
      </c>
      <c r="AT49" s="3">
        <v>3.4102999999999999</v>
      </c>
      <c r="AU49" s="3">
        <v>0.1777</v>
      </c>
      <c r="AV49" s="3">
        <v>1046</v>
      </c>
      <c r="AW49" s="3">
        <v>0.21791000999999999</v>
      </c>
      <c r="AX49" s="3">
        <v>0.82393998000000002</v>
      </c>
      <c r="AY49" s="3">
        <v>2.0789000999999998</v>
      </c>
      <c r="AZ49" s="3">
        <v>0.21254000000000001</v>
      </c>
      <c r="BA49" s="3">
        <v>691.62162162162156</v>
      </c>
      <c r="BC49" s="1">
        <v>0.47</v>
      </c>
      <c r="BD49" s="10">
        <v>0</v>
      </c>
      <c r="BE49" s="10">
        <v>0</v>
      </c>
      <c r="BF49" s="10">
        <v>0</v>
      </c>
      <c r="BG49" s="10">
        <v>0</v>
      </c>
      <c r="BH49" s="10">
        <v>2</v>
      </c>
      <c r="BI49" s="10">
        <v>4.1666001000000003E-4</v>
      </c>
      <c r="BJ49" s="10">
        <v>4.1666001000000003E-4</v>
      </c>
      <c r="BK49" s="10">
        <v>41.289000999999999</v>
      </c>
      <c r="BL49" s="10">
        <v>0</v>
      </c>
      <c r="BM49" s="10" t="str">
        <v>NA</v>
      </c>
      <c r="BO49" s="1">
        <v>0.47</v>
      </c>
      <c r="BP49" s="11">
        <v>0</v>
      </c>
      <c r="BQ49" s="11">
        <v>0</v>
      </c>
      <c r="BR49" s="11">
        <v>0</v>
      </c>
      <c r="BS49" s="11">
        <v>0</v>
      </c>
      <c r="BT49" s="11">
        <v>2</v>
      </c>
      <c r="BU49" s="11">
        <v>4.1666001000000003E-4</v>
      </c>
      <c r="BV49" s="11">
        <v>4.1666001000000003E-4</v>
      </c>
      <c r="BW49" s="11">
        <v>41.289000999999999</v>
      </c>
      <c r="BX49" s="11">
        <v>0</v>
      </c>
      <c r="BY49" s="11" t="str">
        <v>Enter Length</v>
      </c>
    </row>
    <row r="50" spans="1:77" x14ac:dyDescent="0.2">
      <c r="A50" s="1">
        <v>0.48</v>
      </c>
      <c r="B50" s="6">
        <v>852</v>
      </c>
      <c r="C50" s="7">
        <v>0</v>
      </c>
      <c r="D50" s="8">
        <v>0</v>
      </c>
      <c r="E50" s="9">
        <v>63</v>
      </c>
      <c r="F50" s="6">
        <v>0.52740001999999997</v>
      </c>
      <c r="G50" s="7"/>
      <c r="H50" s="8"/>
      <c r="I50" s="9">
        <v>0.41413999000000001</v>
      </c>
      <c r="J50" s="6">
        <v>3.4437001</v>
      </c>
      <c r="K50" s="7">
        <v>0</v>
      </c>
      <c r="L50" s="8">
        <v>0</v>
      </c>
      <c r="M50" s="9">
        <v>2.9205999</v>
      </c>
      <c r="N50" s="6">
        <v>0.17749999</v>
      </c>
      <c r="O50" s="7"/>
      <c r="P50" s="8"/>
      <c r="Q50" s="9">
        <v>1.3125E-2</v>
      </c>
      <c r="R50" s="6">
        <v>1021</v>
      </c>
      <c r="S50" s="7">
        <v>2</v>
      </c>
      <c r="T50" s="8">
        <v>2</v>
      </c>
      <c r="U50" s="9">
        <v>136</v>
      </c>
      <c r="V50" s="6">
        <v>0.21269999000000001</v>
      </c>
      <c r="W50" s="7">
        <v>4.1666001000000003E-4</v>
      </c>
      <c r="X50" s="8">
        <v>4.1666001000000003E-4</v>
      </c>
      <c r="Y50" s="9">
        <v>2.8333001E-2</v>
      </c>
      <c r="Z50" s="6">
        <v>0.82393998000000002</v>
      </c>
      <c r="AA50" s="7">
        <v>4.1666001000000003E-4</v>
      </c>
      <c r="AB50" s="8">
        <v>4.1666001000000003E-4</v>
      </c>
      <c r="AC50" s="9">
        <v>6.6665001000000002E-2</v>
      </c>
      <c r="AD50" s="6">
        <v>2.1012000999999998</v>
      </c>
      <c r="AE50" s="7">
        <v>41.289000999999999</v>
      </c>
      <c r="AF50" s="8">
        <v>41.289000999999999</v>
      </c>
      <c r="AG50" s="9">
        <v>4.1451998000000003</v>
      </c>
      <c r="AH50" s="6">
        <v>0.21582000000000001</v>
      </c>
      <c r="AI50" s="7"/>
      <c r="AJ50" s="8"/>
      <c r="AK50" s="9">
        <v>0.21562998999999999</v>
      </c>
      <c r="AL50" s="3">
        <f>IF(ISNUMBER(BurstIgor14[[#This Row],[BurstNum_spont]]), IF(ISNUMBER(SpontLength_min), BurstIgor14[[#This Row],[BurstNum_spont]]/SpontLength_min*60, "Enter Length"), "Enter Burst Vals")</f>
        <v>690.81081081081084</v>
      </c>
      <c r="AM5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0" s="11" t="str" cm="1">
        <f t="array" ref="AN50">IF(ISNUMBER(BurstIgor14[[#This Row],[BurstNum_temp2]]), IF(ISNUMBER(Temp2_length), BurstIgor14[[#This Row],[BurstNum_temp2]]/Temp2_length*60, "Enter Length"), "Enter Burst Vals")</f>
        <v>Enter Length</v>
      </c>
      <c r="AO50" s="12" t="str" cm="1">
        <f t="array" ref="AO50">IF(ISNUMBER(BurstIgor14[[#This Row],[BurstNum_temp3]]), IF(ISNUMBER(Temp3_length), BurstIgor14[[#This Row],[BurstNum_temp3]]/Temp3_length*60, "Enter Length"), "Enter Burst Vals")</f>
        <v>Enter Length</v>
      </c>
      <c r="AQ50" s="1">
        <v>0.48</v>
      </c>
      <c r="AR50" s="3">
        <v>852</v>
      </c>
      <c r="AS50" s="3">
        <v>0.52740001999999997</v>
      </c>
      <c r="AT50" s="3">
        <v>3.4437001</v>
      </c>
      <c r="AU50" s="3">
        <v>0.17749999</v>
      </c>
      <c r="AV50" s="3">
        <v>1021</v>
      </c>
      <c r="AW50" s="3">
        <v>0.21269999000000001</v>
      </c>
      <c r="AX50" s="3">
        <v>0.82393998000000002</v>
      </c>
      <c r="AY50" s="3">
        <v>2.1012000999999998</v>
      </c>
      <c r="AZ50" s="3">
        <v>0.21582000000000001</v>
      </c>
      <c r="BA50" s="3">
        <v>690.81081081081084</v>
      </c>
      <c r="BC50" s="1">
        <v>0.48</v>
      </c>
      <c r="BD50" s="10">
        <v>0</v>
      </c>
      <c r="BE50" s="10">
        <v>0</v>
      </c>
      <c r="BF50" s="10">
        <v>0</v>
      </c>
      <c r="BG50" s="10">
        <v>0</v>
      </c>
      <c r="BH50" s="10">
        <v>2</v>
      </c>
      <c r="BI50" s="10">
        <v>4.1666001000000003E-4</v>
      </c>
      <c r="BJ50" s="10">
        <v>4.1666001000000003E-4</v>
      </c>
      <c r="BK50" s="10">
        <v>41.289000999999999</v>
      </c>
      <c r="BL50" s="10">
        <v>0</v>
      </c>
      <c r="BM50" s="10" t="str">
        <v>NA</v>
      </c>
      <c r="BO50" s="1">
        <v>0.48</v>
      </c>
      <c r="BP50" s="11">
        <v>0</v>
      </c>
      <c r="BQ50" s="11">
        <v>0</v>
      </c>
      <c r="BR50" s="11">
        <v>0</v>
      </c>
      <c r="BS50" s="11">
        <v>0</v>
      </c>
      <c r="BT50" s="11">
        <v>2</v>
      </c>
      <c r="BU50" s="11">
        <v>4.1666001000000003E-4</v>
      </c>
      <c r="BV50" s="11">
        <v>4.1666001000000003E-4</v>
      </c>
      <c r="BW50" s="11">
        <v>41.289000999999999</v>
      </c>
      <c r="BX50" s="11">
        <v>0</v>
      </c>
      <c r="BY50" s="11" t="str">
        <v>Enter Length</v>
      </c>
    </row>
    <row r="51" spans="1:77" x14ac:dyDescent="0.2">
      <c r="A51" s="1">
        <v>0.49</v>
      </c>
      <c r="B51" s="6">
        <v>845</v>
      </c>
      <c r="C51" s="7">
        <v>0</v>
      </c>
      <c r="D51" s="8">
        <v>0</v>
      </c>
      <c r="E51" s="9">
        <v>63</v>
      </c>
      <c r="F51" s="6">
        <v>0.54496001999999999</v>
      </c>
      <c r="G51" s="7"/>
      <c r="H51" s="8"/>
      <c r="I51" s="9">
        <v>0.42943000999999997</v>
      </c>
      <c r="J51" s="6">
        <v>3.4911001000000002</v>
      </c>
      <c r="K51" s="7">
        <v>0</v>
      </c>
      <c r="L51" s="8">
        <v>0</v>
      </c>
      <c r="M51" s="9">
        <v>2.9523999999999999</v>
      </c>
      <c r="N51" s="6">
        <v>0.17603999000000001</v>
      </c>
      <c r="O51" s="7"/>
      <c r="P51" s="8"/>
      <c r="Q51" s="9">
        <v>1.3125E-2</v>
      </c>
      <c r="R51" s="6">
        <v>1005</v>
      </c>
      <c r="S51" s="7">
        <v>2</v>
      </c>
      <c r="T51" s="8">
        <v>2</v>
      </c>
      <c r="U51" s="9">
        <v>134</v>
      </c>
      <c r="V51" s="6">
        <v>0.20937</v>
      </c>
      <c r="W51" s="7">
        <v>4.1666001000000003E-4</v>
      </c>
      <c r="X51" s="8">
        <v>4.1666001000000003E-4</v>
      </c>
      <c r="Y51" s="9">
        <v>2.7915999E-2</v>
      </c>
      <c r="Z51" s="6">
        <v>0.82393998000000002</v>
      </c>
      <c r="AA51" s="7">
        <v>4.1666001000000003E-4</v>
      </c>
      <c r="AB51" s="8">
        <v>4.1666001000000003E-4</v>
      </c>
      <c r="AC51" s="9">
        <v>6.6665001000000002E-2</v>
      </c>
      <c r="AD51" s="6">
        <v>2.1213000000000002</v>
      </c>
      <c r="AE51" s="7">
        <v>41.289000999999999</v>
      </c>
      <c r="AF51" s="8">
        <v>41.289000999999999</v>
      </c>
      <c r="AG51" s="9">
        <v>4.1825999999999999</v>
      </c>
      <c r="AH51" s="6">
        <v>0.21876000000000001</v>
      </c>
      <c r="AI51" s="7"/>
      <c r="AJ51" s="8"/>
      <c r="AK51" s="9">
        <v>0.21995001</v>
      </c>
      <c r="AL51" s="3">
        <f>IF(ISNUMBER(BurstIgor14[[#This Row],[BurstNum_spont]]), IF(ISNUMBER(SpontLength_min), BurstIgor14[[#This Row],[BurstNum_spont]]/SpontLength_min*60, "Enter Length"), "Enter Burst Vals")</f>
        <v>685.13513513513522</v>
      </c>
      <c r="AM5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1" s="11" t="str" cm="1">
        <f t="array" ref="AN51">IF(ISNUMBER(BurstIgor14[[#This Row],[BurstNum_temp2]]), IF(ISNUMBER(Temp2_length), BurstIgor14[[#This Row],[BurstNum_temp2]]/Temp2_length*60, "Enter Length"), "Enter Burst Vals")</f>
        <v>Enter Length</v>
      </c>
      <c r="AO51" s="12" t="str" cm="1">
        <f t="array" ref="AO51">IF(ISNUMBER(BurstIgor14[[#This Row],[BurstNum_temp3]]), IF(ISNUMBER(Temp3_length), BurstIgor14[[#This Row],[BurstNum_temp3]]/Temp3_length*60, "Enter Length"), "Enter Burst Vals")</f>
        <v>Enter Length</v>
      </c>
      <c r="AQ51" s="1">
        <v>0.49</v>
      </c>
      <c r="AR51" s="3">
        <v>845</v>
      </c>
      <c r="AS51" s="3">
        <v>0.54496001999999999</v>
      </c>
      <c r="AT51" s="3">
        <v>3.4911001000000002</v>
      </c>
      <c r="AU51" s="3">
        <v>0.17603999000000001</v>
      </c>
      <c r="AV51" s="3">
        <v>1005</v>
      </c>
      <c r="AW51" s="3">
        <v>0.20937</v>
      </c>
      <c r="AX51" s="3">
        <v>0.82393998000000002</v>
      </c>
      <c r="AY51" s="3">
        <v>2.1213000000000002</v>
      </c>
      <c r="AZ51" s="3">
        <v>0.21876000000000001</v>
      </c>
      <c r="BA51" s="3">
        <v>685.13513513513522</v>
      </c>
      <c r="BC51" s="1">
        <v>0.49</v>
      </c>
      <c r="BD51" s="10">
        <v>0</v>
      </c>
      <c r="BE51" s="10">
        <v>0</v>
      </c>
      <c r="BF51" s="10">
        <v>0</v>
      </c>
      <c r="BG51" s="10">
        <v>0</v>
      </c>
      <c r="BH51" s="10">
        <v>2</v>
      </c>
      <c r="BI51" s="10">
        <v>4.1666001000000003E-4</v>
      </c>
      <c r="BJ51" s="10">
        <v>4.1666001000000003E-4</v>
      </c>
      <c r="BK51" s="10">
        <v>41.289000999999999</v>
      </c>
      <c r="BL51" s="10">
        <v>0</v>
      </c>
      <c r="BM51" s="10" t="str">
        <v>NA</v>
      </c>
      <c r="BO51" s="1">
        <v>0.49</v>
      </c>
      <c r="BP51" s="11">
        <v>0</v>
      </c>
      <c r="BQ51" s="11">
        <v>0</v>
      </c>
      <c r="BR51" s="11">
        <v>0</v>
      </c>
      <c r="BS51" s="11">
        <v>0</v>
      </c>
      <c r="BT51" s="11">
        <v>2</v>
      </c>
      <c r="BU51" s="11">
        <v>4.1666001000000003E-4</v>
      </c>
      <c r="BV51" s="11">
        <v>4.1666001000000003E-4</v>
      </c>
      <c r="BW51" s="11">
        <v>41.289000999999999</v>
      </c>
      <c r="BX51" s="11">
        <v>0</v>
      </c>
      <c r="BY51" s="11" t="str">
        <v>Enter Length</v>
      </c>
    </row>
    <row r="52" spans="1:77" x14ac:dyDescent="0.2">
      <c r="A52" s="1">
        <v>0.5</v>
      </c>
      <c r="B52" s="6">
        <v>846</v>
      </c>
      <c r="C52" s="7">
        <v>0</v>
      </c>
      <c r="D52" s="8">
        <v>0</v>
      </c>
      <c r="E52" s="9">
        <v>64</v>
      </c>
      <c r="F52" s="6">
        <v>0.55949998000000001</v>
      </c>
      <c r="G52" s="7"/>
      <c r="H52" s="8"/>
      <c r="I52" s="9">
        <v>0.43049999999999999</v>
      </c>
      <c r="J52" s="6">
        <v>3.5188999000000001</v>
      </c>
      <c r="K52" s="7">
        <v>0</v>
      </c>
      <c r="L52" s="8">
        <v>0</v>
      </c>
      <c r="M52" s="9">
        <v>2.9375</v>
      </c>
      <c r="N52" s="6">
        <v>0.17624999999999999</v>
      </c>
      <c r="O52" s="7"/>
      <c r="P52" s="8"/>
      <c r="Q52" s="9">
        <v>1.3332999999999999E-2</v>
      </c>
      <c r="R52" s="6">
        <v>978</v>
      </c>
      <c r="S52" s="7">
        <v>2</v>
      </c>
      <c r="T52" s="8">
        <v>2</v>
      </c>
      <c r="U52" s="9">
        <v>132</v>
      </c>
      <c r="V52" s="6">
        <v>0.20374999999999999</v>
      </c>
      <c r="W52" s="7">
        <v>4.1666001000000003E-4</v>
      </c>
      <c r="X52" s="8">
        <v>4.1666001000000003E-4</v>
      </c>
      <c r="Y52" s="9">
        <v>2.7498999999999999E-2</v>
      </c>
      <c r="Z52" s="6">
        <v>0.82393998000000002</v>
      </c>
      <c r="AA52" s="7">
        <v>4.1666001000000003E-4</v>
      </c>
      <c r="AB52" s="8">
        <v>4.1666001000000003E-4</v>
      </c>
      <c r="AC52" s="9">
        <v>6.6665001000000002E-2</v>
      </c>
      <c r="AD52" s="6">
        <v>2.1444999999999999</v>
      </c>
      <c r="AE52" s="7">
        <v>41.289000999999999</v>
      </c>
      <c r="AF52" s="8">
        <v>41.289000999999999</v>
      </c>
      <c r="AG52" s="9">
        <v>4.2014999</v>
      </c>
      <c r="AH52" s="6">
        <v>0.22212000000000001</v>
      </c>
      <c r="AI52" s="7"/>
      <c r="AJ52" s="8"/>
      <c r="AK52" s="9">
        <v>0.22218999</v>
      </c>
      <c r="AL52" s="3">
        <f>IF(ISNUMBER(BurstIgor14[[#This Row],[BurstNum_spont]]), IF(ISNUMBER(SpontLength_min), BurstIgor14[[#This Row],[BurstNum_spont]]/SpontLength_min*60, "Enter Length"), "Enter Burst Vals")</f>
        <v>685.94594594594594</v>
      </c>
      <c r="AM5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2" s="11" t="str" cm="1">
        <f t="array" ref="AN52">IF(ISNUMBER(BurstIgor14[[#This Row],[BurstNum_temp2]]), IF(ISNUMBER(Temp2_length), BurstIgor14[[#This Row],[BurstNum_temp2]]/Temp2_length*60, "Enter Length"), "Enter Burst Vals")</f>
        <v>Enter Length</v>
      </c>
      <c r="AO52" s="12" t="str" cm="1">
        <f t="array" ref="AO52">IF(ISNUMBER(BurstIgor14[[#This Row],[BurstNum_temp3]]), IF(ISNUMBER(Temp3_length), BurstIgor14[[#This Row],[BurstNum_temp3]]/Temp3_length*60, "Enter Length"), "Enter Burst Vals")</f>
        <v>Enter Length</v>
      </c>
      <c r="AQ52" s="1">
        <v>0.5</v>
      </c>
      <c r="AR52" s="3">
        <v>846</v>
      </c>
      <c r="AS52" s="3">
        <v>0.55949998000000001</v>
      </c>
      <c r="AT52" s="3">
        <v>3.5188999000000001</v>
      </c>
      <c r="AU52" s="3">
        <v>0.17624999999999999</v>
      </c>
      <c r="AV52" s="3">
        <v>978</v>
      </c>
      <c r="AW52" s="3">
        <v>0.20374999999999999</v>
      </c>
      <c r="AX52" s="3">
        <v>0.82393998000000002</v>
      </c>
      <c r="AY52" s="3">
        <v>2.1444999999999999</v>
      </c>
      <c r="AZ52" s="3">
        <v>0.22212000000000001</v>
      </c>
      <c r="BA52" s="3">
        <v>685.94594594594594</v>
      </c>
      <c r="BC52" s="1">
        <v>0.5</v>
      </c>
      <c r="BD52" s="10">
        <v>0</v>
      </c>
      <c r="BE52" s="10">
        <v>0</v>
      </c>
      <c r="BF52" s="10">
        <v>0</v>
      </c>
      <c r="BG52" s="10">
        <v>0</v>
      </c>
      <c r="BH52" s="10">
        <v>2</v>
      </c>
      <c r="BI52" s="10">
        <v>4.1666001000000003E-4</v>
      </c>
      <c r="BJ52" s="10">
        <v>4.1666001000000003E-4</v>
      </c>
      <c r="BK52" s="10">
        <v>41.289000999999999</v>
      </c>
      <c r="BL52" s="10">
        <v>0</v>
      </c>
      <c r="BM52" s="10" t="str">
        <v>NA</v>
      </c>
      <c r="BO52" s="1">
        <v>0.5</v>
      </c>
      <c r="BP52" s="11">
        <v>0</v>
      </c>
      <c r="BQ52" s="11">
        <v>0</v>
      </c>
      <c r="BR52" s="11">
        <v>0</v>
      </c>
      <c r="BS52" s="11">
        <v>0</v>
      </c>
      <c r="BT52" s="11">
        <v>2</v>
      </c>
      <c r="BU52" s="11">
        <v>4.1666001000000003E-4</v>
      </c>
      <c r="BV52" s="11">
        <v>4.1666001000000003E-4</v>
      </c>
      <c r="BW52" s="11">
        <v>41.289000999999999</v>
      </c>
      <c r="BX52" s="11">
        <v>0</v>
      </c>
      <c r="BY52" s="11" t="str">
        <v>Enter Length</v>
      </c>
    </row>
    <row r="53" spans="1:77" x14ac:dyDescent="0.2">
      <c r="A53" s="1">
        <v>0.51</v>
      </c>
      <c r="B53" s="6">
        <v>839</v>
      </c>
      <c r="C53" s="7">
        <v>0</v>
      </c>
      <c r="D53" s="8">
        <v>0</v>
      </c>
      <c r="E53" s="9">
        <v>64</v>
      </c>
      <c r="F53" s="6">
        <v>0.57198000000000004</v>
      </c>
      <c r="G53" s="7"/>
      <c r="H53" s="8"/>
      <c r="I53" s="9">
        <v>0.43838999000000001</v>
      </c>
      <c r="J53" s="6">
        <v>3.5553998999999998</v>
      </c>
      <c r="K53" s="7">
        <v>0</v>
      </c>
      <c r="L53" s="8">
        <v>0</v>
      </c>
      <c r="M53" s="9">
        <v>2.9531000000000001</v>
      </c>
      <c r="N53" s="6">
        <v>0.17478999000000001</v>
      </c>
      <c r="O53" s="7"/>
      <c r="P53" s="8"/>
      <c r="Q53" s="9">
        <v>1.3332999999999999E-2</v>
      </c>
      <c r="R53" s="6">
        <v>972</v>
      </c>
      <c r="S53" s="7">
        <v>2</v>
      </c>
      <c r="T53" s="8">
        <v>2</v>
      </c>
      <c r="U53" s="9">
        <v>131</v>
      </c>
      <c r="V53" s="6">
        <v>0.20250000000000001</v>
      </c>
      <c r="W53" s="7">
        <v>4.1666001000000003E-4</v>
      </c>
      <c r="X53" s="8">
        <v>4.1666001000000003E-4</v>
      </c>
      <c r="Y53" s="9">
        <v>2.7290999999999999E-2</v>
      </c>
      <c r="Z53" s="6">
        <v>0.82393998000000002</v>
      </c>
      <c r="AA53" s="7">
        <v>4.1666001000000003E-4</v>
      </c>
      <c r="AB53" s="8">
        <v>4.1666001000000003E-4</v>
      </c>
      <c r="AC53" s="9">
        <v>6.6665001000000002E-2</v>
      </c>
      <c r="AD53" s="6">
        <v>2.1563001000000002</v>
      </c>
      <c r="AE53" s="7">
        <v>41.289000999999999</v>
      </c>
      <c r="AF53" s="8">
        <v>41.289000999999999</v>
      </c>
      <c r="AG53" s="9">
        <v>4.2206001000000004</v>
      </c>
      <c r="AH53" s="6">
        <v>0.22383</v>
      </c>
      <c r="AI53" s="7"/>
      <c r="AJ53" s="8"/>
      <c r="AK53" s="9">
        <v>0.22445001000000001</v>
      </c>
      <c r="AL53" s="3">
        <f>IF(ISNUMBER(BurstIgor14[[#This Row],[BurstNum_spont]]), IF(ISNUMBER(SpontLength_min), BurstIgor14[[#This Row],[BurstNum_spont]]/SpontLength_min*60, "Enter Length"), "Enter Burst Vals")</f>
        <v>680.27027027027032</v>
      </c>
      <c r="AM5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3" s="11" t="str" cm="1">
        <f t="array" ref="AN53">IF(ISNUMBER(BurstIgor14[[#This Row],[BurstNum_temp2]]), IF(ISNUMBER(Temp2_length), BurstIgor14[[#This Row],[BurstNum_temp2]]/Temp2_length*60, "Enter Length"), "Enter Burst Vals")</f>
        <v>Enter Length</v>
      </c>
      <c r="AO53" s="12" t="str" cm="1">
        <f t="array" ref="AO53">IF(ISNUMBER(BurstIgor14[[#This Row],[BurstNum_temp3]]), IF(ISNUMBER(Temp3_length), BurstIgor14[[#This Row],[BurstNum_temp3]]/Temp3_length*60, "Enter Length"), "Enter Burst Vals")</f>
        <v>Enter Length</v>
      </c>
      <c r="AQ53" s="1">
        <v>0.51</v>
      </c>
      <c r="AR53" s="3">
        <v>839</v>
      </c>
      <c r="AS53" s="3">
        <v>0.57198000000000004</v>
      </c>
      <c r="AT53" s="3">
        <v>3.5553998999999998</v>
      </c>
      <c r="AU53" s="3">
        <v>0.17478999000000001</v>
      </c>
      <c r="AV53" s="3">
        <v>972</v>
      </c>
      <c r="AW53" s="3">
        <v>0.20250000000000001</v>
      </c>
      <c r="AX53" s="3">
        <v>0.82393998000000002</v>
      </c>
      <c r="AY53" s="3">
        <v>2.1563001000000002</v>
      </c>
      <c r="AZ53" s="3">
        <v>0.22383</v>
      </c>
      <c r="BA53" s="3">
        <v>680.27027027027032</v>
      </c>
      <c r="BC53" s="1">
        <v>0.51</v>
      </c>
      <c r="BD53" s="10">
        <v>0</v>
      </c>
      <c r="BE53" s="10">
        <v>0</v>
      </c>
      <c r="BF53" s="10">
        <v>0</v>
      </c>
      <c r="BG53" s="10">
        <v>0</v>
      </c>
      <c r="BH53" s="10">
        <v>2</v>
      </c>
      <c r="BI53" s="10">
        <v>4.1666001000000003E-4</v>
      </c>
      <c r="BJ53" s="10">
        <v>4.1666001000000003E-4</v>
      </c>
      <c r="BK53" s="10">
        <v>41.289000999999999</v>
      </c>
      <c r="BL53" s="10">
        <v>0</v>
      </c>
      <c r="BM53" s="10" t="str">
        <v>NA</v>
      </c>
      <c r="BO53" s="1">
        <v>0.51</v>
      </c>
      <c r="BP53" s="11">
        <v>0</v>
      </c>
      <c r="BQ53" s="11">
        <v>0</v>
      </c>
      <c r="BR53" s="11">
        <v>0</v>
      </c>
      <c r="BS53" s="11">
        <v>0</v>
      </c>
      <c r="BT53" s="11">
        <v>2</v>
      </c>
      <c r="BU53" s="11">
        <v>4.1666001000000003E-4</v>
      </c>
      <c r="BV53" s="11">
        <v>4.1666001000000003E-4</v>
      </c>
      <c r="BW53" s="11">
        <v>41.289000999999999</v>
      </c>
      <c r="BX53" s="11">
        <v>0</v>
      </c>
      <c r="BY53" s="11" t="str">
        <v>Enter Length</v>
      </c>
    </row>
    <row r="54" spans="1:77" x14ac:dyDescent="0.2">
      <c r="A54" s="1">
        <v>0.52</v>
      </c>
      <c r="B54" s="6">
        <v>841</v>
      </c>
      <c r="C54" s="7">
        <v>0</v>
      </c>
      <c r="D54" s="8">
        <v>0</v>
      </c>
      <c r="E54" s="9">
        <v>65</v>
      </c>
      <c r="F54" s="6">
        <v>0.58287001000000005</v>
      </c>
      <c r="G54" s="7"/>
      <c r="H54" s="8"/>
      <c r="I54" s="9">
        <v>0.43955000999999999</v>
      </c>
      <c r="J54" s="6">
        <v>3.5731001</v>
      </c>
      <c r="K54" s="7">
        <v>0</v>
      </c>
      <c r="L54" s="8">
        <v>0</v>
      </c>
      <c r="M54" s="9">
        <v>2.9384999000000001</v>
      </c>
      <c r="N54" s="6">
        <v>0.17519999999999999</v>
      </c>
      <c r="O54" s="7"/>
      <c r="P54" s="8"/>
      <c r="Q54" s="9">
        <v>1.3540999999999999E-2</v>
      </c>
      <c r="R54" s="6">
        <v>950</v>
      </c>
      <c r="S54" s="7">
        <v>2</v>
      </c>
      <c r="T54" s="8">
        <v>2</v>
      </c>
      <c r="U54" s="9">
        <v>129</v>
      </c>
      <c r="V54" s="6">
        <v>0.19791</v>
      </c>
      <c r="W54" s="7">
        <v>4.1666001000000003E-4</v>
      </c>
      <c r="X54" s="8">
        <v>4.1666001000000003E-4</v>
      </c>
      <c r="Y54" s="9">
        <v>2.6873999999999999E-2</v>
      </c>
      <c r="Z54" s="6">
        <v>0.82393998000000002</v>
      </c>
      <c r="AA54" s="7">
        <v>4.1666001000000003E-4</v>
      </c>
      <c r="AB54" s="8">
        <v>4.1666001000000003E-4</v>
      </c>
      <c r="AC54" s="9">
        <v>6.6665001000000002E-2</v>
      </c>
      <c r="AD54" s="6">
        <v>2.1747000000000001</v>
      </c>
      <c r="AE54" s="7">
        <v>41.289000999999999</v>
      </c>
      <c r="AF54" s="8">
        <v>41.289000999999999</v>
      </c>
      <c r="AG54" s="9">
        <v>4.2397999999999998</v>
      </c>
      <c r="AH54" s="6">
        <v>0.22652</v>
      </c>
      <c r="AI54" s="7"/>
      <c r="AJ54" s="8"/>
      <c r="AK54" s="9">
        <v>0.22675000000000001</v>
      </c>
      <c r="AL54" s="3">
        <f>IF(ISNUMBER(BurstIgor14[[#This Row],[BurstNum_spont]]), IF(ISNUMBER(SpontLength_min), BurstIgor14[[#This Row],[BurstNum_spont]]/SpontLength_min*60, "Enter Length"), "Enter Burst Vals")</f>
        <v>681.89189189189187</v>
      </c>
      <c r="AM5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4" s="11" t="str" cm="1">
        <f t="array" ref="AN54">IF(ISNUMBER(BurstIgor14[[#This Row],[BurstNum_temp2]]), IF(ISNUMBER(Temp2_length), BurstIgor14[[#This Row],[BurstNum_temp2]]/Temp2_length*60, "Enter Length"), "Enter Burst Vals")</f>
        <v>Enter Length</v>
      </c>
      <c r="AO54" s="12" t="str" cm="1">
        <f t="array" ref="AO54">IF(ISNUMBER(BurstIgor14[[#This Row],[BurstNum_temp3]]), IF(ISNUMBER(Temp3_length), BurstIgor14[[#This Row],[BurstNum_temp3]]/Temp3_length*60, "Enter Length"), "Enter Burst Vals")</f>
        <v>Enter Length</v>
      </c>
      <c r="AQ54" s="1">
        <v>0.52</v>
      </c>
      <c r="AR54" s="3">
        <v>841</v>
      </c>
      <c r="AS54" s="3">
        <v>0.58287001000000005</v>
      </c>
      <c r="AT54" s="3">
        <v>3.5731001</v>
      </c>
      <c r="AU54" s="3">
        <v>0.17519999999999999</v>
      </c>
      <c r="AV54" s="3">
        <v>950</v>
      </c>
      <c r="AW54" s="3">
        <v>0.19791</v>
      </c>
      <c r="AX54" s="3">
        <v>0.82393998000000002</v>
      </c>
      <c r="AY54" s="3">
        <v>2.1747000000000001</v>
      </c>
      <c r="AZ54" s="3">
        <v>0.22652</v>
      </c>
      <c r="BA54" s="3">
        <v>681.89189189189187</v>
      </c>
      <c r="BC54" s="1">
        <v>0.52</v>
      </c>
      <c r="BD54" s="10">
        <v>0</v>
      </c>
      <c r="BE54" s="10">
        <v>0</v>
      </c>
      <c r="BF54" s="10">
        <v>0</v>
      </c>
      <c r="BG54" s="10">
        <v>0</v>
      </c>
      <c r="BH54" s="10">
        <v>2</v>
      </c>
      <c r="BI54" s="10">
        <v>4.1666001000000003E-4</v>
      </c>
      <c r="BJ54" s="10">
        <v>4.1666001000000003E-4</v>
      </c>
      <c r="BK54" s="10">
        <v>41.289000999999999</v>
      </c>
      <c r="BL54" s="10">
        <v>0</v>
      </c>
      <c r="BM54" s="10" t="str">
        <v>NA</v>
      </c>
      <c r="BO54" s="1">
        <v>0.52</v>
      </c>
      <c r="BP54" s="11">
        <v>0</v>
      </c>
      <c r="BQ54" s="11">
        <v>0</v>
      </c>
      <c r="BR54" s="11">
        <v>0</v>
      </c>
      <c r="BS54" s="11">
        <v>0</v>
      </c>
      <c r="BT54" s="11">
        <v>2</v>
      </c>
      <c r="BU54" s="11">
        <v>4.1666001000000003E-4</v>
      </c>
      <c r="BV54" s="11">
        <v>4.1666001000000003E-4</v>
      </c>
      <c r="BW54" s="11">
        <v>41.289000999999999</v>
      </c>
      <c r="BX54" s="11">
        <v>0</v>
      </c>
      <c r="BY54" s="11" t="str">
        <v>Enter Length</v>
      </c>
    </row>
    <row r="55" spans="1:77" x14ac:dyDescent="0.2">
      <c r="A55" s="1">
        <v>0.53</v>
      </c>
      <c r="B55" s="6">
        <v>839</v>
      </c>
      <c r="C55" s="7">
        <v>0</v>
      </c>
      <c r="D55" s="8">
        <v>0</v>
      </c>
      <c r="E55" s="9">
        <v>65</v>
      </c>
      <c r="F55" s="6">
        <v>0.60179000999999999</v>
      </c>
      <c r="G55" s="7"/>
      <c r="H55" s="8"/>
      <c r="I55" s="9">
        <v>0.43955000999999999</v>
      </c>
      <c r="J55" s="6">
        <v>3.6126000999999999</v>
      </c>
      <c r="K55" s="7">
        <v>0</v>
      </c>
      <c r="L55" s="8">
        <v>0</v>
      </c>
      <c r="M55" s="9">
        <v>2.9384999000000001</v>
      </c>
      <c r="N55" s="6">
        <v>0.17478999000000001</v>
      </c>
      <c r="O55" s="7"/>
      <c r="P55" s="8"/>
      <c r="Q55" s="9">
        <v>1.3540999999999999E-2</v>
      </c>
      <c r="R55" s="6">
        <v>924</v>
      </c>
      <c r="S55" s="7">
        <v>2</v>
      </c>
      <c r="T55" s="8">
        <v>2</v>
      </c>
      <c r="U55" s="9">
        <v>129</v>
      </c>
      <c r="V55" s="6">
        <v>0.1925</v>
      </c>
      <c r="W55" s="7">
        <v>4.1666001000000003E-4</v>
      </c>
      <c r="X55" s="8">
        <v>4.1666001000000003E-4</v>
      </c>
      <c r="Y55" s="9">
        <v>2.6873999999999999E-2</v>
      </c>
      <c r="Z55" s="6">
        <v>0.82393998000000002</v>
      </c>
      <c r="AA55" s="7">
        <v>4.1666001000000003E-4</v>
      </c>
      <c r="AB55" s="8">
        <v>4.1666001000000003E-4</v>
      </c>
      <c r="AC55" s="9">
        <v>6.6665001000000002E-2</v>
      </c>
      <c r="AD55" s="6">
        <v>2.2009001000000001</v>
      </c>
      <c r="AE55" s="7">
        <v>41.289000999999999</v>
      </c>
      <c r="AF55" s="8">
        <v>41.289000999999999</v>
      </c>
      <c r="AG55" s="9">
        <v>4.2397999999999998</v>
      </c>
      <c r="AH55" s="6">
        <v>0.23033999999999999</v>
      </c>
      <c r="AI55" s="7"/>
      <c r="AJ55" s="8"/>
      <c r="AK55" s="9">
        <v>0.22675000000000001</v>
      </c>
      <c r="AL55" s="3">
        <f>IF(ISNUMBER(BurstIgor14[[#This Row],[BurstNum_spont]]), IF(ISNUMBER(SpontLength_min), BurstIgor14[[#This Row],[BurstNum_spont]]/SpontLength_min*60, "Enter Length"), "Enter Burst Vals")</f>
        <v>680.27027027027032</v>
      </c>
      <c r="AM5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5" s="11" t="str" cm="1">
        <f t="array" ref="AN55">IF(ISNUMBER(BurstIgor14[[#This Row],[BurstNum_temp2]]), IF(ISNUMBER(Temp2_length), BurstIgor14[[#This Row],[BurstNum_temp2]]/Temp2_length*60, "Enter Length"), "Enter Burst Vals")</f>
        <v>Enter Length</v>
      </c>
      <c r="AO55" s="12" t="str" cm="1">
        <f t="array" ref="AO55">IF(ISNUMBER(BurstIgor14[[#This Row],[BurstNum_temp3]]), IF(ISNUMBER(Temp3_length), BurstIgor14[[#This Row],[BurstNum_temp3]]/Temp3_length*60, "Enter Length"), "Enter Burst Vals")</f>
        <v>Enter Length</v>
      </c>
      <c r="AQ55" s="1">
        <v>0.53</v>
      </c>
      <c r="AR55" s="3">
        <v>839</v>
      </c>
      <c r="AS55" s="3">
        <v>0.60179000999999999</v>
      </c>
      <c r="AT55" s="3">
        <v>3.6126000999999999</v>
      </c>
      <c r="AU55" s="3">
        <v>0.17478999000000001</v>
      </c>
      <c r="AV55" s="3">
        <v>924</v>
      </c>
      <c r="AW55" s="3">
        <v>0.1925</v>
      </c>
      <c r="AX55" s="3">
        <v>0.82393998000000002</v>
      </c>
      <c r="AY55" s="3">
        <v>2.2009001000000001</v>
      </c>
      <c r="AZ55" s="3">
        <v>0.23033999999999999</v>
      </c>
      <c r="BA55" s="3">
        <v>680.27027027027032</v>
      </c>
      <c r="BC55" s="1">
        <v>0.53</v>
      </c>
      <c r="BD55" s="10">
        <v>0</v>
      </c>
      <c r="BE55" s="10">
        <v>0</v>
      </c>
      <c r="BF55" s="10">
        <v>0</v>
      </c>
      <c r="BG55" s="10">
        <v>0</v>
      </c>
      <c r="BH55" s="10">
        <v>2</v>
      </c>
      <c r="BI55" s="10">
        <v>4.1666001000000003E-4</v>
      </c>
      <c r="BJ55" s="10">
        <v>4.1666001000000003E-4</v>
      </c>
      <c r="BK55" s="10">
        <v>41.289000999999999</v>
      </c>
      <c r="BL55" s="10">
        <v>0</v>
      </c>
      <c r="BM55" s="10" t="str">
        <v>NA</v>
      </c>
      <c r="BO55" s="1">
        <v>0.53</v>
      </c>
      <c r="BP55" s="11">
        <v>0</v>
      </c>
      <c r="BQ55" s="11">
        <v>0</v>
      </c>
      <c r="BR55" s="11">
        <v>0</v>
      </c>
      <c r="BS55" s="11">
        <v>0</v>
      </c>
      <c r="BT55" s="11">
        <v>2</v>
      </c>
      <c r="BU55" s="11">
        <v>4.1666001000000003E-4</v>
      </c>
      <c r="BV55" s="11">
        <v>4.1666001000000003E-4</v>
      </c>
      <c r="BW55" s="11">
        <v>41.289000999999999</v>
      </c>
      <c r="BX55" s="11">
        <v>0</v>
      </c>
      <c r="BY55" s="11" t="str">
        <v>Enter Length</v>
      </c>
    </row>
    <row r="56" spans="1:77" x14ac:dyDescent="0.2">
      <c r="A56" s="1">
        <v>0.54</v>
      </c>
      <c r="B56" s="6">
        <v>838</v>
      </c>
      <c r="C56" s="7">
        <v>0</v>
      </c>
      <c r="D56" s="8">
        <v>0</v>
      </c>
      <c r="E56" s="9">
        <v>65</v>
      </c>
      <c r="F56" s="6">
        <v>0.61531000999999996</v>
      </c>
      <c r="G56" s="7"/>
      <c r="H56" s="8"/>
      <c r="I56" s="9">
        <v>0.45605001000000001</v>
      </c>
      <c r="J56" s="6">
        <v>3.6396000000000002</v>
      </c>
      <c r="K56" s="7">
        <v>0</v>
      </c>
      <c r="L56" s="8">
        <v>0</v>
      </c>
      <c r="M56" s="9">
        <v>2.9691999</v>
      </c>
      <c r="N56" s="6">
        <v>0.17457998999999999</v>
      </c>
      <c r="O56" s="7"/>
      <c r="P56" s="8"/>
      <c r="Q56" s="9">
        <v>1.3540999999999999E-2</v>
      </c>
      <c r="R56" s="6">
        <v>905</v>
      </c>
      <c r="S56" s="7">
        <v>2</v>
      </c>
      <c r="T56" s="8">
        <v>2</v>
      </c>
      <c r="U56" s="9">
        <v>127</v>
      </c>
      <c r="V56" s="6">
        <v>0.18854000000000001</v>
      </c>
      <c r="W56" s="7">
        <v>4.1666001000000003E-4</v>
      </c>
      <c r="X56" s="8">
        <v>4.1666001000000003E-4</v>
      </c>
      <c r="Y56" s="9">
        <v>2.6458000999999998E-2</v>
      </c>
      <c r="Z56" s="6">
        <v>0.82393998000000002</v>
      </c>
      <c r="AA56" s="7">
        <v>4.1666001000000003E-4</v>
      </c>
      <c r="AB56" s="8">
        <v>4.1666001000000003E-4</v>
      </c>
      <c r="AC56" s="9">
        <v>6.6665001000000002E-2</v>
      </c>
      <c r="AD56" s="6">
        <v>2.2200000000000002</v>
      </c>
      <c r="AE56" s="7">
        <v>41.289000999999999</v>
      </c>
      <c r="AF56" s="8">
        <v>41.289000999999999</v>
      </c>
      <c r="AG56" s="9">
        <v>4.2785000999999996</v>
      </c>
      <c r="AH56" s="6">
        <v>0.23311000000000001</v>
      </c>
      <c r="AI56" s="7"/>
      <c r="AJ56" s="8"/>
      <c r="AK56" s="9">
        <v>0.23158999999999999</v>
      </c>
      <c r="AL56" s="3">
        <f>IF(ISNUMBER(BurstIgor14[[#This Row],[BurstNum_spont]]), IF(ISNUMBER(SpontLength_min), BurstIgor14[[#This Row],[BurstNum_spont]]/SpontLength_min*60, "Enter Length"), "Enter Burst Vals")</f>
        <v>679.45945945945948</v>
      </c>
      <c r="AM5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6" s="11" t="str" cm="1">
        <f t="array" ref="AN56">IF(ISNUMBER(BurstIgor14[[#This Row],[BurstNum_temp2]]), IF(ISNUMBER(Temp2_length), BurstIgor14[[#This Row],[BurstNum_temp2]]/Temp2_length*60, "Enter Length"), "Enter Burst Vals")</f>
        <v>Enter Length</v>
      </c>
      <c r="AO56" s="12" t="str" cm="1">
        <f t="array" ref="AO56">IF(ISNUMBER(BurstIgor14[[#This Row],[BurstNum_temp3]]), IF(ISNUMBER(Temp3_length), BurstIgor14[[#This Row],[BurstNum_temp3]]/Temp3_length*60, "Enter Length"), "Enter Burst Vals")</f>
        <v>Enter Length</v>
      </c>
      <c r="AQ56" s="1">
        <v>0.54</v>
      </c>
      <c r="AR56" s="3">
        <v>838</v>
      </c>
      <c r="AS56" s="3">
        <v>0.61531000999999996</v>
      </c>
      <c r="AT56" s="3">
        <v>3.6396000000000002</v>
      </c>
      <c r="AU56" s="3">
        <v>0.17457998999999999</v>
      </c>
      <c r="AV56" s="3">
        <v>905</v>
      </c>
      <c r="AW56" s="3">
        <v>0.18854000000000001</v>
      </c>
      <c r="AX56" s="3">
        <v>0.82393998000000002</v>
      </c>
      <c r="AY56" s="3">
        <v>2.2200000000000002</v>
      </c>
      <c r="AZ56" s="3">
        <v>0.23311000000000001</v>
      </c>
      <c r="BA56" s="3">
        <v>679.45945945945948</v>
      </c>
      <c r="BC56" s="1">
        <v>0.54</v>
      </c>
      <c r="BD56" s="10">
        <v>0</v>
      </c>
      <c r="BE56" s="10">
        <v>0</v>
      </c>
      <c r="BF56" s="10">
        <v>0</v>
      </c>
      <c r="BG56" s="10">
        <v>0</v>
      </c>
      <c r="BH56" s="10">
        <v>2</v>
      </c>
      <c r="BI56" s="10">
        <v>4.1666001000000003E-4</v>
      </c>
      <c r="BJ56" s="10">
        <v>4.1666001000000003E-4</v>
      </c>
      <c r="BK56" s="10">
        <v>41.289000999999999</v>
      </c>
      <c r="BL56" s="10">
        <v>0</v>
      </c>
      <c r="BM56" s="10" t="str">
        <v>NA</v>
      </c>
      <c r="BO56" s="1">
        <v>0.54</v>
      </c>
      <c r="BP56" s="11">
        <v>0</v>
      </c>
      <c r="BQ56" s="11">
        <v>0</v>
      </c>
      <c r="BR56" s="11">
        <v>0</v>
      </c>
      <c r="BS56" s="11">
        <v>0</v>
      </c>
      <c r="BT56" s="11">
        <v>2</v>
      </c>
      <c r="BU56" s="11">
        <v>4.1666001000000003E-4</v>
      </c>
      <c r="BV56" s="11">
        <v>4.1666001000000003E-4</v>
      </c>
      <c r="BW56" s="11">
        <v>41.289000999999999</v>
      </c>
      <c r="BX56" s="11">
        <v>0</v>
      </c>
      <c r="BY56" s="11" t="str">
        <v>Enter Length</v>
      </c>
    </row>
    <row r="57" spans="1:77" x14ac:dyDescent="0.2">
      <c r="A57" s="1">
        <v>0.55000000000000004</v>
      </c>
      <c r="B57" s="6">
        <v>841</v>
      </c>
      <c r="C57" s="7">
        <v>0</v>
      </c>
      <c r="D57" s="8">
        <v>0</v>
      </c>
      <c r="E57" s="9">
        <v>65</v>
      </c>
      <c r="F57" s="6">
        <v>0.62607002</v>
      </c>
      <c r="G57" s="7"/>
      <c r="H57" s="8"/>
      <c r="I57" s="9">
        <v>0.46437001</v>
      </c>
      <c r="J57" s="6">
        <v>3.6539999999999999</v>
      </c>
      <c r="K57" s="7">
        <v>0</v>
      </c>
      <c r="L57" s="8">
        <v>0</v>
      </c>
      <c r="M57" s="9">
        <v>2.9846001000000002</v>
      </c>
      <c r="N57" s="6">
        <v>0.17519999999999999</v>
      </c>
      <c r="O57" s="7"/>
      <c r="P57" s="8"/>
      <c r="Q57" s="9">
        <v>1.3540999999999999E-2</v>
      </c>
      <c r="R57" s="6">
        <v>882</v>
      </c>
      <c r="S57" s="7">
        <v>2</v>
      </c>
      <c r="T57" s="8">
        <v>2</v>
      </c>
      <c r="U57" s="9">
        <v>126</v>
      </c>
      <c r="V57" s="6">
        <v>0.18375</v>
      </c>
      <c r="W57" s="7">
        <v>4.1666001000000003E-4</v>
      </c>
      <c r="X57" s="8">
        <v>4.1666001000000003E-4</v>
      </c>
      <c r="Y57" s="9">
        <v>2.6249001000000001E-2</v>
      </c>
      <c r="Z57" s="6">
        <v>0.82393998000000002</v>
      </c>
      <c r="AA57" s="7">
        <v>4.1666001000000003E-4</v>
      </c>
      <c r="AB57" s="8">
        <v>4.1666001000000003E-4</v>
      </c>
      <c r="AC57" s="9">
        <v>6.6665001000000002E-2</v>
      </c>
      <c r="AD57" s="6">
        <v>2.2393999</v>
      </c>
      <c r="AE57" s="7">
        <v>41.289000999999999</v>
      </c>
      <c r="AF57" s="8">
        <v>41.289000999999999</v>
      </c>
      <c r="AG57" s="9">
        <v>4.2982000999999999</v>
      </c>
      <c r="AH57" s="6">
        <v>0.2359</v>
      </c>
      <c r="AI57" s="7"/>
      <c r="AJ57" s="8"/>
      <c r="AK57" s="9">
        <v>0.23397999999999999</v>
      </c>
      <c r="AL57" s="3">
        <f>IF(ISNUMBER(BurstIgor14[[#This Row],[BurstNum_spont]]), IF(ISNUMBER(SpontLength_min), BurstIgor14[[#This Row],[BurstNum_spont]]/SpontLength_min*60, "Enter Length"), "Enter Burst Vals")</f>
        <v>681.89189189189187</v>
      </c>
      <c r="AM5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7" s="11" t="str" cm="1">
        <f t="array" ref="AN57">IF(ISNUMBER(BurstIgor14[[#This Row],[BurstNum_temp2]]), IF(ISNUMBER(Temp2_length), BurstIgor14[[#This Row],[BurstNum_temp2]]/Temp2_length*60, "Enter Length"), "Enter Burst Vals")</f>
        <v>Enter Length</v>
      </c>
      <c r="AO57" s="12" t="str" cm="1">
        <f t="array" ref="AO57">IF(ISNUMBER(BurstIgor14[[#This Row],[BurstNum_temp3]]), IF(ISNUMBER(Temp3_length), BurstIgor14[[#This Row],[BurstNum_temp3]]/Temp3_length*60, "Enter Length"), "Enter Burst Vals")</f>
        <v>Enter Length</v>
      </c>
      <c r="AQ57" s="1">
        <v>0.55000000000000004</v>
      </c>
      <c r="AR57" s="3">
        <v>841</v>
      </c>
      <c r="AS57" s="3">
        <v>0.62607002</v>
      </c>
      <c r="AT57" s="3">
        <v>3.6539999999999999</v>
      </c>
      <c r="AU57" s="3">
        <v>0.17519999999999999</v>
      </c>
      <c r="AV57" s="3">
        <v>882</v>
      </c>
      <c r="AW57" s="3">
        <v>0.18375</v>
      </c>
      <c r="AX57" s="3">
        <v>0.82393998000000002</v>
      </c>
      <c r="AY57" s="3">
        <v>2.2393999</v>
      </c>
      <c r="AZ57" s="3">
        <v>0.2359</v>
      </c>
      <c r="BA57" s="3">
        <v>681.89189189189187</v>
      </c>
      <c r="BC57" s="1">
        <v>0.55000000000000004</v>
      </c>
      <c r="BD57" s="10">
        <v>0</v>
      </c>
      <c r="BE57" s="10">
        <v>0</v>
      </c>
      <c r="BF57" s="10">
        <v>0</v>
      </c>
      <c r="BG57" s="10">
        <v>0</v>
      </c>
      <c r="BH57" s="10">
        <v>2</v>
      </c>
      <c r="BI57" s="10">
        <v>4.1666001000000003E-4</v>
      </c>
      <c r="BJ57" s="10">
        <v>4.1666001000000003E-4</v>
      </c>
      <c r="BK57" s="10">
        <v>41.289000999999999</v>
      </c>
      <c r="BL57" s="10">
        <v>0</v>
      </c>
      <c r="BM57" s="10" t="str">
        <v>NA</v>
      </c>
      <c r="BO57" s="1">
        <v>0.55000000000000004</v>
      </c>
      <c r="BP57" s="11">
        <v>0</v>
      </c>
      <c r="BQ57" s="11">
        <v>0</v>
      </c>
      <c r="BR57" s="11">
        <v>0</v>
      </c>
      <c r="BS57" s="11">
        <v>0</v>
      </c>
      <c r="BT57" s="11">
        <v>2</v>
      </c>
      <c r="BU57" s="11">
        <v>4.1666001000000003E-4</v>
      </c>
      <c r="BV57" s="11">
        <v>4.1666001000000003E-4</v>
      </c>
      <c r="BW57" s="11">
        <v>41.289000999999999</v>
      </c>
      <c r="BX57" s="11">
        <v>0</v>
      </c>
      <c r="BY57" s="11" t="str">
        <v>Enter Length</v>
      </c>
    </row>
    <row r="58" spans="1:77" x14ac:dyDescent="0.2">
      <c r="A58" s="1">
        <v>0.56000000000000005</v>
      </c>
      <c r="B58" s="6">
        <v>830</v>
      </c>
      <c r="C58" s="7">
        <v>0</v>
      </c>
      <c r="D58" s="8">
        <v>0</v>
      </c>
      <c r="E58" s="9">
        <v>66</v>
      </c>
      <c r="F58" s="6">
        <v>0.64977001999999995</v>
      </c>
      <c r="G58" s="7"/>
      <c r="H58" s="8"/>
      <c r="I58" s="9">
        <v>0.46581</v>
      </c>
      <c r="J58" s="6">
        <v>3.7169001000000002</v>
      </c>
      <c r="K58" s="7">
        <v>0</v>
      </c>
      <c r="L58" s="8">
        <v>0</v>
      </c>
      <c r="M58" s="9">
        <v>2.9697000999999998</v>
      </c>
      <c r="N58" s="6">
        <v>0.17291000000000001</v>
      </c>
      <c r="O58" s="7"/>
      <c r="P58" s="8"/>
      <c r="Q58" s="9">
        <v>1.375E-2</v>
      </c>
      <c r="R58" s="6">
        <v>870</v>
      </c>
      <c r="S58" s="7">
        <v>2</v>
      </c>
      <c r="T58" s="8">
        <v>2</v>
      </c>
      <c r="U58" s="9">
        <v>124</v>
      </c>
      <c r="V58" s="6">
        <v>0.18125000999999999</v>
      </c>
      <c r="W58" s="7">
        <v>4.1666001000000003E-4</v>
      </c>
      <c r="X58" s="8">
        <v>4.1666001000000003E-4</v>
      </c>
      <c r="Y58" s="9">
        <v>2.5832998999999999E-2</v>
      </c>
      <c r="Z58" s="6">
        <v>0.82393998000000002</v>
      </c>
      <c r="AA58" s="7">
        <v>4.1666001000000003E-4</v>
      </c>
      <c r="AB58" s="8">
        <v>4.1666001000000003E-4</v>
      </c>
      <c r="AC58" s="9">
        <v>6.6665001000000002E-2</v>
      </c>
      <c r="AD58" s="6">
        <v>2.2622000999999998</v>
      </c>
      <c r="AE58" s="7">
        <v>41.289000999999999</v>
      </c>
      <c r="AF58" s="8">
        <v>41.289000999999999</v>
      </c>
      <c r="AG58" s="9">
        <v>4.3179997999999999</v>
      </c>
      <c r="AH58" s="6">
        <v>0.23916000000000001</v>
      </c>
      <c r="AI58" s="7"/>
      <c r="AJ58" s="8"/>
      <c r="AK58" s="9">
        <v>0.23649000000000001</v>
      </c>
      <c r="AL58" s="3">
        <f>IF(ISNUMBER(BurstIgor14[[#This Row],[BurstNum_spont]]), IF(ISNUMBER(SpontLength_min), BurstIgor14[[#This Row],[BurstNum_spont]]/SpontLength_min*60, "Enter Length"), "Enter Burst Vals")</f>
        <v>672.97297297297291</v>
      </c>
      <c r="AM5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8" s="11" t="str" cm="1">
        <f t="array" ref="AN58">IF(ISNUMBER(BurstIgor14[[#This Row],[BurstNum_temp2]]), IF(ISNUMBER(Temp2_length), BurstIgor14[[#This Row],[BurstNum_temp2]]/Temp2_length*60, "Enter Length"), "Enter Burst Vals")</f>
        <v>Enter Length</v>
      </c>
      <c r="AO58" s="12" t="str" cm="1">
        <f t="array" ref="AO58">IF(ISNUMBER(BurstIgor14[[#This Row],[BurstNum_temp3]]), IF(ISNUMBER(Temp3_length), BurstIgor14[[#This Row],[BurstNum_temp3]]/Temp3_length*60, "Enter Length"), "Enter Burst Vals")</f>
        <v>Enter Length</v>
      </c>
      <c r="AQ58" s="1">
        <v>0.56000000000000005</v>
      </c>
      <c r="AR58" s="3">
        <v>830</v>
      </c>
      <c r="AS58" s="3">
        <v>0.64977001999999995</v>
      </c>
      <c r="AT58" s="3">
        <v>3.7169001000000002</v>
      </c>
      <c r="AU58" s="3">
        <v>0.17291000000000001</v>
      </c>
      <c r="AV58" s="3">
        <v>870</v>
      </c>
      <c r="AW58" s="3">
        <v>0.18125000999999999</v>
      </c>
      <c r="AX58" s="3">
        <v>0.82393998000000002</v>
      </c>
      <c r="AY58" s="3">
        <v>2.2622000999999998</v>
      </c>
      <c r="AZ58" s="3">
        <v>0.23916000000000001</v>
      </c>
      <c r="BA58" s="3">
        <v>672.97297297297291</v>
      </c>
      <c r="BC58" s="1">
        <v>0.56000000000000005</v>
      </c>
      <c r="BD58" s="10">
        <v>0</v>
      </c>
      <c r="BE58" s="10">
        <v>0</v>
      </c>
      <c r="BF58" s="10">
        <v>0</v>
      </c>
      <c r="BG58" s="10">
        <v>0</v>
      </c>
      <c r="BH58" s="10">
        <v>2</v>
      </c>
      <c r="BI58" s="10">
        <v>4.1666001000000003E-4</v>
      </c>
      <c r="BJ58" s="10">
        <v>4.1666001000000003E-4</v>
      </c>
      <c r="BK58" s="10">
        <v>41.289000999999999</v>
      </c>
      <c r="BL58" s="10">
        <v>0</v>
      </c>
      <c r="BM58" s="10" t="str">
        <v>NA</v>
      </c>
      <c r="BO58" s="1">
        <v>0.56000000000000005</v>
      </c>
      <c r="BP58" s="11">
        <v>0</v>
      </c>
      <c r="BQ58" s="11">
        <v>0</v>
      </c>
      <c r="BR58" s="11">
        <v>0</v>
      </c>
      <c r="BS58" s="11">
        <v>0</v>
      </c>
      <c r="BT58" s="11">
        <v>2</v>
      </c>
      <c r="BU58" s="11">
        <v>4.1666001000000003E-4</v>
      </c>
      <c r="BV58" s="11">
        <v>4.1666001000000003E-4</v>
      </c>
      <c r="BW58" s="11">
        <v>41.289000999999999</v>
      </c>
      <c r="BX58" s="11">
        <v>0</v>
      </c>
      <c r="BY58" s="11" t="str">
        <v>Enter Length</v>
      </c>
    </row>
    <row r="59" spans="1:77" x14ac:dyDescent="0.2">
      <c r="A59" s="1">
        <v>0.56999999999999995</v>
      </c>
      <c r="B59" s="6">
        <v>829</v>
      </c>
      <c r="C59" s="7">
        <v>0</v>
      </c>
      <c r="D59" s="8">
        <v>0</v>
      </c>
      <c r="E59" s="9">
        <v>67</v>
      </c>
      <c r="F59" s="6">
        <v>0.66557001999999998</v>
      </c>
      <c r="G59" s="7"/>
      <c r="H59" s="8"/>
      <c r="I59" s="9">
        <v>0.46731001</v>
      </c>
      <c r="J59" s="6">
        <v>3.7467000000000001</v>
      </c>
      <c r="K59" s="7">
        <v>0</v>
      </c>
      <c r="L59" s="8">
        <v>0</v>
      </c>
      <c r="M59" s="9">
        <v>2.9552</v>
      </c>
      <c r="N59" s="6">
        <v>0.17269999999999999</v>
      </c>
      <c r="O59" s="7"/>
      <c r="P59" s="8"/>
      <c r="Q59" s="9">
        <v>1.3958E-2</v>
      </c>
      <c r="R59" s="6">
        <v>849</v>
      </c>
      <c r="S59" s="7">
        <v>2</v>
      </c>
      <c r="T59" s="8">
        <v>2</v>
      </c>
      <c r="U59" s="9">
        <v>122</v>
      </c>
      <c r="V59" s="6">
        <v>0.17687</v>
      </c>
      <c r="W59" s="7">
        <v>4.1666001000000003E-4</v>
      </c>
      <c r="X59" s="8">
        <v>4.1666001000000003E-4</v>
      </c>
      <c r="Y59" s="9">
        <v>2.5416000000000001E-2</v>
      </c>
      <c r="Z59" s="6">
        <v>0.82393998000000002</v>
      </c>
      <c r="AA59" s="7">
        <v>4.1666001000000003E-4</v>
      </c>
      <c r="AB59" s="8">
        <v>4.1666001000000003E-4</v>
      </c>
      <c r="AC59" s="9">
        <v>6.6665001000000002E-2</v>
      </c>
      <c r="AD59" s="6">
        <v>2.2844999000000001</v>
      </c>
      <c r="AE59" s="7">
        <v>41.289000999999999</v>
      </c>
      <c r="AF59" s="8">
        <v>41.289000999999999</v>
      </c>
      <c r="AG59" s="9">
        <v>4.3379998000000004</v>
      </c>
      <c r="AH59" s="6">
        <v>0.24232000000000001</v>
      </c>
      <c r="AI59" s="7"/>
      <c r="AJ59" s="8"/>
      <c r="AK59" s="9">
        <v>0.23901000999999999</v>
      </c>
      <c r="AL59" s="3">
        <f>IF(ISNUMBER(BurstIgor14[[#This Row],[BurstNum_spont]]), IF(ISNUMBER(SpontLength_min), BurstIgor14[[#This Row],[BurstNum_spont]]/SpontLength_min*60, "Enter Length"), "Enter Burst Vals")</f>
        <v>672.16216216216219</v>
      </c>
      <c r="AM5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59" s="11" t="str" cm="1">
        <f t="array" ref="AN59">IF(ISNUMBER(BurstIgor14[[#This Row],[BurstNum_temp2]]), IF(ISNUMBER(Temp2_length), BurstIgor14[[#This Row],[BurstNum_temp2]]/Temp2_length*60, "Enter Length"), "Enter Burst Vals")</f>
        <v>Enter Length</v>
      </c>
      <c r="AO59" s="12" t="str" cm="1">
        <f t="array" ref="AO59">IF(ISNUMBER(BurstIgor14[[#This Row],[BurstNum_temp3]]), IF(ISNUMBER(Temp3_length), BurstIgor14[[#This Row],[BurstNum_temp3]]/Temp3_length*60, "Enter Length"), "Enter Burst Vals")</f>
        <v>Enter Length</v>
      </c>
      <c r="AQ59" s="1">
        <v>0.56999999999999995</v>
      </c>
      <c r="AR59" s="3">
        <v>829</v>
      </c>
      <c r="AS59" s="3">
        <v>0.66557001999999998</v>
      </c>
      <c r="AT59" s="3">
        <v>3.7467000000000001</v>
      </c>
      <c r="AU59" s="3">
        <v>0.17269999999999999</v>
      </c>
      <c r="AV59" s="3">
        <v>849</v>
      </c>
      <c r="AW59" s="3">
        <v>0.17687</v>
      </c>
      <c r="AX59" s="3">
        <v>0.82393998000000002</v>
      </c>
      <c r="AY59" s="3">
        <v>2.2844999000000001</v>
      </c>
      <c r="AZ59" s="3">
        <v>0.24232000000000001</v>
      </c>
      <c r="BA59" s="3">
        <v>672.16216216216219</v>
      </c>
      <c r="BC59" s="1">
        <v>0.56999999999999995</v>
      </c>
      <c r="BD59" s="10">
        <v>0</v>
      </c>
      <c r="BE59" s="10">
        <v>0</v>
      </c>
      <c r="BF59" s="10">
        <v>0</v>
      </c>
      <c r="BG59" s="10">
        <v>0</v>
      </c>
      <c r="BH59" s="10">
        <v>2</v>
      </c>
      <c r="BI59" s="10">
        <v>4.1666001000000003E-4</v>
      </c>
      <c r="BJ59" s="10">
        <v>4.1666001000000003E-4</v>
      </c>
      <c r="BK59" s="10">
        <v>41.289000999999999</v>
      </c>
      <c r="BL59" s="10">
        <v>0</v>
      </c>
      <c r="BM59" s="10" t="str">
        <v>NA</v>
      </c>
      <c r="BO59" s="1">
        <v>0.56999999999999995</v>
      </c>
      <c r="BP59" s="11">
        <v>0</v>
      </c>
      <c r="BQ59" s="11">
        <v>0</v>
      </c>
      <c r="BR59" s="11">
        <v>0</v>
      </c>
      <c r="BS59" s="11">
        <v>0</v>
      </c>
      <c r="BT59" s="11">
        <v>2</v>
      </c>
      <c r="BU59" s="11">
        <v>4.1666001000000003E-4</v>
      </c>
      <c r="BV59" s="11">
        <v>4.1666001000000003E-4</v>
      </c>
      <c r="BW59" s="11">
        <v>41.289000999999999</v>
      </c>
      <c r="BX59" s="11">
        <v>0</v>
      </c>
      <c r="BY59" s="11" t="str">
        <v>Enter Length</v>
      </c>
    </row>
    <row r="60" spans="1:77" x14ac:dyDescent="0.2">
      <c r="A60" s="1">
        <v>0.57999999999999996</v>
      </c>
      <c r="B60" s="6">
        <v>826</v>
      </c>
      <c r="C60" s="7">
        <v>0</v>
      </c>
      <c r="D60" s="8">
        <v>0</v>
      </c>
      <c r="E60" s="9">
        <v>67</v>
      </c>
      <c r="F60" s="6">
        <v>0.68053001000000002</v>
      </c>
      <c r="G60" s="7"/>
      <c r="H60" s="8"/>
      <c r="I60" s="9">
        <v>0.46731001</v>
      </c>
      <c r="J60" s="6">
        <v>3.7785001</v>
      </c>
      <c r="K60" s="7">
        <v>0</v>
      </c>
      <c r="L60" s="8">
        <v>0</v>
      </c>
      <c r="M60" s="9">
        <v>2.9552</v>
      </c>
      <c r="N60" s="6">
        <v>0.17208000000000001</v>
      </c>
      <c r="O60" s="7"/>
      <c r="P60" s="8"/>
      <c r="Q60" s="9">
        <v>1.3958E-2</v>
      </c>
      <c r="R60" s="6">
        <v>834</v>
      </c>
      <c r="S60" s="7">
        <v>2</v>
      </c>
      <c r="T60" s="8">
        <v>2</v>
      </c>
      <c r="U60" s="9">
        <v>122</v>
      </c>
      <c r="V60" s="6">
        <v>0.17374999999999999</v>
      </c>
      <c r="W60" s="7">
        <v>4.1666001000000003E-4</v>
      </c>
      <c r="X60" s="8">
        <v>4.1666001000000003E-4</v>
      </c>
      <c r="Y60" s="9">
        <v>2.5416000000000001E-2</v>
      </c>
      <c r="Z60" s="6">
        <v>0.82393998000000002</v>
      </c>
      <c r="AA60" s="7">
        <v>4.1666001000000003E-4</v>
      </c>
      <c r="AB60" s="8">
        <v>4.1666001000000003E-4</v>
      </c>
      <c r="AC60" s="9">
        <v>6.6665001000000002E-2</v>
      </c>
      <c r="AD60" s="6">
        <v>2.3029999999999999</v>
      </c>
      <c r="AE60" s="7">
        <v>41.289000999999999</v>
      </c>
      <c r="AF60" s="8">
        <v>41.289000999999999</v>
      </c>
      <c r="AG60" s="9">
        <v>4.3379998000000004</v>
      </c>
      <c r="AH60" s="6">
        <v>0.24493000000000001</v>
      </c>
      <c r="AI60" s="7"/>
      <c r="AJ60" s="8"/>
      <c r="AK60" s="9">
        <v>0.23901000999999999</v>
      </c>
      <c r="AL60" s="3">
        <f>IF(ISNUMBER(BurstIgor14[[#This Row],[BurstNum_spont]]), IF(ISNUMBER(SpontLength_min), BurstIgor14[[#This Row],[BurstNum_spont]]/SpontLength_min*60, "Enter Length"), "Enter Burst Vals")</f>
        <v>669.72972972972968</v>
      </c>
      <c r="AM6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0" s="11" t="str" cm="1">
        <f t="array" ref="AN60">IF(ISNUMBER(BurstIgor14[[#This Row],[BurstNum_temp2]]), IF(ISNUMBER(Temp2_length), BurstIgor14[[#This Row],[BurstNum_temp2]]/Temp2_length*60, "Enter Length"), "Enter Burst Vals")</f>
        <v>Enter Length</v>
      </c>
      <c r="AO60" s="12" t="str" cm="1">
        <f t="array" ref="AO60">IF(ISNUMBER(BurstIgor14[[#This Row],[BurstNum_temp3]]), IF(ISNUMBER(Temp3_length), BurstIgor14[[#This Row],[BurstNum_temp3]]/Temp3_length*60, "Enter Length"), "Enter Burst Vals")</f>
        <v>Enter Length</v>
      </c>
      <c r="AQ60" s="1">
        <v>0.57999999999999996</v>
      </c>
      <c r="AR60" s="3">
        <v>826</v>
      </c>
      <c r="AS60" s="3">
        <v>0.68053001000000002</v>
      </c>
      <c r="AT60" s="3">
        <v>3.7785001</v>
      </c>
      <c r="AU60" s="3">
        <v>0.17208000000000001</v>
      </c>
      <c r="AV60" s="3">
        <v>834</v>
      </c>
      <c r="AW60" s="3">
        <v>0.17374999999999999</v>
      </c>
      <c r="AX60" s="3">
        <v>0.82393998000000002</v>
      </c>
      <c r="AY60" s="3">
        <v>2.3029999999999999</v>
      </c>
      <c r="AZ60" s="3">
        <v>0.24493000000000001</v>
      </c>
      <c r="BA60" s="3">
        <v>669.72972972972968</v>
      </c>
      <c r="BC60" s="1">
        <v>0.57999999999999996</v>
      </c>
      <c r="BD60" s="10">
        <v>0</v>
      </c>
      <c r="BE60" s="10">
        <v>0</v>
      </c>
      <c r="BF60" s="10">
        <v>0</v>
      </c>
      <c r="BG60" s="10">
        <v>0</v>
      </c>
      <c r="BH60" s="10">
        <v>2</v>
      </c>
      <c r="BI60" s="10">
        <v>4.1666001000000003E-4</v>
      </c>
      <c r="BJ60" s="10">
        <v>4.1666001000000003E-4</v>
      </c>
      <c r="BK60" s="10">
        <v>41.289000999999999</v>
      </c>
      <c r="BL60" s="10">
        <v>0</v>
      </c>
      <c r="BM60" s="10" t="str">
        <v>NA</v>
      </c>
      <c r="BO60" s="1">
        <v>0.57999999999999996</v>
      </c>
      <c r="BP60" s="11">
        <v>0</v>
      </c>
      <c r="BQ60" s="11">
        <v>0</v>
      </c>
      <c r="BR60" s="11">
        <v>0</v>
      </c>
      <c r="BS60" s="11">
        <v>0</v>
      </c>
      <c r="BT60" s="11">
        <v>2</v>
      </c>
      <c r="BU60" s="11">
        <v>4.1666001000000003E-4</v>
      </c>
      <c r="BV60" s="11">
        <v>4.1666001000000003E-4</v>
      </c>
      <c r="BW60" s="11">
        <v>41.289000999999999</v>
      </c>
      <c r="BX60" s="11">
        <v>0</v>
      </c>
      <c r="BY60" s="11" t="str">
        <v>Enter Length</v>
      </c>
    </row>
    <row r="61" spans="1:77" x14ac:dyDescent="0.2">
      <c r="A61" s="1">
        <v>0.59</v>
      </c>
      <c r="B61" s="6">
        <v>822</v>
      </c>
      <c r="C61" s="7">
        <v>0</v>
      </c>
      <c r="D61" s="8">
        <v>0</v>
      </c>
      <c r="E61" s="9">
        <v>67</v>
      </c>
      <c r="F61" s="6">
        <v>0.69453001000000003</v>
      </c>
      <c r="G61" s="7"/>
      <c r="H61" s="8"/>
      <c r="I61" s="9">
        <v>0.47611000999999997</v>
      </c>
      <c r="J61" s="6">
        <v>3.8102</v>
      </c>
      <c r="K61" s="7">
        <v>0</v>
      </c>
      <c r="L61" s="8">
        <v>0</v>
      </c>
      <c r="M61" s="9">
        <v>2.9700999000000001</v>
      </c>
      <c r="N61" s="6">
        <v>0.17125000000000001</v>
      </c>
      <c r="O61" s="7"/>
      <c r="P61" s="8"/>
      <c r="Q61" s="9">
        <v>1.3958E-2</v>
      </c>
      <c r="R61" s="6">
        <v>823</v>
      </c>
      <c r="S61" s="7">
        <v>2</v>
      </c>
      <c r="T61" s="8">
        <v>2</v>
      </c>
      <c r="U61" s="9">
        <v>121</v>
      </c>
      <c r="V61" s="6">
        <v>0.17144999999999999</v>
      </c>
      <c r="W61" s="7">
        <v>4.1666001000000003E-4</v>
      </c>
      <c r="X61" s="8">
        <v>4.1666001000000003E-4</v>
      </c>
      <c r="Y61" s="9">
        <v>2.5208000000000001E-2</v>
      </c>
      <c r="Z61" s="6">
        <v>0.82393998000000002</v>
      </c>
      <c r="AA61" s="7">
        <v>4.1666001000000003E-4</v>
      </c>
      <c r="AB61" s="8">
        <v>4.1666001000000003E-4</v>
      </c>
      <c r="AC61" s="9">
        <v>6.6665001000000002E-2</v>
      </c>
      <c r="AD61" s="6">
        <v>2.3187001</v>
      </c>
      <c r="AE61" s="7">
        <v>41.289000999999999</v>
      </c>
      <c r="AF61" s="8">
        <v>41.289000999999999</v>
      </c>
      <c r="AG61" s="9">
        <v>4.3579998</v>
      </c>
      <c r="AH61" s="6">
        <v>0.24714000999999999</v>
      </c>
      <c r="AI61" s="7"/>
      <c r="AJ61" s="8"/>
      <c r="AK61" s="9">
        <v>0.24166000000000001</v>
      </c>
      <c r="AL61" s="3">
        <f>IF(ISNUMBER(BurstIgor14[[#This Row],[BurstNum_spont]]), IF(ISNUMBER(SpontLength_min), BurstIgor14[[#This Row],[BurstNum_spont]]/SpontLength_min*60, "Enter Length"), "Enter Burst Vals")</f>
        <v>666.48648648648657</v>
      </c>
      <c r="AM6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1" s="11" t="str" cm="1">
        <f t="array" ref="AN61">IF(ISNUMBER(BurstIgor14[[#This Row],[BurstNum_temp2]]), IF(ISNUMBER(Temp2_length), BurstIgor14[[#This Row],[BurstNum_temp2]]/Temp2_length*60, "Enter Length"), "Enter Burst Vals")</f>
        <v>Enter Length</v>
      </c>
      <c r="AO61" s="12" t="str" cm="1">
        <f t="array" ref="AO61">IF(ISNUMBER(BurstIgor14[[#This Row],[BurstNum_temp3]]), IF(ISNUMBER(Temp3_length), BurstIgor14[[#This Row],[BurstNum_temp3]]/Temp3_length*60, "Enter Length"), "Enter Burst Vals")</f>
        <v>Enter Length</v>
      </c>
      <c r="AQ61" s="1">
        <v>0.59</v>
      </c>
      <c r="AR61" s="3">
        <v>822</v>
      </c>
      <c r="AS61" s="3">
        <v>0.69453001000000003</v>
      </c>
      <c r="AT61" s="3">
        <v>3.8102</v>
      </c>
      <c r="AU61" s="3">
        <v>0.17125000000000001</v>
      </c>
      <c r="AV61" s="3">
        <v>823</v>
      </c>
      <c r="AW61" s="3">
        <v>0.17144999999999999</v>
      </c>
      <c r="AX61" s="3">
        <v>0.82393998000000002</v>
      </c>
      <c r="AY61" s="3">
        <v>2.3187001</v>
      </c>
      <c r="AZ61" s="3">
        <v>0.24714000999999999</v>
      </c>
      <c r="BA61" s="3">
        <v>666.48648648648657</v>
      </c>
      <c r="BC61" s="1">
        <v>0.59</v>
      </c>
      <c r="BD61" s="10">
        <v>0</v>
      </c>
      <c r="BE61" s="10">
        <v>0</v>
      </c>
      <c r="BF61" s="10">
        <v>0</v>
      </c>
      <c r="BG61" s="10">
        <v>0</v>
      </c>
      <c r="BH61" s="10">
        <v>2</v>
      </c>
      <c r="BI61" s="10">
        <v>4.1666001000000003E-4</v>
      </c>
      <c r="BJ61" s="10">
        <v>4.1666001000000003E-4</v>
      </c>
      <c r="BK61" s="10">
        <v>41.289000999999999</v>
      </c>
      <c r="BL61" s="10">
        <v>0</v>
      </c>
      <c r="BM61" s="10" t="str">
        <v>NA</v>
      </c>
      <c r="BO61" s="1">
        <v>0.59</v>
      </c>
      <c r="BP61" s="11">
        <v>0</v>
      </c>
      <c r="BQ61" s="11">
        <v>0</v>
      </c>
      <c r="BR61" s="11">
        <v>0</v>
      </c>
      <c r="BS61" s="11">
        <v>0</v>
      </c>
      <c r="BT61" s="11">
        <v>2</v>
      </c>
      <c r="BU61" s="11">
        <v>4.1666001000000003E-4</v>
      </c>
      <c r="BV61" s="11">
        <v>4.1666001000000003E-4</v>
      </c>
      <c r="BW61" s="11">
        <v>41.289000999999999</v>
      </c>
      <c r="BX61" s="11">
        <v>0</v>
      </c>
      <c r="BY61" s="11" t="str">
        <v>Enter Length</v>
      </c>
    </row>
    <row r="62" spans="1:77" x14ac:dyDescent="0.2">
      <c r="A62" s="1">
        <v>0.6</v>
      </c>
      <c r="B62" s="6">
        <v>816</v>
      </c>
      <c r="C62" s="7">
        <v>0</v>
      </c>
      <c r="D62" s="8">
        <v>0</v>
      </c>
      <c r="E62" s="9">
        <v>68</v>
      </c>
      <c r="F62" s="6">
        <v>0.71056001999999996</v>
      </c>
      <c r="G62" s="7"/>
      <c r="H62" s="8"/>
      <c r="I62" s="9">
        <v>0.48658001000000001</v>
      </c>
      <c r="J62" s="6">
        <v>3.8492999000000001</v>
      </c>
      <c r="K62" s="7">
        <v>0</v>
      </c>
      <c r="L62" s="8">
        <v>0</v>
      </c>
      <c r="M62" s="9">
        <v>2.9705998999999998</v>
      </c>
      <c r="N62" s="6">
        <v>0.17</v>
      </c>
      <c r="O62" s="7"/>
      <c r="P62" s="8"/>
      <c r="Q62" s="9">
        <v>1.4166E-2</v>
      </c>
      <c r="R62" s="6">
        <v>814</v>
      </c>
      <c r="S62" s="7">
        <v>2</v>
      </c>
      <c r="T62" s="8">
        <v>2</v>
      </c>
      <c r="U62" s="9">
        <v>118</v>
      </c>
      <c r="V62" s="6">
        <v>0.16958000000000001</v>
      </c>
      <c r="W62" s="7">
        <v>4.1666001000000003E-4</v>
      </c>
      <c r="X62" s="8">
        <v>4.1666001000000003E-4</v>
      </c>
      <c r="Y62" s="9">
        <v>2.4583001E-2</v>
      </c>
      <c r="Z62" s="6">
        <v>0.82393998000000002</v>
      </c>
      <c r="AA62" s="7">
        <v>4.1666001000000003E-4</v>
      </c>
      <c r="AB62" s="8">
        <v>4.1666001000000003E-4</v>
      </c>
      <c r="AC62" s="9">
        <v>6.6665001000000002E-2</v>
      </c>
      <c r="AD62" s="6">
        <v>2.3346</v>
      </c>
      <c r="AE62" s="7">
        <v>41.289000999999999</v>
      </c>
      <c r="AF62" s="8">
        <v>41.289000999999999</v>
      </c>
      <c r="AG62" s="9">
        <v>4.3987002000000004</v>
      </c>
      <c r="AH62" s="6">
        <v>0.24938001000000001</v>
      </c>
      <c r="AI62" s="7"/>
      <c r="AJ62" s="8"/>
      <c r="AK62" s="9">
        <v>0.24692</v>
      </c>
      <c r="AL62" s="3">
        <f>IF(ISNUMBER(BurstIgor14[[#This Row],[BurstNum_spont]]), IF(ISNUMBER(SpontLength_min), BurstIgor14[[#This Row],[BurstNum_spont]]/SpontLength_min*60, "Enter Length"), "Enter Burst Vals")</f>
        <v>661.62162162162156</v>
      </c>
      <c r="AM6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2" s="11" t="str" cm="1">
        <f t="array" ref="AN62">IF(ISNUMBER(BurstIgor14[[#This Row],[BurstNum_temp2]]), IF(ISNUMBER(Temp2_length), BurstIgor14[[#This Row],[BurstNum_temp2]]/Temp2_length*60, "Enter Length"), "Enter Burst Vals")</f>
        <v>Enter Length</v>
      </c>
      <c r="AO62" s="12" t="str" cm="1">
        <f t="array" ref="AO62">IF(ISNUMBER(BurstIgor14[[#This Row],[BurstNum_temp3]]), IF(ISNUMBER(Temp3_length), BurstIgor14[[#This Row],[BurstNum_temp3]]/Temp3_length*60, "Enter Length"), "Enter Burst Vals")</f>
        <v>Enter Length</v>
      </c>
      <c r="AQ62" s="1">
        <v>0.6</v>
      </c>
      <c r="AR62" s="3">
        <v>816</v>
      </c>
      <c r="AS62" s="3">
        <v>0.71056001999999996</v>
      </c>
      <c r="AT62" s="3">
        <v>3.8492999000000001</v>
      </c>
      <c r="AU62" s="3">
        <v>0.17</v>
      </c>
      <c r="AV62" s="3">
        <v>814</v>
      </c>
      <c r="AW62" s="3">
        <v>0.16958000000000001</v>
      </c>
      <c r="AX62" s="3">
        <v>0.82393998000000002</v>
      </c>
      <c r="AY62" s="3">
        <v>2.3346</v>
      </c>
      <c r="AZ62" s="3">
        <v>0.24938001000000001</v>
      </c>
      <c r="BA62" s="3">
        <v>661.62162162162156</v>
      </c>
      <c r="BC62" s="1">
        <v>0.6</v>
      </c>
      <c r="BD62" s="10">
        <v>0</v>
      </c>
      <c r="BE62" s="10">
        <v>0</v>
      </c>
      <c r="BF62" s="10">
        <v>0</v>
      </c>
      <c r="BG62" s="10">
        <v>0</v>
      </c>
      <c r="BH62" s="10">
        <v>2</v>
      </c>
      <c r="BI62" s="10">
        <v>4.1666001000000003E-4</v>
      </c>
      <c r="BJ62" s="10">
        <v>4.1666001000000003E-4</v>
      </c>
      <c r="BK62" s="10">
        <v>41.289000999999999</v>
      </c>
      <c r="BL62" s="10">
        <v>0</v>
      </c>
      <c r="BM62" s="10" t="str">
        <v>NA</v>
      </c>
      <c r="BO62" s="1">
        <v>0.6</v>
      </c>
      <c r="BP62" s="11">
        <v>0</v>
      </c>
      <c r="BQ62" s="11">
        <v>0</v>
      </c>
      <c r="BR62" s="11">
        <v>0</v>
      </c>
      <c r="BS62" s="11">
        <v>0</v>
      </c>
      <c r="BT62" s="11">
        <v>2</v>
      </c>
      <c r="BU62" s="11">
        <v>4.1666001000000003E-4</v>
      </c>
      <c r="BV62" s="11">
        <v>4.1666001000000003E-4</v>
      </c>
      <c r="BW62" s="11">
        <v>41.289000999999999</v>
      </c>
      <c r="BX62" s="11">
        <v>0</v>
      </c>
      <c r="BY62" s="11" t="str">
        <v>Enter Length</v>
      </c>
    </row>
    <row r="63" spans="1:77" x14ac:dyDescent="0.2">
      <c r="A63" s="1">
        <v>0.61</v>
      </c>
      <c r="B63" s="6">
        <v>812</v>
      </c>
      <c r="C63" s="7">
        <v>0</v>
      </c>
      <c r="D63" s="8">
        <v>0</v>
      </c>
      <c r="E63" s="9">
        <v>69</v>
      </c>
      <c r="F63" s="6">
        <v>0.72448999000000003</v>
      </c>
      <c r="G63" s="7"/>
      <c r="H63" s="8"/>
      <c r="I63" s="9">
        <v>0.48831998999999998</v>
      </c>
      <c r="J63" s="6">
        <v>3.8805000999999999</v>
      </c>
      <c r="K63" s="7">
        <v>0</v>
      </c>
      <c r="L63" s="8">
        <v>0</v>
      </c>
      <c r="M63" s="9">
        <v>2.9565001</v>
      </c>
      <c r="N63" s="6">
        <v>0.16915999000000001</v>
      </c>
      <c r="O63" s="7"/>
      <c r="P63" s="8"/>
      <c r="Q63" s="9">
        <v>1.4375000000000001E-2</v>
      </c>
      <c r="R63" s="6">
        <v>804</v>
      </c>
      <c r="S63" s="7">
        <v>2</v>
      </c>
      <c r="T63" s="8">
        <v>2</v>
      </c>
      <c r="U63" s="9">
        <v>116</v>
      </c>
      <c r="V63" s="6">
        <v>0.16750000000000001</v>
      </c>
      <c r="W63" s="7">
        <v>4.1666001000000003E-4</v>
      </c>
      <c r="X63" s="8">
        <v>4.1666001000000003E-4</v>
      </c>
      <c r="Y63" s="9">
        <v>2.4165999000000001E-2</v>
      </c>
      <c r="Z63" s="6">
        <v>0.82393998000000002</v>
      </c>
      <c r="AA63" s="7">
        <v>4.1666001000000003E-4</v>
      </c>
      <c r="AB63" s="8">
        <v>4.1666001000000003E-4</v>
      </c>
      <c r="AC63" s="9">
        <v>6.6665001000000002E-2</v>
      </c>
      <c r="AD63" s="6">
        <v>2.3496001</v>
      </c>
      <c r="AE63" s="7">
        <v>41.289000999999999</v>
      </c>
      <c r="AF63" s="8">
        <v>41.289000999999999</v>
      </c>
      <c r="AG63" s="9">
        <v>4.4193001000000001</v>
      </c>
      <c r="AH63" s="6">
        <v>0.25150999000000002</v>
      </c>
      <c r="AI63" s="7"/>
      <c r="AJ63" s="8"/>
      <c r="AK63" s="9">
        <v>0.24958999000000001</v>
      </c>
      <c r="AL63" s="3">
        <f>IF(ISNUMBER(BurstIgor14[[#This Row],[BurstNum_spont]]), IF(ISNUMBER(SpontLength_min), BurstIgor14[[#This Row],[BurstNum_spont]]/SpontLength_min*60, "Enter Length"), "Enter Burst Vals")</f>
        <v>658.37837837837844</v>
      </c>
      <c r="AM6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3" s="11" t="str" cm="1">
        <f t="array" ref="AN63">IF(ISNUMBER(BurstIgor14[[#This Row],[BurstNum_temp2]]), IF(ISNUMBER(Temp2_length), BurstIgor14[[#This Row],[BurstNum_temp2]]/Temp2_length*60, "Enter Length"), "Enter Burst Vals")</f>
        <v>Enter Length</v>
      </c>
      <c r="AO63" s="12" t="str" cm="1">
        <f t="array" ref="AO63">IF(ISNUMBER(BurstIgor14[[#This Row],[BurstNum_temp3]]), IF(ISNUMBER(Temp3_length), BurstIgor14[[#This Row],[BurstNum_temp3]]/Temp3_length*60, "Enter Length"), "Enter Burst Vals")</f>
        <v>Enter Length</v>
      </c>
      <c r="AQ63" s="1">
        <v>0.61</v>
      </c>
      <c r="AR63" s="3">
        <v>812</v>
      </c>
      <c r="AS63" s="3">
        <v>0.72448999000000003</v>
      </c>
      <c r="AT63" s="3">
        <v>3.8805000999999999</v>
      </c>
      <c r="AU63" s="3">
        <v>0.16915999000000001</v>
      </c>
      <c r="AV63" s="3">
        <v>804</v>
      </c>
      <c r="AW63" s="3">
        <v>0.16750000000000001</v>
      </c>
      <c r="AX63" s="3">
        <v>0.82393998000000002</v>
      </c>
      <c r="AY63" s="3">
        <v>2.3496001</v>
      </c>
      <c r="AZ63" s="3">
        <v>0.25150999000000002</v>
      </c>
      <c r="BA63" s="3">
        <v>658.37837837837844</v>
      </c>
      <c r="BC63" s="1">
        <v>0.61</v>
      </c>
      <c r="BD63" s="10">
        <v>0</v>
      </c>
      <c r="BE63" s="10">
        <v>0</v>
      </c>
      <c r="BF63" s="10">
        <v>0</v>
      </c>
      <c r="BG63" s="10">
        <v>0</v>
      </c>
      <c r="BH63" s="10">
        <v>2</v>
      </c>
      <c r="BI63" s="10">
        <v>4.1666001000000003E-4</v>
      </c>
      <c r="BJ63" s="10">
        <v>4.1666001000000003E-4</v>
      </c>
      <c r="BK63" s="10">
        <v>41.289000999999999</v>
      </c>
      <c r="BL63" s="10">
        <v>0</v>
      </c>
      <c r="BM63" s="10" t="str">
        <v>NA</v>
      </c>
      <c r="BO63" s="1">
        <v>0.61</v>
      </c>
      <c r="BP63" s="11">
        <v>0</v>
      </c>
      <c r="BQ63" s="11">
        <v>0</v>
      </c>
      <c r="BR63" s="11">
        <v>0</v>
      </c>
      <c r="BS63" s="11">
        <v>0</v>
      </c>
      <c r="BT63" s="11">
        <v>2</v>
      </c>
      <c r="BU63" s="11">
        <v>4.1666001000000003E-4</v>
      </c>
      <c r="BV63" s="11">
        <v>4.1666001000000003E-4</v>
      </c>
      <c r="BW63" s="11">
        <v>41.289000999999999</v>
      </c>
      <c r="BX63" s="11">
        <v>0</v>
      </c>
      <c r="BY63" s="11" t="str">
        <v>Enter Length</v>
      </c>
    </row>
    <row r="64" spans="1:77" x14ac:dyDescent="0.2">
      <c r="A64" s="1">
        <v>0.62</v>
      </c>
      <c r="B64" s="6">
        <v>816</v>
      </c>
      <c r="C64" s="7">
        <v>0</v>
      </c>
      <c r="D64" s="8">
        <v>0</v>
      </c>
      <c r="E64" s="9">
        <v>71</v>
      </c>
      <c r="F64" s="6">
        <v>0.73299002999999996</v>
      </c>
      <c r="G64" s="7"/>
      <c r="H64" s="8"/>
      <c r="I64" s="9">
        <v>0.50917000000000001</v>
      </c>
      <c r="J64" s="6">
        <v>3.8859998999999998</v>
      </c>
      <c r="K64" s="7">
        <v>0</v>
      </c>
      <c r="L64" s="8">
        <v>0</v>
      </c>
      <c r="M64" s="9">
        <v>2.9577</v>
      </c>
      <c r="N64" s="6">
        <v>0.17</v>
      </c>
      <c r="O64" s="7"/>
      <c r="P64" s="8"/>
      <c r="Q64" s="9">
        <v>1.4791E-2</v>
      </c>
      <c r="R64" s="6">
        <v>784</v>
      </c>
      <c r="S64" s="7">
        <v>2</v>
      </c>
      <c r="T64" s="8">
        <v>2</v>
      </c>
      <c r="U64" s="9">
        <v>110</v>
      </c>
      <c r="V64" s="6">
        <v>0.16333</v>
      </c>
      <c r="W64" s="7">
        <v>4.1666001000000003E-4</v>
      </c>
      <c r="X64" s="8">
        <v>4.1666001000000003E-4</v>
      </c>
      <c r="Y64" s="9">
        <v>2.2915999999999999E-2</v>
      </c>
      <c r="Z64" s="6">
        <v>0.82393998000000002</v>
      </c>
      <c r="AA64" s="7">
        <v>4.1666001000000003E-4</v>
      </c>
      <c r="AB64" s="8">
        <v>4.1666001000000003E-4</v>
      </c>
      <c r="AC64" s="9">
        <v>6.6665001000000002E-2</v>
      </c>
      <c r="AD64" s="6">
        <v>2.3668999999999998</v>
      </c>
      <c r="AE64" s="7">
        <v>41.289000999999999</v>
      </c>
      <c r="AF64" s="8">
        <v>41.289000999999999</v>
      </c>
      <c r="AG64" s="9">
        <v>4.5039001000000001</v>
      </c>
      <c r="AH64" s="6">
        <v>0.25398000999999998</v>
      </c>
      <c r="AI64" s="7"/>
      <c r="AJ64" s="8"/>
      <c r="AK64" s="9">
        <v>0.26008000999999997</v>
      </c>
      <c r="AL64" s="3">
        <f>IF(ISNUMBER(BurstIgor14[[#This Row],[BurstNum_spont]]), IF(ISNUMBER(SpontLength_min), BurstIgor14[[#This Row],[BurstNum_spont]]/SpontLength_min*60, "Enter Length"), "Enter Burst Vals")</f>
        <v>661.62162162162156</v>
      </c>
      <c r="AM6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4" s="11" t="str" cm="1">
        <f t="array" ref="AN64">IF(ISNUMBER(BurstIgor14[[#This Row],[BurstNum_temp2]]), IF(ISNUMBER(Temp2_length), BurstIgor14[[#This Row],[BurstNum_temp2]]/Temp2_length*60, "Enter Length"), "Enter Burst Vals")</f>
        <v>Enter Length</v>
      </c>
      <c r="AO64" s="12" t="str" cm="1">
        <f t="array" ref="AO64">IF(ISNUMBER(BurstIgor14[[#This Row],[BurstNum_temp3]]), IF(ISNUMBER(Temp3_length), BurstIgor14[[#This Row],[BurstNum_temp3]]/Temp3_length*60, "Enter Length"), "Enter Burst Vals")</f>
        <v>Enter Length</v>
      </c>
      <c r="AQ64" s="1">
        <v>0.62</v>
      </c>
      <c r="AR64" s="3">
        <v>816</v>
      </c>
      <c r="AS64" s="3">
        <v>0.73299002999999996</v>
      </c>
      <c r="AT64" s="3">
        <v>3.8859998999999998</v>
      </c>
      <c r="AU64" s="3">
        <v>0.17</v>
      </c>
      <c r="AV64" s="3">
        <v>784</v>
      </c>
      <c r="AW64" s="3">
        <v>0.16333</v>
      </c>
      <c r="AX64" s="3">
        <v>0.82393998000000002</v>
      </c>
      <c r="AY64" s="3">
        <v>2.3668999999999998</v>
      </c>
      <c r="AZ64" s="3">
        <v>0.25398000999999998</v>
      </c>
      <c r="BA64" s="3">
        <v>661.62162162162156</v>
      </c>
      <c r="BC64" s="1">
        <v>0.62</v>
      </c>
      <c r="BD64" s="10">
        <v>0</v>
      </c>
      <c r="BE64" s="10">
        <v>0</v>
      </c>
      <c r="BF64" s="10">
        <v>0</v>
      </c>
      <c r="BG64" s="10">
        <v>0</v>
      </c>
      <c r="BH64" s="10">
        <v>2</v>
      </c>
      <c r="BI64" s="10">
        <v>4.1666001000000003E-4</v>
      </c>
      <c r="BJ64" s="10">
        <v>4.1666001000000003E-4</v>
      </c>
      <c r="BK64" s="10">
        <v>41.289000999999999</v>
      </c>
      <c r="BL64" s="10">
        <v>0</v>
      </c>
      <c r="BM64" s="10" t="str">
        <v>NA</v>
      </c>
      <c r="BO64" s="1">
        <v>0.62</v>
      </c>
      <c r="BP64" s="11">
        <v>0</v>
      </c>
      <c r="BQ64" s="11">
        <v>0</v>
      </c>
      <c r="BR64" s="11">
        <v>0</v>
      </c>
      <c r="BS64" s="11">
        <v>0</v>
      </c>
      <c r="BT64" s="11">
        <v>2</v>
      </c>
      <c r="BU64" s="11">
        <v>4.1666001000000003E-4</v>
      </c>
      <c r="BV64" s="11">
        <v>4.1666001000000003E-4</v>
      </c>
      <c r="BW64" s="11">
        <v>41.289000999999999</v>
      </c>
      <c r="BX64" s="11">
        <v>0</v>
      </c>
      <c r="BY64" s="11" t="str">
        <v>Enter Length</v>
      </c>
    </row>
    <row r="65" spans="1:77" x14ac:dyDescent="0.2">
      <c r="A65" s="1">
        <v>0.63</v>
      </c>
      <c r="B65" s="6">
        <v>811</v>
      </c>
      <c r="C65" s="7">
        <v>0</v>
      </c>
      <c r="D65" s="8">
        <v>0</v>
      </c>
      <c r="E65" s="9">
        <v>72</v>
      </c>
      <c r="F65" s="6">
        <v>0.74907999999999997</v>
      </c>
      <c r="G65" s="7"/>
      <c r="H65" s="8"/>
      <c r="I65" s="9">
        <v>0.51945001000000002</v>
      </c>
      <c r="J65" s="6">
        <v>3.9223001000000002</v>
      </c>
      <c r="K65" s="7">
        <v>0</v>
      </c>
      <c r="L65" s="8">
        <v>0</v>
      </c>
      <c r="M65" s="9">
        <v>2.9583001000000002</v>
      </c>
      <c r="N65" s="6">
        <v>0.16895001000000001</v>
      </c>
      <c r="O65" s="7"/>
      <c r="P65" s="8"/>
      <c r="Q65" s="9">
        <v>1.4999999999999999E-2</v>
      </c>
      <c r="R65" s="6">
        <v>774</v>
      </c>
      <c r="S65" s="7">
        <v>2</v>
      </c>
      <c r="T65" s="8">
        <v>2</v>
      </c>
      <c r="U65" s="9">
        <v>107</v>
      </c>
      <c r="V65" s="6">
        <v>0.16125</v>
      </c>
      <c r="W65" s="7">
        <v>4.1666001000000003E-4</v>
      </c>
      <c r="X65" s="8">
        <v>4.1666001000000003E-4</v>
      </c>
      <c r="Y65" s="9">
        <v>2.2290998999999999E-2</v>
      </c>
      <c r="Z65" s="6">
        <v>0.82393998000000002</v>
      </c>
      <c r="AA65" s="7">
        <v>4.1666001000000003E-4</v>
      </c>
      <c r="AB65" s="8">
        <v>4.1666001000000003E-4</v>
      </c>
      <c r="AC65" s="9">
        <v>6.6665001000000002E-2</v>
      </c>
      <c r="AD65" s="6">
        <v>2.3834</v>
      </c>
      <c r="AE65" s="7">
        <v>41.289000999999999</v>
      </c>
      <c r="AF65" s="8">
        <v>41.289000999999999</v>
      </c>
      <c r="AG65" s="9">
        <v>4.5473999999999997</v>
      </c>
      <c r="AH65" s="6">
        <v>0.25633001</v>
      </c>
      <c r="AI65" s="7"/>
      <c r="AJ65" s="8"/>
      <c r="AK65" s="9">
        <v>0.26524999999999999</v>
      </c>
      <c r="AL65" s="3">
        <f>IF(ISNUMBER(BurstIgor14[[#This Row],[BurstNum_spont]]), IF(ISNUMBER(SpontLength_min), BurstIgor14[[#This Row],[BurstNum_spont]]/SpontLength_min*60, "Enter Length"), "Enter Burst Vals")</f>
        <v>657.56756756756761</v>
      </c>
      <c r="AM6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5" s="11" t="str" cm="1">
        <f t="array" ref="AN65">IF(ISNUMBER(BurstIgor14[[#This Row],[BurstNum_temp2]]), IF(ISNUMBER(Temp2_length), BurstIgor14[[#This Row],[BurstNum_temp2]]/Temp2_length*60, "Enter Length"), "Enter Burst Vals")</f>
        <v>Enter Length</v>
      </c>
      <c r="AO65" s="12" t="str" cm="1">
        <f t="array" ref="AO65">IF(ISNUMBER(BurstIgor14[[#This Row],[BurstNum_temp3]]), IF(ISNUMBER(Temp3_length), BurstIgor14[[#This Row],[BurstNum_temp3]]/Temp3_length*60, "Enter Length"), "Enter Burst Vals")</f>
        <v>Enter Length</v>
      </c>
      <c r="AQ65" s="1">
        <v>0.63</v>
      </c>
      <c r="AR65" s="3">
        <v>811</v>
      </c>
      <c r="AS65" s="3">
        <v>0.74907999999999997</v>
      </c>
      <c r="AT65" s="3">
        <v>3.9223001000000002</v>
      </c>
      <c r="AU65" s="3">
        <v>0.16895001000000001</v>
      </c>
      <c r="AV65" s="3">
        <v>774</v>
      </c>
      <c r="AW65" s="3">
        <v>0.16125</v>
      </c>
      <c r="AX65" s="3">
        <v>0.82393998000000002</v>
      </c>
      <c r="AY65" s="3">
        <v>2.3834</v>
      </c>
      <c r="AZ65" s="3">
        <v>0.25633001</v>
      </c>
      <c r="BA65" s="3">
        <v>657.56756756756761</v>
      </c>
      <c r="BC65" s="1">
        <v>0.63</v>
      </c>
      <c r="BD65" s="10">
        <v>0</v>
      </c>
      <c r="BE65" s="10">
        <v>0</v>
      </c>
      <c r="BF65" s="10">
        <v>0</v>
      </c>
      <c r="BG65" s="10">
        <v>0</v>
      </c>
      <c r="BH65" s="10">
        <v>2</v>
      </c>
      <c r="BI65" s="10">
        <v>4.1666001000000003E-4</v>
      </c>
      <c r="BJ65" s="10">
        <v>4.1666001000000003E-4</v>
      </c>
      <c r="BK65" s="10">
        <v>41.289000999999999</v>
      </c>
      <c r="BL65" s="10">
        <v>0</v>
      </c>
      <c r="BM65" s="10" t="str">
        <v>NA</v>
      </c>
      <c r="BO65" s="1">
        <v>0.63</v>
      </c>
      <c r="BP65" s="11">
        <v>0</v>
      </c>
      <c r="BQ65" s="11">
        <v>0</v>
      </c>
      <c r="BR65" s="11">
        <v>0</v>
      </c>
      <c r="BS65" s="11">
        <v>0</v>
      </c>
      <c r="BT65" s="11">
        <v>2</v>
      </c>
      <c r="BU65" s="11">
        <v>4.1666001000000003E-4</v>
      </c>
      <c r="BV65" s="11">
        <v>4.1666001000000003E-4</v>
      </c>
      <c r="BW65" s="11">
        <v>41.289000999999999</v>
      </c>
      <c r="BX65" s="11">
        <v>0</v>
      </c>
      <c r="BY65" s="11" t="str">
        <v>Enter Length</v>
      </c>
    </row>
    <row r="66" spans="1:77" x14ac:dyDescent="0.2">
      <c r="A66" s="1">
        <v>0.64</v>
      </c>
      <c r="B66" s="6">
        <v>810</v>
      </c>
      <c r="C66" s="7">
        <v>0</v>
      </c>
      <c r="D66" s="8">
        <v>0</v>
      </c>
      <c r="E66" s="9">
        <v>71</v>
      </c>
      <c r="F66" s="6">
        <v>0.76883000000000001</v>
      </c>
      <c r="G66" s="7"/>
      <c r="H66" s="8"/>
      <c r="I66" s="9">
        <v>0.53565001000000001</v>
      </c>
      <c r="J66" s="6">
        <v>3.9556</v>
      </c>
      <c r="K66" s="7">
        <v>0</v>
      </c>
      <c r="L66" s="8">
        <v>0</v>
      </c>
      <c r="M66" s="9">
        <v>3</v>
      </c>
      <c r="N66" s="6">
        <v>0.16875000000000001</v>
      </c>
      <c r="O66" s="7"/>
      <c r="P66" s="8"/>
      <c r="Q66" s="9">
        <v>1.4791E-2</v>
      </c>
      <c r="R66" s="6">
        <v>751</v>
      </c>
      <c r="S66" s="7">
        <v>2</v>
      </c>
      <c r="T66" s="8">
        <v>2</v>
      </c>
      <c r="U66" s="9">
        <v>107</v>
      </c>
      <c r="V66" s="6">
        <v>0.15645999999999999</v>
      </c>
      <c r="W66" s="7">
        <v>4.1666001000000003E-4</v>
      </c>
      <c r="X66" s="8">
        <v>4.1666001000000003E-4</v>
      </c>
      <c r="Y66" s="9">
        <v>2.2290998999999999E-2</v>
      </c>
      <c r="Z66" s="6">
        <v>0.82393998000000002</v>
      </c>
      <c r="AA66" s="7">
        <v>4.1666001000000003E-4</v>
      </c>
      <c r="AB66" s="8">
        <v>4.1666001000000003E-4</v>
      </c>
      <c r="AC66" s="9">
        <v>6.6665001000000002E-2</v>
      </c>
      <c r="AD66" s="6">
        <v>2.4102999999999999</v>
      </c>
      <c r="AE66" s="7">
        <v>41.289000999999999</v>
      </c>
      <c r="AF66" s="8">
        <v>41.289000999999999</v>
      </c>
      <c r="AG66" s="9">
        <v>4.5696000999999997</v>
      </c>
      <c r="AH66" s="6">
        <v>0.26012998999999998</v>
      </c>
      <c r="AI66" s="7"/>
      <c r="AJ66" s="8"/>
      <c r="AK66" s="9">
        <v>0.26783001000000001</v>
      </c>
      <c r="AL66" s="3">
        <f>IF(ISNUMBER(BurstIgor14[[#This Row],[BurstNum_spont]]), IF(ISNUMBER(SpontLength_min), BurstIgor14[[#This Row],[BurstNum_spont]]/SpontLength_min*60, "Enter Length"), "Enter Burst Vals")</f>
        <v>656.75675675675677</v>
      </c>
      <c r="AM6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6" s="11" t="str" cm="1">
        <f t="array" ref="AN66">IF(ISNUMBER(BurstIgor14[[#This Row],[BurstNum_temp2]]), IF(ISNUMBER(Temp2_length), BurstIgor14[[#This Row],[BurstNum_temp2]]/Temp2_length*60, "Enter Length"), "Enter Burst Vals")</f>
        <v>Enter Length</v>
      </c>
      <c r="AO66" s="12" t="str" cm="1">
        <f t="array" ref="AO66">IF(ISNUMBER(BurstIgor14[[#This Row],[BurstNum_temp3]]), IF(ISNUMBER(Temp3_length), BurstIgor14[[#This Row],[BurstNum_temp3]]/Temp3_length*60, "Enter Length"), "Enter Burst Vals")</f>
        <v>Enter Length</v>
      </c>
      <c r="AQ66" s="1">
        <v>0.64</v>
      </c>
      <c r="AR66" s="3">
        <v>810</v>
      </c>
      <c r="AS66" s="3">
        <v>0.76883000000000001</v>
      </c>
      <c r="AT66" s="3">
        <v>3.9556</v>
      </c>
      <c r="AU66" s="3">
        <v>0.16875000000000001</v>
      </c>
      <c r="AV66" s="3">
        <v>751</v>
      </c>
      <c r="AW66" s="3">
        <v>0.15645999999999999</v>
      </c>
      <c r="AX66" s="3">
        <v>0.82393998000000002</v>
      </c>
      <c r="AY66" s="3">
        <v>2.4102999999999999</v>
      </c>
      <c r="AZ66" s="3">
        <v>0.26012998999999998</v>
      </c>
      <c r="BA66" s="3">
        <v>656.75675675675677</v>
      </c>
      <c r="BC66" s="1">
        <v>0.64</v>
      </c>
      <c r="BD66" s="10">
        <v>0</v>
      </c>
      <c r="BE66" s="10">
        <v>0</v>
      </c>
      <c r="BF66" s="10">
        <v>0</v>
      </c>
      <c r="BG66" s="10">
        <v>0</v>
      </c>
      <c r="BH66" s="10">
        <v>2</v>
      </c>
      <c r="BI66" s="10">
        <v>4.1666001000000003E-4</v>
      </c>
      <c r="BJ66" s="10">
        <v>4.1666001000000003E-4</v>
      </c>
      <c r="BK66" s="10">
        <v>41.289000999999999</v>
      </c>
      <c r="BL66" s="10">
        <v>0</v>
      </c>
      <c r="BM66" s="10" t="str">
        <v>NA</v>
      </c>
      <c r="BO66" s="1">
        <v>0.64</v>
      </c>
      <c r="BP66" s="11">
        <v>0</v>
      </c>
      <c r="BQ66" s="11">
        <v>0</v>
      </c>
      <c r="BR66" s="11">
        <v>0</v>
      </c>
      <c r="BS66" s="11">
        <v>0</v>
      </c>
      <c r="BT66" s="11">
        <v>2</v>
      </c>
      <c r="BU66" s="11">
        <v>4.1666001000000003E-4</v>
      </c>
      <c r="BV66" s="11">
        <v>4.1666001000000003E-4</v>
      </c>
      <c r="BW66" s="11">
        <v>41.289000999999999</v>
      </c>
      <c r="BX66" s="11">
        <v>0</v>
      </c>
      <c r="BY66" s="11" t="str">
        <v>Enter Length</v>
      </c>
    </row>
    <row r="67" spans="1:77" x14ac:dyDescent="0.2">
      <c r="A67" s="1">
        <v>0.65</v>
      </c>
      <c r="B67" s="6">
        <v>803</v>
      </c>
      <c r="C67" s="7">
        <v>0</v>
      </c>
      <c r="D67" s="8">
        <v>0</v>
      </c>
      <c r="E67" s="9">
        <v>71</v>
      </c>
      <c r="F67" s="6">
        <v>0.79883999000000006</v>
      </c>
      <c r="G67" s="7"/>
      <c r="H67" s="8"/>
      <c r="I67" s="9">
        <v>0.54466999000000005</v>
      </c>
      <c r="J67" s="6">
        <v>4.0173997999999997</v>
      </c>
      <c r="K67" s="7">
        <v>0</v>
      </c>
      <c r="L67" s="8">
        <v>0</v>
      </c>
      <c r="M67" s="9">
        <v>3.0141000999999998</v>
      </c>
      <c r="N67" s="6">
        <v>0.16728999999999999</v>
      </c>
      <c r="O67" s="7"/>
      <c r="P67" s="8"/>
      <c r="Q67" s="9">
        <v>1.4791E-2</v>
      </c>
      <c r="R67" s="6">
        <v>729</v>
      </c>
      <c r="S67" s="7">
        <v>2</v>
      </c>
      <c r="T67" s="8">
        <v>2</v>
      </c>
      <c r="U67" s="9">
        <v>106</v>
      </c>
      <c r="V67" s="6">
        <v>0.15187</v>
      </c>
      <c r="W67" s="7">
        <v>4.1666001000000003E-4</v>
      </c>
      <c r="X67" s="8">
        <v>4.1666001000000003E-4</v>
      </c>
      <c r="Y67" s="9">
        <v>2.2082998999999999E-2</v>
      </c>
      <c r="Z67" s="6">
        <v>0.82393998000000002</v>
      </c>
      <c r="AA67" s="7">
        <v>4.1666001000000003E-4</v>
      </c>
      <c r="AB67" s="8">
        <v>4.1666001000000003E-4</v>
      </c>
      <c r="AC67" s="9">
        <v>6.6665001000000002E-2</v>
      </c>
      <c r="AD67" s="6">
        <v>2.4437001</v>
      </c>
      <c r="AE67" s="7">
        <v>41.289000999999999</v>
      </c>
      <c r="AF67" s="8">
        <v>41.289000999999999</v>
      </c>
      <c r="AG67" s="9">
        <v>4.5918998999999996</v>
      </c>
      <c r="AH67" s="6">
        <v>0.26473998999999998</v>
      </c>
      <c r="AI67" s="7"/>
      <c r="AJ67" s="8"/>
      <c r="AK67" s="9">
        <v>0.27043</v>
      </c>
      <c r="AL67" s="3">
        <f>IF(ISNUMBER(BurstIgor14[[#This Row],[BurstNum_spont]]), IF(ISNUMBER(SpontLength_min), BurstIgor14[[#This Row],[BurstNum_spont]]/SpontLength_min*60, "Enter Length"), "Enter Burst Vals")</f>
        <v>651.08108108108104</v>
      </c>
      <c r="AM6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7" s="11" t="str" cm="1">
        <f t="array" ref="AN67">IF(ISNUMBER(BurstIgor14[[#This Row],[BurstNum_temp2]]), IF(ISNUMBER(Temp2_length), BurstIgor14[[#This Row],[BurstNum_temp2]]/Temp2_length*60, "Enter Length"), "Enter Burst Vals")</f>
        <v>Enter Length</v>
      </c>
      <c r="AO67" s="12" t="str" cm="1">
        <f t="array" ref="AO67">IF(ISNUMBER(BurstIgor14[[#This Row],[BurstNum_temp3]]), IF(ISNUMBER(Temp3_length), BurstIgor14[[#This Row],[BurstNum_temp3]]/Temp3_length*60, "Enter Length"), "Enter Burst Vals")</f>
        <v>Enter Length</v>
      </c>
      <c r="AQ67" s="1">
        <v>0.65</v>
      </c>
      <c r="AR67" s="3">
        <v>803</v>
      </c>
      <c r="AS67" s="3">
        <v>0.79883999000000006</v>
      </c>
      <c r="AT67" s="3">
        <v>4.0173997999999997</v>
      </c>
      <c r="AU67" s="3">
        <v>0.16728999999999999</v>
      </c>
      <c r="AV67" s="3">
        <v>729</v>
      </c>
      <c r="AW67" s="3">
        <v>0.15187</v>
      </c>
      <c r="AX67" s="3">
        <v>0.82393998000000002</v>
      </c>
      <c r="AY67" s="3">
        <v>2.4437001</v>
      </c>
      <c r="AZ67" s="3">
        <v>0.26473998999999998</v>
      </c>
      <c r="BA67" s="3">
        <v>651.08108108108104</v>
      </c>
      <c r="BC67" s="1">
        <v>0.65</v>
      </c>
      <c r="BD67" s="10">
        <v>0</v>
      </c>
      <c r="BE67" s="10">
        <v>0</v>
      </c>
      <c r="BF67" s="10">
        <v>0</v>
      </c>
      <c r="BG67" s="10">
        <v>0</v>
      </c>
      <c r="BH67" s="10">
        <v>2</v>
      </c>
      <c r="BI67" s="10">
        <v>4.1666001000000003E-4</v>
      </c>
      <c r="BJ67" s="10">
        <v>4.1666001000000003E-4</v>
      </c>
      <c r="BK67" s="10">
        <v>41.289000999999999</v>
      </c>
      <c r="BL67" s="10">
        <v>0</v>
      </c>
      <c r="BM67" s="10" t="str">
        <v>NA</v>
      </c>
      <c r="BO67" s="1">
        <v>0.65</v>
      </c>
      <c r="BP67" s="11">
        <v>0</v>
      </c>
      <c r="BQ67" s="11">
        <v>0</v>
      </c>
      <c r="BR67" s="11">
        <v>0</v>
      </c>
      <c r="BS67" s="11">
        <v>0</v>
      </c>
      <c r="BT67" s="11">
        <v>2</v>
      </c>
      <c r="BU67" s="11">
        <v>4.1666001000000003E-4</v>
      </c>
      <c r="BV67" s="11">
        <v>4.1666001000000003E-4</v>
      </c>
      <c r="BW67" s="11">
        <v>41.289000999999999</v>
      </c>
      <c r="BX67" s="11">
        <v>0</v>
      </c>
      <c r="BY67" s="11" t="str">
        <v>Enter Length</v>
      </c>
    </row>
    <row r="68" spans="1:77" x14ac:dyDescent="0.2">
      <c r="A68" s="1">
        <v>0.66</v>
      </c>
      <c r="B68" s="6">
        <v>800</v>
      </c>
      <c r="C68" s="7">
        <v>0</v>
      </c>
      <c r="D68" s="8">
        <v>0</v>
      </c>
      <c r="E68" s="9">
        <v>72</v>
      </c>
      <c r="F68" s="6">
        <v>0.81659000999999998</v>
      </c>
      <c r="G68" s="7"/>
      <c r="H68" s="8"/>
      <c r="I68" s="9">
        <v>0.55532002000000003</v>
      </c>
      <c r="J68" s="6">
        <v>4.0511999000000003</v>
      </c>
      <c r="K68" s="7">
        <v>0</v>
      </c>
      <c r="L68" s="8">
        <v>0</v>
      </c>
      <c r="M68" s="9">
        <v>3.0139</v>
      </c>
      <c r="N68" s="6">
        <v>0.16666</v>
      </c>
      <c r="O68" s="7"/>
      <c r="P68" s="8"/>
      <c r="Q68" s="9">
        <v>1.4999999999999999E-2</v>
      </c>
      <c r="R68" s="6">
        <v>714</v>
      </c>
      <c r="S68" s="7">
        <v>2</v>
      </c>
      <c r="T68" s="8">
        <v>2</v>
      </c>
      <c r="U68" s="9">
        <v>103</v>
      </c>
      <c r="V68" s="6">
        <v>0.14875000999999999</v>
      </c>
      <c r="W68" s="7">
        <v>4.1666001000000003E-4</v>
      </c>
      <c r="X68" s="8">
        <v>4.1666001000000003E-4</v>
      </c>
      <c r="Y68" s="9">
        <v>2.1458000000000001E-2</v>
      </c>
      <c r="Z68" s="6">
        <v>0.82393998000000002</v>
      </c>
      <c r="AA68" s="7">
        <v>4.1666001000000003E-4</v>
      </c>
      <c r="AB68" s="8">
        <v>4.1666001000000003E-4</v>
      </c>
      <c r="AC68" s="9">
        <v>6.6665001000000002E-2</v>
      </c>
      <c r="AD68" s="6">
        <v>2.4649999</v>
      </c>
      <c r="AE68" s="7">
        <v>41.289000999999999</v>
      </c>
      <c r="AF68" s="8">
        <v>41.289000999999999</v>
      </c>
      <c r="AG68" s="9">
        <v>4.6371001999999999</v>
      </c>
      <c r="AH68" s="6">
        <v>0.26762000000000002</v>
      </c>
      <c r="AI68" s="7"/>
      <c r="AJ68" s="8"/>
      <c r="AK68" s="9">
        <v>0.27575000999999999</v>
      </c>
      <c r="AL68" s="3">
        <f>IF(ISNUMBER(BurstIgor14[[#This Row],[BurstNum_spont]]), IF(ISNUMBER(SpontLength_min), BurstIgor14[[#This Row],[BurstNum_spont]]/SpontLength_min*60, "Enter Length"), "Enter Burst Vals")</f>
        <v>648.64864864864865</v>
      </c>
      <c r="AM6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8" s="11" t="str" cm="1">
        <f t="array" ref="AN68">IF(ISNUMBER(BurstIgor14[[#This Row],[BurstNum_temp2]]), IF(ISNUMBER(Temp2_length), BurstIgor14[[#This Row],[BurstNum_temp2]]/Temp2_length*60, "Enter Length"), "Enter Burst Vals")</f>
        <v>Enter Length</v>
      </c>
      <c r="AO68" s="12" t="str" cm="1">
        <f t="array" ref="AO68">IF(ISNUMBER(BurstIgor14[[#This Row],[BurstNum_temp3]]), IF(ISNUMBER(Temp3_length), BurstIgor14[[#This Row],[BurstNum_temp3]]/Temp3_length*60, "Enter Length"), "Enter Burst Vals")</f>
        <v>Enter Length</v>
      </c>
      <c r="AQ68" s="1">
        <v>0.66</v>
      </c>
      <c r="AR68" s="3">
        <v>800</v>
      </c>
      <c r="AS68" s="3">
        <v>0.81659000999999998</v>
      </c>
      <c r="AT68" s="3">
        <v>4.0511999000000003</v>
      </c>
      <c r="AU68" s="3">
        <v>0.16666</v>
      </c>
      <c r="AV68" s="3">
        <v>714</v>
      </c>
      <c r="AW68" s="3">
        <v>0.14875000999999999</v>
      </c>
      <c r="AX68" s="3">
        <v>0.82393998000000002</v>
      </c>
      <c r="AY68" s="3">
        <v>2.4649999</v>
      </c>
      <c r="AZ68" s="3">
        <v>0.26762000000000002</v>
      </c>
      <c r="BA68" s="3">
        <v>648.64864864864865</v>
      </c>
      <c r="BC68" s="1">
        <v>0.66</v>
      </c>
      <c r="BD68" s="10">
        <v>0</v>
      </c>
      <c r="BE68" s="10">
        <v>0</v>
      </c>
      <c r="BF68" s="10">
        <v>0</v>
      </c>
      <c r="BG68" s="10">
        <v>0</v>
      </c>
      <c r="BH68" s="10">
        <v>2</v>
      </c>
      <c r="BI68" s="10">
        <v>4.1666001000000003E-4</v>
      </c>
      <c r="BJ68" s="10">
        <v>4.1666001000000003E-4</v>
      </c>
      <c r="BK68" s="10">
        <v>41.289000999999999</v>
      </c>
      <c r="BL68" s="10">
        <v>0</v>
      </c>
      <c r="BM68" s="10" t="str">
        <v>NA</v>
      </c>
      <c r="BO68" s="1">
        <v>0.66</v>
      </c>
      <c r="BP68" s="11">
        <v>0</v>
      </c>
      <c r="BQ68" s="11">
        <v>0</v>
      </c>
      <c r="BR68" s="11">
        <v>0</v>
      </c>
      <c r="BS68" s="11">
        <v>0</v>
      </c>
      <c r="BT68" s="11">
        <v>2</v>
      </c>
      <c r="BU68" s="11">
        <v>4.1666001000000003E-4</v>
      </c>
      <c r="BV68" s="11">
        <v>4.1666001000000003E-4</v>
      </c>
      <c r="BW68" s="11">
        <v>41.289000999999999</v>
      </c>
      <c r="BX68" s="11">
        <v>0</v>
      </c>
      <c r="BY68" s="11" t="str">
        <v>Enter Length</v>
      </c>
    </row>
    <row r="69" spans="1:77" x14ac:dyDescent="0.2">
      <c r="A69" s="1">
        <v>0.67</v>
      </c>
      <c r="B69" s="6">
        <v>797</v>
      </c>
      <c r="C69" s="7">
        <v>0</v>
      </c>
      <c r="D69" s="8">
        <v>0</v>
      </c>
      <c r="E69" s="9">
        <v>72</v>
      </c>
      <c r="F69" s="6">
        <v>0.83218998</v>
      </c>
      <c r="G69" s="7"/>
      <c r="H69" s="8"/>
      <c r="I69" s="9">
        <v>0.55532002000000003</v>
      </c>
      <c r="J69" s="6">
        <v>4.0816001999999996</v>
      </c>
      <c r="K69" s="7">
        <v>0</v>
      </c>
      <c r="L69" s="8">
        <v>0</v>
      </c>
      <c r="M69" s="9">
        <v>3.0139</v>
      </c>
      <c r="N69" s="6">
        <v>0.16603999999999999</v>
      </c>
      <c r="O69" s="7"/>
      <c r="P69" s="8"/>
      <c r="Q69" s="9">
        <v>1.4999999999999999E-2</v>
      </c>
      <c r="R69" s="6">
        <v>702</v>
      </c>
      <c r="S69" s="7">
        <v>2</v>
      </c>
      <c r="T69" s="8">
        <v>2</v>
      </c>
      <c r="U69" s="9">
        <v>103</v>
      </c>
      <c r="V69" s="6">
        <v>0.14624999</v>
      </c>
      <c r="W69" s="7">
        <v>4.1666001000000003E-4</v>
      </c>
      <c r="X69" s="8">
        <v>4.1666001000000003E-4</v>
      </c>
      <c r="Y69" s="9">
        <v>2.1458000000000001E-2</v>
      </c>
      <c r="Z69" s="6">
        <v>0.82393998000000002</v>
      </c>
      <c r="AA69" s="7">
        <v>4.1666001000000003E-4</v>
      </c>
      <c r="AB69" s="8">
        <v>4.1666001000000003E-4</v>
      </c>
      <c r="AC69" s="9">
        <v>6.6665001000000002E-2</v>
      </c>
      <c r="AD69" s="6">
        <v>2.4830000000000001</v>
      </c>
      <c r="AE69" s="7">
        <v>41.289000999999999</v>
      </c>
      <c r="AF69" s="8">
        <v>41.289000999999999</v>
      </c>
      <c r="AG69" s="9">
        <v>4.6371001999999999</v>
      </c>
      <c r="AH69" s="6">
        <v>0.27006000000000002</v>
      </c>
      <c r="AI69" s="7"/>
      <c r="AJ69" s="8"/>
      <c r="AK69" s="9">
        <v>0.27575000999999999</v>
      </c>
      <c r="AL69" s="3">
        <f>IF(ISNUMBER(BurstIgor14[[#This Row],[BurstNum_spont]]), IF(ISNUMBER(SpontLength_min), BurstIgor14[[#This Row],[BurstNum_spont]]/SpontLength_min*60, "Enter Length"), "Enter Burst Vals")</f>
        <v>646.21621621621625</v>
      </c>
      <c r="AM6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69" s="11" t="str" cm="1">
        <f t="array" ref="AN69">IF(ISNUMBER(BurstIgor14[[#This Row],[BurstNum_temp2]]), IF(ISNUMBER(Temp2_length), BurstIgor14[[#This Row],[BurstNum_temp2]]/Temp2_length*60, "Enter Length"), "Enter Burst Vals")</f>
        <v>Enter Length</v>
      </c>
      <c r="AO69" s="12" t="str" cm="1">
        <f t="array" ref="AO69">IF(ISNUMBER(BurstIgor14[[#This Row],[BurstNum_temp3]]), IF(ISNUMBER(Temp3_length), BurstIgor14[[#This Row],[BurstNum_temp3]]/Temp3_length*60, "Enter Length"), "Enter Burst Vals")</f>
        <v>Enter Length</v>
      </c>
      <c r="AQ69" s="1">
        <v>0.67</v>
      </c>
      <c r="AR69" s="3">
        <v>797</v>
      </c>
      <c r="AS69" s="3">
        <v>0.83218998</v>
      </c>
      <c r="AT69" s="3">
        <v>4.0816001999999996</v>
      </c>
      <c r="AU69" s="3">
        <v>0.16603999999999999</v>
      </c>
      <c r="AV69" s="3">
        <v>702</v>
      </c>
      <c r="AW69" s="3">
        <v>0.14624999</v>
      </c>
      <c r="AX69" s="3">
        <v>0.82393998000000002</v>
      </c>
      <c r="AY69" s="3">
        <v>2.4830000000000001</v>
      </c>
      <c r="AZ69" s="3">
        <v>0.27006000000000002</v>
      </c>
      <c r="BA69" s="3">
        <v>646.21621621621625</v>
      </c>
      <c r="BC69" s="1">
        <v>0.67</v>
      </c>
      <c r="BD69" s="10">
        <v>0</v>
      </c>
      <c r="BE69" s="10">
        <v>0</v>
      </c>
      <c r="BF69" s="10">
        <v>0</v>
      </c>
      <c r="BG69" s="10">
        <v>0</v>
      </c>
      <c r="BH69" s="10">
        <v>2</v>
      </c>
      <c r="BI69" s="10">
        <v>4.1666001000000003E-4</v>
      </c>
      <c r="BJ69" s="10">
        <v>4.1666001000000003E-4</v>
      </c>
      <c r="BK69" s="10">
        <v>41.289000999999999</v>
      </c>
      <c r="BL69" s="10">
        <v>0</v>
      </c>
      <c r="BM69" s="10" t="str">
        <v>NA</v>
      </c>
      <c r="BO69" s="1">
        <v>0.67</v>
      </c>
      <c r="BP69" s="11">
        <v>0</v>
      </c>
      <c r="BQ69" s="11">
        <v>0</v>
      </c>
      <c r="BR69" s="11">
        <v>0</v>
      </c>
      <c r="BS69" s="11">
        <v>0</v>
      </c>
      <c r="BT69" s="11">
        <v>2</v>
      </c>
      <c r="BU69" s="11">
        <v>4.1666001000000003E-4</v>
      </c>
      <c r="BV69" s="11">
        <v>4.1666001000000003E-4</v>
      </c>
      <c r="BW69" s="11">
        <v>41.289000999999999</v>
      </c>
      <c r="BX69" s="11">
        <v>0</v>
      </c>
      <c r="BY69" s="11" t="str">
        <v>Enter Length</v>
      </c>
    </row>
    <row r="70" spans="1:77" x14ac:dyDescent="0.2">
      <c r="A70" s="1">
        <v>0.68</v>
      </c>
      <c r="B70" s="6">
        <v>796</v>
      </c>
      <c r="C70" s="7">
        <v>0</v>
      </c>
      <c r="D70" s="8">
        <v>0</v>
      </c>
      <c r="E70" s="9">
        <v>71</v>
      </c>
      <c r="F70" s="6">
        <v>0.84933000999999997</v>
      </c>
      <c r="G70" s="7"/>
      <c r="H70" s="8"/>
      <c r="I70" s="9">
        <v>0.57261002000000005</v>
      </c>
      <c r="J70" s="6">
        <v>4.1093000999999996</v>
      </c>
      <c r="K70" s="7">
        <v>0</v>
      </c>
      <c r="L70" s="8">
        <v>0</v>
      </c>
      <c r="M70" s="9">
        <v>3.0562999</v>
      </c>
      <c r="N70" s="6">
        <v>0.16583000000000001</v>
      </c>
      <c r="O70" s="7"/>
      <c r="P70" s="8"/>
      <c r="Q70" s="9">
        <v>1.4791E-2</v>
      </c>
      <c r="R70" s="6">
        <v>684</v>
      </c>
      <c r="S70" s="7">
        <v>2</v>
      </c>
      <c r="T70" s="8">
        <v>2</v>
      </c>
      <c r="U70" s="9">
        <v>103</v>
      </c>
      <c r="V70" s="6">
        <v>0.14249999999999999</v>
      </c>
      <c r="W70" s="7">
        <v>4.1666001000000003E-4</v>
      </c>
      <c r="X70" s="8">
        <v>4.1666001000000003E-4</v>
      </c>
      <c r="Y70" s="9">
        <v>2.1458000000000001E-2</v>
      </c>
      <c r="Z70" s="6">
        <v>0.82393998000000002</v>
      </c>
      <c r="AA70" s="7">
        <v>4.1666001000000003E-4</v>
      </c>
      <c r="AB70" s="8">
        <v>4.1666001000000003E-4</v>
      </c>
      <c r="AC70" s="9">
        <v>6.6665001000000002E-2</v>
      </c>
      <c r="AD70" s="6">
        <v>2.5063</v>
      </c>
      <c r="AE70" s="7">
        <v>41.289000999999999</v>
      </c>
      <c r="AF70" s="8">
        <v>41.289000999999999</v>
      </c>
      <c r="AG70" s="9">
        <v>4.6600999999999999</v>
      </c>
      <c r="AH70" s="6">
        <v>0.27316001000000001</v>
      </c>
      <c r="AI70" s="7"/>
      <c r="AJ70" s="8"/>
      <c r="AK70" s="9">
        <v>0.27845999999999999</v>
      </c>
      <c r="AL70" s="3">
        <f>IF(ISNUMBER(BurstIgor14[[#This Row],[BurstNum_spont]]), IF(ISNUMBER(SpontLength_min), BurstIgor14[[#This Row],[BurstNum_spont]]/SpontLength_min*60, "Enter Length"), "Enter Burst Vals")</f>
        <v>645.40540540540542</v>
      </c>
      <c r="AM7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0" s="11" t="str" cm="1">
        <f t="array" ref="AN70">IF(ISNUMBER(BurstIgor14[[#This Row],[BurstNum_temp2]]), IF(ISNUMBER(Temp2_length), BurstIgor14[[#This Row],[BurstNum_temp2]]/Temp2_length*60, "Enter Length"), "Enter Burst Vals")</f>
        <v>Enter Length</v>
      </c>
      <c r="AO70" s="12" t="str" cm="1">
        <f t="array" ref="AO70">IF(ISNUMBER(BurstIgor14[[#This Row],[BurstNum_temp3]]), IF(ISNUMBER(Temp3_length), BurstIgor14[[#This Row],[BurstNum_temp3]]/Temp3_length*60, "Enter Length"), "Enter Burst Vals")</f>
        <v>Enter Length</v>
      </c>
      <c r="AQ70" s="1">
        <v>0.68</v>
      </c>
      <c r="AR70" s="3">
        <v>796</v>
      </c>
      <c r="AS70" s="3">
        <v>0.84933000999999997</v>
      </c>
      <c r="AT70" s="3">
        <v>4.1093000999999996</v>
      </c>
      <c r="AU70" s="3">
        <v>0.16583000000000001</v>
      </c>
      <c r="AV70" s="3">
        <v>684</v>
      </c>
      <c r="AW70" s="3">
        <v>0.14249999999999999</v>
      </c>
      <c r="AX70" s="3">
        <v>0.82393998000000002</v>
      </c>
      <c r="AY70" s="3">
        <v>2.5063</v>
      </c>
      <c r="AZ70" s="3">
        <v>0.27316001000000001</v>
      </c>
      <c r="BA70" s="3">
        <v>645.40540540540542</v>
      </c>
      <c r="BC70" s="1">
        <v>0.68</v>
      </c>
      <c r="BD70" s="10">
        <v>0</v>
      </c>
      <c r="BE70" s="10">
        <v>0</v>
      </c>
      <c r="BF70" s="10">
        <v>0</v>
      </c>
      <c r="BG70" s="10">
        <v>0</v>
      </c>
      <c r="BH70" s="10">
        <v>2</v>
      </c>
      <c r="BI70" s="10">
        <v>4.1666001000000003E-4</v>
      </c>
      <c r="BJ70" s="10">
        <v>4.1666001000000003E-4</v>
      </c>
      <c r="BK70" s="10">
        <v>41.289000999999999</v>
      </c>
      <c r="BL70" s="10">
        <v>0</v>
      </c>
      <c r="BM70" s="10" t="str">
        <v>NA</v>
      </c>
      <c r="BO70" s="1">
        <v>0.68</v>
      </c>
      <c r="BP70" s="11">
        <v>0</v>
      </c>
      <c r="BQ70" s="11">
        <v>0</v>
      </c>
      <c r="BR70" s="11">
        <v>0</v>
      </c>
      <c r="BS70" s="11">
        <v>0</v>
      </c>
      <c r="BT70" s="11">
        <v>2</v>
      </c>
      <c r="BU70" s="11">
        <v>4.1666001000000003E-4</v>
      </c>
      <c r="BV70" s="11">
        <v>4.1666001000000003E-4</v>
      </c>
      <c r="BW70" s="11">
        <v>41.289000999999999</v>
      </c>
      <c r="BX70" s="11">
        <v>0</v>
      </c>
      <c r="BY70" s="11" t="str">
        <v>Enter Length</v>
      </c>
    </row>
    <row r="71" spans="1:77" x14ac:dyDescent="0.2">
      <c r="A71" s="1">
        <v>0.69</v>
      </c>
      <c r="B71" s="6">
        <v>790</v>
      </c>
      <c r="C71" s="7">
        <v>0</v>
      </c>
      <c r="D71" s="8">
        <v>0</v>
      </c>
      <c r="E71" s="9">
        <v>71</v>
      </c>
      <c r="F71" s="6">
        <v>0.86791998000000004</v>
      </c>
      <c r="G71" s="7"/>
      <c r="H71" s="8"/>
      <c r="I71" s="9">
        <v>0.57261002000000005</v>
      </c>
      <c r="J71" s="6">
        <v>4.1505999999999998</v>
      </c>
      <c r="K71" s="7">
        <v>0</v>
      </c>
      <c r="L71" s="8">
        <v>0</v>
      </c>
      <c r="M71" s="9">
        <v>3.0562999</v>
      </c>
      <c r="N71" s="6">
        <v>0.16458</v>
      </c>
      <c r="O71" s="7"/>
      <c r="P71" s="8"/>
      <c r="Q71" s="9">
        <v>1.4791E-2</v>
      </c>
      <c r="R71" s="6">
        <v>676</v>
      </c>
      <c r="S71" s="7">
        <v>2</v>
      </c>
      <c r="T71" s="8">
        <v>2</v>
      </c>
      <c r="U71" s="9">
        <v>103</v>
      </c>
      <c r="V71" s="6">
        <v>0.14083000000000001</v>
      </c>
      <c r="W71" s="7">
        <v>4.1666001000000003E-4</v>
      </c>
      <c r="X71" s="8">
        <v>4.1666001000000003E-4</v>
      </c>
      <c r="Y71" s="9">
        <v>2.1458000000000001E-2</v>
      </c>
      <c r="Z71" s="6">
        <v>0.82393998000000002</v>
      </c>
      <c r="AA71" s="7">
        <v>4.1666001000000003E-4</v>
      </c>
      <c r="AB71" s="8">
        <v>4.1666001000000003E-4</v>
      </c>
      <c r="AC71" s="9">
        <v>6.6665001000000002E-2</v>
      </c>
      <c r="AD71" s="6">
        <v>2.5236999999999998</v>
      </c>
      <c r="AE71" s="7">
        <v>41.289000999999999</v>
      </c>
      <c r="AF71" s="8">
        <v>41.289000999999999</v>
      </c>
      <c r="AG71" s="9">
        <v>4.6600999999999999</v>
      </c>
      <c r="AH71" s="6">
        <v>0.27548</v>
      </c>
      <c r="AI71" s="7"/>
      <c r="AJ71" s="8"/>
      <c r="AK71" s="9">
        <v>0.27845999999999999</v>
      </c>
      <c r="AL71" s="3">
        <f>IF(ISNUMBER(BurstIgor14[[#This Row],[BurstNum_spont]]), IF(ISNUMBER(SpontLength_min), BurstIgor14[[#This Row],[BurstNum_spont]]/SpontLength_min*60, "Enter Length"), "Enter Burst Vals")</f>
        <v>640.54054054054052</v>
      </c>
      <c r="AM7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1" s="11" t="str" cm="1">
        <f t="array" ref="AN71">IF(ISNUMBER(BurstIgor14[[#This Row],[BurstNum_temp2]]), IF(ISNUMBER(Temp2_length), BurstIgor14[[#This Row],[BurstNum_temp2]]/Temp2_length*60, "Enter Length"), "Enter Burst Vals")</f>
        <v>Enter Length</v>
      </c>
      <c r="AO71" s="12" t="str" cm="1">
        <f t="array" ref="AO71">IF(ISNUMBER(BurstIgor14[[#This Row],[BurstNum_temp3]]), IF(ISNUMBER(Temp3_length), BurstIgor14[[#This Row],[BurstNum_temp3]]/Temp3_length*60, "Enter Length"), "Enter Burst Vals")</f>
        <v>Enter Length</v>
      </c>
      <c r="AQ71" s="1">
        <v>0.69</v>
      </c>
      <c r="AR71" s="3">
        <v>790</v>
      </c>
      <c r="AS71" s="3">
        <v>0.86791998000000004</v>
      </c>
      <c r="AT71" s="3">
        <v>4.1505999999999998</v>
      </c>
      <c r="AU71" s="3">
        <v>0.16458</v>
      </c>
      <c r="AV71" s="3">
        <v>676</v>
      </c>
      <c r="AW71" s="3">
        <v>0.14083000000000001</v>
      </c>
      <c r="AX71" s="3">
        <v>0.82393998000000002</v>
      </c>
      <c r="AY71" s="3">
        <v>2.5236999999999998</v>
      </c>
      <c r="AZ71" s="3">
        <v>0.27548</v>
      </c>
      <c r="BA71" s="3">
        <v>640.54054054054052</v>
      </c>
      <c r="BC71" s="1">
        <v>0.69</v>
      </c>
      <c r="BD71" s="10">
        <v>0</v>
      </c>
      <c r="BE71" s="10">
        <v>0</v>
      </c>
      <c r="BF71" s="10">
        <v>0</v>
      </c>
      <c r="BG71" s="10">
        <v>0</v>
      </c>
      <c r="BH71" s="10">
        <v>2</v>
      </c>
      <c r="BI71" s="10">
        <v>4.1666001000000003E-4</v>
      </c>
      <c r="BJ71" s="10">
        <v>4.1666001000000003E-4</v>
      </c>
      <c r="BK71" s="10">
        <v>41.289000999999999</v>
      </c>
      <c r="BL71" s="10">
        <v>0</v>
      </c>
      <c r="BM71" s="10" t="str">
        <v>NA</v>
      </c>
      <c r="BO71" s="1">
        <v>0.69</v>
      </c>
      <c r="BP71" s="11">
        <v>0</v>
      </c>
      <c r="BQ71" s="11">
        <v>0</v>
      </c>
      <c r="BR71" s="11">
        <v>0</v>
      </c>
      <c r="BS71" s="11">
        <v>0</v>
      </c>
      <c r="BT71" s="11">
        <v>2</v>
      </c>
      <c r="BU71" s="11">
        <v>4.1666001000000003E-4</v>
      </c>
      <c r="BV71" s="11">
        <v>4.1666001000000003E-4</v>
      </c>
      <c r="BW71" s="11">
        <v>41.289000999999999</v>
      </c>
      <c r="BX71" s="11">
        <v>0</v>
      </c>
      <c r="BY71" s="11" t="str">
        <v>Enter Length</v>
      </c>
    </row>
    <row r="72" spans="1:77" x14ac:dyDescent="0.2">
      <c r="A72" s="1">
        <v>0.7</v>
      </c>
      <c r="B72" s="6">
        <v>783</v>
      </c>
      <c r="C72" s="7">
        <v>0</v>
      </c>
      <c r="D72" s="8">
        <v>0</v>
      </c>
      <c r="E72" s="9">
        <v>71</v>
      </c>
      <c r="F72" s="6">
        <v>0.89345998000000004</v>
      </c>
      <c r="G72" s="7"/>
      <c r="H72" s="8"/>
      <c r="I72" s="9">
        <v>0.58247000000000004</v>
      </c>
      <c r="J72" s="6">
        <v>4.2042998999999996</v>
      </c>
      <c r="K72" s="7">
        <v>0</v>
      </c>
      <c r="L72" s="8">
        <v>0</v>
      </c>
      <c r="M72" s="9">
        <v>3.0703999999999998</v>
      </c>
      <c r="N72" s="6">
        <v>0.16311999999999999</v>
      </c>
      <c r="O72" s="7"/>
      <c r="P72" s="8"/>
      <c r="Q72" s="9">
        <v>1.4791E-2</v>
      </c>
      <c r="R72" s="6">
        <v>663</v>
      </c>
      <c r="S72" s="7">
        <v>2</v>
      </c>
      <c r="T72" s="8">
        <v>2</v>
      </c>
      <c r="U72" s="9">
        <v>102</v>
      </c>
      <c r="V72" s="6">
        <v>0.13811999999999999</v>
      </c>
      <c r="W72" s="7">
        <v>4.1666001000000003E-4</v>
      </c>
      <c r="X72" s="8">
        <v>4.1666001000000003E-4</v>
      </c>
      <c r="Y72" s="9">
        <v>2.1250000000000002E-2</v>
      </c>
      <c r="Z72" s="6">
        <v>0.82393998000000002</v>
      </c>
      <c r="AA72" s="7">
        <v>4.1666001000000003E-4</v>
      </c>
      <c r="AB72" s="8">
        <v>4.1666001000000003E-4</v>
      </c>
      <c r="AC72" s="9">
        <v>6.6665001000000002E-2</v>
      </c>
      <c r="AD72" s="6">
        <v>2.5489999999999999</v>
      </c>
      <c r="AE72" s="7">
        <v>41.289000999999999</v>
      </c>
      <c r="AF72" s="8">
        <v>41.289000999999999</v>
      </c>
      <c r="AG72" s="9">
        <v>4.6831002000000002</v>
      </c>
      <c r="AH72" s="6">
        <v>0.27882999000000003</v>
      </c>
      <c r="AI72" s="7"/>
      <c r="AJ72" s="8"/>
      <c r="AK72" s="9">
        <v>0.28132998999999997</v>
      </c>
      <c r="AL72" s="3">
        <f>IF(ISNUMBER(BurstIgor14[[#This Row],[BurstNum_spont]]), IF(ISNUMBER(SpontLength_min), BurstIgor14[[#This Row],[BurstNum_spont]]/SpontLength_min*60, "Enter Length"), "Enter Burst Vals")</f>
        <v>634.86486486486478</v>
      </c>
      <c r="AM7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2" s="11" t="str" cm="1">
        <f t="array" ref="AN72">IF(ISNUMBER(BurstIgor14[[#This Row],[BurstNum_temp2]]), IF(ISNUMBER(Temp2_length), BurstIgor14[[#This Row],[BurstNum_temp2]]/Temp2_length*60, "Enter Length"), "Enter Burst Vals")</f>
        <v>Enter Length</v>
      </c>
      <c r="AO72" s="12" t="str" cm="1">
        <f t="array" ref="AO72">IF(ISNUMBER(BurstIgor14[[#This Row],[BurstNum_temp3]]), IF(ISNUMBER(Temp3_length), BurstIgor14[[#This Row],[BurstNum_temp3]]/Temp3_length*60, "Enter Length"), "Enter Burst Vals")</f>
        <v>Enter Length</v>
      </c>
      <c r="AQ72" s="1">
        <v>0.7</v>
      </c>
      <c r="AR72" s="3">
        <v>783</v>
      </c>
      <c r="AS72" s="3">
        <v>0.89345998000000004</v>
      </c>
      <c r="AT72" s="3">
        <v>4.2042998999999996</v>
      </c>
      <c r="AU72" s="3">
        <v>0.16311999999999999</v>
      </c>
      <c r="AV72" s="3">
        <v>663</v>
      </c>
      <c r="AW72" s="3">
        <v>0.13811999999999999</v>
      </c>
      <c r="AX72" s="3">
        <v>0.82393998000000002</v>
      </c>
      <c r="AY72" s="3">
        <v>2.5489999999999999</v>
      </c>
      <c r="AZ72" s="3">
        <v>0.27882999000000003</v>
      </c>
      <c r="BA72" s="3">
        <v>634.86486486486478</v>
      </c>
      <c r="BC72" s="1">
        <v>0.7</v>
      </c>
      <c r="BD72" s="10">
        <v>0</v>
      </c>
      <c r="BE72" s="10">
        <v>0</v>
      </c>
      <c r="BF72" s="10">
        <v>0</v>
      </c>
      <c r="BG72" s="10">
        <v>0</v>
      </c>
      <c r="BH72" s="10">
        <v>2</v>
      </c>
      <c r="BI72" s="10">
        <v>4.1666001000000003E-4</v>
      </c>
      <c r="BJ72" s="10">
        <v>4.1666001000000003E-4</v>
      </c>
      <c r="BK72" s="10">
        <v>41.289000999999999</v>
      </c>
      <c r="BL72" s="10">
        <v>0</v>
      </c>
      <c r="BM72" s="10" t="str">
        <v>NA</v>
      </c>
      <c r="BO72" s="1">
        <v>0.7</v>
      </c>
      <c r="BP72" s="11">
        <v>0</v>
      </c>
      <c r="BQ72" s="11">
        <v>0</v>
      </c>
      <c r="BR72" s="11">
        <v>0</v>
      </c>
      <c r="BS72" s="11">
        <v>0</v>
      </c>
      <c r="BT72" s="11">
        <v>2</v>
      </c>
      <c r="BU72" s="11">
        <v>4.1666001000000003E-4</v>
      </c>
      <c r="BV72" s="11">
        <v>4.1666001000000003E-4</v>
      </c>
      <c r="BW72" s="11">
        <v>41.289000999999999</v>
      </c>
      <c r="BX72" s="11">
        <v>0</v>
      </c>
      <c r="BY72" s="11" t="str">
        <v>Enter Length</v>
      </c>
    </row>
    <row r="73" spans="1:77" x14ac:dyDescent="0.2">
      <c r="A73" s="1">
        <v>0.71</v>
      </c>
      <c r="B73" s="6">
        <v>777</v>
      </c>
      <c r="C73" s="7">
        <v>0</v>
      </c>
      <c r="D73" s="8">
        <v>0</v>
      </c>
      <c r="E73" s="9">
        <v>71</v>
      </c>
      <c r="F73" s="6">
        <v>0.91216998999999999</v>
      </c>
      <c r="G73" s="7"/>
      <c r="H73" s="8"/>
      <c r="I73" s="9">
        <v>0.58247000000000004</v>
      </c>
      <c r="J73" s="6">
        <v>4.2458</v>
      </c>
      <c r="K73" s="7">
        <v>0</v>
      </c>
      <c r="L73" s="8">
        <v>0</v>
      </c>
      <c r="M73" s="9">
        <v>3.0703999999999998</v>
      </c>
      <c r="N73" s="6">
        <v>0.16187000000000001</v>
      </c>
      <c r="O73" s="7"/>
      <c r="P73" s="8"/>
      <c r="Q73" s="9">
        <v>1.4791E-2</v>
      </c>
      <c r="R73" s="6">
        <v>656</v>
      </c>
      <c r="S73" s="7">
        <v>2</v>
      </c>
      <c r="T73" s="8">
        <v>2</v>
      </c>
      <c r="U73" s="9">
        <v>102</v>
      </c>
      <c r="V73" s="6">
        <v>0.13665999000000001</v>
      </c>
      <c r="W73" s="7">
        <v>4.1666001000000003E-4</v>
      </c>
      <c r="X73" s="8">
        <v>4.1666001000000003E-4</v>
      </c>
      <c r="Y73" s="9">
        <v>2.1250000000000002E-2</v>
      </c>
      <c r="Z73" s="6">
        <v>0.82393998000000002</v>
      </c>
      <c r="AA73" s="7">
        <v>4.1666001000000003E-4</v>
      </c>
      <c r="AB73" s="8">
        <v>4.1666001000000003E-4</v>
      </c>
      <c r="AC73" s="9">
        <v>6.6665001000000002E-2</v>
      </c>
      <c r="AD73" s="6">
        <v>2.5657000999999999</v>
      </c>
      <c r="AE73" s="7">
        <v>41.289000999999999</v>
      </c>
      <c r="AF73" s="8">
        <v>41.289000999999999</v>
      </c>
      <c r="AG73" s="9">
        <v>4.6831002000000002</v>
      </c>
      <c r="AH73" s="6">
        <v>0.28103</v>
      </c>
      <c r="AI73" s="7"/>
      <c r="AJ73" s="8"/>
      <c r="AK73" s="9">
        <v>0.28132998999999997</v>
      </c>
      <c r="AL73" s="3">
        <f>IF(ISNUMBER(BurstIgor14[[#This Row],[BurstNum_spont]]), IF(ISNUMBER(SpontLength_min), BurstIgor14[[#This Row],[BurstNum_spont]]/SpontLength_min*60, "Enter Length"), "Enter Burst Vals")</f>
        <v>630</v>
      </c>
      <c r="AM7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3" s="11" t="str" cm="1">
        <f t="array" ref="AN73">IF(ISNUMBER(BurstIgor14[[#This Row],[BurstNum_temp2]]), IF(ISNUMBER(Temp2_length), BurstIgor14[[#This Row],[BurstNum_temp2]]/Temp2_length*60, "Enter Length"), "Enter Burst Vals")</f>
        <v>Enter Length</v>
      </c>
      <c r="AO73" s="12" t="str" cm="1">
        <f t="array" ref="AO73">IF(ISNUMBER(BurstIgor14[[#This Row],[BurstNum_temp3]]), IF(ISNUMBER(Temp3_length), BurstIgor14[[#This Row],[BurstNum_temp3]]/Temp3_length*60, "Enter Length"), "Enter Burst Vals")</f>
        <v>Enter Length</v>
      </c>
      <c r="AQ73" s="1">
        <v>0.71</v>
      </c>
      <c r="AR73" s="3">
        <v>777</v>
      </c>
      <c r="AS73" s="3">
        <v>0.91216998999999999</v>
      </c>
      <c r="AT73" s="3">
        <v>4.2458</v>
      </c>
      <c r="AU73" s="3">
        <v>0.16187000000000001</v>
      </c>
      <c r="AV73" s="3">
        <v>656</v>
      </c>
      <c r="AW73" s="3">
        <v>0.13665999000000001</v>
      </c>
      <c r="AX73" s="3">
        <v>0.82393998000000002</v>
      </c>
      <c r="AY73" s="3">
        <v>2.5657000999999999</v>
      </c>
      <c r="AZ73" s="3">
        <v>0.28103</v>
      </c>
      <c r="BA73" s="3">
        <v>630</v>
      </c>
      <c r="BC73" s="1">
        <v>0.71</v>
      </c>
      <c r="BD73" s="10">
        <v>0</v>
      </c>
      <c r="BE73" s="10">
        <v>0</v>
      </c>
      <c r="BF73" s="10">
        <v>0</v>
      </c>
      <c r="BG73" s="10">
        <v>0</v>
      </c>
      <c r="BH73" s="10">
        <v>2</v>
      </c>
      <c r="BI73" s="10">
        <v>4.1666001000000003E-4</v>
      </c>
      <c r="BJ73" s="10">
        <v>4.1666001000000003E-4</v>
      </c>
      <c r="BK73" s="10">
        <v>41.289000999999999</v>
      </c>
      <c r="BL73" s="10">
        <v>0</v>
      </c>
      <c r="BM73" s="10" t="str">
        <v>NA</v>
      </c>
      <c r="BO73" s="1">
        <v>0.71</v>
      </c>
      <c r="BP73" s="11">
        <v>0</v>
      </c>
      <c r="BQ73" s="11">
        <v>0</v>
      </c>
      <c r="BR73" s="11">
        <v>0</v>
      </c>
      <c r="BS73" s="11">
        <v>0</v>
      </c>
      <c r="BT73" s="11">
        <v>2</v>
      </c>
      <c r="BU73" s="11">
        <v>4.1666001000000003E-4</v>
      </c>
      <c r="BV73" s="11">
        <v>4.1666001000000003E-4</v>
      </c>
      <c r="BW73" s="11">
        <v>41.289000999999999</v>
      </c>
      <c r="BX73" s="11">
        <v>0</v>
      </c>
      <c r="BY73" s="11" t="str">
        <v>Enter Length</v>
      </c>
    </row>
    <row r="74" spans="1:77" x14ac:dyDescent="0.2">
      <c r="A74" s="1">
        <v>0.72</v>
      </c>
      <c r="B74" s="6">
        <v>776</v>
      </c>
      <c r="C74" s="7">
        <v>0</v>
      </c>
      <c r="D74" s="8">
        <v>0</v>
      </c>
      <c r="E74" s="9">
        <v>71</v>
      </c>
      <c r="F74" s="6">
        <v>0.93268001</v>
      </c>
      <c r="G74" s="7"/>
      <c r="H74" s="8"/>
      <c r="I74" s="9">
        <v>0.58247000000000004</v>
      </c>
      <c r="J74" s="6">
        <v>4.2771001000000002</v>
      </c>
      <c r="K74" s="7">
        <v>0</v>
      </c>
      <c r="L74" s="8">
        <v>0</v>
      </c>
      <c r="M74" s="9">
        <v>3.0703999999999998</v>
      </c>
      <c r="N74" s="6">
        <v>0.16166</v>
      </c>
      <c r="O74" s="7"/>
      <c r="P74" s="8"/>
      <c r="Q74" s="9">
        <v>1.4791E-2</v>
      </c>
      <c r="R74" s="6">
        <v>636</v>
      </c>
      <c r="S74" s="7">
        <v>2</v>
      </c>
      <c r="T74" s="8">
        <v>2</v>
      </c>
      <c r="U74" s="9">
        <v>102</v>
      </c>
      <c r="V74" s="6">
        <v>0.13249999000000001</v>
      </c>
      <c r="W74" s="7">
        <v>4.1666001000000003E-4</v>
      </c>
      <c r="X74" s="8">
        <v>4.1666001000000003E-4</v>
      </c>
      <c r="Y74" s="9">
        <v>2.1250000000000002E-2</v>
      </c>
      <c r="Z74" s="6">
        <v>0.82393998000000002</v>
      </c>
      <c r="AA74" s="7">
        <v>4.1666001000000003E-4</v>
      </c>
      <c r="AB74" s="8">
        <v>4.1666001000000003E-4</v>
      </c>
      <c r="AC74" s="9">
        <v>6.6665001000000002E-2</v>
      </c>
      <c r="AD74" s="6">
        <v>2.5931999999999999</v>
      </c>
      <c r="AE74" s="7">
        <v>41.289000999999999</v>
      </c>
      <c r="AF74" s="8">
        <v>41.289000999999999</v>
      </c>
      <c r="AG74" s="9">
        <v>4.6831002000000002</v>
      </c>
      <c r="AH74" s="6">
        <v>0.28460999999999997</v>
      </c>
      <c r="AI74" s="7"/>
      <c r="AJ74" s="8"/>
      <c r="AK74" s="9">
        <v>0.28132998999999997</v>
      </c>
      <c r="AL74" s="3">
        <f>IF(ISNUMBER(BurstIgor14[[#This Row],[BurstNum_spont]]), IF(ISNUMBER(SpontLength_min), BurstIgor14[[#This Row],[BurstNum_spont]]/SpontLength_min*60, "Enter Length"), "Enter Burst Vals")</f>
        <v>629.18918918918916</v>
      </c>
      <c r="AM7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4" s="11" t="str" cm="1">
        <f t="array" ref="AN74">IF(ISNUMBER(BurstIgor14[[#This Row],[BurstNum_temp2]]), IF(ISNUMBER(Temp2_length), BurstIgor14[[#This Row],[BurstNum_temp2]]/Temp2_length*60, "Enter Length"), "Enter Burst Vals")</f>
        <v>Enter Length</v>
      </c>
      <c r="AO74" s="12" t="str" cm="1">
        <f t="array" ref="AO74">IF(ISNUMBER(BurstIgor14[[#This Row],[BurstNum_temp3]]), IF(ISNUMBER(Temp3_length), BurstIgor14[[#This Row],[BurstNum_temp3]]/Temp3_length*60, "Enter Length"), "Enter Burst Vals")</f>
        <v>Enter Length</v>
      </c>
      <c r="AQ74" s="1">
        <v>0.72</v>
      </c>
      <c r="AR74" s="3">
        <v>776</v>
      </c>
      <c r="AS74" s="3">
        <v>0.93268001</v>
      </c>
      <c r="AT74" s="3">
        <v>4.2771001000000002</v>
      </c>
      <c r="AU74" s="3">
        <v>0.16166</v>
      </c>
      <c r="AV74" s="3">
        <v>636</v>
      </c>
      <c r="AW74" s="3">
        <v>0.13249999000000001</v>
      </c>
      <c r="AX74" s="3">
        <v>0.82393998000000002</v>
      </c>
      <c r="AY74" s="3">
        <v>2.5931999999999999</v>
      </c>
      <c r="AZ74" s="3">
        <v>0.28460999999999997</v>
      </c>
      <c r="BA74" s="3">
        <v>629.18918918918916</v>
      </c>
      <c r="BC74" s="1">
        <v>0.72</v>
      </c>
      <c r="BD74" s="10">
        <v>0</v>
      </c>
      <c r="BE74" s="10">
        <v>0</v>
      </c>
      <c r="BF74" s="10">
        <v>0</v>
      </c>
      <c r="BG74" s="10">
        <v>0</v>
      </c>
      <c r="BH74" s="10">
        <v>2</v>
      </c>
      <c r="BI74" s="10">
        <v>4.1666001000000003E-4</v>
      </c>
      <c r="BJ74" s="10">
        <v>4.1666001000000003E-4</v>
      </c>
      <c r="BK74" s="10">
        <v>41.289000999999999</v>
      </c>
      <c r="BL74" s="10">
        <v>0</v>
      </c>
      <c r="BM74" s="10" t="str">
        <v>NA</v>
      </c>
      <c r="BO74" s="1">
        <v>0.72</v>
      </c>
      <c r="BP74" s="11">
        <v>0</v>
      </c>
      <c r="BQ74" s="11">
        <v>0</v>
      </c>
      <c r="BR74" s="11">
        <v>0</v>
      </c>
      <c r="BS74" s="11">
        <v>0</v>
      </c>
      <c r="BT74" s="11">
        <v>2</v>
      </c>
      <c r="BU74" s="11">
        <v>4.1666001000000003E-4</v>
      </c>
      <c r="BV74" s="11">
        <v>4.1666001000000003E-4</v>
      </c>
      <c r="BW74" s="11">
        <v>41.289000999999999</v>
      </c>
      <c r="BX74" s="11">
        <v>0</v>
      </c>
      <c r="BY74" s="11" t="str">
        <v>Enter Length</v>
      </c>
    </row>
    <row r="75" spans="1:77" x14ac:dyDescent="0.2">
      <c r="A75" s="1">
        <v>0.73</v>
      </c>
      <c r="B75" s="6">
        <v>772</v>
      </c>
      <c r="C75" s="7">
        <v>0</v>
      </c>
      <c r="D75" s="8">
        <v>0</v>
      </c>
      <c r="E75" s="9">
        <v>71</v>
      </c>
      <c r="F75" s="6">
        <v>0.95816999999999997</v>
      </c>
      <c r="G75" s="7"/>
      <c r="H75" s="8"/>
      <c r="I75" s="9">
        <v>0.60287999999999997</v>
      </c>
      <c r="J75" s="6">
        <v>4.3225002000000003</v>
      </c>
      <c r="K75" s="7">
        <v>0</v>
      </c>
      <c r="L75" s="8">
        <v>0</v>
      </c>
      <c r="M75" s="9">
        <v>3.0985999</v>
      </c>
      <c r="N75" s="6">
        <v>0.16083001</v>
      </c>
      <c r="O75" s="7"/>
      <c r="P75" s="8"/>
      <c r="Q75" s="9">
        <v>1.4791E-2</v>
      </c>
      <c r="R75" s="6">
        <v>618</v>
      </c>
      <c r="S75" s="7">
        <v>2</v>
      </c>
      <c r="T75" s="8">
        <v>2</v>
      </c>
      <c r="U75" s="9">
        <v>100</v>
      </c>
      <c r="V75" s="6">
        <v>0.12875</v>
      </c>
      <c r="W75" s="7">
        <v>4.1666001000000003E-4</v>
      </c>
      <c r="X75" s="8">
        <v>4.1666001000000003E-4</v>
      </c>
      <c r="Y75" s="9">
        <v>2.0833001E-2</v>
      </c>
      <c r="Z75" s="6">
        <v>0.82393998000000002</v>
      </c>
      <c r="AA75" s="7">
        <v>4.1666001000000003E-4</v>
      </c>
      <c r="AB75" s="8">
        <v>4.1666001000000003E-4</v>
      </c>
      <c r="AC75" s="9">
        <v>6.6665001000000002E-2</v>
      </c>
      <c r="AD75" s="6">
        <v>2.6228001000000001</v>
      </c>
      <c r="AE75" s="7">
        <v>41.289000999999999</v>
      </c>
      <c r="AF75" s="8">
        <v>41.289000999999999</v>
      </c>
      <c r="AG75" s="9">
        <v>4.7295999999999996</v>
      </c>
      <c r="AH75" s="6">
        <v>0.28838000000000003</v>
      </c>
      <c r="AI75" s="7"/>
      <c r="AJ75" s="8"/>
      <c r="AK75" s="9">
        <v>0.28727998999999999</v>
      </c>
      <c r="AL75" s="3">
        <f>IF(ISNUMBER(BurstIgor14[[#This Row],[BurstNum_spont]]), IF(ISNUMBER(SpontLength_min), BurstIgor14[[#This Row],[BurstNum_spont]]/SpontLength_min*60, "Enter Length"), "Enter Burst Vals")</f>
        <v>625.94594594594594</v>
      </c>
      <c r="AM7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5" s="11" t="str" cm="1">
        <f t="array" ref="AN75">IF(ISNUMBER(BurstIgor14[[#This Row],[BurstNum_temp2]]), IF(ISNUMBER(Temp2_length), BurstIgor14[[#This Row],[BurstNum_temp2]]/Temp2_length*60, "Enter Length"), "Enter Burst Vals")</f>
        <v>Enter Length</v>
      </c>
      <c r="AO75" s="12" t="str" cm="1">
        <f t="array" ref="AO75">IF(ISNUMBER(BurstIgor14[[#This Row],[BurstNum_temp3]]), IF(ISNUMBER(Temp3_length), BurstIgor14[[#This Row],[BurstNum_temp3]]/Temp3_length*60, "Enter Length"), "Enter Burst Vals")</f>
        <v>Enter Length</v>
      </c>
      <c r="AQ75" s="1">
        <v>0.73</v>
      </c>
      <c r="AR75" s="3">
        <v>772</v>
      </c>
      <c r="AS75" s="3">
        <v>0.95816999999999997</v>
      </c>
      <c r="AT75" s="3">
        <v>4.3225002000000003</v>
      </c>
      <c r="AU75" s="3">
        <v>0.16083001</v>
      </c>
      <c r="AV75" s="3">
        <v>618</v>
      </c>
      <c r="AW75" s="3">
        <v>0.12875</v>
      </c>
      <c r="AX75" s="3">
        <v>0.82393998000000002</v>
      </c>
      <c r="AY75" s="3">
        <v>2.6228001000000001</v>
      </c>
      <c r="AZ75" s="3">
        <v>0.28838000000000003</v>
      </c>
      <c r="BA75" s="3">
        <v>625.94594594594594</v>
      </c>
      <c r="BC75" s="1">
        <v>0.73</v>
      </c>
      <c r="BD75" s="10">
        <v>0</v>
      </c>
      <c r="BE75" s="10">
        <v>0</v>
      </c>
      <c r="BF75" s="10">
        <v>0</v>
      </c>
      <c r="BG75" s="10">
        <v>0</v>
      </c>
      <c r="BH75" s="10">
        <v>2</v>
      </c>
      <c r="BI75" s="10">
        <v>4.1666001000000003E-4</v>
      </c>
      <c r="BJ75" s="10">
        <v>4.1666001000000003E-4</v>
      </c>
      <c r="BK75" s="10">
        <v>41.289000999999999</v>
      </c>
      <c r="BL75" s="10">
        <v>0</v>
      </c>
      <c r="BM75" s="10" t="str">
        <v>NA</v>
      </c>
      <c r="BO75" s="1">
        <v>0.73</v>
      </c>
      <c r="BP75" s="11">
        <v>0</v>
      </c>
      <c r="BQ75" s="11">
        <v>0</v>
      </c>
      <c r="BR75" s="11">
        <v>0</v>
      </c>
      <c r="BS75" s="11">
        <v>0</v>
      </c>
      <c r="BT75" s="11">
        <v>2</v>
      </c>
      <c r="BU75" s="11">
        <v>4.1666001000000003E-4</v>
      </c>
      <c r="BV75" s="11">
        <v>4.1666001000000003E-4</v>
      </c>
      <c r="BW75" s="11">
        <v>41.289000999999999</v>
      </c>
      <c r="BX75" s="11">
        <v>0</v>
      </c>
      <c r="BY75" s="11" t="str">
        <v>Enter Length</v>
      </c>
    </row>
    <row r="76" spans="1:77" x14ac:dyDescent="0.2">
      <c r="A76" s="1">
        <v>0.74</v>
      </c>
      <c r="B76" s="6">
        <v>770</v>
      </c>
      <c r="C76" s="7">
        <v>0</v>
      </c>
      <c r="D76" s="8">
        <v>0</v>
      </c>
      <c r="E76" s="9">
        <v>70</v>
      </c>
      <c r="F76" s="6">
        <v>0.97594999999999998</v>
      </c>
      <c r="G76" s="7"/>
      <c r="H76" s="8"/>
      <c r="I76" s="9">
        <v>0.62194996999999996</v>
      </c>
      <c r="J76" s="6">
        <v>4.3519000999999999</v>
      </c>
      <c r="K76" s="7">
        <v>0</v>
      </c>
      <c r="L76" s="8">
        <v>0</v>
      </c>
      <c r="M76" s="9">
        <v>3.1429</v>
      </c>
      <c r="N76" s="6">
        <v>0.16041</v>
      </c>
      <c r="O76" s="7"/>
      <c r="P76" s="8"/>
      <c r="Q76" s="9">
        <v>1.4583E-2</v>
      </c>
      <c r="R76" s="6">
        <v>604</v>
      </c>
      <c r="S76" s="7">
        <v>2</v>
      </c>
      <c r="T76" s="8">
        <v>2</v>
      </c>
      <c r="U76" s="9">
        <v>100</v>
      </c>
      <c r="V76" s="6">
        <v>0.12582999</v>
      </c>
      <c r="W76" s="7">
        <v>4.1666001000000003E-4</v>
      </c>
      <c r="X76" s="8">
        <v>4.1666001000000003E-4</v>
      </c>
      <c r="Y76" s="9">
        <v>2.0833001E-2</v>
      </c>
      <c r="Z76" s="6">
        <v>0.82393998000000002</v>
      </c>
      <c r="AA76" s="7">
        <v>4.1666001000000003E-4</v>
      </c>
      <c r="AB76" s="8">
        <v>4.1666001000000003E-4</v>
      </c>
      <c r="AC76" s="9">
        <v>6.6665001000000002E-2</v>
      </c>
      <c r="AD76" s="6">
        <v>2.6447999000000002</v>
      </c>
      <c r="AE76" s="7">
        <v>41.289000999999999</v>
      </c>
      <c r="AF76" s="8">
        <v>41.289000999999999</v>
      </c>
      <c r="AG76" s="9">
        <v>4.7533002</v>
      </c>
      <c r="AH76" s="6">
        <v>0.29115998999999998</v>
      </c>
      <c r="AI76" s="7"/>
      <c r="AJ76" s="8"/>
      <c r="AK76" s="9">
        <v>0.29023999</v>
      </c>
      <c r="AL76" s="3">
        <f>IF(ISNUMBER(BurstIgor14[[#This Row],[BurstNum_spont]]), IF(ISNUMBER(SpontLength_min), BurstIgor14[[#This Row],[BurstNum_spont]]/SpontLength_min*60, "Enter Length"), "Enter Burst Vals")</f>
        <v>624.32432432432427</v>
      </c>
      <c r="AM7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6" s="11" t="str" cm="1">
        <f t="array" ref="AN76">IF(ISNUMBER(BurstIgor14[[#This Row],[BurstNum_temp2]]), IF(ISNUMBER(Temp2_length), BurstIgor14[[#This Row],[BurstNum_temp2]]/Temp2_length*60, "Enter Length"), "Enter Burst Vals")</f>
        <v>Enter Length</v>
      </c>
      <c r="AO76" s="12" t="str" cm="1">
        <f t="array" ref="AO76">IF(ISNUMBER(BurstIgor14[[#This Row],[BurstNum_temp3]]), IF(ISNUMBER(Temp3_length), BurstIgor14[[#This Row],[BurstNum_temp3]]/Temp3_length*60, "Enter Length"), "Enter Burst Vals")</f>
        <v>Enter Length</v>
      </c>
      <c r="AQ76" s="1">
        <v>0.74</v>
      </c>
      <c r="AR76" s="3">
        <v>770</v>
      </c>
      <c r="AS76" s="3">
        <v>0.97594999999999998</v>
      </c>
      <c r="AT76" s="3">
        <v>4.3519000999999999</v>
      </c>
      <c r="AU76" s="3">
        <v>0.16041</v>
      </c>
      <c r="AV76" s="3">
        <v>604</v>
      </c>
      <c r="AW76" s="3">
        <v>0.12582999</v>
      </c>
      <c r="AX76" s="3">
        <v>0.82393998000000002</v>
      </c>
      <c r="AY76" s="3">
        <v>2.6447999000000002</v>
      </c>
      <c r="AZ76" s="3">
        <v>0.29115998999999998</v>
      </c>
      <c r="BA76" s="3">
        <v>624.32432432432427</v>
      </c>
      <c r="BC76" s="1">
        <v>0.74</v>
      </c>
      <c r="BD76" s="10">
        <v>0</v>
      </c>
      <c r="BE76" s="10">
        <v>0</v>
      </c>
      <c r="BF76" s="10">
        <v>0</v>
      </c>
      <c r="BG76" s="10">
        <v>0</v>
      </c>
      <c r="BH76" s="10">
        <v>2</v>
      </c>
      <c r="BI76" s="10">
        <v>4.1666001000000003E-4</v>
      </c>
      <c r="BJ76" s="10">
        <v>4.1666001000000003E-4</v>
      </c>
      <c r="BK76" s="10">
        <v>41.289000999999999</v>
      </c>
      <c r="BL76" s="10">
        <v>0</v>
      </c>
      <c r="BM76" s="10" t="str">
        <v>NA</v>
      </c>
      <c r="BO76" s="1">
        <v>0.74</v>
      </c>
      <c r="BP76" s="11">
        <v>0</v>
      </c>
      <c r="BQ76" s="11">
        <v>0</v>
      </c>
      <c r="BR76" s="11">
        <v>0</v>
      </c>
      <c r="BS76" s="11">
        <v>0</v>
      </c>
      <c r="BT76" s="11">
        <v>2</v>
      </c>
      <c r="BU76" s="11">
        <v>4.1666001000000003E-4</v>
      </c>
      <c r="BV76" s="11">
        <v>4.1666001000000003E-4</v>
      </c>
      <c r="BW76" s="11">
        <v>41.289000999999999</v>
      </c>
      <c r="BX76" s="11">
        <v>0</v>
      </c>
      <c r="BY76" s="11" t="str">
        <v>Enter Length</v>
      </c>
    </row>
    <row r="77" spans="1:77" x14ac:dyDescent="0.2">
      <c r="A77" s="1">
        <v>0.75</v>
      </c>
      <c r="B77" s="6">
        <v>765</v>
      </c>
      <c r="C77" s="7">
        <v>0</v>
      </c>
      <c r="D77" s="8">
        <v>0</v>
      </c>
      <c r="E77" s="9">
        <v>70</v>
      </c>
      <c r="F77" s="6">
        <v>0.995</v>
      </c>
      <c r="G77" s="7"/>
      <c r="H77" s="8"/>
      <c r="I77" s="9">
        <v>0.62194996999999996</v>
      </c>
      <c r="J77" s="6">
        <v>4.3907999999999996</v>
      </c>
      <c r="K77" s="7">
        <v>0</v>
      </c>
      <c r="L77" s="8">
        <v>0</v>
      </c>
      <c r="M77" s="9">
        <v>3.1429</v>
      </c>
      <c r="N77" s="6">
        <v>0.15937001000000001</v>
      </c>
      <c r="O77" s="7"/>
      <c r="P77" s="8"/>
      <c r="Q77" s="9">
        <v>1.4583E-2</v>
      </c>
      <c r="R77" s="6">
        <v>596</v>
      </c>
      <c r="S77" s="7">
        <v>2</v>
      </c>
      <c r="T77" s="8">
        <v>2</v>
      </c>
      <c r="U77" s="9">
        <v>100</v>
      </c>
      <c r="V77" s="6">
        <v>0.12416000000000001</v>
      </c>
      <c r="W77" s="7">
        <v>4.1666001000000003E-4</v>
      </c>
      <c r="X77" s="8">
        <v>4.1666001000000003E-4</v>
      </c>
      <c r="Y77" s="9">
        <v>2.0833001E-2</v>
      </c>
      <c r="Z77" s="6">
        <v>0.82393998000000002</v>
      </c>
      <c r="AA77" s="7">
        <v>4.1666001000000003E-4</v>
      </c>
      <c r="AB77" s="8">
        <v>4.1666001000000003E-4</v>
      </c>
      <c r="AC77" s="9">
        <v>6.6665001000000002E-2</v>
      </c>
      <c r="AD77" s="6">
        <v>2.6630001000000001</v>
      </c>
      <c r="AE77" s="7">
        <v>41.289000999999999</v>
      </c>
      <c r="AF77" s="8">
        <v>41.289000999999999</v>
      </c>
      <c r="AG77" s="9">
        <v>4.7533002</v>
      </c>
      <c r="AH77" s="6">
        <v>0.29344000999999997</v>
      </c>
      <c r="AI77" s="7"/>
      <c r="AJ77" s="8"/>
      <c r="AK77" s="9">
        <v>0.29023999</v>
      </c>
      <c r="AL77" s="3">
        <f>IF(ISNUMBER(BurstIgor14[[#This Row],[BurstNum_spont]]), IF(ISNUMBER(SpontLength_min), BurstIgor14[[#This Row],[BurstNum_spont]]/SpontLength_min*60, "Enter Length"), "Enter Burst Vals")</f>
        <v>620.27027027027032</v>
      </c>
      <c r="AM7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7" s="11" t="str" cm="1">
        <f t="array" ref="AN77">IF(ISNUMBER(BurstIgor14[[#This Row],[BurstNum_temp2]]), IF(ISNUMBER(Temp2_length), BurstIgor14[[#This Row],[BurstNum_temp2]]/Temp2_length*60, "Enter Length"), "Enter Burst Vals")</f>
        <v>Enter Length</v>
      </c>
      <c r="AO77" s="12" t="str" cm="1">
        <f t="array" ref="AO77">IF(ISNUMBER(BurstIgor14[[#This Row],[BurstNum_temp3]]), IF(ISNUMBER(Temp3_length), BurstIgor14[[#This Row],[BurstNum_temp3]]/Temp3_length*60, "Enter Length"), "Enter Burst Vals")</f>
        <v>Enter Length</v>
      </c>
      <c r="AQ77" s="1">
        <v>0.75</v>
      </c>
      <c r="AR77" s="3">
        <v>765</v>
      </c>
      <c r="AS77" s="3">
        <v>0.995</v>
      </c>
      <c r="AT77" s="3">
        <v>4.3907999999999996</v>
      </c>
      <c r="AU77" s="3">
        <v>0.15937001000000001</v>
      </c>
      <c r="AV77" s="3">
        <v>596</v>
      </c>
      <c r="AW77" s="3">
        <v>0.12416000000000001</v>
      </c>
      <c r="AX77" s="3">
        <v>0.82393998000000002</v>
      </c>
      <c r="AY77" s="3">
        <v>2.6630001000000001</v>
      </c>
      <c r="AZ77" s="3">
        <v>0.29344000999999997</v>
      </c>
      <c r="BA77" s="3">
        <v>620.27027027027032</v>
      </c>
      <c r="BC77" s="1">
        <v>0.75</v>
      </c>
      <c r="BD77" s="10">
        <v>0</v>
      </c>
      <c r="BE77" s="10">
        <v>0</v>
      </c>
      <c r="BF77" s="10">
        <v>0</v>
      </c>
      <c r="BG77" s="10">
        <v>0</v>
      </c>
      <c r="BH77" s="10">
        <v>2</v>
      </c>
      <c r="BI77" s="10">
        <v>4.1666001000000003E-4</v>
      </c>
      <c r="BJ77" s="10">
        <v>4.1666001000000003E-4</v>
      </c>
      <c r="BK77" s="10">
        <v>41.289000999999999</v>
      </c>
      <c r="BL77" s="10">
        <v>0</v>
      </c>
      <c r="BM77" s="10" t="str">
        <v>NA</v>
      </c>
      <c r="BO77" s="1">
        <v>0.75</v>
      </c>
      <c r="BP77" s="11">
        <v>0</v>
      </c>
      <c r="BQ77" s="11">
        <v>0</v>
      </c>
      <c r="BR77" s="11">
        <v>0</v>
      </c>
      <c r="BS77" s="11">
        <v>0</v>
      </c>
      <c r="BT77" s="11">
        <v>2</v>
      </c>
      <c r="BU77" s="11">
        <v>4.1666001000000003E-4</v>
      </c>
      <c r="BV77" s="11">
        <v>4.1666001000000003E-4</v>
      </c>
      <c r="BW77" s="11">
        <v>41.289000999999999</v>
      </c>
      <c r="BX77" s="11">
        <v>0</v>
      </c>
      <c r="BY77" s="11" t="str">
        <v>Enter Length</v>
      </c>
    </row>
    <row r="78" spans="1:77" x14ac:dyDescent="0.2">
      <c r="A78" s="1">
        <v>0.76</v>
      </c>
      <c r="B78" s="6">
        <v>758</v>
      </c>
      <c r="C78" s="7">
        <v>0</v>
      </c>
      <c r="D78" s="8">
        <v>0</v>
      </c>
      <c r="E78" s="9">
        <v>70</v>
      </c>
      <c r="F78" s="6">
        <v>1.0261</v>
      </c>
      <c r="G78" s="7"/>
      <c r="H78" s="8"/>
      <c r="I78" s="9">
        <v>0.64357001000000003</v>
      </c>
      <c r="J78" s="6">
        <v>4.4512</v>
      </c>
      <c r="K78" s="7">
        <v>0</v>
      </c>
      <c r="L78" s="8">
        <v>0</v>
      </c>
      <c r="M78" s="9">
        <v>3.1714001000000001</v>
      </c>
      <c r="N78" s="6">
        <v>0.15790999999999999</v>
      </c>
      <c r="O78" s="7"/>
      <c r="P78" s="8"/>
      <c r="Q78" s="9">
        <v>1.4583E-2</v>
      </c>
      <c r="R78" s="6">
        <v>581</v>
      </c>
      <c r="S78" s="7">
        <v>2</v>
      </c>
      <c r="T78" s="8">
        <v>2</v>
      </c>
      <c r="U78" s="9">
        <v>98</v>
      </c>
      <c r="V78" s="6">
        <v>0.12103999999999999</v>
      </c>
      <c r="W78" s="7">
        <v>4.1666001000000003E-4</v>
      </c>
      <c r="X78" s="8">
        <v>4.1666001000000003E-4</v>
      </c>
      <c r="Y78" s="9">
        <v>2.0416001E-2</v>
      </c>
      <c r="Z78" s="6">
        <v>0.82393998000000002</v>
      </c>
      <c r="AA78" s="7">
        <v>4.1666001000000003E-4</v>
      </c>
      <c r="AB78" s="8">
        <v>4.1666001000000003E-4</v>
      </c>
      <c r="AC78" s="9">
        <v>6.6665001000000002E-2</v>
      </c>
      <c r="AD78" s="6">
        <v>2.6942998999999999</v>
      </c>
      <c r="AE78" s="7">
        <v>41.289000999999999</v>
      </c>
      <c r="AF78" s="8">
        <v>41.289000999999999</v>
      </c>
      <c r="AG78" s="9">
        <v>4.8011999000000003</v>
      </c>
      <c r="AH78" s="6">
        <v>0.29732001000000002</v>
      </c>
      <c r="AI78" s="7"/>
      <c r="AJ78" s="8"/>
      <c r="AK78" s="9">
        <v>0.29638001000000003</v>
      </c>
      <c r="AL78" s="3">
        <f>IF(ISNUMBER(BurstIgor14[[#This Row],[BurstNum_spont]]), IF(ISNUMBER(SpontLength_min), BurstIgor14[[#This Row],[BurstNum_spont]]/SpontLength_min*60, "Enter Length"), "Enter Burst Vals")</f>
        <v>614.59459459459458</v>
      </c>
      <c r="AM7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8" s="11" t="str" cm="1">
        <f t="array" ref="AN78">IF(ISNUMBER(BurstIgor14[[#This Row],[BurstNum_temp2]]), IF(ISNUMBER(Temp2_length), BurstIgor14[[#This Row],[BurstNum_temp2]]/Temp2_length*60, "Enter Length"), "Enter Burst Vals")</f>
        <v>Enter Length</v>
      </c>
      <c r="AO78" s="12" t="str" cm="1">
        <f t="array" ref="AO78">IF(ISNUMBER(BurstIgor14[[#This Row],[BurstNum_temp3]]), IF(ISNUMBER(Temp3_length), BurstIgor14[[#This Row],[BurstNum_temp3]]/Temp3_length*60, "Enter Length"), "Enter Burst Vals")</f>
        <v>Enter Length</v>
      </c>
      <c r="AQ78" s="1">
        <v>0.76</v>
      </c>
      <c r="AR78" s="3">
        <v>758</v>
      </c>
      <c r="AS78" s="3">
        <v>1.0261</v>
      </c>
      <c r="AT78" s="3">
        <v>4.4512</v>
      </c>
      <c r="AU78" s="3">
        <v>0.15790999999999999</v>
      </c>
      <c r="AV78" s="3">
        <v>581</v>
      </c>
      <c r="AW78" s="3">
        <v>0.12103999999999999</v>
      </c>
      <c r="AX78" s="3">
        <v>0.82393998000000002</v>
      </c>
      <c r="AY78" s="3">
        <v>2.6942998999999999</v>
      </c>
      <c r="AZ78" s="3">
        <v>0.29732001000000002</v>
      </c>
      <c r="BA78" s="3">
        <v>614.59459459459458</v>
      </c>
      <c r="BC78" s="1">
        <v>0.76</v>
      </c>
      <c r="BD78" s="10">
        <v>0</v>
      </c>
      <c r="BE78" s="10">
        <v>0</v>
      </c>
      <c r="BF78" s="10">
        <v>0</v>
      </c>
      <c r="BG78" s="10">
        <v>0</v>
      </c>
      <c r="BH78" s="10">
        <v>2</v>
      </c>
      <c r="BI78" s="10">
        <v>4.1666001000000003E-4</v>
      </c>
      <c r="BJ78" s="10">
        <v>4.1666001000000003E-4</v>
      </c>
      <c r="BK78" s="10">
        <v>41.289000999999999</v>
      </c>
      <c r="BL78" s="10">
        <v>0</v>
      </c>
      <c r="BM78" s="10" t="str">
        <v>NA</v>
      </c>
      <c r="BO78" s="1">
        <v>0.76</v>
      </c>
      <c r="BP78" s="11">
        <v>0</v>
      </c>
      <c r="BQ78" s="11">
        <v>0</v>
      </c>
      <c r="BR78" s="11">
        <v>0</v>
      </c>
      <c r="BS78" s="11">
        <v>0</v>
      </c>
      <c r="BT78" s="11">
        <v>2</v>
      </c>
      <c r="BU78" s="11">
        <v>4.1666001000000003E-4</v>
      </c>
      <c r="BV78" s="11">
        <v>4.1666001000000003E-4</v>
      </c>
      <c r="BW78" s="11">
        <v>41.289000999999999</v>
      </c>
      <c r="BX78" s="11">
        <v>0</v>
      </c>
      <c r="BY78" s="11" t="str">
        <v>Enter Length</v>
      </c>
    </row>
    <row r="79" spans="1:77" x14ac:dyDescent="0.2">
      <c r="A79" s="1">
        <v>0.77</v>
      </c>
      <c r="B79" s="6">
        <v>755</v>
      </c>
      <c r="C79" s="7">
        <v>0</v>
      </c>
      <c r="D79" s="8">
        <v>0</v>
      </c>
      <c r="E79" s="9">
        <v>71</v>
      </c>
      <c r="F79" s="6">
        <v>1.0525</v>
      </c>
      <c r="G79" s="7"/>
      <c r="H79" s="8"/>
      <c r="I79" s="9">
        <v>0.65596997999999995</v>
      </c>
      <c r="J79" s="6">
        <v>4.4939999999999998</v>
      </c>
      <c r="K79" s="7">
        <v>0</v>
      </c>
      <c r="L79" s="8">
        <v>0</v>
      </c>
      <c r="M79" s="9">
        <v>3.1689999000000002</v>
      </c>
      <c r="N79" s="6">
        <v>0.15729000000000001</v>
      </c>
      <c r="O79" s="7"/>
      <c r="P79" s="8"/>
      <c r="Q79" s="9">
        <v>1.4791E-2</v>
      </c>
      <c r="R79" s="6">
        <v>562</v>
      </c>
      <c r="S79" s="7">
        <v>2</v>
      </c>
      <c r="T79" s="8">
        <v>2</v>
      </c>
      <c r="U79" s="9">
        <v>95</v>
      </c>
      <c r="V79" s="6">
        <v>0.11708</v>
      </c>
      <c r="W79" s="7">
        <v>4.1666001000000003E-4</v>
      </c>
      <c r="X79" s="8">
        <v>4.1666001000000003E-4</v>
      </c>
      <c r="Y79" s="9">
        <v>1.9791E-2</v>
      </c>
      <c r="Z79" s="6">
        <v>0.82393998000000002</v>
      </c>
      <c r="AA79" s="7">
        <v>4.1666001000000003E-4</v>
      </c>
      <c r="AB79" s="8">
        <v>4.1666001000000003E-4</v>
      </c>
      <c r="AC79" s="9">
        <v>6.6665001000000002E-2</v>
      </c>
      <c r="AD79" s="6">
        <v>2.7265999000000001</v>
      </c>
      <c r="AE79" s="7">
        <v>41.289000999999999</v>
      </c>
      <c r="AF79" s="8">
        <v>41.289000999999999</v>
      </c>
      <c r="AG79" s="9">
        <v>4.8501000000000003</v>
      </c>
      <c r="AH79" s="6">
        <v>0.30121999999999999</v>
      </c>
      <c r="AI79" s="7"/>
      <c r="AJ79" s="8"/>
      <c r="AK79" s="9">
        <v>0.30242999999999998</v>
      </c>
      <c r="AL79" s="3">
        <f>IF(ISNUMBER(BurstIgor14[[#This Row],[BurstNum_spont]]), IF(ISNUMBER(SpontLength_min), BurstIgor14[[#This Row],[BurstNum_spont]]/SpontLength_min*60, "Enter Length"), "Enter Burst Vals")</f>
        <v>612.16216216216219</v>
      </c>
      <c r="AM7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79" s="11" t="str" cm="1">
        <f t="array" ref="AN79">IF(ISNUMBER(BurstIgor14[[#This Row],[BurstNum_temp2]]), IF(ISNUMBER(Temp2_length), BurstIgor14[[#This Row],[BurstNum_temp2]]/Temp2_length*60, "Enter Length"), "Enter Burst Vals")</f>
        <v>Enter Length</v>
      </c>
      <c r="AO79" s="12" t="str" cm="1">
        <f t="array" ref="AO79">IF(ISNUMBER(BurstIgor14[[#This Row],[BurstNum_temp3]]), IF(ISNUMBER(Temp3_length), BurstIgor14[[#This Row],[BurstNum_temp3]]/Temp3_length*60, "Enter Length"), "Enter Burst Vals")</f>
        <v>Enter Length</v>
      </c>
      <c r="AQ79" s="1">
        <v>0.77</v>
      </c>
      <c r="AR79" s="3">
        <v>755</v>
      </c>
      <c r="AS79" s="3">
        <v>1.0525</v>
      </c>
      <c r="AT79" s="3">
        <v>4.4939999999999998</v>
      </c>
      <c r="AU79" s="3">
        <v>0.15729000000000001</v>
      </c>
      <c r="AV79" s="3">
        <v>562</v>
      </c>
      <c r="AW79" s="3">
        <v>0.11708</v>
      </c>
      <c r="AX79" s="3">
        <v>0.82393998000000002</v>
      </c>
      <c r="AY79" s="3">
        <v>2.7265999000000001</v>
      </c>
      <c r="AZ79" s="3">
        <v>0.30121999999999999</v>
      </c>
      <c r="BA79" s="3">
        <v>612.16216216216219</v>
      </c>
      <c r="BC79" s="1">
        <v>0.77</v>
      </c>
      <c r="BD79" s="10">
        <v>0</v>
      </c>
      <c r="BE79" s="10">
        <v>0</v>
      </c>
      <c r="BF79" s="10">
        <v>0</v>
      </c>
      <c r="BG79" s="10">
        <v>0</v>
      </c>
      <c r="BH79" s="10">
        <v>2</v>
      </c>
      <c r="BI79" s="10">
        <v>4.1666001000000003E-4</v>
      </c>
      <c r="BJ79" s="10">
        <v>4.1666001000000003E-4</v>
      </c>
      <c r="BK79" s="10">
        <v>41.289000999999999</v>
      </c>
      <c r="BL79" s="10">
        <v>0</v>
      </c>
      <c r="BM79" s="10" t="str">
        <v>NA</v>
      </c>
      <c r="BO79" s="1">
        <v>0.77</v>
      </c>
      <c r="BP79" s="11">
        <v>0</v>
      </c>
      <c r="BQ79" s="11">
        <v>0</v>
      </c>
      <c r="BR79" s="11">
        <v>0</v>
      </c>
      <c r="BS79" s="11">
        <v>0</v>
      </c>
      <c r="BT79" s="11">
        <v>2</v>
      </c>
      <c r="BU79" s="11">
        <v>4.1666001000000003E-4</v>
      </c>
      <c r="BV79" s="11">
        <v>4.1666001000000003E-4</v>
      </c>
      <c r="BW79" s="11">
        <v>41.289000999999999</v>
      </c>
      <c r="BX79" s="11">
        <v>0</v>
      </c>
      <c r="BY79" s="11" t="str">
        <v>Enter Length</v>
      </c>
    </row>
    <row r="80" spans="1:77" x14ac:dyDescent="0.2">
      <c r="A80" s="1">
        <v>0.78</v>
      </c>
      <c r="B80" s="6">
        <v>750</v>
      </c>
      <c r="C80" s="7">
        <v>0</v>
      </c>
      <c r="D80" s="8">
        <v>0</v>
      </c>
      <c r="E80" s="9">
        <v>70</v>
      </c>
      <c r="F80" s="6">
        <v>1.0822001000000001</v>
      </c>
      <c r="G80" s="7"/>
      <c r="H80" s="8"/>
      <c r="I80" s="9">
        <v>0.68747002000000001</v>
      </c>
      <c r="J80" s="6">
        <v>4.5467000000000004</v>
      </c>
      <c r="K80" s="7">
        <v>0</v>
      </c>
      <c r="L80" s="8">
        <v>0</v>
      </c>
      <c r="M80" s="9">
        <v>3.2286000000000001</v>
      </c>
      <c r="N80" s="6">
        <v>0.15625</v>
      </c>
      <c r="O80" s="7"/>
      <c r="P80" s="8"/>
      <c r="Q80" s="9">
        <v>1.4583E-2</v>
      </c>
      <c r="R80" s="6">
        <v>545</v>
      </c>
      <c r="S80" s="7">
        <v>2</v>
      </c>
      <c r="T80" s="8">
        <v>2</v>
      </c>
      <c r="U80" s="9">
        <v>94</v>
      </c>
      <c r="V80" s="6">
        <v>0.11354</v>
      </c>
      <c r="W80" s="7">
        <v>4.1666001000000003E-4</v>
      </c>
      <c r="X80" s="8">
        <v>4.1666001000000003E-4</v>
      </c>
      <c r="Y80" s="9">
        <v>1.9583E-2</v>
      </c>
      <c r="Z80" s="6">
        <v>0.82393998000000002</v>
      </c>
      <c r="AA80" s="7">
        <v>4.1666001000000003E-4</v>
      </c>
      <c r="AB80" s="8">
        <v>4.1666001000000003E-4</v>
      </c>
      <c r="AC80" s="9">
        <v>6.6665001000000002E-2</v>
      </c>
      <c r="AD80" s="6">
        <v>2.7597999999999998</v>
      </c>
      <c r="AE80" s="7">
        <v>41.289000999999999</v>
      </c>
      <c r="AF80" s="8">
        <v>41.289000999999999</v>
      </c>
      <c r="AG80" s="9">
        <v>4.9001001999999998</v>
      </c>
      <c r="AH80" s="6">
        <v>0.30513000000000001</v>
      </c>
      <c r="AI80" s="7"/>
      <c r="AJ80" s="8"/>
      <c r="AK80" s="9">
        <v>0.30847998999999998</v>
      </c>
      <c r="AL80" s="3">
        <f>IF(ISNUMBER(BurstIgor14[[#This Row],[BurstNum_spont]]), IF(ISNUMBER(SpontLength_min), BurstIgor14[[#This Row],[BurstNum_spont]]/SpontLength_min*60, "Enter Length"), "Enter Burst Vals")</f>
        <v>608.10810810810813</v>
      </c>
      <c r="AM8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0" s="11" t="str" cm="1">
        <f t="array" ref="AN80">IF(ISNUMBER(BurstIgor14[[#This Row],[BurstNum_temp2]]), IF(ISNUMBER(Temp2_length), BurstIgor14[[#This Row],[BurstNum_temp2]]/Temp2_length*60, "Enter Length"), "Enter Burst Vals")</f>
        <v>Enter Length</v>
      </c>
      <c r="AO80" s="12" t="str" cm="1">
        <f t="array" ref="AO80">IF(ISNUMBER(BurstIgor14[[#This Row],[BurstNum_temp3]]), IF(ISNUMBER(Temp3_length), BurstIgor14[[#This Row],[BurstNum_temp3]]/Temp3_length*60, "Enter Length"), "Enter Burst Vals")</f>
        <v>Enter Length</v>
      </c>
      <c r="AQ80" s="1">
        <v>0.78</v>
      </c>
      <c r="AR80" s="3">
        <v>750</v>
      </c>
      <c r="AS80" s="3">
        <v>1.0822001000000001</v>
      </c>
      <c r="AT80" s="3">
        <v>4.5467000000000004</v>
      </c>
      <c r="AU80" s="3">
        <v>0.15625</v>
      </c>
      <c r="AV80" s="3">
        <v>545</v>
      </c>
      <c r="AW80" s="3">
        <v>0.11354</v>
      </c>
      <c r="AX80" s="3">
        <v>0.82393998000000002</v>
      </c>
      <c r="AY80" s="3">
        <v>2.7597999999999998</v>
      </c>
      <c r="AZ80" s="3">
        <v>0.30513000000000001</v>
      </c>
      <c r="BA80" s="3">
        <v>608.10810810810813</v>
      </c>
      <c r="BC80" s="1">
        <v>0.78</v>
      </c>
      <c r="BD80" s="10">
        <v>0</v>
      </c>
      <c r="BE80" s="10">
        <v>0</v>
      </c>
      <c r="BF80" s="10">
        <v>0</v>
      </c>
      <c r="BG80" s="10">
        <v>0</v>
      </c>
      <c r="BH80" s="10">
        <v>2</v>
      </c>
      <c r="BI80" s="10">
        <v>4.1666001000000003E-4</v>
      </c>
      <c r="BJ80" s="10">
        <v>4.1666001000000003E-4</v>
      </c>
      <c r="BK80" s="10">
        <v>41.289000999999999</v>
      </c>
      <c r="BL80" s="10">
        <v>0</v>
      </c>
      <c r="BM80" s="10" t="str">
        <v>NA</v>
      </c>
      <c r="BO80" s="1">
        <v>0.78</v>
      </c>
      <c r="BP80" s="11">
        <v>0</v>
      </c>
      <c r="BQ80" s="11">
        <v>0</v>
      </c>
      <c r="BR80" s="11">
        <v>0</v>
      </c>
      <c r="BS80" s="11">
        <v>0</v>
      </c>
      <c r="BT80" s="11">
        <v>2</v>
      </c>
      <c r="BU80" s="11">
        <v>4.1666001000000003E-4</v>
      </c>
      <c r="BV80" s="11">
        <v>4.1666001000000003E-4</v>
      </c>
      <c r="BW80" s="11">
        <v>41.289000999999999</v>
      </c>
      <c r="BX80" s="11">
        <v>0</v>
      </c>
      <c r="BY80" s="11" t="str">
        <v>Enter Length</v>
      </c>
    </row>
    <row r="81" spans="1:77" x14ac:dyDescent="0.2">
      <c r="A81" s="1">
        <v>0.79</v>
      </c>
      <c r="B81" s="6">
        <v>745</v>
      </c>
      <c r="C81" s="7">
        <v>0</v>
      </c>
      <c r="D81" s="8">
        <v>0</v>
      </c>
      <c r="E81" s="9">
        <v>69</v>
      </c>
      <c r="F81" s="6">
        <v>1.0979000000000001</v>
      </c>
      <c r="G81" s="7"/>
      <c r="H81" s="8"/>
      <c r="I81" s="9">
        <v>0.70874000000000004</v>
      </c>
      <c r="J81" s="6">
        <v>4.5812001000000002</v>
      </c>
      <c r="K81" s="7">
        <v>0</v>
      </c>
      <c r="L81" s="8">
        <v>0</v>
      </c>
      <c r="M81" s="9">
        <v>3.2753999</v>
      </c>
      <c r="N81" s="6">
        <v>0.15520999999999999</v>
      </c>
      <c r="O81" s="7"/>
      <c r="P81" s="8"/>
      <c r="Q81" s="9">
        <v>1.4375000000000001E-2</v>
      </c>
      <c r="R81" s="6">
        <v>542</v>
      </c>
      <c r="S81" s="7">
        <v>2</v>
      </c>
      <c r="T81" s="8">
        <v>2</v>
      </c>
      <c r="U81" s="9">
        <v>94</v>
      </c>
      <c r="V81" s="6">
        <v>0.11291</v>
      </c>
      <c r="W81" s="7">
        <v>4.1666001000000003E-4</v>
      </c>
      <c r="X81" s="8">
        <v>4.1666001000000003E-4</v>
      </c>
      <c r="Y81" s="9">
        <v>1.9583E-2</v>
      </c>
      <c r="Z81" s="6">
        <v>0.82393998000000002</v>
      </c>
      <c r="AA81" s="7">
        <v>4.1666001000000003E-4</v>
      </c>
      <c r="AB81" s="8">
        <v>4.1666001000000003E-4</v>
      </c>
      <c r="AC81" s="9">
        <v>6.6665001000000002E-2</v>
      </c>
      <c r="AD81" s="6">
        <v>2.7721</v>
      </c>
      <c r="AE81" s="7">
        <v>41.289000999999999</v>
      </c>
      <c r="AF81" s="8">
        <v>41.289000999999999</v>
      </c>
      <c r="AG81" s="9">
        <v>4.9256000999999996</v>
      </c>
      <c r="AH81" s="6">
        <v>0.30658001000000001</v>
      </c>
      <c r="AI81" s="7"/>
      <c r="AJ81" s="8"/>
      <c r="AK81" s="9">
        <v>0.31147998999999998</v>
      </c>
      <c r="AL81" s="3">
        <f>IF(ISNUMBER(BurstIgor14[[#This Row],[BurstNum_spont]]), IF(ISNUMBER(SpontLength_min), BurstIgor14[[#This Row],[BurstNum_spont]]/SpontLength_min*60, "Enter Length"), "Enter Burst Vals")</f>
        <v>604.05405405405406</v>
      </c>
      <c r="AM8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1" s="11" t="str" cm="1">
        <f t="array" ref="AN81">IF(ISNUMBER(BurstIgor14[[#This Row],[BurstNum_temp2]]), IF(ISNUMBER(Temp2_length), BurstIgor14[[#This Row],[BurstNum_temp2]]/Temp2_length*60, "Enter Length"), "Enter Burst Vals")</f>
        <v>Enter Length</v>
      </c>
      <c r="AO81" s="12" t="str" cm="1">
        <f t="array" ref="AO81">IF(ISNUMBER(BurstIgor14[[#This Row],[BurstNum_temp3]]), IF(ISNUMBER(Temp3_length), BurstIgor14[[#This Row],[BurstNum_temp3]]/Temp3_length*60, "Enter Length"), "Enter Burst Vals")</f>
        <v>Enter Length</v>
      </c>
      <c r="AQ81" s="1">
        <v>0.79</v>
      </c>
      <c r="AR81" s="3">
        <v>745</v>
      </c>
      <c r="AS81" s="3">
        <v>1.0979000000000001</v>
      </c>
      <c r="AT81" s="3">
        <v>4.5812001000000002</v>
      </c>
      <c r="AU81" s="3">
        <v>0.15520999999999999</v>
      </c>
      <c r="AV81" s="3">
        <v>542</v>
      </c>
      <c r="AW81" s="3">
        <v>0.11291</v>
      </c>
      <c r="AX81" s="3">
        <v>0.82393998000000002</v>
      </c>
      <c r="AY81" s="3">
        <v>2.7721</v>
      </c>
      <c r="AZ81" s="3">
        <v>0.30658001000000001</v>
      </c>
      <c r="BA81" s="3">
        <v>604.05405405405406</v>
      </c>
      <c r="BC81" s="1">
        <v>0.79</v>
      </c>
      <c r="BD81" s="10">
        <v>0</v>
      </c>
      <c r="BE81" s="10">
        <v>0</v>
      </c>
      <c r="BF81" s="10">
        <v>0</v>
      </c>
      <c r="BG81" s="10">
        <v>0</v>
      </c>
      <c r="BH81" s="10">
        <v>2</v>
      </c>
      <c r="BI81" s="10">
        <v>4.1666001000000003E-4</v>
      </c>
      <c r="BJ81" s="10">
        <v>4.1666001000000003E-4</v>
      </c>
      <c r="BK81" s="10">
        <v>41.289000999999999</v>
      </c>
      <c r="BL81" s="10">
        <v>0</v>
      </c>
      <c r="BM81" s="10" t="str">
        <v>NA</v>
      </c>
      <c r="BO81" s="1">
        <v>0.79</v>
      </c>
      <c r="BP81" s="11">
        <v>0</v>
      </c>
      <c r="BQ81" s="11">
        <v>0</v>
      </c>
      <c r="BR81" s="11">
        <v>0</v>
      </c>
      <c r="BS81" s="11">
        <v>0</v>
      </c>
      <c r="BT81" s="11">
        <v>2</v>
      </c>
      <c r="BU81" s="11">
        <v>4.1666001000000003E-4</v>
      </c>
      <c r="BV81" s="11">
        <v>4.1666001000000003E-4</v>
      </c>
      <c r="BW81" s="11">
        <v>41.289000999999999</v>
      </c>
      <c r="BX81" s="11">
        <v>0</v>
      </c>
      <c r="BY81" s="11" t="str">
        <v>Enter Length</v>
      </c>
    </row>
    <row r="82" spans="1:77" x14ac:dyDescent="0.2">
      <c r="A82" s="1">
        <v>0.8</v>
      </c>
      <c r="B82" s="6">
        <v>734</v>
      </c>
      <c r="C82" s="7">
        <v>0</v>
      </c>
      <c r="D82" s="8">
        <v>0</v>
      </c>
      <c r="E82" s="9">
        <v>69</v>
      </c>
      <c r="F82" s="6">
        <v>1.1371</v>
      </c>
      <c r="G82" s="7"/>
      <c r="H82" s="8"/>
      <c r="I82" s="9">
        <v>0.74335002999999999</v>
      </c>
      <c r="J82" s="6">
        <v>4.6634998000000003</v>
      </c>
      <c r="K82" s="7">
        <v>0</v>
      </c>
      <c r="L82" s="8">
        <v>0</v>
      </c>
      <c r="M82" s="9">
        <v>3.3188</v>
      </c>
      <c r="N82" s="6">
        <v>0.15290999</v>
      </c>
      <c r="O82" s="7"/>
      <c r="P82" s="8"/>
      <c r="Q82" s="9">
        <v>1.4375000000000001E-2</v>
      </c>
      <c r="R82" s="6">
        <v>532</v>
      </c>
      <c r="S82" s="7">
        <v>2</v>
      </c>
      <c r="T82" s="8">
        <v>2</v>
      </c>
      <c r="U82" s="9">
        <v>91</v>
      </c>
      <c r="V82" s="6">
        <v>0.11083</v>
      </c>
      <c r="W82" s="7">
        <v>4.1666001000000003E-4</v>
      </c>
      <c r="X82" s="8">
        <v>4.1666001000000003E-4</v>
      </c>
      <c r="Y82" s="9">
        <v>1.8957999999999999E-2</v>
      </c>
      <c r="Z82" s="6">
        <v>0.82393998000000002</v>
      </c>
      <c r="AA82" s="7">
        <v>4.1666001000000003E-4</v>
      </c>
      <c r="AB82" s="8">
        <v>4.1666001000000003E-4</v>
      </c>
      <c r="AC82" s="9">
        <v>6.6665001000000002E-2</v>
      </c>
      <c r="AD82" s="6">
        <v>2.8048999000000001</v>
      </c>
      <c r="AE82" s="7">
        <v>41.289000999999999</v>
      </c>
      <c r="AF82" s="8">
        <v>41.289000999999999</v>
      </c>
      <c r="AG82" s="9">
        <v>5.0034999999999998</v>
      </c>
      <c r="AH82" s="6">
        <v>0.31039</v>
      </c>
      <c r="AI82" s="7"/>
      <c r="AJ82" s="8"/>
      <c r="AK82" s="9">
        <v>0.32056999000000003</v>
      </c>
      <c r="AL82" s="3">
        <f>IF(ISNUMBER(BurstIgor14[[#This Row],[BurstNum_spont]]), IF(ISNUMBER(SpontLength_min), BurstIgor14[[#This Row],[BurstNum_spont]]/SpontLength_min*60, "Enter Length"), "Enter Burst Vals")</f>
        <v>595.13513513513522</v>
      </c>
      <c r="AM8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2" s="11" t="str" cm="1">
        <f t="array" ref="AN82">IF(ISNUMBER(BurstIgor14[[#This Row],[BurstNum_temp2]]), IF(ISNUMBER(Temp2_length), BurstIgor14[[#This Row],[BurstNum_temp2]]/Temp2_length*60, "Enter Length"), "Enter Burst Vals")</f>
        <v>Enter Length</v>
      </c>
      <c r="AO82" s="12" t="str" cm="1">
        <f t="array" ref="AO82">IF(ISNUMBER(BurstIgor14[[#This Row],[BurstNum_temp3]]), IF(ISNUMBER(Temp3_length), BurstIgor14[[#This Row],[BurstNum_temp3]]/Temp3_length*60, "Enter Length"), "Enter Burst Vals")</f>
        <v>Enter Length</v>
      </c>
      <c r="AQ82" s="1">
        <v>0.8</v>
      </c>
      <c r="AR82" s="3">
        <v>734</v>
      </c>
      <c r="AS82" s="3">
        <v>1.1371</v>
      </c>
      <c r="AT82" s="3">
        <v>4.6634998000000003</v>
      </c>
      <c r="AU82" s="3">
        <v>0.15290999</v>
      </c>
      <c r="AV82" s="3">
        <v>532</v>
      </c>
      <c r="AW82" s="3">
        <v>0.11083</v>
      </c>
      <c r="AX82" s="3">
        <v>0.82393998000000002</v>
      </c>
      <c r="AY82" s="3">
        <v>2.8048999000000001</v>
      </c>
      <c r="AZ82" s="3">
        <v>0.31039</v>
      </c>
      <c r="BA82" s="3">
        <v>595.13513513513522</v>
      </c>
      <c r="BC82" s="1">
        <v>0.8</v>
      </c>
      <c r="BD82" s="10">
        <v>0</v>
      </c>
      <c r="BE82" s="10">
        <v>0</v>
      </c>
      <c r="BF82" s="10">
        <v>0</v>
      </c>
      <c r="BG82" s="10">
        <v>0</v>
      </c>
      <c r="BH82" s="10">
        <v>2</v>
      </c>
      <c r="BI82" s="10">
        <v>4.1666001000000003E-4</v>
      </c>
      <c r="BJ82" s="10">
        <v>4.1666001000000003E-4</v>
      </c>
      <c r="BK82" s="10">
        <v>41.289000999999999</v>
      </c>
      <c r="BL82" s="10">
        <v>0</v>
      </c>
      <c r="BM82" s="10" t="str">
        <v>NA</v>
      </c>
      <c r="BO82" s="1">
        <v>0.8</v>
      </c>
      <c r="BP82" s="11">
        <v>0</v>
      </c>
      <c r="BQ82" s="11">
        <v>0</v>
      </c>
      <c r="BR82" s="11">
        <v>0</v>
      </c>
      <c r="BS82" s="11">
        <v>0</v>
      </c>
      <c r="BT82" s="11">
        <v>2</v>
      </c>
      <c r="BU82" s="11">
        <v>4.1666001000000003E-4</v>
      </c>
      <c r="BV82" s="11">
        <v>4.1666001000000003E-4</v>
      </c>
      <c r="BW82" s="11">
        <v>41.289000999999999</v>
      </c>
      <c r="BX82" s="11">
        <v>0</v>
      </c>
      <c r="BY82" s="11" t="str">
        <v>Enter Length</v>
      </c>
    </row>
    <row r="83" spans="1:77" x14ac:dyDescent="0.2">
      <c r="A83" s="1">
        <v>0.81</v>
      </c>
      <c r="B83" s="6">
        <v>729</v>
      </c>
      <c r="C83" s="7">
        <v>0</v>
      </c>
      <c r="D83" s="8">
        <v>0</v>
      </c>
      <c r="E83" s="9">
        <v>70</v>
      </c>
      <c r="F83" s="6">
        <v>1.1548001000000001</v>
      </c>
      <c r="G83" s="7"/>
      <c r="H83" s="8"/>
      <c r="I83" s="9">
        <v>0.74421000000000004</v>
      </c>
      <c r="J83" s="6">
        <v>4.7010002000000002</v>
      </c>
      <c r="K83" s="7">
        <v>0</v>
      </c>
      <c r="L83" s="8">
        <v>0</v>
      </c>
      <c r="M83" s="9">
        <v>3.3</v>
      </c>
      <c r="N83" s="6">
        <v>0.15187</v>
      </c>
      <c r="O83" s="7"/>
      <c r="P83" s="8"/>
      <c r="Q83" s="9">
        <v>1.4583E-2</v>
      </c>
      <c r="R83" s="6">
        <v>528</v>
      </c>
      <c r="S83" s="7">
        <v>2</v>
      </c>
      <c r="T83" s="8">
        <v>2</v>
      </c>
      <c r="U83" s="9">
        <v>89</v>
      </c>
      <c r="V83" s="6">
        <v>0.11</v>
      </c>
      <c r="W83" s="7">
        <v>4.1666001000000003E-4</v>
      </c>
      <c r="X83" s="8">
        <v>4.1666001000000003E-4</v>
      </c>
      <c r="Y83" s="9">
        <v>1.8541001000000001E-2</v>
      </c>
      <c r="Z83" s="6">
        <v>0.82393998000000002</v>
      </c>
      <c r="AA83" s="7">
        <v>4.1666001000000003E-4</v>
      </c>
      <c r="AB83" s="8">
        <v>4.1666001000000003E-4</v>
      </c>
      <c r="AC83" s="9">
        <v>6.6665001000000002E-2</v>
      </c>
      <c r="AD83" s="6">
        <v>2.8191999999999999</v>
      </c>
      <c r="AE83" s="7">
        <v>41.289000999999999</v>
      </c>
      <c r="AF83" s="8">
        <v>41.289000999999999</v>
      </c>
      <c r="AG83" s="9">
        <v>5.0300998999999997</v>
      </c>
      <c r="AH83" s="6">
        <v>0.31203999999999998</v>
      </c>
      <c r="AI83" s="7"/>
      <c r="AJ83" s="8"/>
      <c r="AK83" s="9">
        <v>0.32357001000000002</v>
      </c>
      <c r="AL83" s="3">
        <f>IF(ISNUMBER(BurstIgor14[[#This Row],[BurstNum_spont]]), IF(ISNUMBER(SpontLength_min), BurstIgor14[[#This Row],[BurstNum_spont]]/SpontLength_min*60, "Enter Length"), "Enter Burst Vals")</f>
        <v>591.08108108108104</v>
      </c>
      <c r="AM8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3" s="11" t="str" cm="1">
        <f t="array" ref="AN83">IF(ISNUMBER(BurstIgor14[[#This Row],[BurstNum_temp2]]), IF(ISNUMBER(Temp2_length), BurstIgor14[[#This Row],[BurstNum_temp2]]/Temp2_length*60, "Enter Length"), "Enter Burst Vals")</f>
        <v>Enter Length</v>
      </c>
      <c r="AO83" s="12" t="str" cm="1">
        <f t="array" ref="AO83">IF(ISNUMBER(BurstIgor14[[#This Row],[BurstNum_temp3]]), IF(ISNUMBER(Temp3_length), BurstIgor14[[#This Row],[BurstNum_temp3]]/Temp3_length*60, "Enter Length"), "Enter Burst Vals")</f>
        <v>Enter Length</v>
      </c>
      <c r="AQ83" s="1">
        <v>0.81</v>
      </c>
      <c r="AR83" s="3">
        <v>729</v>
      </c>
      <c r="AS83" s="3">
        <v>1.1548001000000001</v>
      </c>
      <c r="AT83" s="3">
        <v>4.7010002000000002</v>
      </c>
      <c r="AU83" s="3">
        <v>0.15187</v>
      </c>
      <c r="AV83" s="3">
        <v>528</v>
      </c>
      <c r="AW83" s="3">
        <v>0.11</v>
      </c>
      <c r="AX83" s="3">
        <v>0.82393998000000002</v>
      </c>
      <c r="AY83" s="3">
        <v>2.8191999999999999</v>
      </c>
      <c r="AZ83" s="3">
        <v>0.31203999999999998</v>
      </c>
      <c r="BA83" s="3">
        <v>591.08108108108104</v>
      </c>
      <c r="BC83" s="1">
        <v>0.81</v>
      </c>
      <c r="BD83" s="10">
        <v>0</v>
      </c>
      <c r="BE83" s="10">
        <v>0</v>
      </c>
      <c r="BF83" s="10">
        <v>0</v>
      </c>
      <c r="BG83" s="10">
        <v>0</v>
      </c>
      <c r="BH83" s="10">
        <v>2</v>
      </c>
      <c r="BI83" s="10">
        <v>4.1666001000000003E-4</v>
      </c>
      <c r="BJ83" s="10">
        <v>4.1666001000000003E-4</v>
      </c>
      <c r="BK83" s="10">
        <v>41.289000999999999</v>
      </c>
      <c r="BL83" s="10">
        <v>0</v>
      </c>
      <c r="BM83" s="10" t="str">
        <v>NA</v>
      </c>
      <c r="BO83" s="1">
        <v>0.81</v>
      </c>
      <c r="BP83" s="11">
        <v>0</v>
      </c>
      <c r="BQ83" s="11">
        <v>0</v>
      </c>
      <c r="BR83" s="11">
        <v>0</v>
      </c>
      <c r="BS83" s="11">
        <v>0</v>
      </c>
      <c r="BT83" s="11">
        <v>2</v>
      </c>
      <c r="BU83" s="11">
        <v>4.1666001000000003E-4</v>
      </c>
      <c r="BV83" s="11">
        <v>4.1666001000000003E-4</v>
      </c>
      <c r="BW83" s="11">
        <v>41.289000999999999</v>
      </c>
      <c r="BX83" s="11">
        <v>0</v>
      </c>
      <c r="BY83" s="11" t="str">
        <v>Enter Length</v>
      </c>
    </row>
    <row r="84" spans="1:77" x14ac:dyDescent="0.2">
      <c r="A84" s="1">
        <v>0.82</v>
      </c>
      <c r="B84" s="6">
        <v>724</v>
      </c>
      <c r="C84" s="7">
        <v>0</v>
      </c>
      <c r="D84" s="8">
        <v>0</v>
      </c>
      <c r="E84" s="9">
        <v>70</v>
      </c>
      <c r="F84" s="6">
        <v>1.1819</v>
      </c>
      <c r="G84" s="7"/>
      <c r="H84" s="8"/>
      <c r="I84" s="9">
        <v>0.74421000000000004</v>
      </c>
      <c r="J84" s="6">
        <v>4.75</v>
      </c>
      <c r="K84" s="7">
        <v>0</v>
      </c>
      <c r="L84" s="8">
        <v>0</v>
      </c>
      <c r="M84" s="9">
        <v>3.3</v>
      </c>
      <c r="N84" s="6">
        <v>0.15082999999999999</v>
      </c>
      <c r="O84" s="7"/>
      <c r="P84" s="8"/>
      <c r="Q84" s="9">
        <v>1.4583E-2</v>
      </c>
      <c r="R84" s="6">
        <v>516</v>
      </c>
      <c r="S84" s="7">
        <v>2</v>
      </c>
      <c r="T84" s="8">
        <v>2</v>
      </c>
      <c r="U84" s="9">
        <v>89</v>
      </c>
      <c r="V84" s="6">
        <v>0.1075</v>
      </c>
      <c r="W84" s="7">
        <v>4.1666001000000003E-4</v>
      </c>
      <c r="X84" s="8">
        <v>4.1666001000000003E-4</v>
      </c>
      <c r="Y84" s="9">
        <v>1.8541001000000001E-2</v>
      </c>
      <c r="Z84" s="6">
        <v>0.82393998000000002</v>
      </c>
      <c r="AA84" s="7">
        <v>4.1666001000000003E-4</v>
      </c>
      <c r="AB84" s="8">
        <v>4.1666001000000003E-4</v>
      </c>
      <c r="AC84" s="9">
        <v>6.6665001000000002E-2</v>
      </c>
      <c r="AD84" s="6">
        <v>2.8466999999999998</v>
      </c>
      <c r="AE84" s="7">
        <v>41.289000999999999</v>
      </c>
      <c r="AF84" s="8">
        <v>41.289000999999999</v>
      </c>
      <c r="AG84" s="9">
        <v>5.0300998999999997</v>
      </c>
      <c r="AH84" s="6">
        <v>0.31518998999999998</v>
      </c>
      <c r="AI84" s="7"/>
      <c r="AJ84" s="8"/>
      <c r="AK84" s="9">
        <v>0.32357001000000002</v>
      </c>
      <c r="AL84" s="3">
        <f>IF(ISNUMBER(BurstIgor14[[#This Row],[BurstNum_spont]]), IF(ISNUMBER(SpontLength_min), BurstIgor14[[#This Row],[BurstNum_spont]]/SpontLength_min*60, "Enter Length"), "Enter Burst Vals")</f>
        <v>587.02702702702709</v>
      </c>
      <c r="AM8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4" s="11" t="str" cm="1">
        <f t="array" ref="AN84">IF(ISNUMBER(BurstIgor14[[#This Row],[BurstNum_temp2]]), IF(ISNUMBER(Temp2_length), BurstIgor14[[#This Row],[BurstNum_temp2]]/Temp2_length*60, "Enter Length"), "Enter Burst Vals")</f>
        <v>Enter Length</v>
      </c>
      <c r="AO84" s="12" t="str" cm="1">
        <f t="array" ref="AO84">IF(ISNUMBER(BurstIgor14[[#This Row],[BurstNum_temp3]]), IF(ISNUMBER(Temp3_length), BurstIgor14[[#This Row],[BurstNum_temp3]]/Temp3_length*60, "Enter Length"), "Enter Burst Vals")</f>
        <v>Enter Length</v>
      </c>
      <c r="AQ84" s="1">
        <v>0.82</v>
      </c>
      <c r="AR84" s="3">
        <v>724</v>
      </c>
      <c r="AS84" s="3">
        <v>1.1819</v>
      </c>
      <c r="AT84" s="3">
        <v>4.75</v>
      </c>
      <c r="AU84" s="3">
        <v>0.15082999999999999</v>
      </c>
      <c r="AV84" s="3">
        <v>516</v>
      </c>
      <c r="AW84" s="3">
        <v>0.1075</v>
      </c>
      <c r="AX84" s="3">
        <v>0.82393998000000002</v>
      </c>
      <c r="AY84" s="3">
        <v>2.8466999999999998</v>
      </c>
      <c r="AZ84" s="3">
        <v>0.31518998999999998</v>
      </c>
      <c r="BA84" s="3">
        <v>587.02702702702709</v>
      </c>
      <c r="BC84" s="1">
        <v>0.82</v>
      </c>
      <c r="BD84" s="10">
        <v>0</v>
      </c>
      <c r="BE84" s="10">
        <v>0</v>
      </c>
      <c r="BF84" s="10">
        <v>0</v>
      </c>
      <c r="BG84" s="10">
        <v>0</v>
      </c>
      <c r="BH84" s="10">
        <v>2</v>
      </c>
      <c r="BI84" s="10">
        <v>4.1666001000000003E-4</v>
      </c>
      <c r="BJ84" s="10">
        <v>4.1666001000000003E-4</v>
      </c>
      <c r="BK84" s="10">
        <v>41.289000999999999</v>
      </c>
      <c r="BL84" s="10">
        <v>0</v>
      </c>
      <c r="BM84" s="10" t="str">
        <v>NA</v>
      </c>
      <c r="BO84" s="1">
        <v>0.82</v>
      </c>
      <c r="BP84" s="11">
        <v>0</v>
      </c>
      <c r="BQ84" s="11">
        <v>0</v>
      </c>
      <c r="BR84" s="11">
        <v>0</v>
      </c>
      <c r="BS84" s="11">
        <v>0</v>
      </c>
      <c r="BT84" s="11">
        <v>2</v>
      </c>
      <c r="BU84" s="11">
        <v>4.1666001000000003E-4</v>
      </c>
      <c r="BV84" s="11">
        <v>4.1666001000000003E-4</v>
      </c>
      <c r="BW84" s="11">
        <v>41.289000999999999</v>
      </c>
      <c r="BX84" s="11">
        <v>0</v>
      </c>
      <c r="BY84" s="11" t="str">
        <v>Enter Length</v>
      </c>
    </row>
    <row r="85" spans="1:77" x14ac:dyDescent="0.2">
      <c r="A85" s="1">
        <v>0.83</v>
      </c>
      <c r="B85" s="6">
        <v>716</v>
      </c>
      <c r="C85" s="7">
        <v>0</v>
      </c>
      <c r="D85" s="8">
        <v>0</v>
      </c>
      <c r="E85" s="9">
        <v>70</v>
      </c>
      <c r="F85" s="6">
        <v>1.2136</v>
      </c>
      <c r="G85" s="7"/>
      <c r="H85" s="8"/>
      <c r="I85" s="9">
        <v>0.75603997999999994</v>
      </c>
      <c r="J85" s="6">
        <v>4.8141999000000002</v>
      </c>
      <c r="K85" s="7">
        <v>0</v>
      </c>
      <c r="L85" s="8">
        <v>0</v>
      </c>
      <c r="M85" s="9">
        <v>3.3143001000000001</v>
      </c>
      <c r="N85" s="6">
        <v>0.14915999999999999</v>
      </c>
      <c r="O85" s="7"/>
      <c r="P85" s="8"/>
      <c r="Q85" s="9">
        <v>1.4583E-2</v>
      </c>
      <c r="R85" s="6">
        <v>508</v>
      </c>
      <c r="S85" s="7">
        <v>2</v>
      </c>
      <c r="T85" s="8">
        <v>2</v>
      </c>
      <c r="U85" s="9">
        <v>88</v>
      </c>
      <c r="V85" s="6">
        <v>0.10582999999999999</v>
      </c>
      <c r="W85" s="7">
        <v>4.1666001000000003E-4</v>
      </c>
      <c r="X85" s="8">
        <v>4.1666001000000003E-4</v>
      </c>
      <c r="Y85" s="9">
        <v>1.8332998999999999E-2</v>
      </c>
      <c r="Z85" s="6">
        <v>0.82393998000000002</v>
      </c>
      <c r="AA85" s="7">
        <v>4.1666001000000003E-4</v>
      </c>
      <c r="AB85" s="8">
        <v>4.1666001000000003E-4</v>
      </c>
      <c r="AC85" s="9">
        <v>6.6665001000000002E-2</v>
      </c>
      <c r="AD85" s="6">
        <v>2.8731998999999999</v>
      </c>
      <c r="AE85" s="7">
        <v>41.289000999999999</v>
      </c>
      <c r="AF85" s="8">
        <v>41.289000999999999</v>
      </c>
      <c r="AG85" s="9">
        <v>5.0567998999999997</v>
      </c>
      <c r="AH85" s="6">
        <v>0.31817001</v>
      </c>
      <c r="AI85" s="7"/>
      <c r="AJ85" s="8"/>
      <c r="AK85" s="9">
        <v>0.32668998999999999</v>
      </c>
      <c r="AL85" s="3">
        <f>IF(ISNUMBER(BurstIgor14[[#This Row],[BurstNum_spont]]), IF(ISNUMBER(SpontLength_min), BurstIgor14[[#This Row],[BurstNum_spont]]/SpontLength_min*60, "Enter Length"), "Enter Burst Vals")</f>
        <v>580.54054054054052</v>
      </c>
      <c r="AM8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5" s="11" t="str" cm="1">
        <f t="array" ref="AN85">IF(ISNUMBER(BurstIgor14[[#This Row],[BurstNum_temp2]]), IF(ISNUMBER(Temp2_length), BurstIgor14[[#This Row],[BurstNum_temp2]]/Temp2_length*60, "Enter Length"), "Enter Burst Vals")</f>
        <v>Enter Length</v>
      </c>
      <c r="AO85" s="12" t="str" cm="1">
        <f t="array" ref="AO85">IF(ISNUMBER(BurstIgor14[[#This Row],[BurstNum_temp3]]), IF(ISNUMBER(Temp3_length), BurstIgor14[[#This Row],[BurstNum_temp3]]/Temp3_length*60, "Enter Length"), "Enter Burst Vals")</f>
        <v>Enter Length</v>
      </c>
      <c r="AQ85" s="1">
        <v>0.83</v>
      </c>
      <c r="AR85" s="3">
        <v>716</v>
      </c>
      <c r="AS85" s="3">
        <v>1.2136</v>
      </c>
      <c r="AT85" s="3">
        <v>4.8141999000000002</v>
      </c>
      <c r="AU85" s="3">
        <v>0.14915999999999999</v>
      </c>
      <c r="AV85" s="3">
        <v>508</v>
      </c>
      <c r="AW85" s="3">
        <v>0.10582999999999999</v>
      </c>
      <c r="AX85" s="3">
        <v>0.82393998000000002</v>
      </c>
      <c r="AY85" s="3">
        <v>2.8731998999999999</v>
      </c>
      <c r="AZ85" s="3">
        <v>0.31817001</v>
      </c>
      <c r="BA85" s="3">
        <v>580.54054054054052</v>
      </c>
      <c r="BC85" s="1">
        <v>0.83</v>
      </c>
      <c r="BD85" s="10">
        <v>0</v>
      </c>
      <c r="BE85" s="10">
        <v>0</v>
      </c>
      <c r="BF85" s="10">
        <v>0</v>
      </c>
      <c r="BG85" s="10">
        <v>0</v>
      </c>
      <c r="BH85" s="10">
        <v>2</v>
      </c>
      <c r="BI85" s="10">
        <v>4.1666001000000003E-4</v>
      </c>
      <c r="BJ85" s="10">
        <v>4.1666001000000003E-4</v>
      </c>
      <c r="BK85" s="10">
        <v>41.289000999999999</v>
      </c>
      <c r="BL85" s="10">
        <v>0</v>
      </c>
      <c r="BM85" s="10" t="str">
        <v>NA</v>
      </c>
      <c r="BO85" s="1">
        <v>0.83</v>
      </c>
      <c r="BP85" s="11">
        <v>0</v>
      </c>
      <c r="BQ85" s="11">
        <v>0</v>
      </c>
      <c r="BR85" s="11">
        <v>0</v>
      </c>
      <c r="BS85" s="11">
        <v>0</v>
      </c>
      <c r="BT85" s="11">
        <v>2</v>
      </c>
      <c r="BU85" s="11">
        <v>4.1666001000000003E-4</v>
      </c>
      <c r="BV85" s="11">
        <v>4.1666001000000003E-4</v>
      </c>
      <c r="BW85" s="11">
        <v>41.289000999999999</v>
      </c>
      <c r="BX85" s="11">
        <v>0</v>
      </c>
      <c r="BY85" s="11" t="str">
        <v>Enter Length</v>
      </c>
    </row>
    <row r="86" spans="1:77" x14ac:dyDescent="0.2">
      <c r="A86" s="1">
        <v>0.84</v>
      </c>
      <c r="B86" s="6">
        <v>708</v>
      </c>
      <c r="C86" s="7">
        <v>0</v>
      </c>
      <c r="D86" s="8">
        <v>0</v>
      </c>
      <c r="E86" s="9">
        <v>71</v>
      </c>
      <c r="F86" s="6">
        <v>1.2438</v>
      </c>
      <c r="G86" s="7"/>
      <c r="H86" s="8"/>
      <c r="I86" s="9">
        <v>0.75710999999999995</v>
      </c>
      <c r="J86" s="6">
        <v>4.8771000000000004</v>
      </c>
      <c r="K86" s="7">
        <v>0</v>
      </c>
      <c r="L86" s="8">
        <v>0</v>
      </c>
      <c r="M86" s="9">
        <v>3.2957999999999998</v>
      </c>
      <c r="N86" s="6">
        <v>0.14749999</v>
      </c>
      <c r="O86" s="7"/>
      <c r="P86" s="8"/>
      <c r="Q86" s="9">
        <v>1.4791E-2</v>
      </c>
      <c r="R86" s="6">
        <v>502</v>
      </c>
      <c r="S86" s="7">
        <v>2</v>
      </c>
      <c r="T86" s="8">
        <v>2</v>
      </c>
      <c r="U86" s="9">
        <v>86</v>
      </c>
      <c r="V86" s="6">
        <v>0.10458000000000001</v>
      </c>
      <c r="W86" s="7">
        <v>4.1666001000000003E-4</v>
      </c>
      <c r="X86" s="8">
        <v>4.1666001000000003E-4</v>
      </c>
      <c r="Y86" s="9">
        <v>1.7916000000000001E-2</v>
      </c>
      <c r="Z86" s="6">
        <v>0.82393998000000002</v>
      </c>
      <c r="AA86" s="7">
        <v>4.1666001000000003E-4</v>
      </c>
      <c r="AB86" s="8">
        <v>4.1666001000000003E-4</v>
      </c>
      <c r="AC86" s="9">
        <v>6.6665001000000002E-2</v>
      </c>
      <c r="AD86" s="6">
        <v>2.8967999999999998</v>
      </c>
      <c r="AE86" s="7">
        <v>41.289000999999999</v>
      </c>
      <c r="AF86" s="8">
        <v>41.289000999999999</v>
      </c>
      <c r="AG86" s="9">
        <v>5.0838999999999999</v>
      </c>
      <c r="AH86" s="6">
        <v>0.32080001000000002</v>
      </c>
      <c r="AI86" s="7"/>
      <c r="AJ86" s="8"/>
      <c r="AK86" s="9">
        <v>0.32979000000000003</v>
      </c>
      <c r="AL86" s="3">
        <f>IF(ISNUMBER(BurstIgor14[[#This Row],[BurstNum_spont]]), IF(ISNUMBER(SpontLength_min), BurstIgor14[[#This Row],[BurstNum_spont]]/SpontLength_min*60, "Enter Length"), "Enter Burst Vals")</f>
        <v>574.05405405405406</v>
      </c>
      <c r="AM8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6" s="11" t="str" cm="1">
        <f t="array" ref="AN86">IF(ISNUMBER(BurstIgor14[[#This Row],[BurstNum_temp2]]), IF(ISNUMBER(Temp2_length), BurstIgor14[[#This Row],[BurstNum_temp2]]/Temp2_length*60, "Enter Length"), "Enter Burst Vals")</f>
        <v>Enter Length</v>
      </c>
      <c r="AO86" s="12" t="str" cm="1">
        <f t="array" ref="AO86">IF(ISNUMBER(BurstIgor14[[#This Row],[BurstNum_temp3]]), IF(ISNUMBER(Temp3_length), BurstIgor14[[#This Row],[BurstNum_temp3]]/Temp3_length*60, "Enter Length"), "Enter Burst Vals")</f>
        <v>Enter Length</v>
      </c>
      <c r="AQ86" s="1">
        <v>0.84</v>
      </c>
      <c r="AR86" s="3">
        <v>708</v>
      </c>
      <c r="AS86" s="3">
        <v>1.2438</v>
      </c>
      <c r="AT86" s="3">
        <v>4.8771000000000004</v>
      </c>
      <c r="AU86" s="3">
        <v>0.14749999</v>
      </c>
      <c r="AV86" s="3">
        <v>502</v>
      </c>
      <c r="AW86" s="3">
        <v>0.10458000000000001</v>
      </c>
      <c r="AX86" s="3">
        <v>0.82393998000000002</v>
      </c>
      <c r="AY86" s="3">
        <v>2.8967999999999998</v>
      </c>
      <c r="AZ86" s="3">
        <v>0.32080001000000002</v>
      </c>
      <c r="BA86" s="3">
        <v>574.05405405405406</v>
      </c>
      <c r="BC86" s="1">
        <v>0.84</v>
      </c>
      <c r="BD86" s="10">
        <v>0</v>
      </c>
      <c r="BE86" s="10">
        <v>0</v>
      </c>
      <c r="BF86" s="10">
        <v>0</v>
      </c>
      <c r="BG86" s="10">
        <v>0</v>
      </c>
      <c r="BH86" s="10">
        <v>2</v>
      </c>
      <c r="BI86" s="10">
        <v>4.1666001000000003E-4</v>
      </c>
      <c r="BJ86" s="10">
        <v>4.1666001000000003E-4</v>
      </c>
      <c r="BK86" s="10">
        <v>41.289000999999999</v>
      </c>
      <c r="BL86" s="10">
        <v>0</v>
      </c>
      <c r="BM86" s="10" t="str">
        <v>NA</v>
      </c>
      <c r="BO86" s="1">
        <v>0.84</v>
      </c>
      <c r="BP86" s="11">
        <v>0</v>
      </c>
      <c r="BQ86" s="11">
        <v>0</v>
      </c>
      <c r="BR86" s="11">
        <v>0</v>
      </c>
      <c r="BS86" s="11">
        <v>0</v>
      </c>
      <c r="BT86" s="11">
        <v>2</v>
      </c>
      <c r="BU86" s="11">
        <v>4.1666001000000003E-4</v>
      </c>
      <c r="BV86" s="11">
        <v>4.1666001000000003E-4</v>
      </c>
      <c r="BW86" s="11">
        <v>41.289000999999999</v>
      </c>
      <c r="BX86" s="11">
        <v>0</v>
      </c>
      <c r="BY86" s="11" t="str">
        <v>Enter Length</v>
      </c>
    </row>
    <row r="87" spans="1:77" x14ac:dyDescent="0.2">
      <c r="A87" s="1">
        <v>0.85</v>
      </c>
      <c r="B87" s="6">
        <v>699</v>
      </c>
      <c r="C87" s="7">
        <v>0</v>
      </c>
      <c r="D87" s="8">
        <v>0</v>
      </c>
      <c r="E87" s="9">
        <v>71</v>
      </c>
      <c r="F87" s="6">
        <v>1.2743</v>
      </c>
      <c r="G87" s="7"/>
      <c r="H87" s="8"/>
      <c r="I87" s="9">
        <v>0.75710999999999995</v>
      </c>
      <c r="J87" s="6">
        <v>4.9442000000000004</v>
      </c>
      <c r="K87" s="7">
        <v>0</v>
      </c>
      <c r="L87" s="8">
        <v>0</v>
      </c>
      <c r="M87" s="9">
        <v>3.2957999999999998</v>
      </c>
      <c r="N87" s="6">
        <v>0.14562</v>
      </c>
      <c r="O87" s="7"/>
      <c r="P87" s="8"/>
      <c r="Q87" s="9">
        <v>1.4791E-2</v>
      </c>
      <c r="R87" s="6">
        <v>499</v>
      </c>
      <c r="S87" s="7">
        <v>2</v>
      </c>
      <c r="T87" s="8">
        <v>2</v>
      </c>
      <c r="U87" s="9">
        <v>86</v>
      </c>
      <c r="V87" s="6">
        <v>0.10396</v>
      </c>
      <c r="W87" s="7">
        <v>4.1666001000000003E-4</v>
      </c>
      <c r="X87" s="8">
        <v>4.1666001000000003E-4</v>
      </c>
      <c r="Y87" s="9">
        <v>1.7916000000000001E-2</v>
      </c>
      <c r="Z87" s="6">
        <v>0.82393998000000002</v>
      </c>
      <c r="AA87" s="7">
        <v>4.1666001000000003E-4</v>
      </c>
      <c r="AB87" s="8">
        <v>4.1666001000000003E-4</v>
      </c>
      <c r="AC87" s="9">
        <v>6.6665001000000002E-2</v>
      </c>
      <c r="AD87" s="6">
        <v>2.9173998999999999</v>
      </c>
      <c r="AE87" s="7">
        <v>41.289000999999999</v>
      </c>
      <c r="AF87" s="8">
        <v>41.289000999999999</v>
      </c>
      <c r="AG87" s="9">
        <v>5.0838999999999999</v>
      </c>
      <c r="AH87" s="6">
        <v>0.32307999999999998</v>
      </c>
      <c r="AI87" s="7"/>
      <c r="AJ87" s="8"/>
      <c r="AK87" s="9">
        <v>0.32979000000000003</v>
      </c>
      <c r="AL87" s="3">
        <f>IF(ISNUMBER(BurstIgor14[[#This Row],[BurstNum_spont]]), IF(ISNUMBER(SpontLength_min), BurstIgor14[[#This Row],[BurstNum_spont]]/SpontLength_min*60, "Enter Length"), "Enter Burst Vals")</f>
        <v>566.75675675675677</v>
      </c>
      <c r="AM8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7" s="11" t="str" cm="1">
        <f t="array" ref="AN87">IF(ISNUMBER(BurstIgor14[[#This Row],[BurstNum_temp2]]), IF(ISNUMBER(Temp2_length), BurstIgor14[[#This Row],[BurstNum_temp2]]/Temp2_length*60, "Enter Length"), "Enter Burst Vals")</f>
        <v>Enter Length</v>
      </c>
      <c r="AO87" s="12" t="str" cm="1">
        <f t="array" ref="AO87">IF(ISNUMBER(BurstIgor14[[#This Row],[BurstNum_temp3]]), IF(ISNUMBER(Temp3_length), BurstIgor14[[#This Row],[BurstNum_temp3]]/Temp3_length*60, "Enter Length"), "Enter Burst Vals")</f>
        <v>Enter Length</v>
      </c>
      <c r="AQ87" s="1">
        <v>0.85</v>
      </c>
      <c r="AR87" s="3">
        <v>699</v>
      </c>
      <c r="AS87" s="3">
        <v>1.2743</v>
      </c>
      <c r="AT87" s="3">
        <v>4.9442000000000004</v>
      </c>
      <c r="AU87" s="3">
        <v>0.14562</v>
      </c>
      <c r="AV87" s="3">
        <v>499</v>
      </c>
      <c r="AW87" s="3">
        <v>0.10396</v>
      </c>
      <c r="AX87" s="3">
        <v>0.82393998000000002</v>
      </c>
      <c r="AY87" s="3">
        <v>2.9173998999999999</v>
      </c>
      <c r="AZ87" s="3">
        <v>0.32307999999999998</v>
      </c>
      <c r="BA87" s="3">
        <v>566.75675675675677</v>
      </c>
      <c r="BC87" s="1">
        <v>0.85</v>
      </c>
      <c r="BD87" s="10">
        <v>0</v>
      </c>
      <c r="BE87" s="10">
        <v>0</v>
      </c>
      <c r="BF87" s="10">
        <v>0</v>
      </c>
      <c r="BG87" s="10">
        <v>0</v>
      </c>
      <c r="BH87" s="10">
        <v>2</v>
      </c>
      <c r="BI87" s="10">
        <v>4.1666001000000003E-4</v>
      </c>
      <c r="BJ87" s="10">
        <v>4.1666001000000003E-4</v>
      </c>
      <c r="BK87" s="10">
        <v>41.289000999999999</v>
      </c>
      <c r="BL87" s="10">
        <v>0</v>
      </c>
      <c r="BM87" s="10" t="str">
        <v>NA</v>
      </c>
      <c r="BO87" s="1">
        <v>0.85</v>
      </c>
      <c r="BP87" s="11">
        <v>0</v>
      </c>
      <c r="BQ87" s="11">
        <v>0</v>
      </c>
      <c r="BR87" s="11">
        <v>0</v>
      </c>
      <c r="BS87" s="11">
        <v>0</v>
      </c>
      <c r="BT87" s="11">
        <v>2</v>
      </c>
      <c r="BU87" s="11">
        <v>4.1666001000000003E-4</v>
      </c>
      <c r="BV87" s="11">
        <v>4.1666001000000003E-4</v>
      </c>
      <c r="BW87" s="11">
        <v>41.289000999999999</v>
      </c>
      <c r="BX87" s="11">
        <v>0</v>
      </c>
      <c r="BY87" s="11" t="str">
        <v>Enter Length</v>
      </c>
    </row>
    <row r="88" spans="1:77" x14ac:dyDescent="0.2">
      <c r="A88" s="1">
        <v>0.86</v>
      </c>
      <c r="B88" s="6">
        <v>692</v>
      </c>
      <c r="C88" s="7">
        <v>0</v>
      </c>
      <c r="D88" s="8">
        <v>0</v>
      </c>
      <c r="E88" s="9">
        <v>71</v>
      </c>
      <c r="F88" s="6">
        <v>1.3082</v>
      </c>
      <c r="G88" s="7"/>
      <c r="H88" s="8"/>
      <c r="I88" s="9">
        <v>0.75710999999999995</v>
      </c>
      <c r="J88" s="6">
        <v>5.0086998999999999</v>
      </c>
      <c r="K88" s="7">
        <v>0</v>
      </c>
      <c r="L88" s="8">
        <v>0</v>
      </c>
      <c r="M88" s="9">
        <v>3.2957999999999998</v>
      </c>
      <c r="N88" s="6">
        <v>0.14416000000000001</v>
      </c>
      <c r="O88" s="7"/>
      <c r="P88" s="8"/>
      <c r="Q88" s="9">
        <v>1.4791E-2</v>
      </c>
      <c r="R88" s="6">
        <v>489</v>
      </c>
      <c r="S88" s="7">
        <v>2</v>
      </c>
      <c r="T88" s="8">
        <v>2</v>
      </c>
      <c r="U88" s="9">
        <v>86</v>
      </c>
      <c r="V88" s="6">
        <v>0.10187</v>
      </c>
      <c r="W88" s="7">
        <v>4.1666001000000003E-4</v>
      </c>
      <c r="X88" s="8">
        <v>4.1666001000000003E-4</v>
      </c>
      <c r="Y88" s="9">
        <v>1.7916000000000001E-2</v>
      </c>
      <c r="Z88" s="6">
        <v>0.82393998000000002</v>
      </c>
      <c r="AA88" s="7">
        <v>4.1666001000000003E-4</v>
      </c>
      <c r="AB88" s="8">
        <v>4.1666001000000003E-4</v>
      </c>
      <c r="AC88" s="9">
        <v>6.6665001000000002E-2</v>
      </c>
      <c r="AD88" s="6">
        <v>2.9470999</v>
      </c>
      <c r="AE88" s="7">
        <v>41.289000999999999</v>
      </c>
      <c r="AF88" s="8">
        <v>41.289000999999999</v>
      </c>
      <c r="AG88" s="9">
        <v>5.0838999999999999</v>
      </c>
      <c r="AH88" s="6">
        <v>0.32633999000000002</v>
      </c>
      <c r="AI88" s="7"/>
      <c r="AJ88" s="8"/>
      <c r="AK88" s="9">
        <v>0.32979000000000003</v>
      </c>
      <c r="AL88" s="3">
        <f>IF(ISNUMBER(BurstIgor14[[#This Row],[BurstNum_spont]]), IF(ISNUMBER(SpontLength_min), BurstIgor14[[#This Row],[BurstNum_spont]]/SpontLength_min*60, "Enter Length"), "Enter Burst Vals")</f>
        <v>561.08108108108104</v>
      </c>
      <c r="AM8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8" s="11" t="str" cm="1">
        <f t="array" ref="AN88">IF(ISNUMBER(BurstIgor14[[#This Row],[BurstNum_temp2]]), IF(ISNUMBER(Temp2_length), BurstIgor14[[#This Row],[BurstNum_temp2]]/Temp2_length*60, "Enter Length"), "Enter Burst Vals")</f>
        <v>Enter Length</v>
      </c>
      <c r="AO88" s="12" t="str" cm="1">
        <f t="array" ref="AO88">IF(ISNUMBER(BurstIgor14[[#This Row],[BurstNum_temp3]]), IF(ISNUMBER(Temp3_length), BurstIgor14[[#This Row],[BurstNum_temp3]]/Temp3_length*60, "Enter Length"), "Enter Burst Vals")</f>
        <v>Enter Length</v>
      </c>
      <c r="AQ88" s="1">
        <v>0.86</v>
      </c>
      <c r="AR88" s="3">
        <v>692</v>
      </c>
      <c r="AS88" s="3">
        <v>1.3082</v>
      </c>
      <c r="AT88" s="3">
        <v>5.0086998999999999</v>
      </c>
      <c r="AU88" s="3">
        <v>0.14416000000000001</v>
      </c>
      <c r="AV88" s="3">
        <v>489</v>
      </c>
      <c r="AW88" s="3">
        <v>0.10187</v>
      </c>
      <c r="AX88" s="3">
        <v>0.82393998000000002</v>
      </c>
      <c r="AY88" s="3">
        <v>2.9470999</v>
      </c>
      <c r="AZ88" s="3">
        <v>0.32633999000000002</v>
      </c>
      <c r="BA88" s="3">
        <v>561.08108108108104</v>
      </c>
      <c r="BC88" s="1">
        <v>0.86</v>
      </c>
      <c r="BD88" s="10">
        <v>0</v>
      </c>
      <c r="BE88" s="10">
        <v>0</v>
      </c>
      <c r="BF88" s="10">
        <v>0</v>
      </c>
      <c r="BG88" s="10">
        <v>0</v>
      </c>
      <c r="BH88" s="10">
        <v>2</v>
      </c>
      <c r="BI88" s="10">
        <v>4.1666001000000003E-4</v>
      </c>
      <c r="BJ88" s="10">
        <v>4.1666001000000003E-4</v>
      </c>
      <c r="BK88" s="10">
        <v>41.289000999999999</v>
      </c>
      <c r="BL88" s="10">
        <v>0</v>
      </c>
      <c r="BM88" s="10" t="str">
        <v>NA</v>
      </c>
      <c r="BO88" s="1">
        <v>0.86</v>
      </c>
      <c r="BP88" s="11">
        <v>0</v>
      </c>
      <c r="BQ88" s="11">
        <v>0</v>
      </c>
      <c r="BR88" s="11">
        <v>0</v>
      </c>
      <c r="BS88" s="11">
        <v>0</v>
      </c>
      <c r="BT88" s="11">
        <v>2</v>
      </c>
      <c r="BU88" s="11">
        <v>4.1666001000000003E-4</v>
      </c>
      <c r="BV88" s="11">
        <v>4.1666001000000003E-4</v>
      </c>
      <c r="BW88" s="11">
        <v>41.289000999999999</v>
      </c>
      <c r="BX88" s="11">
        <v>0</v>
      </c>
      <c r="BY88" s="11" t="str">
        <v>Enter Length</v>
      </c>
    </row>
    <row r="89" spans="1:77" x14ac:dyDescent="0.2">
      <c r="A89" s="1">
        <v>0.87</v>
      </c>
      <c r="B89" s="6">
        <v>684</v>
      </c>
      <c r="C89" s="7">
        <v>0</v>
      </c>
      <c r="D89" s="8">
        <v>0</v>
      </c>
      <c r="E89" s="9">
        <v>70</v>
      </c>
      <c r="F89" s="6">
        <v>1.3387001000000001</v>
      </c>
      <c r="G89" s="7"/>
      <c r="H89" s="8"/>
      <c r="I89" s="9">
        <v>0.78035003000000003</v>
      </c>
      <c r="J89" s="6">
        <v>5.0731000999999996</v>
      </c>
      <c r="K89" s="7">
        <v>0</v>
      </c>
      <c r="L89" s="8">
        <v>0</v>
      </c>
      <c r="M89" s="9">
        <v>3.3429000000000002</v>
      </c>
      <c r="N89" s="6">
        <v>0.14249999999999999</v>
      </c>
      <c r="O89" s="7"/>
      <c r="P89" s="8"/>
      <c r="Q89" s="9">
        <v>1.4583E-2</v>
      </c>
      <c r="R89" s="6">
        <v>485</v>
      </c>
      <c r="S89" s="7">
        <v>2</v>
      </c>
      <c r="T89" s="8">
        <v>2</v>
      </c>
      <c r="U89" s="9">
        <v>86</v>
      </c>
      <c r="V89" s="6">
        <v>0.10104</v>
      </c>
      <c r="W89" s="7">
        <v>4.1666001000000003E-4</v>
      </c>
      <c r="X89" s="8">
        <v>4.1666001000000003E-4</v>
      </c>
      <c r="Y89" s="9">
        <v>1.7916000000000001E-2</v>
      </c>
      <c r="Z89" s="6">
        <v>0.82393998000000002</v>
      </c>
      <c r="AA89" s="7">
        <v>4.1666001000000003E-4</v>
      </c>
      <c r="AB89" s="8">
        <v>4.1666001000000003E-4</v>
      </c>
      <c r="AC89" s="9">
        <v>6.6665001000000002E-2</v>
      </c>
      <c r="AD89" s="6">
        <v>2.9684998999999999</v>
      </c>
      <c r="AE89" s="7">
        <v>41.289000999999999</v>
      </c>
      <c r="AF89" s="8">
        <v>41.289000999999999</v>
      </c>
      <c r="AG89" s="9">
        <v>5.1111002000000001</v>
      </c>
      <c r="AH89" s="6">
        <v>0.32866001</v>
      </c>
      <c r="AI89" s="7"/>
      <c r="AJ89" s="8"/>
      <c r="AK89" s="9">
        <v>0.33307001000000003</v>
      </c>
      <c r="AL89" s="3">
        <f>IF(ISNUMBER(BurstIgor14[[#This Row],[BurstNum_spont]]), IF(ISNUMBER(SpontLength_min), BurstIgor14[[#This Row],[BurstNum_spont]]/SpontLength_min*60, "Enter Length"), "Enter Burst Vals")</f>
        <v>554.59459459459458</v>
      </c>
      <c r="AM8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89" s="11" t="str" cm="1">
        <f t="array" ref="AN89">IF(ISNUMBER(BurstIgor14[[#This Row],[BurstNum_temp2]]), IF(ISNUMBER(Temp2_length), BurstIgor14[[#This Row],[BurstNum_temp2]]/Temp2_length*60, "Enter Length"), "Enter Burst Vals")</f>
        <v>Enter Length</v>
      </c>
      <c r="AO89" s="12" t="str" cm="1">
        <f t="array" ref="AO89">IF(ISNUMBER(BurstIgor14[[#This Row],[BurstNum_temp3]]), IF(ISNUMBER(Temp3_length), BurstIgor14[[#This Row],[BurstNum_temp3]]/Temp3_length*60, "Enter Length"), "Enter Burst Vals")</f>
        <v>Enter Length</v>
      </c>
      <c r="AQ89" s="1">
        <v>0.87</v>
      </c>
      <c r="AR89" s="3">
        <v>684</v>
      </c>
      <c r="AS89" s="3">
        <v>1.3387001000000001</v>
      </c>
      <c r="AT89" s="3">
        <v>5.0731000999999996</v>
      </c>
      <c r="AU89" s="3">
        <v>0.14249999999999999</v>
      </c>
      <c r="AV89" s="3">
        <v>485</v>
      </c>
      <c r="AW89" s="3">
        <v>0.10104</v>
      </c>
      <c r="AX89" s="3">
        <v>0.82393998000000002</v>
      </c>
      <c r="AY89" s="3">
        <v>2.9684998999999999</v>
      </c>
      <c r="AZ89" s="3">
        <v>0.32866001</v>
      </c>
      <c r="BA89" s="3">
        <v>554.59459459459458</v>
      </c>
      <c r="BC89" s="1">
        <v>0.87</v>
      </c>
      <c r="BD89" s="10">
        <v>0</v>
      </c>
      <c r="BE89" s="10">
        <v>0</v>
      </c>
      <c r="BF89" s="10">
        <v>0</v>
      </c>
      <c r="BG89" s="10">
        <v>0</v>
      </c>
      <c r="BH89" s="10">
        <v>2</v>
      </c>
      <c r="BI89" s="10">
        <v>4.1666001000000003E-4</v>
      </c>
      <c r="BJ89" s="10">
        <v>4.1666001000000003E-4</v>
      </c>
      <c r="BK89" s="10">
        <v>41.289000999999999</v>
      </c>
      <c r="BL89" s="10">
        <v>0</v>
      </c>
      <c r="BM89" s="10" t="str">
        <v>NA</v>
      </c>
      <c r="BO89" s="1">
        <v>0.87</v>
      </c>
      <c r="BP89" s="11">
        <v>0</v>
      </c>
      <c r="BQ89" s="11">
        <v>0</v>
      </c>
      <c r="BR89" s="11">
        <v>0</v>
      </c>
      <c r="BS89" s="11">
        <v>0</v>
      </c>
      <c r="BT89" s="11">
        <v>2</v>
      </c>
      <c r="BU89" s="11">
        <v>4.1666001000000003E-4</v>
      </c>
      <c r="BV89" s="11">
        <v>4.1666001000000003E-4</v>
      </c>
      <c r="BW89" s="11">
        <v>41.289000999999999</v>
      </c>
      <c r="BX89" s="11">
        <v>0</v>
      </c>
      <c r="BY89" s="11" t="str">
        <v>Enter Length</v>
      </c>
    </row>
    <row r="90" spans="1:77" x14ac:dyDescent="0.2">
      <c r="A90" s="1">
        <v>0.88</v>
      </c>
      <c r="B90" s="6">
        <v>677</v>
      </c>
      <c r="C90" s="7">
        <v>0</v>
      </c>
      <c r="D90" s="8">
        <v>0</v>
      </c>
      <c r="E90" s="9">
        <v>69</v>
      </c>
      <c r="F90" s="6">
        <v>1.3653999999999999</v>
      </c>
      <c r="G90" s="7"/>
      <c r="H90" s="8"/>
      <c r="I90" s="9">
        <v>0.80431998000000005</v>
      </c>
      <c r="J90" s="6">
        <v>5.1300001000000002</v>
      </c>
      <c r="K90" s="7">
        <v>0</v>
      </c>
      <c r="L90" s="8">
        <v>0</v>
      </c>
      <c r="M90" s="9">
        <v>3.3913000000000002</v>
      </c>
      <c r="N90" s="6">
        <v>0.14104</v>
      </c>
      <c r="O90" s="7"/>
      <c r="P90" s="8"/>
      <c r="Q90" s="9">
        <v>1.4375000000000001E-2</v>
      </c>
      <c r="R90" s="6">
        <v>482</v>
      </c>
      <c r="S90" s="7">
        <v>2</v>
      </c>
      <c r="T90" s="8">
        <v>2</v>
      </c>
      <c r="U90" s="9">
        <v>86</v>
      </c>
      <c r="V90" s="6">
        <v>0.10041</v>
      </c>
      <c r="W90" s="7">
        <v>4.1666001000000003E-4</v>
      </c>
      <c r="X90" s="8">
        <v>4.1666001000000003E-4</v>
      </c>
      <c r="Y90" s="9">
        <v>1.7916000000000001E-2</v>
      </c>
      <c r="Z90" s="6">
        <v>0.82393998000000002</v>
      </c>
      <c r="AA90" s="7">
        <v>4.1666001000000003E-4</v>
      </c>
      <c r="AB90" s="8">
        <v>4.1666001000000003E-4</v>
      </c>
      <c r="AC90" s="9">
        <v>6.6665001000000002E-2</v>
      </c>
      <c r="AD90" s="6">
        <v>2.9865998999999999</v>
      </c>
      <c r="AE90" s="7">
        <v>41.289000999999999</v>
      </c>
      <c r="AF90" s="8">
        <v>41.289000999999999</v>
      </c>
      <c r="AG90" s="9">
        <v>5.1385999</v>
      </c>
      <c r="AH90" s="6">
        <v>0.33061001000000001</v>
      </c>
      <c r="AI90" s="7"/>
      <c r="AJ90" s="8"/>
      <c r="AK90" s="9">
        <v>0.33634998999999999</v>
      </c>
      <c r="AL90" s="3">
        <f>IF(ISNUMBER(BurstIgor14[[#This Row],[BurstNum_spont]]), IF(ISNUMBER(SpontLength_min), BurstIgor14[[#This Row],[BurstNum_spont]]/SpontLength_min*60, "Enter Length"), "Enter Burst Vals")</f>
        <v>548.91891891891896</v>
      </c>
      <c r="AM9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0" s="11" t="str" cm="1">
        <f t="array" ref="AN90">IF(ISNUMBER(BurstIgor14[[#This Row],[BurstNum_temp2]]), IF(ISNUMBER(Temp2_length), BurstIgor14[[#This Row],[BurstNum_temp2]]/Temp2_length*60, "Enter Length"), "Enter Burst Vals")</f>
        <v>Enter Length</v>
      </c>
      <c r="AO90" s="12" t="str" cm="1">
        <f t="array" ref="AO90">IF(ISNUMBER(BurstIgor14[[#This Row],[BurstNum_temp3]]), IF(ISNUMBER(Temp3_length), BurstIgor14[[#This Row],[BurstNum_temp3]]/Temp3_length*60, "Enter Length"), "Enter Burst Vals")</f>
        <v>Enter Length</v>
      </c>
      <c r="AQ90" s="1">
        <v>0.88</v>
      </c>
      <c r="AR90" s="3">
        <v>677</v>
      </c>
      <c r="AS90" s="3">
        <v>1.3653999999999999</v>
      </c>
      <c r="AT90" s="3">
        <v>5.1300001000000002</v>
      </c>
      <c r="AU90" s="3">
        <v>0.14104</v>
      </c>
      <c r="AV90" s="3">
        <v>482</v>
      </c>
      <c r="AW90" s="3">
        <v>0.10041</v>
      </c>
      <c r="AX90" s="3">
        <v>0.82393998000000002</v>
      </c>
      <c r="AY90" s="3">
        <v>2.9865998999999999</v>
      </c>
      <c r="AZ90" s="3">
        <v>0.33061001000000001</v>
      </c>
      <c r="BA90" s="3">
        <v>548.91891891891896</v>
      </c>
      <c r="BC90" s="1">
        <v>0.88</v>
      </c>
      <c r="BD90" s="10">
        <v>0</v>
      </c>
      <c r="BE90" s="10">
        <v>0</v>
      </c>
      <c r="BF90" s="10">
        <v>0</v>
      </c>
      <c r="BG90" s="10">
        <v>0</v>
      </c>
      <c r="BH90" s="10">
        <v>2</v>
      </c>
      <c r="BI90" s="10">
        <v>4.1666001000000003E-4</v>
      </c>
      <c r="BJ90" s="10">
        <v>4.1666001000000003E-4</v>
      </c>
      <c r="BK90" s="10">
        <v>41.289000999999999</v>
      </c>
      <c r="BL90" s="10">
        <v>0</v>
      </c>
      <c r="BM90" s="10" t="str">
        <v>NA</v>
      </c>
      <c r="BO90" s="1">
        <v>0.88</v>
      </c>
      <c r="BP90" s="11">
        <v>0</v>
      </c>
      <c r="BQ90" s="11">
        <v>0</v>
      </c>
      <c r="BR90" s="11">
        <v>0</v>
      </c>
      <c r="BS90" s="11">
        <v>0</v>
      </c>
      <c r="BT90" s="11">
        <v>2</v>
      </c>
      <c r="BU90" s="11">
        <v>4.1666001000000003E-4</v>
      </c>
      <c r="BV90" s="11">
        <v>4.1666001000000003E-4</v>
      </c>
      <c r="BW90" s="11">
        <v>41.289000999999999</v>
      </c>
      <c r="BX90" s="11">
        <v>0</v>
      </c>
      <c r="BY90" s="11" t="str">
        <v>Enter Length</v>
      </c>
    </row>
    <row r="91" spans="1:77" x14ac:dyDescent="0.2">
      <c r="A91" s="1">
        <v>0.89</v>
      </c>
      <c r="B91" s="6">
        <v>674</v>
      </c>
      <c r="C91" s="7">
        <v>0</v>
      </c>
      <c r="D91" s="8">
        <v>0</v>
      </c>
      <c r="E91" s="9">
        <v>69</v>
      </c>
      <c r="F91" s="6">
        <v>1.3858999999999999</v>
      </c>
      <c r="G91" s="7"/>
      <c r="H91" s="8"/>
      <c r="I91" s="9">
        <v>0.80431998000000005</v>
      </c>
      <c r="J91" s="6">
        <v>5.1646999999999998</v>
      </c>
      <c r="K91" s="7">
        <v>0</v>
      </c>
      <c r="L91" s="8">
        <v>0</v>
      </c>
      <c r="M91" s="9">
        <v>3.3913000000000002</v>
      </c>
      <c r="N91" s="6">
        <v>0.14041001</v>
      </c>
      <c r="O91" s="7"/>
      <c r="P91" s="8"/>
      <c r="Q91" s="9">
        <v>1.4375000000000001E-2</v>
      </c>
      <c r="R91" s="6">
        <v>474</v>
      </c>
      <c r="S91" s="7">
        <v>2</v>
      </c>
      <c r="T91" s="8">
        <v>2</v>
      </c>
      <c r="U91" s="9">
        <v>86</v>
      </c>
      <c r="V91" s="6">
        <v>9.8747998000000003E-2</v>
      </c>
      <c r="W91" s="7">
        <v>4.1666001000000003E-4</v>
      </c>
      <c r="X91" s="8">
        <v>4.1666001000000003E-4</v>
      </c>
      <c r="Y91" s="9">
        <v>1.7916000000000001E-2</v>
      </c>
      <c r="Z91" s="6">
        <v>0.82393998000000002</v>
      </c>
      <c r="AA91" s="7">
        <v>4.1666001000000003E-4</v>
      </c>
      <c r="AB91" s="8">
        <v>4.1666001000000003E-4</v>
      </c>
      <c r="AC91" s="9">
        <v>6.6665001000000002E-2</v>
      </c>
      <c r="AD91" s="6">
        <v>3.0066999999999999</v>
      </c>
      <c r="AE91" s="7">
        <v>41.289000999999999</v>
      </c>
      <c r="AF91" s="8">
        <v>41.289000999999999</v>
      </c>
      <c r="AG91" s="9">
        <v>5.1385999</v>
      </c>
      <c r="AH91" s="6">
        <v>0.33278000000000002</v>
      </c>
      <c r="AI91" s="7"/>
      <c r="AJ91" s="8"/>
      <c r="AK91" s="9">
        <v>0.33634998999999999</v>
      </c>
      <c r="AL91" s="3">
        <f>IF(ISNUMBER(BurstIgor14[[#This Row],[BurstNum_spont]]), IF(ISNUMBER(SpontLength_min), BurstIgor14[[#This Row],[BurstNum_spont]]/SpontLength_min*60, "Enter Length"), "Enter Burst Vals")</f>
        <v>546.48648648648657</v>
      </c>
      <c r="AM9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1" s="11" t="str" cm="1">
        <f t="array" ref="AN91">IF(ISNUMBER(BurstIgor14[[#This Row],[BurstNum_temp2]]), IF(ISNUMBER(Temp2_length), BurstIgor14[[#This Row],[BurstNum_temp2]]/Temp2_length*60, "Enter Length"), "Enter Burst Vals")</f>
        <v>Enter Length</v>
      </c>
      <c r="AO91" s="12" t="str" cm="1">
        <f t="array" ref="AO91">IF(ISNUMBER(BurstIgor14[[#This Row],[BurstNum_temp3]]), IF(ISNUMBER(Temp3_length), BurstIgor14[[#This Row],[BurstNum_temp3]]/Temp3_length*60, "Enter Length"), "Enter Burst Vals")</f>
        <v>Enter Length</v>
      </c>
      <c r="AQ91" s="1">
        <v>0.89</v>
      </c>
      <c r="AR91" s="3">
        <v>674</v>
      </c>
      <c r="AS91" s="3">
        <v>1.3858999999999999</v>
      </c>
      <c r="AT91" s="3">
        <v>5.1646999999999998</v>
      </c>
      <c r="AU91" s="3">
        <v>0.14041001</v>
      </c>
      <c r="AV91" s="3">
        <v>474</v>
      </c>
      <c r="AW91" s="3">
        <v>9.8747998000000003E-2</v>
      </c>
      <c r="AX91" s="3">
        <v>0.82393998000000002</v>
      </c>
      <c r="AY91" s="3">
        <v>3.0066999999999999</v>
      </c>
      <c r="AZ91" s="3">
        <v>0.33278000000000002</v>
      </c>
      <c r="BA91" s="3">
        <v>546.48648648648657</v>
      </c>
      <c r="BC91" s="1">
        <v>0.89</v>
      </c>
      <c r="BD91" s="10">
        <v>0</v>
      </c>
      <c r="BE91" s="10">
        <v>0</v>
      </c>
      <c r="BF91" s="10">
        <v>0</v>
      </c>
      <c r="BG91" s="10">
        <v>0</v>
      </c>
      <c r="BH91" s="10">
        <v>2</v>
      </c>
      <c r="BI91" s="10">
        <v>4.1666001000000003E-4</v>
      </c>
      <c r="BJ91" s="10">
        <v>4.1666001000000003E-4</v>
      </c>
      <c r="BK91" s="10">
        <v>41.289000999999999</v>
      </c>
      <c r="BL91" s="10">
        <v>0</v>
      </c>
      <c r="BM91" s="10" t="str">
        <v>NA</v>
      </c>
      <c r="BO91" s="1">
        <v>0.89</v>
      </c>
      <c r="BP91" s="11">
        <v>0</v>
      </c>
      <c r="BQ91" s="11">
        <v>0</v>
      </c>
      <c r="BR91" s="11">
        <v>0</v>
      </c>
      <c r="BS91" s="11">
        <v>0</v>
      </c>
      <c r="BT91" s="11">
        <v>2</v>
      </c>
      <c r="BU91" s="11">
        <v>4.1666001000000003E-4</v>
      </c>
      <c r="BV91" s="11">
        <v>4.1666001000000003E-4</v>
      </c>
      <c r="BW91" s="11">
        <v>41.289000999999999</v>
      </c>
      <c r="BX91" s="11">
        <v>0</v>
      </c>
      <c r="BY91" s="11" t="str">
        <v>Enter Length</v>
      </c>
    </row>
    <row r="92" spans="1:77" x14ac:dyDescent="0.2">
      <c r="A92" s="1">
        <v>0.9</v>
      </c>
      <c r="B92" s="6">
        <v>672</v>
      </c>
      <c r="C92" s="7">
        <v>0</v>
      </c>
      <c r="D92" s="8">
        <v>0</v>
      </c>
      <c r="E92" s="9">
        <v>69</v>
      </c>
      <c r="F92" s="6">
        <v>1.4033998999999999</v>
      </c>
      <c r="G92" s="7"/>
      <c r="H92" s="8"/>
      <c r="I92" s="9">
        <v>0.81729001000000001</v>
      </c>
      <c r="J92" s="6">
        <v>5.1919998999999999</v>
      </c>
      <c r="K92" s="7">
        <v>0</v>
      </c>
      <c r="L92" s="8">
        <v>0</v>
      </c>
      <c r="M92" s="9">
        <v>3.4058001</v>
      </c>
      <c r="N92" s="6">
        <v>0.14000000000000001</v>
      </c>
      <c r="O92" s="7"/>
      <c r="P92" s="8"/>
      <c r="Q92" s="9">
        <v>1.4375000000000001E-2</v>
      </c>
      <c r="R92" s="6">
        <v>466</v>
      </c>
      <c r="S92" s="7">
        <v>2</v>
      </c>
      <c r="T92" s="8">
        <v>2</v>
      </c>
      <c r="U92" s="9">
        <v>85</v>
      </c>
      <c r="V92" s="6">
        <v>9.7080998000000002E-2</v>
      </c>
      <c r="W92" s="7">
        <v>4.1666001000000003E-4</v>
      </c>
      <c r="X92" s="8">
        <v>4.1666001000000003E-4</v>
      </c>
      <c r="Y92" s="9">
        <v>1.7708000000000002E-2</v>
      </c>
      <c r="Z92" s="6">
        <v>0.82393998000000002</v>
      </c>
      <c r="AA92" s="7">
        <v>4.1666001000000003E-4</v>
      </c>
      <c r="AB92" s="8">
        <v>4.1666001000000003E-4</v>
      </c>
      <c r="AC92" s="9">
        <v>6.6665001000000002E-2</v>
      </c>
      <c r="AD92" s="6">
        <v>3.0253000000000001</v>
      </c>
      <c r="AE92" s="7">
        <v>41.289000999999999</v>
      </c>
      <c r="AF92" s="8">
        <v>41.289000999999999</v>
      </c>
      <c r="AG92" s="9">
        <v>5.1664000000000003</v>
      </c>
      <c r="AH92" s="6">
        <v>0.33478001000000002</v>
      </c>
      <c r="AI92" s="7"/>
      <c r="AJ92" s="8"/>
      <c r="AK92" s="9">
        <v>0.33972001000000002</v>
      </c>
      <c r="AL92" s="3">
        <f>IF(ISNUMBER(BurstIgor14[[#This Row],[BurstNum_spont]]), IF(ISNUMBER(SpontLength_min), BurstIgor14[[#This Row],[BurstNum_spont]]/SpontLength_min*60, "Enter Length"), "Enter Burst Vals")</f>
        <v>544.86486486486478</v>
      </c>
      <c r="AM9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2" s="11" t="str" cm="1">
        <f t="array" ref="AN92">IF(ISNUMBER(BurstIgor14[[#This Row],[BurstNum_temp2]]), IF(ISNUMBER(Temp2_length), BurstIgor14[[#This Row],[BurstNum_temp2]]/Temp2_length*60, "Enter Length"), "Enter Burst Vals")</f>
        <v>Enter Length</v>
      </c>
      <c r="AO92" s="12" t="str" cm="1">
        <f t="array" ref="AO92">IF(ISNUMBER(BurstIgor14[[#This Row],[BurstNum_temp3]]), IF(ISNUMBER(Temp3_length), BurstIgor14[[#This Row],[BurstNum_temp3]]/Temp3_length*60, "Enter Length"), "Enter Burst Vals")</f>
        <v>Enter Length</v>
      </c>
      <c r="AQ92" s="1">
        <v>0.9</v>
      </c>
      <c r="AR92" s="3">
        <v>672</v>
      </c>
      <c r="AS92" s="3">
        <v>1.4033998999999999</v>
      </c>
      <c r="AT92" s="3">
        <v>5.1919998999999999</v>
      </c>
      <c r="AU92" s="3">
        <v>0.14000000000000001</v>
      </c>
      <c r="AV92" s="3">
        <v>466</v>
      </c>
      <c r="AW92" s="3">
        <v>9.7080998000000002E-2</v>
      </c>
      <c r="AX92" s="3">
        <v>0.82393998000000002</v>
      </c>
      <c r="AY92" s="3">
        <v>3.0253000000000001</v>
      </c>
      <c r="AZ92" s="3">
        <v>0.33478001000000002</v>
      </c>
      <c r="BA92" s="3">
        <v>544.86486486486478</v>
      </c>
      <c r="BC92" s="1">
        <v>0.9</v>
      </c>
      <c r="BD92" s="10">
        <v>0</v>
      </c>
      <c r="BE92" s="10">
        <v>0</v>
      </c>
      <c r="BF92" s="10">
        <v>0</v>
      </c>
      <c r="BG92" s="10">
        <v>0</v>
      </c>
      <c r="BH92" s="10">
        <v>2</v>
      </c>
      <c r="BI92" s="10">
        <v>4.1666001000000003E-4</v>
      </c>
      <c r="BJ92" s="10">
        <v>4.1666001000000003E-4</v>
      </c>
      <c r="BK92" s="10">
        <v>41.289000999999999</v>
      </c>
      <c r="BL92" s="10">
        <v>0</v>
      </c>
      <c r="BM92" s="10" t="str">
        <v>NA</v>
      </c>
      <c r="BO92" s="1">
        <v>0.9</v>
      </c>
      <c r="BP92" s="11">
        <v>0</v>
      </c>
      <c r="BQ92" s="11">
        <v>0</v>
      </c>
      <c r="BR92" s="11">
        <v>0</v>
      </c>
      <c r="BS92" s="11">
        <v>0</v>
      </c>
      <c r="BT92" s="11">
        <v>2</v>
      </c>
      <c r="BU92" s="11">
        <v>4.1666001000000003E-4</v>
      </c>
      <c r="BV92" s="11">
        <v>4.1666001000000003E-4</v>
      </c>
      <c r="BW92" s="11">
        <v>41.289000999999999</v>
      </c>
      <c r="BX92" s="11">
        <v>0</v>
      </c>
      <c r="BY92" s="11" t="str">
        <v>Enter Length</v>
      </c>
    </row>
    <row r="93" spans="1:77" x14ac:dyDescent="0.2">
      <c r="A93" s="1">
        <v>0.91</v>
      </c>
      <c r="B93" s="6">
        <v>667</v>
      </c>
      <c r="C93" s="7">
        <v>0</v>
      </c>
      <c r="D93" s="8">
        <v>0</v>
      </c>
      <c r="E93" s="9">
        <v>68</v>
      </c>
      <c r="F93" s="6">
        <v>1.4370000000000001</v>
      </c>
      <c r="G93" s="7"/>
      <c r="H93" s="8"/>
      <c r="I93" s="9">
        <v>0.84266001000000001</v>
      </c>
      <c r="J93" s="6">
        <v>5.2488998999999996</v>
      </c>
      <c r="K93" s="7">
        <v>0</v>
      </c>
      <c r="L93" s="8">
        <v>0</v>
      </c>
      <c r="M93" s="9">
        <v>3.4559000000000002</v>
      </c>
      <c r="N93" s="6">
        <v>0.13896</v>
      </c>
      <c r="O93" s="7"/>
      <c r="P93" s="8"/>
      <c r="Q93" s="9">
        <v>1.4166E-2</v>
      </c>
      <c r="R93" s="6">
        <v>454</v>
      </c>
      <c r="S93" s="7">
        <v>2</v>
      </c>
      <c r="T93" s="8">
        <v>2</v>
      </c>
      <c r="U93" s="9">
        <v>85</v>
      </c>
      <c r="V93" s="6">
        <v>9.4581000999999998E-2</v>
      </c>
      <c r="W93" s="7">
        <v>4.1666001000000003E-4</v>
      </c>
      <c r="X93" s="8">
        <v>4.1666001000000003E-4</v>
      </c>
      <c r="Y93" s="9">
        <v>1.7708000000000002E-2</v>
      </c>
      <c r="Z93" s="6">
        <v>0.82393998000000002</v>
      </c>
      <c r="AA93" s="7">
        <v>4.1666001000000003E-4</v>
      </c>
      <c r="AB93" s="8">
        <v>4.1666001000000003E-4</v>
      </c>
      <c r="AC93" s="9">
        <v>6.6665001000000002E-2</v>
      </c>
      <c r="AD93" s="6">
        <v>3.0574998999999998</v>
      </c>
      <c r="AE93" s="7">
        <v>41.289000999999999</v>
      </c>
      <c r="AF93" s="8">
        <v>41.289000999999999</v>
      </c>
      <c r="AG93" s="9">
        <v>5.1943998000000002</v>
      </c>
      <c r="AH93" s="6">
        <v>0.3382</v>
      </c>
      <c r="AI93" s="7"/>
      <c r="AJ93" s="8"/>
      <c r="AK93" s="9">
        <v>0.34312000999999998</v>
      </c>
      <c r="AL93" s="3">
        <f>IF(ISNUMBER(BurstIgor14[[#This Row],[BurstNum_spont]]), IF(ISNUMBER(SpontLength_min), BurstIgor14[[#This Row],[BurstNum_spont]]/SpontLength_min*60, "Enter Length"), "Enter Burst Vals")</f>
        <v>540.81081081081084</v>
      </c>
      <c r="AM93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3" s="11" t="str" cm="1">
        <f t="array" ref="AN93">IF(ISNUMBER(BurstIgor14[[#This Row],[BurstNum_temp2]]), IF(ISNUMBER(Temp2_length), BurstIgor14[[#This Row],[BurstNum_temp2]]/Temp2_length*60, "Enter Length"), "Enter Burst Vals")</f>
        <v>Enter Length</v>
      </c>
      <c r="AO93" s="12" t="str" cm="1">
        <f t="array" ref="AO93">IF(ISNUMBER(BurstIgor14[[#This Row],[BurstNum_temp3]]), IF(ISNUMBER(Temp3_length), BurstIgor14[[#This Row],[BurstNum_temp3]]/Temp3_length*60, "Enter Length"), "Enter Burst Vals")</f>
        <v>Enter Length</v>
      </c>
      <c r="AQ93" s="1">
        <v>0.91</v>
      </c>
      <c r="AR93" s="3">
        <v>667</v>
      </c>
      <c r="AS93" s="3">
        <v>1.4370000000000001</v>
      </c>
      <c r="AT93" s="3">
        <v>5.2488998999999996</v>
      </c>
      <c r="AU93" s="3">
        <v>0.13896</v>
      </c>
      <c r="AV93" s="3">
        <v>454</v>
      </c>
      <c r="AW93" s="3">
        <v>9.4581000999999998E-2</v>
      </c>
      <c r="AX93" s="3">
        <v>0.82393998000000002</v>
      </c>
      <c r="AY93" s="3">
        <v>3.0574998999999998</v>
      </c>
      <c r="AZ93" s="3">
        <v>0.3382</v>
      </c>
      <c r="BA93" s="3">
        <v>540.81081081081084</v>
      </c>
      <c r="BC93" s="1">
        <v>0.91</v>
      </c>
      <c r="BD93" s="10">
        <v>0</v>
      </c>
      <c r="BE93" s="10">
        <v>0</v>
      </c>
      <c r="BF93" s="10">
        <v>0</v>
      </c>
      <c r="BG93" s="10">
        <v>0</v>
      </c>
      <c r="BH93" s="10">
        <v>2</v>
      </c>
      <c r="BI93" s="10">
        <v>4.1666001000000003E-4</v>
      </c>
      <c r="BJ93" s="10">
        <v>4.1666001000000003E-4</v>
      </c>
      <c r="BK93" s="10">
        <v>41.289000999999999</v>
      </c>
      <c r="BL93" s="10">
        <v>0</v>
      </c>
      <c r="BM93" s="10" t="str">
        <v>NA</v>
      </c>
      <c r="BO93" s="1">
        <v>0.91</v>
      </c>
      <c r="BP93" s="11">
        <v>0</v>
      </c>
      <c r="BQ93" s="11">
        <v>0</v>
      </c>
      <c r="BR93" s="11">
        <v>0</v>
      </c>
      <c r="BS93" s="11">
        <v>0</v>
      </c>
      <c r="BT93" s="11">
        <v>2</v>
      </c>
      <c r="BU93" s="11">
        <v>4.1666001000000003E-4</v>
      </c>
      <c r="BV93" s="11">
        <v>4.1666001000000003E-4</v>
      </c>
      <c r="BW93" s="11">
        <v>41.289000999999999</v>
      </c>
      <c r="BX93" s="11">
        <v>0</v>
      </c>
      <c r="BY93" s="11" t="str">
        <v>Enter Length</v>
      </c>
    </row>
    <row r="94" spans="1:77" x14ac:dyDescent="0.2">
      <c r="A94" s="1">
        <v>0.92</v>
      </c>
      <c r="B94" s="6">
        <v>664</v>
      </c>
      <c r="C94" s="7">
        <v>0</v>
      </c>
      <c r="D94" s="8">
        <v>0</v>
      </c>
      <c r="E94" s="9">
        <v>68</v>
      </c>
      <c r="F94" s="6">
        <v>1.4641999999999999</v>
      </c>
      <c r="G94" s="7"/>
      <c r="H94" s="8"/>
      <c r="I94" s="9">
        <v>0.84266001000000001</v>
      </c>
      <c r="J94" s="6">
        <v>5.2907000000000002</v>
      </c>
      <c r="K94" s="7">
        <v>0</v>
      </c>
      <c r="L94" s="8">
        <v>0</v>
      </c>
      <c r="M94" s="9">
        <v>3.4559000000000002</v>
      </c>
      <c r="N94" s="6">
        <v>0.13833000000000001</v>
      </c>
      <c r="O94" s="7"/>
      <c r="P94" s="8"/>
      <c r="Q94" s="9">
        <v>1.4166E-2</v>
      </c>
      <c r="R94" s="6">
        <v>442</v>
      </c>
      <c r="S94" s="7">
        <v>2</v>
      </c>
      <c r="T94" s="8">
        <v>2</v>
      </c>
      <c r="U94" s="9">
        <v>85</v>
      </c>
      <c r="V94" s="6">
        <v>9.2081002999999995E-2</v>
      </c>
      <c r="W94" s="7">
        <v>4.1666001000000003E-4</v>
      </c>
      <c r="X94" s="8">
        <v>4.1666001000000003E-4</v>
      </c>
      <c r="Y94" s="9">
        <v>1.7708000000000002E-2</v>
      </c>
      <c r="Z94" s="6">
        <v>0.82393998000000002</v>
      </c>
      <c r="AA94" s="7">
        <v>4.1666001000000003E-4</v>
      </c>
      <c r="AB94" s="8">
        <v>4.1666001000000003E-4</v>
      </c>
      <c r="AC94" s="9">
        <v>6.6665001000000002E-2</v>
      </c>
      <c r="AD94" s="6">
        <v>3.0864999000000002</v>
      </c>
      <c r="AE94" s="7">
        <v>41.289000999999999</v>
      </c>
      <c r="AF94" s="8">
        <v>41.289000999999999</v>
      </c>
      <c r="AG94" s="9">
        <v>5.1943998000000002</v>
      </c>
      <c r="AH94" s="6">
        <v>0.34125</v>
      </c>
      <c r="AI94" s="7"/>
      <c r="AJ94" s="8"/>
      <c r="AK94" s="9">
        <v>0.34312000999999998</v>
      </c>
      <c r="AL94" s="3">
        <f>IF(ISNUMBER(BurstIgor14[[#This Row],[BurstNum_spont]]), IF(ISNUMBER(SpontLength_min), BurstIgor14[[#This Row],[BurstNum_spont]]/SpontLength_min*60, "Enter Length"), "Enter Burst Vals")</f>
        <v>538.37837837837844</v>
      </c>
      <c r="AM94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4" s="11" t="str" cm="1">
        <f t="array" ref="AN94">IF(ISNUMBER(BurstIgor14[[#This Row],[BurstNum_temp2]]), IF(ISNUMBER(Temp2_length), BurstIgor14[[#This Row],[BurstNum_temp2]]/Temp2_length*60, "Enter Length"), "Enter Burst Vals")</f>
        <v>Enter Length</v>
      </c>
      <c r="AO94" s="12" t="str" cm="1">
        <f t="array" ref="AO94">IF(ISNUMBER(BurstIgor14[[#This Row],[BurstNum_temp3]]), IF(ISNUMBER(Temp3_length), BurstIgor14[[#This Row],[BurstNum_temp3]]/Temp3_length*60, "Enter Length"), "Enter Burst Vals")</f>
        <v>Enter Length</v>
      </c>
      <c r="AQ94" s="1">
        <v>0.92</v>
      </c>
      <c r="AR94" s="3">
        <v>664</v>
      </c>
      <c r="AS94" s="3">
        <v>1.4641999999999999</v>
      </c>
      <c r="AT94" s="3">
        <v>5.2907000000000002</v>
      </c>
      <c r="AU94" s="3">
        <v>0.13833000000000001</v>
      </c>
      <c r="AV94" s="3">
        <v>442</v>
      </c>
      <c r="AW94" s="3">
        <v>9.2081002999999995E-2</v>
      </c>
      <c r="AX94" s="3">
        <v>0.82393998000000002</v>
      </c>
      <c r="AY94" s="3">
        <v>3.0864999000000002</v>
      </c>
      <c r="AZ94" s="3">
        <v>0.34125</v>
      </c>
      <c r="BA94" s="3">
        <v>538.37837837837844</v>
      </c>
      <c r="BC94" s="1">
        <v>0.92</v>
      </c>
      <c r="BD94" s="10">
        <v>0</v>
      </c>
      <c r="BE94" s="10">
        <v>0</v>
      </c>
      <c r="BF94" s="10">
        <v>0</v>
      </c>
      <c r="BG94" s="10">
        <v>0</v>
      </c>
      <c r="BH94" s="10">
        <v>2</v>
      </c>
      <c r="BI94" s="10">
        <v>4.1666001000000003E-4</v>
      </c>
      <c r="BJ94" s="10">
        <v>4.1666001000000003E-4</v>
      </c>
      <c r="BK94" s="10">
        <v>41.289000999999999</v>
      </c>
      <c r="BL94" s="10">
        <v>0</v>
      </c>
      <c r="BM94" s="10" t="str">
        <v>NA</v>
      </c>
      <c r="BO94" s="1">
        <v>0.92</v>
      </c>
      <c r="BP94" s="11">
        <v>0</v>
      </c>
      <c r="BQ94" s="11">
        <v>0</v>
      </c>
      <c r="BR94" s="11">
        <v>0</v>
      </c>
      <c r="BS94" s="11">
        <v>0</v>
      </c>
      <c r="BT94" s="11">
        <v>2</v>
      </c>
      <c r="BU94" s="11">
        <v>4.1666001000000003E-4</v>
      </c>
      <c r="BV94" s="11">
        <v>4.1666001000000003E-4</v>
      </c>
      <c r="BW94" s="11">
        <v>41.289000999999999</v>
      </c>
      <c r="BX94" s="11">
        <v>0</v>
      </c>
      <c r="BY94" s="11" t="str">
        <v>Enter Length</v>
      </c>
    </row>
    <row r="95" spans="1:77" x14ac:dyDescent="0.2">
      <c r="A95" s="1">
        <v>0.93</v>
      </c>
      <c r="B95" s="6">
        <v>659</v>
      </c>
      <c r="C95" s="7">
        <v>0</v>
      </c>
      <c r="D95" s="8">
        <v>0</v>
      </c>
      <c r="E95" s="9">
        <v>68</v>
      </c>
      <c r="F95" s="6">
        <v>1.4948999999999999</v>
      </c>
      <c r="G95" s="7"/>
      <c r="H95" s="8"/>
      <c r="I95" s="9">
        <v>0.86982000000000004</v>
      </c>
      <c r="J95" s="6">
        <v>5.3445001000000003</v>
      </c>
      <c r="K95" s="7">
        <v>0</v>
      </c>
      <c r="L95" s="8">
        <v>0</v>
      </c>
      <c r="M95" s="9">
        <v>3.4853000999999999</v>
      </c>
      <c r="N95" s="6">
        <v>0.13729</v>
      </c>
      <c r="O95" s="7"/>
      <c r="P95" s="8"/>
      <c r="Q95" s="9">
        <v>1.4166E-2</v>
      </c>
      <c r="R95" s="6">
        <v>433</v>
      </c>
      <c r="S95" s="7">
        <v>2</v>
      </c>
      <c r="T95" s="8">
        <v>2</v>
      </c>
      <c r="U95" s="9">
        <v>83</v>
      </c>
      <c r="V95" s="6">
        <v>9.0205996999999996E-2</v>
      </c>
      <c r="W95" s="7">
        <v>4.1666001000000003E-4</v>
      </c>
      <c r="X95" s="8">
        <v>4.1666001000000003E-4</v>
      </c>
      <c r="Y95" s="9">
        <v>1.7291000000000001E-2</v>
      </c>
      <c r="Z95" s="6">
        <v>0.82393998000000002</v>
      </c>
      <c r="AA95" s="7">
        <v>4.1666001000000003E-4</v>
      </c>
      <c r="AB95" s="8">
        <v>4.1666001000000003E-4</v>
      </c>
      <c r="AC95" s="9">
        <v>6.6665001000000002E-2</v>
      </c>
      <c r="AD95" s="6">
        <v>3.1143000000000001</v>
      </c>
      <c r="AE95" s="7">
        <v>41.289000999999999</v>
      </c>
      <c r="AF95" s="8">
        <v>41.289000999999999</v>
      </c>
      <c r="AG95" s="9">
        <v>5.2512999000000002</v>
      </c>
      <c r="AH95" s="6">
        <v>0.34409001</v>
      </c>
      <c r="AI95" s="7"/>
      <c r="AJ95" s="8"/>
      <c r="AK95" s="9">
        <v>0.34999001000000002</v>
      </c>
      <c r="AL95" s="3">
        <f>IF(ISNUMBER(BurstIgor14[[#This Row],[BurstNum_spont]]), IF(ISNUMBER(SpontLength_min), BurstIgor14[[#This Row],[BurstNum_spont]]/SpontLength_min*60, "Enter Length"), "Enter Burst Vals")</f>
        <v>534.32432432432427</v>
      </c>
      <c r="AM95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5" s="11" t="str" cm="1">
        <f t="array" ref="AN95">IF(ISNUMBER(BurstIgor14[[#This Row],[BurstNum_temp2]]), IF(ISNUMBER(Temp2_length), BurstIgor14[[#This Row],[BurstNum_temp2]]/Temp2_length*60, "Enter Length"), "Enter Burst Vals")</f>
        <v>Enter Length</v>
      </c>
      <c r="AO95" s="12" t="str" cm="1">
        <f t="array" ref="AO95">IF(ISNUMBER(BurstIgor14[[#This Row],[BurstNum_temp3]]), IF(ISNUMBER(Temp3_length), BurstIgor14[[#This Row],[BurstNum_temp3]]/Temp3_length*60, "Enter Length"), "Enter Burst Vals")</f>
        <v>Enter Length</v>
      </c>
      <c r="AQ95" s="1">
        <v>0.93</v>
      </c>
      <c r="AR95" s="3">
        <v>659</v>
      </c>
      <c r="AS95" s="3">
        <v>1.4948999999999999</v>
      </c>
      <c r="AT95" s="3">
        <v>5.3445001000000003</v>
      </c>
      <c r="AU95" s="3">
        <v>0.13729</v>
      </c>
      <c r="AV95" s="3">
        <v>433</v>
      </c>
      <c r="AW95" s="3">
        <v>9.0205996999999996E-2</v>
      </c>
      <c r="AX95" s="3">
        <v>0.82393998000000002</v>
      </c>
      <c r="AY95" s="3">
        <v>3.1143000000000001</v>
      </c>
      <c r="AZ95" s="3">
        <v>0.34409001</v>
      </c>
      <c r="BA95" s="3">
        <v>534.32432432432427</v>
      </c>
      <c r="BC95" s="1">
        <v>0.93</v>
      </c>
      <c r="BD95" s="10">
        <v>0</v>
      </c>
      <c r="BE95" s="10">
        <v>0</v>
      </c>
      <c r="BF95" s="10">
        <v>0</v>
      </c>
      <c r="BG95" s="10">
        <v>0</v>
      </c>
      <c r="BH95" s="10">
        <v>2</v>
      </c>
      <c r="BI95" s="10">
        <v>4.1666001000000003E-4</v>
      </c>
      <c r="BJ95" s="10">
        <v>4.1666001000000003E-4</v>
      </c>
      <c r="BK95" s="10">
        <v>41.289000999999999</v>
      </c>
      <c r="BL95" s="10">
        <v>0</v>
      </c>
      <c r="BM95" s="10" t="str">
        <v>NA</v>
      </c>
      <c r="BO95" s="1">
        <v>0.93</v>
      </c>
      <c r="BP95" s="11">
        <v>0</v>
      </c>
      <c r="BQ95" s="11">
        <v>0</v>
      </c>
      <c r="BR95" s="11">
        <v>0</v>
      </c>
      <c r="BS95" s="11">
        <v>0</v>
      </c>
      <c r="BT95" s="11">
        <v>2</v>
      </c>
      <c r="BU95" s="11">
        <v>4.1666001000000003E-4</v>
      </c>
      <c r="BV95" s="11">
        <v>4.1666001000000003E-4</v>
      </c>
      <c r="BW95" s="11">
        <v>41.289000999999999</v>
      </c>
      <c r="BX95" s="11">
        <v>0</v>
      </c>
      <c r="BY95" s="11" t="str">
        <v>Enter Length</v>
      </c>
    </row>
    <row r="96" spans="1:77" x14ac:dyDescent="0.2">
      <c r="A96" s="1">
        <v>0.94</v>
      </c>
      <c r="B96" s="6">
        <v>653</v>
      </c>
      <c r="C96" s="7">
        <v>0</v>
      </c>
      <c r="D96" s="8">
        <v>0</v>
      </c>
      <c r="E96" s="9">
        <v>68</v>
      </c>
      <c r="F96" s="6">
        <v>1.5301</v>
      </c>
      <c r="G96" s="7"/>
      <c r="H96" s="8"/>
      <c r="I96" s="9">
        <v>0.86982000000000004</v>
      </c>
      <c r="J96" s="6">
        <v>5.4074001000000003</v>
      </c>
      <c r="K96" s="7">
        <v>0</v>
      </c>
      <c r="L96" s="8">
        <v>0</v>
      </c>
      <c r="M96" s="9">
        <v>3.4853000999999999</v>
      </c>
      <c r="N96" s="6">
        <v>0.13603999999999999</v>
      </c>
      <c r="O96" s="7"/>
      <c r="P96" s="8"/>
      <c r="Q96" s="9">
        <v>1.4166E-2</v>
      </c>
      <c r="R96" s="6">
        <v>424</v>
      </c>
      <c r="S96" s="7">
        <v>2</v>
      </c>
      <c r="T96" s="8">
        <v>2</v>
      </c>
      <c r="U96" s="9">
        <v>83</v>
      </c>
      <c r="V96" s="6">
        <v>8.8330998999999993E-2</v>
      </c>
      <c r="W96" s="7">
        <v>4.1666001000000003E-4</v>
      </c>
      <c r="X96" s="8">
        <v>4.1666001000000003E-4</v>
      </c>
      <c r="Y96" s="9">
        <v>1.7291000000000001E-2</v>
      </c>
      <c r="Z96" s="6">
        <v>0.82393998000000002</v>
      </c>
      <c r="AA96" s="7">
        <v>4.1666001000000003E-4</v>
      </c>
      <c r="AB96" s="8">
        <v>4.1666001000000003E-4</v>
      </c>
      <c r="AC96" s="9">
        <v>6.6665001000000002E-2</v>
      </c>
      <c r="AD96" s="6">
        <v>3.1447001000000001</v>
      </c>
      <c r="AE96" s="7">
        <v>41.289000999999999</v>
      </c>
      <c r="AF96" s="8">
        <v>41.289000999999999</v>
      </c>
      <c r="AG96" s="9">
        <v>5.2512999000000002</v>
      </c>
      <c r="AH96" s="6">
        <v>0.34716999999999998</v>
      </c>
      <c r="AI96" s="7"/>
      <c r="AJ96" s="8"/>
      <c r="AK96" s="9">
        <v>0.34999001000000002</v>
      </c>
      <c r="AL96" s="3">
        <f>IF(ISNUMBER(BurstIgor14[[#This Row],[BurstNum_spont]]), IF(ISNUMBER(SpontLength_min), BurstIgor14[[#This Row],[BurstNum_spont]]/SpontLength_min*60, "Enter Length"), "Enter Burst Vals")</f>
        <v>529.45945945945948</v>
      </c>
      <c r="AM96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6" s="11" t="str" cm="1">
        <f t="array" ref="AN96">IF(ISNUMBER(BurstIgor14[[#This Row],[BurstNum_temp2]]), IF(ISNUMBER(Temp2_length), BurstIgor14[[#This Row],[BurstNum_temp2]]/Temp2_length*60, "Enter Length"), "Enter Burst Vals")</f>
        <v>Enter Length</v>
      </c>
      <c r="AO96" s="12" t="str" cm="1">
        <f t="array" ref="AO96">IF(ISNUMBER(BurstIgor14[[#This Row],[BurstNum_temp3]]), IF(ISNUMBER(Temp3_length), BurstIgor14[[#This Row],[BurstNum_temp3]]/Temp3_length*60, "Enter Length"), "Enter Burst Vals")</f>
        <v>Enter Length</v>
      </c>
      <c r="AQ96" s="1">
        <v>0.94</v>
      </c>
      <c r="AR96" s="3">
        <v>653</v>
      </c>
      <c r="AS96" s="3">
        <v>1.5301</v>
      </c>
      <c r="AT96" s="3">
        <v>5.4074001000000003</v>
      </c>
      <c r="AU96" s="3">
        <v>0.13603999999999999</v>
      </c>
      <c r="AV96" s="3">
        <v>424</v>
      </c>
      <c r="AW96" s="3">
        <v>8.8330998999999993E-2</v>
      </c>
      <c r="AX96" s="3">
        <v>0.82393998000000002</v>
      </c>
      <c r="AY96" s="3">
        <v>3.1447001000000001</v>
      </c>
      <c r="AZ96" s="3">
        <v>0.34716999999999998</v>
      </c>
      <c r="BA96" s="3">
        <v>529.45945945945948</v>
      </c>
      <c r="BC96" s="1">
        <v>0.94</v>
      </c>
      <c r="BD96" s="10">
        <v>0</v>
      </c>
      <c r="BE96" s="10">
        <v>0</v>
      </c>
      <c r="BF96" s="10">
        <v>0</v>
      </c>
      <c r="BG96" s="10">
        <v>0</v>
      </c>
      <c r="BH96" s="10">
        <v>2</v>
      </c>
      <c r="BI96" s="10">
        <v>4.1666001000000003E-4</v>
      </c>
      <c r="BJ96" s="10">
        <v>4.1666001000000003E-4</v>
      </c>
      <c r="BK96" s="10">
        <v>41.289000999999999</v>
      </c>
      <c r="BL96" s="10">
        <v>0</v>
      </c>
      <c r="BM96" s="10" t="str">
        <v>NA</v>
      </c>
      <c r="BO96" s="1">
        <v>0.94</v>
      </c>
      <c r="BP96" s="11">
        <v>0</v>
      </c>
      <c r="BQ96" s="11">
        <v>0</v>
      </c>
      <c r="BR96" s="11">
        <v>0</v>
      </c>
      <c r="BS96" s="11">
        <v>0</v>
      </c>
      <c r="BT96" s="11">
        <v>2</v>
      </c>
      <c r="BU96" s="11">
        <v>4.1666001000000003E-4</v>
      </c>
      <c r="BV96" s="11">
        <v>4.1666001000000003E-4</v>
      </c>
      <c r="BW96" s="11">
        <v>41.289000999999999</v>
      </c>
      <c r="BX96" s="11">
        <v>0</v>
      </c>
      <c r="BY96" s="11" t="str">
        <v>Enter Length</v>
      </c>
    </row>
    <row r="97" spans="1:87" x14ac:dyDescent="0.2">
      <c r="A97" s="1">
        <v>0.95</v>
      </c>
      <c r="B97" s="6">
        <v>647</v>
      </c>
      <c r="C97" s="7">
        <v>0</v>
      </c>
      <c r="D97" s="8">
        <v>0</v>
      </c>
      <c r="E97" s="9">
        <v>69</v>
      </c>
      <c r="F97" s="6">
        <v>1.5632999999999999</v>
      </c>
      <c r="G97" s="7"/>
      <c r="H97" s="8"/>
      <c r="I97" s="9">
        <v>0.87084001</v>
      </c>
      <c r="J97" s="6">
        <v>5.4682998999999999</v>
      </c>
      <c r="K97" s="7">
        <v>0</v>
      </c>
      <c r="L97" s="8">
        <v>0</v>
      </c>
      <c r="M97" s="9">
        <v>3.4638</v>
      </c>
      <c r="N97" s="6">
        <v>0.13478999999999999</v>
      </c>
      <c r="O97" s="7"/>
      <c r="P97" s="8"/>
      <c r="Q97" s="9">
        <v>1.4375000000000001E-2</v>
      </c>
      <c r="R97" s="6">
        <v>417</v>
      </c>
      <c r="S97" s="7">
        <v>2</v>
      </c>
      <c r="T97" s="8">
        <v>2</v>
      </c>
      <c r="U97" s="9">
        <v>81</v>
      </c>
      <c r="V97" s="6">
        <v>8.6873002000000005E-2</v>
      </c>
      <c r="W97" s="7">
        <v>4.1666001000000003E-4</v>
      </c>
      <c r="X97" s="8">
        <v>4.1666001000000003E-4</v>
      </c>
      <c r="Y97" s="9">
        <v>1.6875001000000001E-2</v>
      </c>
      <c r="Z97" s="6">
        <v>0.82393998000000002</v>
      </c>
      <c r="AA97" s="7">
        <v>4.1666001000000003E-4</v>
      </c>
      <c r="AB97" s="8">
        <v>4.1666001000000003E-4</v>
      </c>
      <c r="AC97" s="9">
        <v>6.6665001000000002E-2</v>
      </c>
      <c r="AD97" s="6">
        <v>3.1716001</v>
      </c>
      <c r="AE97" s="7">
        <v>41.289000999999999</v>
      </c>
      <c r="AF97" s="8">
        <v>41.289000999999999</v>
      </c>
      <c r="AG97" s="9">
        <v>5.2801999999999998</v>
      </c>
      <c r="AH97" s="6">
        <v>0.34984999999999999</v>
      </c>
      <c r="AI97" s="7"/>
      <c r="AJ97" s="8"/>
      <c r="AK97" s="9">
        <v>0.35346000999999999</v>
      </c>
      <c r="AL97" s="3">
        <f>IF(ISNUMBER(BurstIgor14[[#This Row],[BurstNum_spont]]), IF(ISNUMBER(SpontLength_min), BurstIgor14[[#This Row],[BurstNum_spont]]/SpontLength_min*60, "Enter Length"), "Enter Burst Vals")</f>
        <v>524.59459459459458</v>
      </c>
      <c r="AM97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7" s="11" t="str" cm="1">
        <f t="array" ref="AN97">IF(ISNUMBER(BurstIgor14[[#This Row],[BurstNum_temp2]]), IF(ISNUMBER(Temp2_length), BurstIgor14[[#This Row],[BurstNum_temp2]]/Temp2_length*60, "Enter Length"), "Enter Burst Vals")</f>
        <v>Enter Length</v>
      </c>
      <c r="AO97" s="12" t="str" cm="1">
        <f t="array" ref="AO97">IF(ISNUMBER(BurstIgor14[[#This Row],[BurstNum_temp3]]), IF(ISNUMBER(Temp3_length), BurstIgor14[[#This Row],[BurstNum_temp3]]/Temp3_length*60, "Enter Length"), "Enter Burst Vals")</f>
        <v>Enter Length</v>
      </c>
      <c r="AQ97" s="1">
        <v>0.95</v>
      </c>
      <c r="AR97" s="3">
        <v>647</v>
      </c>
      <c r="AS97" s="3">
        <v>1.5632999999999999</v>
      </c>
      <c r="AT97" s="3">
        <v>5.4682998999999999</v>
      </c>
      <c r="AU97" s="3">
        <v>0.13478999999999999</v>
      </c>
      <c r="AV97" s="3">
        <v>417</v>
      </c>
      <c r="AW97" s="3">
        <v>8.6873002000000005E-2</v>
      </c>
      <c r="AX97" s="3">
        <v>0.82393998000000002</v>
      </c>
      <c r="AY97" s="3">
        <v>3.1716001</v>
      </c>
      <c r="AZ97" s="3">
        <v>0.34984999999999999</v>
      </c>
      <c r="BA97" s="3">
        <v>524.59459459459458</v>
      </c>
      <c r="BC97" s="1">
        <v>0.95</v>
      </c>
      <c r="BD97" s="10">
        <v>0</v>
      </c>
      <c r="BE97" s="10">
        <v>0</v>
      </c>
      <c r="BF97" s="10">
        <v>0</v>
      </c>
      <c r="BG97" s="10">
        <v>0</v>
      </c>
      <c r="BH97" s="10">
        <v>2</v>
      </c>
      <c r="BI97" s="10">
        <v>4.1666001000000003E-4</v>
      </c>
      <c r="BJ97" s="10">
        <v>4.1666001000000003E-4</v>
      </c>
      <c r="BK97" s="10">
        <v>41.289000999999999</v>
      </c>
      <c r="BL97" s="10">
        <v>0</v>
      </c>
      <c r="BM97" s="10" t="str">
        <v>NA</v>
      </c>
      <c r="BO97" s="1">
        <v>0.95</v>
      </c>
      <c r="BP97" s="11">
        <v>0</v>
      </c>
      <c r="BQ97" s="11">
        <v>0</v>
      </c>
      <c r="BR97" s="11">
        <v>0</v>
      </c>
      <c r="BS97" s="11">
        <v>0</v>
      </c>
      <c r="BT97" s="11">
        <v>2</v>
      </c>
      <c r="BU97" s="11">
        <v>4.1666001000000003E-4</v>
      </c>
      <c r="BV97" s="11">
        <v>4.1666001000000003E-4</v>
      </c>
      <c r="BW97" s="11">
        <v>41.289000999999999</v>
      </c>
      <c r="BX97" s="11">
        <v>0</v>
      </c>
      <c r="BY97" s="11" t="str">
        <v>Enter Length</v>
      </c>
    </row>
    <row r="98" spans="1:87" x14ac:dyDescent="0.2">
      <c r="A98" s="1">
        <v>0.96</v>
      </c>
      <c r="B98" s="6">
        <v>645</v>
      </c>
      <c r="C98" s="7">
        <v>0</v>
      </c>
      <c r="D98" s="8">
        <v>0</v>
      </c>
      <c r="E98" s="9">
        <v>69</v>
      </c>
      <c r="F98" s="6">
        <v>1.5785</v>
      </c>
      <c r="G98" s="7"/>
      <c r="H98" s="8"/>
      <c r="I98" s="9">
        <v>0.87084001</v>
      </c>
      <c r="J98" s="6">
        <v>5.4930000000000003</v>
      </c>
      <c r="K98" s="7">
        <v>0</v>
      </c>
      <c r="L98" s="8">
        <v>0</v>
      </c>
      <c r="M98" s="9">
        <v>3.4638</v>
      </c>
      <c r="N98" s="6">
        <v>0.13436999999999999</v>
      </c>
      <c r="O98" s="7"/>
      <c r="P98" s="8"/>
      <c r="Q98" s="9">
        <v>1.4375000000000001E-2</v>
      </c>
      <c r="R98" s="6">
        <v>412</v>
      </c>
      <c r="S98" s="7">
        <v>2</v>
      </c>
      <c r="T98" s="8">
        <v>2</v>
      </c>
      <c r="U98" s="9">
        <v>81</v>
      </c>
      <c r="V98" s="6">
        <v>8.5832000000000006E-2</v>
      </c>
      <c r="W98" s="7">
        <v>4.1666001000000003E-4</v>
      </c>
      <c r="X98" s="8">
        <v>4.1666001000000003E-4</v>
      </c>
      <c r="Y98" s="9">
        <v>1.6875001000000001E-2</v>
      </c>
      <c r="Z98" s="6">
        <v>0.82393998000000002</v>
      </c>
      <c r="AA98" s="7">
        <v>4.1666001000000003E-4</v>
      </c>
      <c r="AB98" s="8">
        <v>4.1666001000000003E-4</v>
      </c>
      <c r="AC98" s="9">
        <v>6.6665001000000002E-2</v>
      </c>
      <c r="AD98" s="6">
        <v>3.1863000000000001</v>
      </c>
      <c r="AE98" s="7">
        <v>41.289000999999999</v>
      </c>
      <c r="AF98" s="8">
        <v>41.289000999999999</v>
      </c>
      <c r="AG98" s="9">
        <v>5.2801999999999998</v>
      </c>
      <c r="AH98" s="6">
        <v>0.35131001000000001</v>
      </c>
      <c r="AI98" s="7"/>
      <c r="AJ98" s="8"/>
      <c r="AK98" s="9">
        <v>0.35346000999999999</v>
      </c>
      <c r="AL98" s="3">
        <f>IF(ISNUMBER(BurstIgor14[[#This Row],[BurstNum_spont]]), IF(ISNUMBER(SpontLength_min), BurstIgor14[[#This Row],[BurstNum_spont]]/SpontLength_min*60, "Enter Length"), "Enter Burst Vals")</f>
        <v>522.97297297297291</v>
      </c>
      <c r="AM98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8" s="11" t="str" cm="1">
        <f t="array" ref="AN98">IF(ISNUMBER(BurstIgor14[[#This Row],[BurstNum_temp2]]), IF(ISNUMBER(Temp2_length), BurstIgor14[[#This Row],[BurstNum_temp2]]/Temp2_length*60, "Enter Length"), "Enter Burst Vals")</f>
        <v>Enter Length</v>
      </c>
      <c r="AO98" s="12" t="str" cm="1">
        <f t="array" ref="AO98">IF(ISNUMBER(BurstIgor14[[#This Row],[BurstNum_temp3]]), IF(ISNUMBER(Temp3_length), BurstIgor14[[#This Row],[BurstNum_temp3]]/Temp3_length*60, "Enter Length"), "Enter Burst Vals")</f>
        <v>Enter Length</v>
      </c>
      <c r="AQ98" s="1">
        <v>0.96</v>
      </c>
      <c r="AR98" s="3">
        <v>645</v>
      </c>
      <c r="AS98" s="3">
        <v>1.5785</v>
      </c>
      <c r="AT98" s="3">
        <v>5.4930000000000003</v>
      </c>
      <c r="AU98" s="3">
        <v>0.13436999999999999</v>
      </c>
      <c r="AV98" s="3">
        <v>412</v>
      </c>
      <c r="AW98" s="3">
        <v>8.5832000000000006E-2</v>
      </c>
      <c r="AX98" s="3">
        <v>0.82393998000000002</v>
      </c>
      <c r="AY98" s="3">
        <v>3.1863000000000001</v>
      </c>
      <c r="AZ98" s="3">
        <v>0.35131001000000001</v>
      </c>
      <c r="BA98" s="3">
        <v>522.97297297297291</v>
      </c>
      <c r="BC98" s="1">
        <v>0.96</v>
      </c>
      <c r="BD98" s="10">
        <v>0</v>
      </c>
      <c r="BE98" s="10">
        <v>0</v>
      </c>
      <c r="BF98" s="10">
        <v>0</v>
      </c>
      <c r="BG98" s="10">
        <v>0</v>
      </c>
      <c r="BH98" s="10">
        <v>2</v>
      </c>
      <c r="BI98" s="10">
        <v>4.1666001000000003E-4</v>
      </c>
      <c r="BJ98" s="10">
        <v>4.1666001000000003E-4</v>
      </c>
      <c r="BK98" s="10">
        <v>41.289000999999999</v>
      </c>
      <c r="BL98" s="10">
        <v>0</v>
      </c>
      <c r="BM98" s="10" t="str">
        <v>NA</v>
      </c>
      <c r="BO98" s="1">
        <v>0.96</v>
      </c>
      <c r="BP98" s="11">
        <v>0</v>
      </c>
      <c r="BQ98" s="11">
        <v>0</v>
      </c>
      <c r="BR98" s="11">
        <v>0</v>
      </c>
      <c r="BS98" s="11">
        <v>0</v>
      </c>
      <c r="BT98" s="11">
        <v>2</v>
      </c>
      <c r="BU98" s="11">
        <v>4.1666001000000003E-4</v>
      </c>
      <c r="BV98" s="11">
        <v>4.1666001000000003E-4</v>
      </c>
      <c r="BW98" s="11">
        <v>41.289000999999999</v>
      </c>
      <c r="BX98" s="11">
        <v>0</v>
      </c>
      <c r="BY98" s="11" t="str">
        <v>Enter Length</v>
      </c>
    </row>
    <row r="99" spans="1:87" x14ac:dyDescent="0.2">
      <c r="A99" s="1">
        <v>0.97</v>
      </c>
      <c r="B99" s="6">
        <v>640</v>
      </c>
      <c r="C99" s="7">
        <v>0</v>
      </c>
      <c r="D99" s="8">
        <v>0</v>
      </c>
      <c r="E99" s="9">
        <v>69</v>
      </c>
      <c r="F99" s="6">
        <v>1.6059000000000001</v>
      </c>
      <c r="G99" s="7"/>
      <c r="H99" s="8"/>
      <c r="I99" s="9">
        <v>0.87084001</v>
      </c>
      <c r="J99" s="6">
        <v>5.5437998999999998</v>
      </c>
      <c r="K99" s="7">
        <v>0</v>
      </c>
      <c r="L99" s="8">
        <v>0</v>
      </c>
      <c r="M99" s="9">
        <v>3.4638</v>
      </c>
      <c r="N99" s="6">
        <v>0.13333</v>
      </c>
      <c r="O99" s="7"/>
      <c r="P99" s="8"/>
      <c r="Q99" s="9">
        <v>1.4375000000000001E-2</v>
      </c>
      <c r="R99" s="6">
        <v>407</v>
      </c>
      <c r="S99" s="7">
        <v>2</v>
      </c>
      <c r="T99" s="8">
        <v>2</v>
      </c>
      <c r="U99" s="9">
        <v>81</v>
      </c>
      <c r="V99" s="6">
        <v>8.4789999000000005E-2</v>
      </c>
      <c r="W99" s="7">
        <v>4.1666001000000003E-4</v>
      </c>
      <c r="X99" s="8">
        <v>4.1666001000000003E-4</v>
      </c>
      <c r="Y99" s="9">
        <v>1.6875001000000001E-2</v>
      </c>
      <c r="Z99" s="6">
        <v>0.82393998000000002</v>
      </c>
      <c r="AA99" s="7">
        <v>4.1666001000000003E-4</v>
      </c>
      <c r="AB99" s="8">
        <v>4.1666001000000003E-4</v>
      </c>
      <c r="AC99" s="9">
        <v>6.6665001000000002E-2</v>
      </c>
      <c r="AD99" s="6">
        <v>3.2075</v>
      </c>
      <c r="AE99" s="7">
        <v>41.289000999999999</v>
      </c>
      <c r="AF99" s="8">
        <v>41.289000999999999</v>
      </c>
      <c r="AG99" s="9">
        <v>5.2801999999999998</v>
      </c>
      <c r="AH99" s="6">
        <v>0.35341999000000002</v>
      </c>
      <c r="AI99" s="7"/>
      <c r="AJ99" s="8"/>
      <c r="AK99" s="9">
        <v>0.35346000999999999</v>
      </c>
      <c r="AL99" s="3">
        <f>IF(ISNUMBER(BurstIgor14[[#This Row],[BurstNum_spont]]), IF(ISNUMBER(SpontLength_min), BurstIgor14[[#This Row],[BurstNum_spont]]/SpontLength_min*60, "Enter Length"), "Enter Burst Vals")</f>
        <v>518.91891891891896</v>
      </c>
      <c r="AM99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99" s="11" t="str" cm="1">
        <f t="array" ref="AN99">IF(ISNUMBER(BurstIgor14[[#This Row],[BurstNum_temp2]]), IF(ISNUMBER(Temp2_length), BurstIgor14[[#This Row],[BurstNum_temp2]]/Temp2_length*60, "Enter Length"), "Enter Burst Vals")</f>
        <v>Enter Length</v>
      </c>
      <c r="AO99" s="12" t="str" cm="1">
        <f t="array" ref="AO99">IF(ISNUMBER(BurstIgor14[[#This Row],[BurstNum_temp3]]), IF(ISNUMBER(Temp3_length), BurstIgor14[[#This Row],[BurstNum_temp3]]/Temp3_length*60, "Enter Length"), "Enter Burst Vals")</f>
        <v>Enter Length</v>
      </c>
      <c r="AQ99" s="1">
        <v>0.97</v>
      </c>
      <c r="AR99" s="3">
        <v>640</v>
      </c>
      <c r="AS99" s="3">
        <v>1.6059000000000001</v>
      </c>
      <c r="AT99" s="3">
        <v>5.5437998999999998</v>
      </c>
      <c r="AU99" s="3">
        <v>0.13333</v>
      </c>
      <c r="AV99" s="3">
        <v>407</v>
      </c>
      <c r="AW99" s="3">
        <v>8.4789999000000005E-2</v>
      </c>
      <c r="AX99" s="3">
        <v>0.82393998000000002</v>
      </c>
      <c r="AY99" s="3">
        <v>3.2075</v>
      </c>
      <c r="AZ99" s="3">
        <v>0.35341999000000002</v>
      </c>
      <c r="BA99" s="3">
        <v>518.91891891891896</v>
      </c>
      <c r="BC99" s="1">
        <v>0.97</v>
      </c>
      <c r="BD99" s="10">
        <v>0</v>
      </c>
      <c r="BE99" s="10">
        <v>0</v>
      </c>
      <c r="BF99" s="10">
        <v>0</v>
      </c>
      <c r="BG99" s="10">
        <v>0</v>
      </c>
      <c r="BH99" s="10">
        <v>2</v>
      </c>
      <c r="BI99" s="10">
        <v>4.1666001000000003E-4</v>
      </c>
      <c r="BJ99" s="10">
        <v>4.1666001000000003E-4</v>
      </c>
      <c r="BK99" s="10">
        <v>41.289000999999999</v>
      </c>
      <c r="BL99" s="10">
        <v>0</v>
      </c>
      <c r="BM99" s="10" t="str">
        <v>NA</v>
      </c>
      <c r="BO99" s="1">
        <v>0.97</v>
      </c>
      <c r="BP99" s="11">
        <v>0</v>
      </c>
      <c r="BQ99" s="11">
        <v>0</v>
      </c>
      <c r="BR99" s="11">
        <v>0</v>
      </c>
      <c r="BS99" s="11">
        <v>0</v>
      </c>
      <c r="BT99" s="11">
        <v>2</v>
      </c>
      <c r="BU99" s="11">
        <v>4.1666001000000003E-4</v>
      </c>
      <c r="BV99" s="11">
        <v>4.1666001000000003E-4</v>
      </c>
      <c r="BW99" s="11">
        <v>41.289000999999999</v>
      </c>
      <c r="BX99" s="11">
        <v>0</v>
      </c>
      <c r="BY99" s="11" t="str">
        <v>Enter Length</v>
      </c>
    </row>
    <row r="100" spans="1:87" x14ac:dyDescent="0.2">
      <c r="A100" s="1">
        <v>0.98</v>
      </c>
      <c r="B100" s="6">
        <v>639</v>
      </c>
      <c r="C100" s="7">
        <v>0</v>
      </c>
      <c r="D100" s="8">
        <v>0</v>
      </c>
      <c r="E100" s="9">
        <v>70</v>
      </c>
      <c r="F100" s="6">
        <v>1.6191</v>
      </c>
      <c r="G100" s="7"/>
      <c r="H100" s="8"/>
      <c r="I100" s="9">
        <v>0.87238002000000003</v>
      </c>
      <c r="J100" s="6">
        <v>5.5617999999999999</v>
      </c>
      <c r="K100" s="7">
        <v>0</v>
      </c>
      <c r="L100" s="8">
        <v>0</v>
      </c>
      <c r="M100" s="9">
        <v>3.4428999</v>
      </c>
      <c r="N100" s="6">
        <v>0.13311999999999999</v>
      </c>
      <c r="O100" s="7"/>
      <c r="P100" s="8"/>
      <c r="Q100" s="9">
        <v>1.4583E-2</v>
      </c>
      <c r="R100" s="6">
        <v>401</v>
      </c>
      <c r="S100" s="7">
        <v>2</v>
      </c>
      <c r="T100" s="8">
        <v>2</v>
      </c>
      <c r="U100" s="9">
        <v>79</v>
      </c>
      <c r="V100" s="6">
        <v>8.3540000000000003E-2</v>
      </c>
      <c r="W100" s="7">
        <v>4.1666001000000003E-4</v>
      </c>
      <c r="X100" s="8">
        <v>4.1666001000000003E-4</v>
      </c>
      <c r="Y100" s="9">
        <v>1.6457999000000001E-2</v>
      </c>
      <c r="Z100" s="6">
        <v>0.82393998000000002</v>
      </c>
      <c r="AA100" s="7">
        <v>4.1666001000000003E-4</v>
      </c>
      <c r="AB100" s="8">
        <v>4.1666001000000003E-4</v>
      </c>
      <c r="AC100" s="9">
        <v>6.6665001000000002E-2</v>
      </c>
      <c r="AD100" s="6">
        <v>3.2225999999999999</v>
      </c>
      <c r="AE100" s="7">
        <v>41.289000999999999</v>
      </c>
      <c r="AF100" s="8">
        <v>41.289000999999999</v>
      </c>
      <c r="AG100" s="9">
        <v>5.3092999000000001</v>
      </c>
      <c r="AH100" s="6">
        <v>0.35492000000000001</v>
      </c>
      <c r="AI100" s="7"/>
      <c r="AJ100" s="8"/>
      <c r="AK100" s="9">
        <v>0.35712000999999999</v>
      </c>
      <c r="AL100" s="3">
        <f>IF(ISNUMBER(BurstIgor14[[#This Row],[BurstNum_spont]]), IF(ISNUMBER(SpontLength_min), BurstIgor14[[#This Row],[BurstNum_spont]]/SpontLength_min*60, "Enter Length"), "Enter Burst Vals")</f>
        <v>518.10810810810813</v>
      </c>
      <c r="AM100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00" s="11" t="str" cm="1">
        <f t="array" ref="AN100">IF(ISNUMBER(BurstIgor14[[#This Row],[BurstNum_temp2]]), IF(ISNUMBER(Temp2_length), BurstIgor14[[#This Row],[BurstNum_temp2]]/Temp2_length*60, "Enter Length"), "Enter Burst Vals")</f>
        <v>Enter Length</v>
      </c>
      <c r="AO100" s="12" t="str" cm="1">
        <f t="array" ref="AO100">IF(ISNUMBER(BurstIgor14[[#This Row],[BurstNum_temp3]]), IF(ISNUMBER(Temp3_length), BurstIgor14[[#This Row],[BurstNum_temp3]]/Temp3_length*60, "Enter Length"), "Enter Burst Vals")</f>
        <v>Enter Length</v>
      </c>
      <c r="AQ100" s="1">
        <v>0.98</v>
      </c>
      <c r="AR100" s="3">
        <v>639</v>
      </c>
      <c r="AS100" s="3">
        <v>1.6191</v>
      </c>
      <c r="AT100" s="3">
        <v>5.5617999999999999</v>
      </c>
      <c r="AU100" s="3">
        <v>0.13311999999999999</v>
      </c>
      <c r="AV100" s="3">
        <v>401</v>
      </c>
      <c r="AW100" s="3">
        <v>8.3540000000000003E-2</v>
      </c>
      <c r="AX100" s="3">
        <v>0.82393998000000002</v>
      </c>
      <c r="AY100" s="3">
        <v>3.2225999999999999</v>
      </c>
      <c r="AZ100" s="3">
        <v>0.35492000000000001</v>
      </c>
      <c r="BA100" s="3">
        <v>518.10810810810813</v>
      </c>
      <c r="BC100" s="1">
        <v>0.98</v>
      </c>
      <c r="BD100" s="10">
        <v>0</v>
      </c>
      <c r="BE100" s="10">
        <v>0</v>
      </c>
      <c r="BF100" s="10">
        <v>0</v>
      </c>
      <c r="BG100" s="10">
        <v>0</v>
      </c>
      <c r="BH100" s="10">
        <v>2</v>
      </c>
      <c r="BI100" s="10">
        <v>4.1666001000000003E-4</v>
      </c>
      <c r="BJ100" s="10">
        <v>4.1666001000000003E-4</v>
      </c>
      <c r="BK100" s="10">
        <v>41.289000999999999</v>
      </c>
      <c r="BL100" s="10">
        <v>0</v>
      </c>
      <c r="BM100" s="10" t="str">
        <v>NA</v>
      </c>
      <c r="BO100" s="1">
        <v>0.98</v>
      </c>
      <c r="BP100" s="11">
        <v>0</v>
      </c>
      <c r="BQ100" s="11">
        <v>0</v>
      </c>
      <c r="BR100" s="11">
        <v>0</v>
      </c>
      <c r="BS100" s="11">
        <v>0</v>
      </c>
      <c r="BT100" s="11">
        <v>2</v>
      </c>
      <c r="BU100" s="11">
        <v>4.1666001000000003E-4</v>
      </c>
      <c r="BV100" s="11">
        <v>4.1666001000000003E-4</v>
      </c>
      <c r="BW100" s="11">
        <v>41.289000999999999</v>
      </c>
      <c r="BX100" s="11">
        <v>0</v>
      </c>
      <c r="BY100" s="11" t="str">
        <v>Enter Length</v>
      </c>
    </row>
    <row r="101" spans="1:87" x14ac:dyDescent="0.2">
      <c r="A101" s="1">
        <v>0.99</v>
      </c>
      <c r="B101" s="6">
        <v>632</v>
      </c>
      <c r="C101" s="7">
        <v>0</v>
      </c>
      <c r="D101" s="8">
        <v>0</v>
      </c>
      <c r="E101" s="9">
        <v>69</v>
      </c>
      <c r="F101" s="6">
        <v>1.6556999999999999</v>
      </c>
      <c r="G101" s="7"/>
      <c r="H101" s="8"/>
      <c r="I101" s="9">
        <v>0.89924002000000003</v>
      </c>
      <c r="J101" s="6">
        <v>5.6313000000000004</v>
      </c>
      <c r="K101" s="7">
        <v>0</v>
      </c>
      <c r="L101" s="8">
        <v>0</v>
      </c>
      <c r="M101" s="9">
        <v>3.4927999999999999</v>
      </c>
      <c r="N101" s="6">
        <v>0.13166</v>
      </c>
      <c r="O101" s="7"/>
      <c r="P101" s="8"/>
      <c r="Q101" s="9">
        <v>1.4375000000000001E-2</v>
      </c>
      <c r="R101" s="6">
        <v>396</v>
      </c>
      <c r="S101" s="7">
        <v>2</v>
      </c>
      <c r="T101" s="8">
        <v>2</v>
      </c>
      <c r="U101" s="9">
        <v>79</v>
      </c>
      <c r="V101" s="6">
        <v>8.2497999000000002E-2</v>
      </c>
      <c r="W101" s="7">
        <v>4.1666001000000003E-4</v>
      </c>
      <c r="X101" s="8">
        <v>4.1666001000000003E-4</v>
      </c>
      <c r="Y101" s="9">
        <v>1.6457999000000001E-2</v>
      </c>
      <c r="Z101" s="6">
        <v>0.82393998000000002</v>
      </c>
      <c r="AA101" s="7">
        <v>4.1666001000000003E-4</v>
      </c>
      <c r="AB101" s="8">
        <v>4.1666001000000003E-4</v>
      </c>
      <c r="AC101" s="9">
        <v>6.6665001000000002E-2</v>
      </c>
      <c r="AD101" s="6">
        <v>3.2486999000000001</v>
      </c>
      <c r="AE101" s="7">
        <v>41.289000999999999</v>
      </c>
      <c r="AF101" s="8">
        <v>41.289000999999999</v>
      </c>
      <c r="AG101" s="9">
        <v>5.3388</v>
      </c>
      <c r="AH101" s="6">
        <v>0.35749998999999999</v>
      </c>
      <c r="AI101" s="7"/>
      <c r="AJ101" s="8"/>
      <c r="AK101" s="9">
        <v>0.36074001</v>
      </c>
      <c r="AL101" s="3">
        <f>IF(ISNUMBER(BurstIgor14[[#This Row],[BurstNum_spont]]), IF(ISNUMBER(SpontLength_min), BurstIgor14[[#This Row],[BurstNum_spont]]/SpontLength_min*60, "Enter Length"), "Enter Burst Vals")</f>
        <v>512.43243243243239</v>
      </c>
      <c r="AM101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01" s="11" t="str" cm="1">
        <f t="array" ref="AN101">IF(ISNUMBER(BurstIgor14[[#This Row],[BurstNum_temp2]]), IF(ISNUMBER(Temp2_length), BurstIgor14[[#This Row],[BurstNum_temp2]]/Temp2_length*60, "Enter Length"), "Enter Burst Vals")</f>
        <v>Enter Length</v>
      </c>
      <c r="AO101" s="12" t="str" cm="1">
        <f t="array" ref="AO101">IF(ISNUMBER(BurstIgor14[[#This Row],[BurstNum_temp3]]), IF(ISNUMBER(Temp3_length), BurstIgor14[[#This Row],[BurstNum_temp3]]/Temp3_length*60, "Enter Length"), "Enter Burst Vals")</f>
        <v>Enter Length</v>
      </c>
      <c r="AQ101" s="1">
        <v>0.99</v>
      </c>
      <c r="AR101" s="3">
        <v>632</v>
      </c>
      <c r="AS101" s="3">
        <v>1.6556999999999999</v>
      </c>
      <c r="AT101" s="3">
        <v>5.6313000000000004</v>
      </c>
      <c r="AU101" s="3">
        <v>0.13166</v>
      </c>
      <c r="AV101" s="3">
        <v>396</v>
      </c>
      <c r="AW101" s="3">
        <v>8.2497999000000002E-2</v>
      </c>
      <c r="AX101" s="3">
        <v>0.82393998000000002</v>
      </c>
      <c r="AY101" s="3">
        <v>3.2486999000000001</v>
      </c>
      <c r="AZ101" s="3">
        <v>0.35749998999999999</v>
      </c>
      <c r="BA101" s="3">
        <v>512.43243243243239</v>
      </c>
      <c r="BC101" s="1">
        <v>0.99</v>
      </c>
      <c r="BD101" s="10">
        <v>0</v>
      </c>
      <c r="BE101" s="10">
        <v>0</v>
      </c>
      <c r="BF101" s="10">
        <v>0</v>
      </c>
      <c r="BG101" s="10">
        <v>0</v>
      </c>
      <c r="BH101" s="10">
        <v>2</v>
      </c>
      <c r="BI101" s="10">
        <v>4.1666001000000003E-4</v>
      </c>
      <c r="BJ101" s="10">
        <v>4.1666001000000003E-4</v>
      </c>
      <c r="BK101" s="10">
        <v>41.289000999999999</v>
      </c>
      <c r="BL101" s="10">
        <v>0</v>
      </c>
      <c r="BM101" s="10" t="str">
        <v>NA</v>
      </c>
      <c r="BO101" s="1">
        <v>0.99</v>
      </c>
      <c r="BP101" s="11">
        <v>0</v>
      </c>
      <c r="BQ101" s="11">
        <v>0</v>
      </c>
      <c r="BR101" s="11">
        <v>0</v>
      </c>
      <c r="BS101" s="11">
        <v>0</v>
      </c>
      <c r="BT101" s="11">
        <v>2</v>
      </c>
      <c r="BU101" s="11">
        <v>4.1666001000000003E-4</v>
      </c>
      <c r="BV101" s="11">
        <v>4.1666001000000003E-4</v>
      </c>
      <c r="BW101" s="11">
        <v>41.289000999999999</v>
      </c>
      <c r="BX101" s="11">
        <v>0</v>
      </c>
      <c r="BY101" s="11" t="str">
        <v>Enter Length</v>
      </c>
    </row>
    <row r="102" spans="1:87" x14ac:dyDescent="0.2">
      <c r="A102" s="1">
        <v>1</v>
      </c>
      <c r="B102" s="6">
        <v>629</v>
      </c>
      <c r="C102" s="7">
        <v>0</v>
      </c>
      <c r="D102" s="8">
        <v>0</v>
      </c>
      <c r="E102" s="9">
        <v>68</v>
      </c>
      <c r="F102" s="6">
        <v>1.6826000000000001</v>
      </c>
      <c r="G102" s="7"/>
      <c r="H102" s="8"/>
      <c r="I102" s="9">
        <v>0.92710000000000004</v>
      </c>
      <c r="J102" s="6">
        <v>5.6725000999999997</v>
      </c>
      <c r="K102" s="7">
        <v>0</v>
      </c>
      <c r="L102" s="8">
        <v>0</v>
      </c>
      <c r="M102" s="9">
        <v>3.5440999999999998</v>
      </c>
      <c r="N102" s="6">
        <v>0.13104001000000001</v>
      </c>
      <c r="O102" s="7"/>
      <c r="P102" s="8"/>
      <c r="Q102" s="9">
        <v>1.4166E-2</v>
      </c>
      <c r="R102" s="6">
        <v>387</v>
      </c>
      <c r="S102" s="7">
        <v>2</v>
      </c>
      <c r="T102" s="8">
        <v>2</v>
      </c>
      <c r="U102" s="9">
        <v>79</v>
      </c>
      <c r="V102" s="6">
        <v>8.0623001E-2</v>
      </c>
      <c r="W102" s="7">
        <v>4.1666001000000003E-4</v>
      </c>
      <c r="X102" s="8">
        <v>4.1666001000000003E-4</v>
      </c>
      <c r="Y102" s="9">
        <v>1.6457999000000001E-2</v>
      </c>
      <c r="Z102" s="6">
        <v>0.82393998000000002</v>
      </c>
      <c r="AA102" s="7">
        <v>4.1666001000000003E-4</v>
      </c>
      <c r="AB102" s="8">
        <v>4.1666001000000003E-4</v>
      </c>
      <c r="AC102" s="9">
        <v>6.6665001000000002E-2</v>
      </c>
      <c r="AD102" s="6">
        <v>3.2753000000000001</v>
      </c>
      <c r="AE102" s="7">
        <v>41.289000999999999</v>
      </c>
      <c r="AF102" s="8">
        <v>41.289000999999999</v>
      </c>
      <c r="AG102" s="9">
        <v>5.3685001999999997</v>
      </c>
      <c r="AH102" s="6">
        <v>0.36011000999999998</v>
      </c>
      <c r="AI102" s="7"/>
      <c r="AJ102" s="8"/>
      <c r="AK102" s="9">
        <v>0.36441001000000001</v>
      </c>
      <c r="AL102" s="3">
        <f>IF(ISNUMBER(BurstIgor14[[#This Row],[BurstNum_spont]]), IF(ISNUMBER(SpontLength_min), BurstIgor14[[#This Row],[BurstNum_spont]]/SpontLength_min*60, "Enter Length"), "Enter Burst Vals")</f>
        <v>510</v>
      </c>
      <c r="AM102" s="10" t="str">
        <f>IF(Senktide_analysis, IF(ISNUMBER(BurstIgor14[[#This Row],[BurstNum_senktide]]), IF(ISNUMBER(Senktide_length), BurstIgor14[[#This Row],[BurstNum_senktide]]/Senktide_length*60, "Enter Length"), "Enter Burst Vals"), "NA")</f>
        <v>NA</v>
      </c>
      <c r="AN102" s="11" t="str" cm="1">
        <f t="array" ref="AN102">IF(ISNUMBER(BurstIgor14[[#This Row],[BurstNum_temp2]]), IF(ISNUMBER(Temp2_length), BurstIgor14[[#This Row],[BurstNum_temp2]]/Temp2_length*60, "Enter Length"), "Enter Burst Vals")</f>
        <v>Enter Length</v>
      </c>
      <c r="AO102" s="12" t="str" cm="1">
        <f t="array" ref="AO102">IF(ISNUMBER(BurstIgor14[[#This Row],[BurstNum_temp3]]), IF(ISNUMBER(Temp3_length), BurstIgor14[[#This Row],[BurstNum_temp3]]/Temp3_length*60, "Enter Length"), "Enter Burst Vals")</f>
        <v>Enter Length</v>
      </c>
      <c r="AQ102" s="1">
        <v>1</v>
      </c>
      <c r="AR102" s="3">
        <v>629</v>
      </c>
      <c r="AS102" s="3">
        <v>1.6826000000000001</v>
      </c>
      <c r="AT102" s="3">
        <v>5.6725000999999997</v>
      </c>
      <c r="AU102" s="3">
        <v>0.13104001000000001</v>
      </c>
      <c r="AV102" s="3">
        <v>387</v>
      </c>
      <c r="AW102" s="3">
        <v>8.0623001E-2</v>
      </c>
      <c r="AX102" s="3">
        <v>0.82393998000000002</v>
      </c>
      <c r="AY102" s="3">
        <v>3.2753000000000001</v>
      </c>
      <c r="AZ102" s="3">
        <v>0.36011000999999998</v>
      </c>
      <c r="BA102" s="3">
        <v>510</v>
      </c>
      <c r="BC102" s="1">
        <v>1</v>
      </c>
      <c r="BD102" s="10">
        <v>0</v>
      </c>
      <c r="BE102" s="10">
        <v>0</v>
      </c>
      <c r="BF102" s="10">
        <v>0</v>
      </c>
      <c r="BG102" s="10">
        <v>0</v>
      </c>
      <c r="BH102" s="10">
        <v>2</v>
      </c>
      <c r="BI102" s="10">
        <v>4.1666001000000003E-4</v>
      </c>
      <c r="BJ102" s="10">
        <v>4.1666001000000003E-4</v>
      </c>
      <c r="BK102" s="10">
        <v>41.289000999999999</v>
      </c>
      <c r="BL102" s="10">
        <v>0</v>
      </c>
      <c r="BM102" s="10" t="str">
        <v>NA</v>
      </c>
      <c r="BO102" s="1">
        <v>1</v>
      </c>
      <c r="BP102" s="11">
        <v>0</v>
      </c>
      <c r="BQ102" s="11">
        <v>0</v>
      </c>
      <c r="BR102" s="11">
        <v>0</v>
      </c>
      <c r="BS102" s="11">
        <v>0</v>
      </c>
      <c r="BT102" s="11">
        <v>2</v>
      </c>
      <c r="BU102" s="11">
        <v>4.1666001000000003E-4</v>
      </c>
      <c r="BV102" s="11">
        <v>4.1666001000000003E-4</v>
      </c>
      <c r="BW102" s="11">
        <v>41.289000999999999</v>
      </c>
      <c r="BX102" s="11">
        <v>0</v>
      </c>
      <c r="BY102" s="11" t="str">
        <v>Enter Length</v>
      </c>
    </row>
    <row r="104" spans="1:87" x14ac:dyDescent="0.2">
      <c r="B104" s="2" t="s">
        <v>33</v>
      </c>
      <c r="C104" s="13">
        <f ca="1">_xlfn.SINGLE(AvgBurstWindow)</f>
        <v>0.4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AR104" s="2"/>
      <c r="AS104" s="2"/>
      <c r="AT104" s="2"/>
      <c r="AU104" s="2"/>
      <c r="AV104" s="2"/>
      <c r="AW104" s="2"/>
      <c r="AX104" s="2"/>
      <c r="AY104" s="2"/>
      <c r="AZ104" s="13" t="s">
        <v>34</v>
      </c>
      <c r="BA104" s="13">
        <f>MAX(BA3:BA102)</f>
        <v>694.05405405405406</v>
      </c>
      <c r="BB104" s="2"/>
      <c r="BL104" s="13" t="s">
        <v>34</v>
      </c>
      <c r="BM104" s="13">
        <f>MAX(BM3:BM102)</f>
        <v>0</v>
      </c>
      <c r="BX104" s="13" t="s">
        <v>34</v>
      </c>
      <c r="BY104" s="13">
        <f>MAX(BY3:BY102)</f>
        <v>0</v>
      </c>
    </row>
    <row r="105" spans="1:87" x14ac:dyDescent="0.2">
      <c r="B105" s="2"/>
      <c r="C105" s="3" t="str">
        <f>BurstIgor14[[#Headers],[BurstNum_spont]]</f>
        <v>BurstNum_spont</v>
      </c>
      <c r="D105" s="3" t="str">
        <f>BurstIgor14[[#Headers],[Mbd_spont]]</f>
        <v>Mbd_spont</v>
      </c>
      <c r="E105" s="3" t="str">
        <f>BurstIgor14[[#Headers],[SpikesPerBurst_spont]]</f>
        <v>SpikesPerBurst_spont</v>
      </c>
      <c r="F105" s="3" t="str">
        <f>BurstIgor14[[#Headers],[BurstFreq_spont]]</f>
        <v>BurstFreq_spont</v>
      </c>
      <c r="G105" s="3" t="str">
        <f>BurstIgor14[[#Headers],[SingleSpikeNum_spont]]</f>
        <v>SingleSpikeNum_spont</v>
      </c>
      <c r="H105" s="3" t="str">
        <f>BurstIgor14[[#Headers],[SingleSpikeFreq_spont]]</f>
        <v>SingleSpikeFreq_spont</v>
      </c>
      <c r="I105" s="3" t="str">
        <f>BurstIgor14[[#Headers],[TotalFreq_spont]]</f>
        <v>TotalFreq_spont</v>
      </c>
      <c r="J105" s="3" t="str">
        <f>BurstIgor14[[#Headers],[InterBurst_spont]]</f>
        <v>InterBurst_spont</v>
      </c>
      <c r="K105" s="3" t="str">
        <f>BurstIgor14[[#Headers],[IntraBurst_spont]]</f>
        <v>IntraBurst_spont</v>
      </c>
      <c r="L105" s="3" t="str">
        <f>BurstIgor14[[#Headers],[BurstsPerHour_spont]]</f>
        <v>BurstsPerHour_spont</v>
      </c>
      <c r="M105" s="14" t="s">
        <v>152</v>
      </c>
      <c r="O105" s="4" t="str">
        <f>BurstIgor14[[#Headers],[BurstNum_senktide]]</f>
        <v>BurstNum_senktide</v>
      </c>
      <c r="P105" s="4" t="str">
        <f>BurstIgor14[[#Headers],[Mbd_senktide]]</f>
        <v>Mbd_senktide</v>
      </c>
      <c r="Q105" s="4" t="str">
        <f>BurstIgor14[[#Headers],[SpikesPerBurst_senktide]]</f>
        <v>SpikesPerBurst_senktide</v>
      </c>
      <c r="R105" s="4" t="str">
        <f>BurstIgor14[[#Headers],[BurstFreq_senktide]]</f>
        <v>BurstFreq_senktide</v>
      </c>
      <c r="S105" s="4" t="str">
        <f>BurstIgor14[[#Headers],[SingleSpikeNum_senktide]]</f>
        <v>SingleSpikeNum_senktide</v>
      </c>
      <c r="T105" s="4" t="str">
        <f>BurstIgor14[[#Headers],[SingleSpikeFreq_senktide]]</f>
        <v>SingleSpikeFreq_senktide</v>
      </c>
      <c r="U105" s="4" t="str">
        <f>BurstIgor14[[#Headers],[TotalFreq_senktide]]</f>
        <v>TotalFreq_senktide</v>
      </c>
      <c r="V105" s="4" t="str">
        <f>BurstIgor14[[#Headers],[InterBurst_senktide]]</f>
        <v>InterBurst_senktide</v>
      </c>
      <c r="W105" s="4" t="str">
        <f>BurstIgor14[[#Headers],[IntraBurst_senktide]]</f>
        <v>IntraBurst_senktide</v>
      </c>
      <c r="X105" s="4" t="str">
        <f>BurstIgor14[[#Headers],[BurstsPerHour_senktide]]</f>
        <v>BurstsPerHour_senktide</v>
      </c>
      <c r="Y105" s="15" t="s">
        <v>227</v>
      </c>
      <c r="AA105" s="5" t="str">
        <f>BurstIgor14[[#Headers],[BurstNum_temp2]]</f>
        <v>BurstNum_temp2</v>
      </c>
      <c r="AB105" s="5" t="str">
        <f>BurstIgor14[[#Headers],[Mbd_temp2]]</f>
        <v>Mbd_temp2</v>
      </c>
      <c r="AC105" s="5" t="str">
        <f>BurstIgor14[[#Headers],[SpikesPerBurst_senktide]]</f>
        <v>SpikesPerBurst_senktide</v>
      </c>
      <c r="AD105" s="5" t="str">
        <f>BurstIgor14[[#Headers],[BurstFreq_temp2]]</f>
        <v>BurstFreq_temp2</v>
      </c>
      <c r="AE105" s="5" t="str">
        <f>BurstIgor14[[#Headers],[SingleSpikeNum_temp2]]</f>
        <v>SingleSpikeNum_temp2</v>
      </c>
      <c r="AF105" s="5" t="str">
        <f>BurstIgor14[[#Headers],[SingleSpikeFreq_temp2]]</f>
        <v>SingleSpikeFreq_temp2</v>
      </c>
      <c r="AG105" s="5" t="str">
        <f>BurstIgor14[[#Headers],[TotalFreq_temp2]]</f>
        <v>TotalFreq_temp2</v>
      </c>
      <c r="AH105" s="5" t="str">
        <f>BurstIgor14[[#Headers],[InterBurst_temp2]]</f>
        <v>InterBurst_temp2</v>
      </c>
      <c r="AI105" s="5" t="str">
        <f>BurstIgor14[[#Headers],[IntraBurst_temp2]]</f>
        <v>IntraBurst_temp2</v>
      </c>
      <c r="AJ105" s="5" t="str">
        <f>BurstIgor14[[#Headers],[BurstsPerHour_temp2]]</f>
        <v>BurstsPerHour_temp2</v>
      </c>
      <c r="AK105" s="11" t="s">
        <v>35</v>
      </c>
    </row>
    <row r="106" spans="1:87" x14ac:dyDescent="0.2">
      <c r="B106" s="2" t="s">
        <v>36</v>
      </c>
      <c r="C106" s="16">
        <f ca="1">_xlfn.XLOOKUP(_xlfn.SINGLE(AvgBurstWindow), BurstIgor14[BurstWindow], BurstIgor14[BurstNum_spont], "NA")</f>
        <v>856</v>
      </c>
      <c r="D106" s="16">
        <f ca="1">_xlfn.XLOOKUP(_xlfn.SINGLE(AvgBurstWindow), BurstIgor14[BurstWindow], BurstIgor14[Mbd_spont], "NA")</f>
        <v>0.39897000999999999</v>
      </c>
      <c r="E106" s="16">
        <f ca="1">_xlfn.XLOOKUP(_xlfn.SINGLE(AvgBurstWindow), BurstIgor14[BurstWindow], BurstIgor14[SpikesPerBurst_spont], "NA")</f>
        <v>3.1436999000000001</v>
      </c>
      <c r="F106" s="16">
        <f ca="1">_xlfn.XLOOKUP(_xlfn.SINGLE(AvgBurstWindow), BurstIgor14[BurstWindow], BurstIgor14[BurstFreq_spont], "NA")</f>
        <v>0.17832999999999999</v>
      </c>
      <c r="G106" s="16">
        <f ca="1">_xlfn.XLOOKUP(_xlfn.SINGLE(AvgBurstWindow), BurstIgor14[BurstWindow], BurstIgor14[SingleSpikeNum_spont], "NA")</f>
        <v>1264</v>
      </c>
      <c r="H106" s="16">
        <f ca="1">_xlfn.XLOOKUP(_xlfn.SINGLE(AvgBurstWindow), BurstIgor14[BurstWindow], BurstIgor14[SingleSpikeFreq_spont], "NA")</f>
        <v>0.26333001</v>
      </c>
      <c r="I106" s="16">
        <f ca="1">_xlfn.XLOOKUP(_xlfn.SINGLE(AvgBurstWindow), BurstIgor14[BurstWindow], BurstIgor14[TotalFreq_spont], "NA")</f>
        <v>0.82393998000000002</v>
      </c>
      <c r="J106" s="16">
        <f ca="1">_xlfn.XLOOKUP(_xlfn.SINGLE(AvgBurstWindow), BurstIgor14[BurstWindow], BurstIgor14[InterBurst_spont], "NA")</f>
        <v>1.9072</v>
      </c>
      <c r="K106" s="16">
        <f ca="1">_xlfn.XLOOKUP(_xlfn.SINGLE(AvgBurstWindow), BurstIgor14[BurstWindow], BurstIgor14[IntraBurst_spont], "NA")</f>
        <v>0.18612000000000001</v>
      </c>
      <c r="L106" s="16">
        <f ca="1">_xlfn.XLOOKUP(_xlfn.SINGLE(AvgBurstWindow), BurstIgor14[BurstWindow], BurstIgor14[BurstsPerHour_spont], "NA")</f>
        <v>694.05405405405406</v>
      </c>
      <c r="M106" s="16">
        <f>IF(MAX(BurstIgor14[BurstsPerHour_spont])&gt;0, _xlfn.XLOOKUP(MAX(BurstIgor14[BurstsPerHour_spont]), BurstIgor14[BurstsPerHour_spont], BurstIgor14[BurstWindow], "NA"), "NA")</f>
        <v>0.4</v>
      </c>
      <c r="O106" s="16" t="str" cm="1">
        <f t="array" ref="O106">IF(Senktide_analysis, _xlfn.XLOOKUP(AvgBurstWindow, BurstIgor14[BurstWindow], BurstIgor14[BurstNum_senktide], "NA"), "NA")</f>
        <v>NA</v>
      </c>
      <c r="P106" s="16" t="str" cm="1">
        <f t="array" ref="P106">IF(Senktide_analysis, _xlfn.XLOOKUP(AvgBurstWindow, BurstIgor14[BurstWindow], BurstIgor14[Mbd_senktide], "NA"), "NA")</f>
        <v>NA</v>
      </c>
      <c r="Q106" s="16" t="str" cm="1">
        <f t="array" ref="Q106">IF(Senktide_analysis, _xlfn.XLOOKUP(AvgBurstWindow, BurstIgor14[BurstWindow], BurstIgor14[SpikesPerBurst_senktide], "NA"), "NA")</f>
        <v>NA</v>
      </c>
      <c r="R106" s="16" t="str" cm="1">
        <f t="array" ref="R106">IF(Senktide_analysis, _xlfn.XLOOKUP(AvgBurstWindow, BurstIgor14[BurstWindow], BurstIgor14[BurstFreq_senktide], "NA"), "NA")</f>
        <v>NA</v>
      </c>
      <c r="S106" s="16" t="str" cm="1">
        <f t="array" ref="S106">IF(Senktide_analysis, _xlfn.XLOOKUP(AvgBurstWindow, BurstIgor14[BurstWindow], BurstIgor14[SingleSpikeNum_senktide], "NA"), "NA")</f>
        <v>NA</v>
      </c>
      <c r="T106" s="16" t="str" cm="1">
        <f t="array" ref="T106">IF(Senktide_analysis, _xlfn.XLOOKUP(AvgBurstWindow, BurstIgor14[BurstWindow], BurstIgor14[SingleSpikeFreq_senktide], "NA"), "NA")</f>
        <v>NA</v>
      </c>
      <c r="U106" s="16" t="str" cm="1">
        <f t="array" ref="U106">IF(Senktide_analysis, _xlfn.XLOOKUP(AvgBurstWindow, BurstIgor14[BurstWindow], BurstIgor14[TotalFreq_senktide], "NA"), "NA")</f>
        <v>NA</v>
      </c>
      <c r="V106" s="16" t="str" cm="1">
        <f t="array" ref="V106">IF(Senktide_analysis, _xlfn.XLOOKUP(AvgBurstWindow, BurstIgor14[BurstWindow], BurstIgor14[InterBurst_senktide], "NA"), "NA")</f>
        <v>NA</v>
      </c>
      <c r="W106" s="16" t="str" cm="1">
        <f t="array" ref="W106">IF(Senktide_analysis, _xlfn.XLOOKUP(AvgBurstWindow, BurstIgor14[BurstWindow], BurstIgor14[IntraBurst_senktide], "NA"), "NA")</f>
        <v>NA</v>
      </c>
      <c r="X106" s="16" t="str" cm="1">
        <f t="array" ref="X106">IF(Senktide_analysis, _xlfn.XLOOKUP(AvgBurstWindow, BurstIgor14[BurstWindow], BurstIgor14[BurstsPerHour_senktide], "NA"), "NA")</f>
        <v>NA</v>
      </c>
      <c r="Y106" s="16" t="str">
        <f>IF(Senktide_analysis, IF(MAX(BurstIgor14[BurstsPerHour_senktide])&gt;0, _xlfn.XLOOKUP(MAX(BurstIgor14[BurstsPerHour_senktide]), BurstIgor14[BurstsPerHour_senktide], BurstIgor14[BurstWindow], "NA"), "NA"), "NA")</f>
        <v>NA</v>
      </c>
      <c r="AA106" s="16">
        <f ca="1">_xlfn.XLOOKUP(_xlfn.SINGLE(AvgBurstWindow), BurstIgor14[BurstWindow], BurstIgor14[BurstNum_temp2], "NA")</f>
        <v>0</v>
      </c>
      <c r="AB106" s="16">
        <f ca="1">_xlfn.XLOOKUP(_xlfn.SINGLE(AvgBurstWindow), BurstIgor14[BurstWindow], BurstIgor14[Mbd_temp2], "NA")</f>
        <v>0</v>
      </c>
      <c r="AC106" s="16">
        <f ca="1">_xlfn.XLOOKUP(_xlfn.SINGLE(AvgBurstWindow), BurstIgor14[BurstWindow], BurstIgor14[SpikesPerBurst_temp2], "NA")</f>
        <v>0</v>
      </c>
      <c r="AD106" s="16">
        <f ca="1">_xlfn.XLOOKUP(_xlfn.SINGLE(AvgBurstWindow), BurstIgor14[BurstWindow], BurstIgor14[BurstFreq_temp2], "NA")</f>
        <v>0</v>
      </c>
      <c r="AE106" s="16">
        <f ca="1">_xlfn.XLOOKUP(_xlfn.SINGLE(AvgBurstWindow), BurstIgor14[BurstWindow], BurstIgor14[SingleSpikeNum_temp2], "NA")</f>
        <v>2</v>
      </c>
      <c r="AF106" s="16">
        <f ca="1">_xlfn.XLOOKUP(_xlfn.SINGLE(AvgBurstWindow), BurstIgor14[BurstWindow], BurstIgor14[SingleSpikeFreq_temp2], "NA")</f>
        <v>4.1666001000000003E-4</v>
      </c>
      <c r="AG106" s="16">
        <f ca="1">_xlfn.XLOOKUP(_xlfn.SINGLE(AvgBurstWindow), BurstIgor14[BurstWindow], BurstIgor14[TotalFreq_temp2], "NA")</f>
        <v>4.1666001000000003E-4</v>
      </c>
      <c r="AH106" s="16">
        <f ca="1">_xlfn.XLOOKUP(_xlfn.SINGLE(AvgBurstWindow), BurstIgor14[BurstWindow], BurstIgor14[InterBurst_temp2], "NA")</f>
        <v>41.289000999999999</v>
      </c>
      <c r="AI106" s="16">
        <f ca="1">_xlfn.XLOOKUP(_xlfn.SINGLE(AvgBurstWindow), BurstIgor14[BurstWindow], BurstIgor14[IntraBurst_temp2], "NA")</f>
        <v>0</v>
      </c>
      <c r="AJ106" s="16" t="str">
        <f ca="1">_xlfn.XLOOKUP(_xlfn.SINGLE(AvgBurstWindow), BurstIgor14[BurstWindow], BurstIgor14[BurstsPerHour_temp2], "NA")</f>
        <v>Enter Length</v>
      </c>
      <c r="AK106" s="16" t="str">
        <f>IF(MAX(BurstIgor14[BurstsPerHour_temp2])&gt;0, _xlfn.XLOOKUP(MAX(BurstIgor14[BurstsPerHour_temp2]), BurstIgor14[BurstsPerHour_temp2], BurstIgor14[BurstWindow], "NA"), "NA")</f>
        <v>NA</v>
      </c>
    </row>
    <row r="107" spans="1:87" x14ac:dyDescent="0.2">
      <c r="B107" s="141" t="s">
        <v>344</v>
      </c>
      <c r="C107" s="16">
        <f>_xlfn.XLOOKUP(SelectedBW_1, BurstIgor14[BurstWindow], BurstIgor14[BurstNum_spont], "NA")</f>
        <v>739</v>
      </c>
      <c r="D107" s="16">
        <f>_xlfn.XLOOKUP(SelectedBW_1, BurstIgor14[BurstWindow], BurstIgor14[Mbd_spont], "NA")</f>
        <v>0.22075</v>
      </c>
      <c r="E107" s="16">
        <f>_xlfn.XLOOKUP(SelectedBW_1, BurstIgor14[BurstWindow], BurstIgor14[SpikesPerBurst_spont], "NA")</f>
        <v>2.7077</v>
      </c>
      <c r="F107" s="16">
        <f>_xlfn.XLOOKUP(SelectedBW_1, BurstIgor14[BurstWindow], BurstIgor14[BurstFreq_spont], "NA")</f>
        <v>0.15396000000000001</v>
      </c>
      <c r="G107" s="16">
        <f>_xlfn.XLOOKUP(SelectedBW_1, BurstIgor14[BurstWindow], BurstIgor14[SingleSpikeNum_spont], "NA")</f>
        <v>1954</v>
      </c>
      <c r="H107" s="16">
        <f>_xlfn.XLOOKUP(SelectedBW_1, BurstIgor14[BurstWindow], BurstIgor14[SingleSpikeFreq_spont], "NA")</f>
        <v>0.40707000999999998</v>
      </c>
      <c r="I107" s="16">
        <f>_xlfn.XLOOKUP(SelectedBW_1, BurstIgor14[BurstWindow], BurstIgor14[TotalFreq_spont], "NA")</f>
        <v>0.82393998000000002</v>
      </c>
      <c r="J107" s="16">
        <f>_xlfn.XLOOKUP(SelectedBW_1, BurstIgor14[BurstWindow], BurstIgor14[InterBurst_spont], "NA")</f>
        <v>1.5674999999999999</v>
      </c>
      <c r="K107" s="16">
        <f>_xlfn.XLOOKUP(SelectedBW_1, BurstIgor14[BurstWindow], BurstIgor14[IntraBurst_spont], "NA")</f>
        <v>0.12926000000000001</v>
      </c>
      <c r="L107" s="16">
        <f>_xlfn.XLOOKUP(SelectedBW_1, BurstIgor14[BurstWindow], BurstIgor14[BurstsPerHour_spont], "NA")</f>
        <v>599.18918918918916</v>
      </c>
      <c r="M107" s="16">
        <f>IF(MAX(BurstIgor14[BurstsPerHour_spont])&gt;0, _xlfn.XLOOKUP(MAX(BurstIgor14[BurstsPerHour_spont]), BurstIgor14[BurstsPerHour_spont], BurstIgor14[BurstWindow], "NA"), "NA")</f>
        <v>0.4</v>
      </c>
      <c r="X107" s="2"/>
      <c r="AJ107" s="2"/>
    </row>
    <row r="108" spans="1:87" x14ac:dyDescent="0.2">
      <c r="B108" s="141" t="s">
        <v>345</v>
      </c>
      <c r="C108" s="16">
        <f>_xlfn.XLOOKUP(SelectedBW_2, BurstIgor14[BurstWindow], BurstIgor14[BurstNum_spont], "NA")</f>
        <v>815</v>
      </c>
      <c r="D108" s="16">
        <f>_xlfn.XLOOKUP(SelectedBW_2, BurstIgor14[BurstWindow], BurstIgor14[Mbd_spont], "NA")</f>
        <v>0.29372000999999998</v>
      </c>
      <c r="E108" s="16">
        <f>_xlfn.XLOOKUP(SelectedBW_2, BurstIgor14[BurstWindow], BurstIgor14[SpikesPerBurst_spont], "NA")</f>
        <v>2.8968999000000002</v>
      </c>
      <c r="F108" s="16">
        <f>_xlfn.XLOOKUP(SelectedBW_2, BurstIgor14[BurstWindow], BurstIgor14[BurstFreq_spont], "NA")</f>
        <v>0.16979</v>
      </c>
      <c r="G108" s="16">
        <f>_xlfn.XLOOKUP(SelectedBW_2, BurstIgor14[BurstWindow], BurstIgor14[SingleSpikeNum_spont], "NA")</f>
        <v>1594</v>
      </c>
      <c r="H108" s="16">
        <f>_xlfn.XLOOKUP(SelectedBW_2, BurstIgor14[BurstWindow], BurstIgor14[SingleSpikeFreq_spont], "NA")</f>
        <v>0.33208000999999998</v>
      </c>
      <c r="I108" s="16">
        <f>_xlfn.XLOOKUP(SelectedBW_2, BurstIgor14[BurstWindow], BurstIgor14[TotalFreq_spont], "NA")</f>
        <v>0.82393998000000002</v>
      </c>
      <c r="J108" s="16">
        <f>_xlfn.XLOOKUP(SelectedBW_2, BurstIgor14[BurstWindow], BurstIgor14[InterBurst_spont], "NA")</f>
        <v>1.7206999999999999</v>
      </c>
      <c r="K108" s="16">
        <f>_xlfn.XLOOKUP(SelectedBW_2, BurstIgor14[BurstWindow], BurstIgor14[IntraBurst_spont], "NA")</f>
        <v>0.15484001</v>
      </c>
      <c r="L108" s="16">
        <f>_xlfn.XLOOKUP(SelectedBW_2, BurstIgor14[BurstWindow], BurstIgor14[BurstsPerHour_spont], "NA")</f>
        <v>660.81081081081084</v>
      </c>
      <c r="M108" s="16">
        <f>IF(MAX(BurstIgor14[BurstsPerHour_spont])&gt;0, _xlfn.XLOOKUP(MAX(BurstIgor14[BurstsPerHour_spont]), BurstIgor14[BurstsPerHour_spont], BurstIgor14[BurstWindow], "NA"), "NA")</f>
        <v>0.4</v>
      </c>
    </row>
    <row r="109" spans="1:87" ht="31" x14ac:dyDescent="0.35">
      <c r="CA109" s="17"/>
      <c r="CB109" s="17"/>
      <c r="CC109" s="17"/>
      <c r="CD109" s="17"/>
      <c r="CE109" s="17"/>
      <c r="CF109" s="2"/>
      <c r="CG109" s="2"/>
      <c r="CH109" s="2"/>
      <c r="CI109" s="2"/>
    </row>
    <row r="110" spans="1:87" ht="92" x14ac:dyDescent="1">
      <c r="B110" s="165" t="s">
        <v>37</v>
      </c>
      <c r="C110" s="165"/>
      <c r="D110" s="165"/>
      <c r="E110" s="165"/>
      <c r="F110" s="165"/>
      <c r="G110" s="165"/>
      <c r="H110" s="165"/>
      <c r="I110" s="2"/>
      <c r="J110" s="2"/>
      <c r="K110" s="2"/>
      <c r="L110" s="2"/>
      <c r="M110" s="2"/>
      <c r="N110" s="2"/>
      <c r="O110" s="2"/>
      <c r="P110" s="2"/>
      <c r="W110" s="165" t="s">
        <v>38</v>
      </c>
      <c r="X110" s="165"/>
      <c r="Y110" s="165"/>
      <c r="Z110" s="165"/>
      <c r="AA110" s="165"/>
      <c r="AB110" s="165"/>
      <c r="AC110" s="165"/>
      <c r="AD110" s="2"/>
      <c r="AE110" s="39"/>
      <c r="AF110" s="39"/>
      <c r="AG110" s="39"/>
      <c r="AH110" s="39"/>
      <c r="CH110" s="2"/>
      <c r="CI110" s="2"/>
    </row>
    <row r="111" spans="1:87" x14ac:dyDescent="0.2">
      <c r="B111" s="1" t="s">
        <v>40</v>
      </c>
      <c r="C111" s="1" t="s">
        <v>41</v>
      </c>
      <c r="D111" s="1" t="s">
        <v>42</v>
      </c>
      <c r="E111" s="1" t="s">
        <v>43</v>
      </c>
      <c r="F111" s="1" t="s">
        <v>44</v>
      </c>
      <c r="G111" s="1" t="s">
        <v>45</v>
      </c>
      <c r="H111" s="1" t="s">
        <v>46</v>
      </c>
      <c r="I111" s="1" t="s">
        <v>47</v>
      </c>
      <c r="J111" s="1" t="s">
        <v>48</v>
      </c>
      <c r="K111" s="1" t="s">
        <v>49</v>
      </c>
      <c r="L111" s="1" t="s">
        <v>50</v>
      </c>
      <c r="N111" s="1" t="s">
        <v>51</v>
      </c>
      <c r="O111" s="1" t="s">
        <v>52</v>
      </c>
      <c r="P111" s="1" t="s">
        <v>53</v>
      </c>
      <c r="Q111" s="1" t="s">
        <v>54</v>
      </c>
      <c r="R111" s="1" t="s">
        <v>55</v>
      </c>
      <c r="S111" s="1" t="s">
        <v>56</v>
      </c>
      <c r="T111" s="1" t="s">
        <v>57</v>
      </c>
      <c r="W111" s="1" t="s">
        <v>42</v>
      </c>
      <c r="X111" s="1" t="s">
        <v>43</v>
      </c>
      <c r="Y111" s="1" t="s">
        <v>44</v>
      </c>
      <c r="Z111" s="1" t="s">
        <v>45</v>
      </c>
      <c r="AA111" s="1" t="s">
        <v>47</v>
      </c>
      <c r="AB111" s="1" t="s">
        <v>58</v>
      </c>
      <c r="AC111" s="1" t="s">
        <v>59</v>
      </c>
      <c r="AD111" s="1" t="s">
        <v>60</v>
      </c>
      <c r="AE111" s="1" t="s">
        <v>61</v>
      </c>
      <c r="AF111" s="1" t="s">
        <v>62</v>
      </c>
      <c r="AG111" s="1" t="s">
        <v>63</v>
      </c>
      <c r="AI111" s="1" t="s">
        <v>64</v>
      </c>
    </row>
    <row r="112" spans="1:87" ht="47" x14ac:dyDescent="0.55000000000000004">
      <c r="B112" s="1">
        <f>FirstSeries</f>
        <v>3</v>
      </c>
      <c r="C112" s="1">
        <v>0</v>
      </c>
      <c r="D112" s="18">
        <f>F112/60</f>
        <v>0</v>
      </c>
      <c r="E112" s="18">
        <f>IF(BinSize_sec &gt; 0, IF(F112 +BinSize_sec &gt;TotalLength_sec, "Greater than Total Length", G112/60), "No bin size")</f>
        <v>1</v>
      </c>
      <c r="F112" s="19">
        <v>0</v>
      </c>
      <c r="G112" s="19">
        <f>IF(BinSize_sec&gt; 0, IF(F112 + BinSize_sec &gt; TotalLength_sec, "Greater than Total Length", F112 + BinSize_sec), "No bin size")</f>
        <v>60</v>
      </c>
      <c r="H112" s="20">
        <v>1</v>
      </c>
      <c r="I112" s="21">
        <v>1</v>
      </c>
      <c r="J112" s="1">
        <f>IF(ISBLANK(FiringRate13[[#This Row],[Event/bin]]), " ", FiringRate13[[#This Row],[Event/bin]]/BinSize_sec)</f>
        <v>1.6666666666666666E-2</v>
      </c>
      <c r="K112" s="22">
        <f>IF(ISBLANK(FiringRate13[[#This Row],[Conc events/bin]]), " ", FiringRate13[[#This Row],[Conc events/bin]]/BinSize_sec)</f>
        <v>1.6666666666666666E-2</v>
      </c>
      <c r="N112" s="23">
        <v>3</v>
      </c>
      <c r="O112" s="23">
        <v>10</v>
      </c>
      <c r="P112" s="23">
        <v>10</v>
      </c>
      <c r="Q112" s="23">
        <v>60</v>
      </c>
      <c r="R112" s="24">
        <f>P112*(O112-N112+1)</f>
        <v>80</v>
      </c>
      <c r="S112" s="24">
        <f>R112*60</f>
        <v>4800</v>
      </c>
      <c r="T112" s="24" cm="1">
        <f t="array" ref="T112">SeriesLength_min/(BinSize_sec/60)</f>
        <v>10</v>
      </c>
      <c r="W112" s="18">
        <f>Y112/60</f>
        <v>0</v>
      </c>
      <c r="X112" s="18">
        <f>IF(ClusterBinSize_sec &gt; 0, IF(W112 + (ClusterBinSize_sec / 60) &gt;EndTime_spont, "Enter Spont End", W112 + ClusterBinSize_sec / 60), "No bin size")</f>
        <v>2</v>
      </c>
      <c r="Y112" s="19">
        <f>StartTime_spont * 60</f>
        <v>0</v>
      </c>
      <c r="Z112" s="19">
        <f>IF(ClusterBinSize_sec&gt; 0, IF(Y112 + ClusterBinSize_sec &gt; (EndTime_spont * 60), "Enter Spont End", Y112 + ClusterBinSize_sec), "No bin size")</f>
        <v>120</v>
      </c>
      <c r="AA112" s="21">
        <v>1</v>
      </c>
      <c r="AB112" s="25">
        <v>0</v>
      </c>
      <c r="AC112" s="25">
        <v>1</v>
      </c>
      <c r="AD112" s="1" t="str">
        <f>IF(ISNUMBER(Cluster15[[#This Row],[Bin_end]]), _xlfn.XLOOKUP(Cluster15[[#This Row],[Bin_end]], ClusterCalc_2x2SD16[Bin_end], ClusterCalc_2x2SD16[Peak or Nadir], "fill ClusterCalc Table",1), "no bin")</f>
        <v>Nadir</v>
      </c>
      <c r="AE112" s="1" t="str">
        <f>IF(ISNUMBER(Cluster15[[#This Row],[Bin_end]]), _xlfn.XLOOKUP(Cluster15[[#This Row],[Bin_end]], ClusterCalc_3x3SD18[Bin_end], ClusterCalc_3x3SD18[Peak or Nadir], "fill ClusterCalc Table",1), "no bin")</f>
        <v>Nadir</v>
      </c>
      <c r="AF112" s="1" t="str">
        <f>IF(ISNUMBER(Cluster15[[#This Row],[Bin_end]]), _xlfn.XLOOKUP(Cluster15[[#This Row],[Bin_end]], ClusterCalc_2x2SE20[Bin_end], ClusterCalc_2x2SE20[Peak or Nadir], "fill ClusterCalc Table",1), "no bin")</f>
        <v>Nadir</v>
      </c>
      <c r="AG112" s="1" t="str">
        <f>IF(ISNUMBER(Cluster15[[#This Row],[Bin_end]]), _xlfn.XLOOKUP(Cluster15[[#This Row],[Bin_end]], ClusterCalc_3x3SE22[Bin_end], ClusterCalc_3x3SE22[Peak or Nadir], "fill ClusterCalc Table",1), "no bin")</f>
        <v>Nadir</v>
      </c>
      <c r="AI112" s="23">
        <v>120</v>
      </c>
      <c r="BK112" s="17" t="s">
        <v>39</v>
      </c>
      <c r="BQ112" s="2"/>
      <c r="BR112" s="2"/>
      <c r="BS112" s="2"/>
      <c r="BT112" s="2"/>
      <c r="BV112" s="76" t="s">
        <v>228</v>
      </c>
    </row>
    <row r="113" spans="2:87" x14ac:dyDescent="0.2">
      <c r="B113" s="1">
        <f t="shared" ref="B113" si="0">IF(E112&lt;TotalLength_min, IF(ISNONTEXT(B112), IF(C113&gt;C112, B112, IF(B112&lt;LastSeries, B112+1)), B112), "Greater than Total Length")</f>
        <v>3</v>
      </c>
      <c r="C113" s="1">
        <f t="shared" ref="C113" si="1">IF(E112&lt;TotalLength_min, IF(ISNONTEXT(C112), IF(C112&lt;(BinsPerSeries-1),C112+1,0), C112), "Greater than Total Length")</f>
        <v>1</v>
      </c>
      <c r="D113" s="18">
        <f t="shared" ref="D113" si="2">IF(BinSize_sec &gt; 0, IF(ISNONTEXT(F112), IF(F112 + BinSize_sec &lt; TotalLength_sec, F113/60, "Greater than Total Length"), F112), "No bin size")</f>
        <v>1</v>
      </c>
      <c r="E113" s="18">
        <f t="shared" ref="E113" si="3">IF(BinSize_sec &gt; 0, IF(ISNONTEXT(G112), IF(G112 + BinSize_sec &gt; TotalLength_sec, "Greater than Total Length", G113/60), G112), "No bin size")</f>
        <v>2</v>
      </c>
      <c r="F113" s="19">
        <f t="shared" ref="F113" si="4">IF(BinSize_sec &gt; 0, IF(ISNONTEXT(F112), IF(F112 + BinSize_sec &lt; TotalLength_sec, F112 + BinSize_sec, "Greater than Total Length"), F112), "No bin size")</f>
        <v>60</v>
      </c>
      <c r="G113" s="19">
        <f t="shared" ref="G113" si="5">IF(BinSize_sec &gt; 0, IF(ISNONTEXT(G112), IF(G112 + BinSize_sec &gt; TotalLength_sec, "Greater than Total Length", G112 + BinSize_sec), G112), "No bin size")</f>
        <v>120</v>
      </c>
      <c r="H113" s="20">
        <v>0</v>
      </c>
      <c r="I113" s="21">
        <v>0</v>
      </c>
      <c r="J113" s="1">
        <f>IF(ISBLANK(FiringRate13[[#This Row],[Event/bin]]), " ", FiringRate13[[#This Row],[Event/bin]]/BinSize_sec)</f>
        <v>0</v>
      </c>
      <c r="K113" s="22">
        <f>IF(ISBLANK(FiringRate13[[#This Row],[Conc events/bin]]), " ", FiringRate13[[#This Row],[Conc events/bin]]/BinSize_sec)</f>
        <v>0</v>
      </c>
      <c r="W113" s="18">
        <f t="shared" ref="W113:W144" si="6">IF(ClusterBinSize_sec &gt; 0, IF(ISNONTEXT(W112), IF(X112 &lt; EndTime_spont, W112 + (ClusterBinSize_sec / 60), "&gt; Spont Length"), W112), "No bin size")</f>
        <v>2</v>
      </c>
      <c r="X113" s="18">
        <f t="shared" ref="X113:X144" si="7">IF(ClusterBinSize_sec &gt; 0, IF(ISNONTEXT(X112), IF(X112 + (ClusterBinSize_sec / 60) &gt; EndTime_spont, "&gt; Spont Length", X112 + (ClusterBinSize_sec / 60)), X112), "No bin size")</f>
        <v>4</v>
      </c>
      <c r="Y113" s="19">
        <f t="shared" ref="Y113:Y144" si="8">IF(ClusterBinSize_sec &gt; 0, IF(ISNONTEXT(Y112), IF(Z112 &lt; (EndTime_spont *60), Y112 + ClusterBinSize_sec, "&gt; Spont Length"), Y112), "No bin size")</f>
        <v>120</v>
      </c>
      <c r="Z113" s="19">
        <f t="shared" ref="Z113:Z144" si="9">IF(ClusterBinSize_sec &gt; 0, IF(ISNONTEXT(Z112), IF(Z112 + ClusterBinSize_sec &gt; (EndTime_spont * 60), "&gt; Spont Length", Z112 + ClusterBinSize_sec), Z112), "No bin size")</f>
        <v>240</v>
      </c>
      <c r="AA113" s="21">
        <v>0</v>
      </c>
      <c r="AB113" s="25">
        <f>IF(ISNUMBER(Cluster15[[#This Row],[Bin Start (min)]]), AB112+1, Cluster15[[#This Row],[Bin Start (min)]])</f>
        <v>1</v>
      </c>
      <c r="AC113" s="25">
        <f>IF(ISNUMBER(Cluster15[[#This Row],[Bin End (min)]]), AC112+1, Cluster15[[#This Row],[Bin End (min)]])</f>
        <v>2</v>
      </c>
      <c r="AD113" s="1" t="str">
        <f>IF(ISNUMBER(Cluster15[[#This Row],[Bin_end]]), _xlfn.XLOOKUP(Cluster15[[#This Row],[Bin_end]], ClusterCalc_2x2SD16[Bin_end], ClusterCalc_2x2SD16[Peak or Nadir], "fill ClusterCalc Table",1), "no bin")</f>
        <v>Nadir</v>
      </c>
      <c r="AE113" s="1" t="str">
        <f>IF(ISNUMBER(Cluster15[[#This Row],[Bin_end]]), _xlfn.XLOOKUP(Cluster15[[#This Row],[Bin_end]], ClusterCalc_3x3SD18[Bin_end], ClusterCalc_3x3SD18[Peak or Nadir], "fill ClusterCalc Table",1), "no bin")</f>
        <v>Nadir</v>
      </c>
      <c r="AF113" s="1" t="str">
        <f>IF(ISNUMBER(Cluster15[[#This Row],[Bin_end]]), _xlfn.XLOOKUP(Cluster15[[#This Row],[Bin_end]], ClusterCalc_2x2SE20[Bin_end], ClusterCalc_2x2SE20[Peak or Nadir], "fill ClusterCalc Table",1), "no bin")</f>
        <v>Nadir</v>
      </c>
      <c r="AG113" s="1" t="str">
        <f>IF(ISNUMBER(Cluster15[[#This Row],[Bin_end]]), _xlfn.XLOOKUP(Cluster15[[#This Row],[Bin_end]], ClusterCalc_3x3SE22[Bin_end], ClusterCalc_3x3SE22[Peak or Nadir], "fill ClusterCalc Table",1), "no bin")</f>
        <v>Nadir</v>
      </c>
      <c r="BK113" s="12" t="s">
        <v>65</v>
      </c>
      <c r="BL113" s="12" t="s">
        <v>66</v>
      </c>
      <c r="BM113" s="12" t="s">
        <v>67</v>
      </c>
      <c r="BN113" s="12" t="s">
        <v>68</v>
      </c>
      <c r="BO113" s="12" t="s">
        <v>69</v>
      </c>
      <c r="BP113" s="12" t="s">
        <v>70</v>
      </c>
      <c r="BQ113" s="12" t="s">
        <v>71</v>
      </c>
      <c r="BR113" s="12" t="s">
        <v>72</v>
      </c>
      <c r="BS113" s="12" t="s">
        <v>73</v>
      </c>
      <c r="BT113" s="12" t="s">
        <v>74</v>
      </c>
      <c r="BV113"/>
      <c r="CH113" s="2"/>
      <c r="CI113" s="2"/>
    </row>
    <row r="114" spans="2:87" ht="19" x14ac:dyDescent="0.25">
      <c r="B114" s="1">
        <f t="shared" ref="B114:B144" si="10">IF(E113&lt;TotalLength_min, IF(ISNONTEXT(B113), IF(C114&gt;C113, B113, IF(B113&lt;LastSeries, B113+1)), B113), "Greater than Total Length")</f>
        <v>3</v>
      </c>
      <c r="C114" s="1">
        <f t="shared" ref="C114:C144" si="11">IF(E113&lt;TotalLength_min, IF(ISNONTEXT(C113), IF(C113&lt;(BinsPerSeries-1),C113+1,0), C113), "Greater than Total Length")</f>
        <v>2</v>
      </c>
      <c r="D114" s="18">
        <f t="shared" ref="D114:D144" si="12">IF(BinSize_sec &gt; 0, IF(ISNONTEXT(F113), IF(F113 + BinSize_sec &lt; TotalLength_sec, F114/60, "Greater than Total Length"), F113), "No bin size")</f>
        <v>2</v>
      </c>
      <c r="E114" s="18">
        <f t="shared" ref="E114:E144" si="13">IF(BinSize_sec &gt; 0, IF(ISNONTEXT(G113), IF(G113 + BinSize_sec &gt; TotalLength_sec, "Greater than Total Length", G114/60), G113), "No bin size")</f>
        <v>3</v>
      </c>
      <c r="F114" s="19">
        <f t="shared" ref="F114:F144" si="14">IF(BinSize_sec &gt; 0, IF(ISNONTEXT(F113), IF(F113 + BinSize_sec &lt; TotalLength_sec, F113 + BinSize_sec, "Greater than Total Length"), F113), "No bin size")</f>
        <v>120</v>
      </c>
      <c r="G114" s="19">
        <f t="shared" ref="G114:G144" si="15">IF(BinSize_sec &gt; 0, IF(ISNONTEXT(G113), IF(G113 + BinSize_sec &gt; TotalLength_sec, "Greater than Total Length", G113 + BinSize_sec), G113), "No bin size")</f>
        <v>180</v>
      </c>
      <c r="H114" s="20">
        <v>0</v>
      </c>
      <c r="I114" s="21">
        <v>0</v>
      </c>
      <c r="J114" s="1">
        <f>IF(ISBLANK(FiringRate13[[#This Row],[Event/bin]]), " ", FiringRate13[[#This Row],[Event/bin]]/BinSize_sec)</f>
        <v>0</v>
      </c>
      <c r="K114" s="22">
        <f>IF(ISBLANK(FiringRate13[[#This Row],[Conc events/bin]]), " ", FiringRate13[[#This Row],[Conc events/bin]]/BinSize_sec)</f>
        <v>0</v>
      </c>
      <c r="W114" s="18">
        <f t="shared" si="6"/>
        <v>4</v>
      </c>
      <c r="X114" s="18">
        <f t="shared" si="7"/>
        <v>6</v>
      </c>
      <c r="Y114" s="19">
        <f t="shared" si="8"/>
        <v>240</v>
      </c>
      <c r="Z114" s="19">
        <f t="shared" si="9"/>
        <v>360</v>
      </c>
      <c r="AA114" s="21">
        <v>250</v>
      </c>
      <c r="AB114" s="25">
        <f>IF(ISNUMBER(Cluster15[[#This Row],[Bin Start (min)]]), AB113+1, Cluster15[[#This Row],[Bin Start (min)]])</f>
        <v>2</v>
      </c>
      <c r="AC114" s="25">
        <f>IF(ISNUMBER(Cluster15[[#This Row],[Bin End (min)]]), AC113+1, Cluster15[[#This Row],[Bin End (min)]])</f>
        <v>3</v>
      </c>
      <c r="AD114" s="1" t="str">
        <f>IF(ISNUMBER(Cluster15[[#This Row],[Bin_end]]), _xlfn.XLOOKUP(Cluster15[[#This Row],[Bin_end]], ClusterCalc_2x2SD16[Bin_end], ClusterCalc_2x2SD16[Peak or Nadir], "fill ClusterCalc Table",1), "no bin")</f>
        <v>Peak</v>
      </c>
      <c r="AE114" s="1" t="str">
        <f>IF(ISNUMBER(Cluster15[[#This Row],[Bin_end]]), _xlfn.XLOOKUP(Cluster15[[#This Row],[Bin_end]], ClusterCalc_3x3SD18[Bin_end], ClusterCalc_3x3SD18[Peak or Nadir], "fill ClusterCalc Table",1), "no bin")</f>
        <v>Nadir</v>
      </c>
      <c r="AF114" s="1" t="str">
        <f>IF(ISNUMBER(Cluster15[[#This Row],[Bin_end]]), _xlfn.XLOOKUP(Cluster15[[#This Row],[Bin_end]], ClusterCalc_2x2SE20[Bin_end], ClusterCalc_2x2SE20[Peak or Nadir], "fill ClusterCalc Table",1), "no bin")</f>
        <v>Peak</v>
      </c>
      <c r="AG114" s="1" t="str">
        <f>IF(ISNUMBER(Cluster15[[#This Row],[Bin_end]]), _xlfn.XLOOKUP(Cluster15[[#This Row],[Bin_end]], ClusterCalc_3x3SE22[Bin_end], ClusterCalc_3x3SE22[Peak or Nadir], "fill ClusterCalc Table",1), "no bin")</f>
        <v>Nadir</v>
      </c>
      <c r="AI114" s="43" t="s">
        <v>60</v>
      </c>
      <c r="AJ114" s="42"/>
      <c r="AK114" s="42"/>
      <c r="AL114" s="42"/>
      <c r="AM114" s="42"/>
      <c r="AP114" s="43" t="s">
        <v>61</v>
      </c>
      <c r="AQ114" s="42"/>
      <c r="AR114" s="42"/>
      <c r="AS114" s="42"/>
      <c r="AT114" s="42"/>
      <c r="AU114" s="42"/>
      <c r="AV114" s="42"/>
      <c r="AW114" s="43" t="s">
        <v>62</v>
      </c>
      <c r="AX114" s="42"/>
      <c r="AY114" s="42"/>
      <c r="AZ114" s="42"/>
      <c r="BA114" s="42"/>
      <c r="BD114" s="43" t="s">
        <v>63</v>
      </c>
      <c r="BE114" s="42"/>
      <c r="BF114" s="42"/>
      <c r="BG114" s="42"/>
      <c r="BH114" s="42"/>
      <c r="BK114" s="26"/>
      <c r="BL114" s="26"/>
      <c r="BM114" s="26"/>
      <c r="BN114" s="26"/>
      <c r="BO114" s="9"/>
      <c r="BP114" s="9"/>
      <c r="BQ114" s="9"/>
      <c r="BR114" s="9"/>
      <c r="BS114" s="9"/>
      <c r="BT114" s="9"/>
      <c r="BV114" t="s">
        <v>229</v>
      </c>
    </row>
    <row r="115" spans="2:87" ht="68" x14ac:dyDescent="0.2">
      <c r="B115" s="1">
        <f t="shared" si="10"/>
        <v>3</v>
      </c>
      <c r="C115" s="1">
        <f t="shared" si="11"/>
        <v>3</v>
      </c>
      <c r="D115" s="18">
        <f t="shared" si="12"/>
        <v>3</v>
      </c>
      <c r="E115" s="18">
        <f t="shared" si="13"/>
        <v>4</v>
      </c>
      <c r="F115" s="19">
        <f t="shared" si="14"/>
        <v>180</v>
      </c>
      <c r="G115" s="19">
        <f t="shared" si="15"/>
        <v>240</v>
      </c>
      <c r="H115" s="20">
        <v>0</v>
      </c>
      <c r="I115" s="21">
        <v>0</v>
      </c>
      <c r="J115" s="1">
        <f>IF(ISBLANK(FiringRate13[[#This Row],[Event/bin]]), " ", FiringRate13[[#This Row],[Event/bin]]/BinSize_sec)</f>
        <v>0</v>
      </c>
      <c r="K115" s="22">
        <f>IF(ISBLANK(FiringRate13[[#This Row],[Conc events/bin]]), " ", FiringRate13[[#This Row],[Conc events/bin]]/BinSize_sec)</f>
        <v>0</v>
      </c>
      <c r="O115" s="27" t="s">
        <v>75</v>
      </c>
      <c r="P115" s="28" t="s">
        <v>76</v>
      </c>
      <c r="Q115" s="1" t="s">
        <v>77</v>
      </c>
      <c r="R115" s="1" t="s">
        <v>78</v>
      </c>
      <c r="T115" s="27" t="s">
        <v>216</v>
      </c>
      <c r="W115" s="18">
        <f t="shared" si="6"/>
        <v>6</v>
      </c>
      <c r="X115" s="18">
        <f t="shared" si="7"/>
        <v>8</v>
      </c>
      <c r="Y115" s="19">
        <f t="shared" si="8"/>
        <v>360</v>
      </c>
      <c r="Z115" s="19">
        <f t="shared" si="9"/>
        <v>480</v>
      </c>
      <c r="AA115" s="21">
        <v>108</v>
      </c>
      <c r="AB115" s="25">
        <f>IF(ISNUMBER(Cluster15[[#This Row],[Bin Start (min)]]), AB114+1, Cluster15[[#This Row],[Bin Start (min)]])</f>
        <v>3</v>
      </c>
      <c r="AC115" s="25">
        <f>IF(ISNUMBER(Cluster15[[#This Row],[Bin End (min)]]), AC114+1, Cluster15[[#This Row],[Bin End (min)]])</f>
        <v>4</v>
      </c>
      <c r="AD115" s="1" t="str">
        <f>IF(ISNUMBER(Cluster15[[#This Row],[Bin_end]]), _xlfn.XLOOKUP(Cluster15[[#This Row],[Bin_end]], ClusterCalc_2x2SD16[Bin_end], ClusterCalc_2x2SD16[Peak or Nadir], "fill ClusterCalc Table",1), "no bin")</f>
        <v>Peak</v>
      </c>
      <c r="AE115" s="1" t="str">
        <f>IF(ISNUMBER(Cluster15[[#This Row],[Bin_end]]), _xlfn.XLOOKUP(Cluster15[[#This Row],[Bin_end]], ClusterCalc_3x3SD18[Bin_end], ClusterCalc_3x3SD18[Peak or Nadir], "fill ClusterCalc Table",1), "no bin")</f>
        <v>Peak</v>
      </c>
      <c r="AF115" s="1" t="str">
        <f>IF(ISNUMBER(Cluster15[[#This Row],[Bin_end]]), _xlfn.XLOOKUP(Cluster15[[#This Row],[Bin_end]], ClusterCalc_2x2SE20[Bin_end], ClusterCalc_2x2SE20[Peak or Nadir], "fill ClusterCalc Table",1), "no bin")</f>
        <v>Peak</v>
      </c>
      <c r="AG115" s="1" t="str">
        <f>IF(ISNUMBER(Cluster15[[#This Row],[Bin_end]]), _xlfn.XLOOKUP(Cluster15[[#This Row],[Bin_end]], ClusterCalc_3x3SE22[Bin_end], ClusterCalc_3x3SE22[Peak or Nadir], "fill ClusterCalc Table",1), "no bin")</f>
        <v>Peak</v>
      </c>
      <c r="AI115" s="51" t="s">
        <v>80</v>
      </c>
      <c r="AJ115" s="51" t="s">
        <v>83</v>
      </c>
      <c r="AK115" s="51" t="s">
        <v>84</v>
      </c>
      <c r="AL115" s="51" t="s">
        <v>85</v>
      </c>
      <c r="AM115" s="51" t="s">
        <v>86</v>
      </c>
      <c r="AP115" s="52" t="s">
        <v>80</v>
      </c>
      <c r="AQ115" s="52" t="s">
        <v>83</v>
      </c>
      <c r="AR115" s="52" t="s">
        <v>84</v>
      </c>
      <c r="AS115" s="52" t="s">
        <v>85</v>
      </c>
      <c r="AT115" s="52" t="s">
        <v>86</v>
      </c>
      <c r="AU115" s="42"/>
      <c r="AV115" s="42"/>
      <c r="AW115" s="53" t="s">
        <v>80</v>
      </c>
      <c r="AX115" s="53" t="s">
        <v>83</v>
      </c>
      <c r="AY115" s="53" t="s">
        <v>84</v>
      </c>
      <c r="AZ115" s="53" t="s">
        <v>85</v>
      </c>
      <c r="BA115" s="53" t="s">
        <v>86</v>
      </c>
      <c r="BD115" s="54" t="s">
        <v>80</v>
      </c>
      <c r="BE115" s="54" t="s">
        <v>83</v>
      </c>
      <c r="BF115" s="54" t="s">
        <v>84</v>
      </c>
      <c r="BG115" s="54" t="s">
        <v>85</v>
      </c>
      <c r="BH115" s="54" t="s">
        <v>86</v>
      </c>
      <c r="BO115" s="2"/>
      <c r="BP115" s="2"/>
      <c r="BQ115" s="2"/>
      <c r="BR115" s="2"/>
      <c r="BS115" s="2"/>
      <c r="BT115" s="2"/>
      <c r="BV115"/>
    </row>
    <row r="116" spans="2:87" x14ac:dyDescent="0.2">
      <c r="B116" s="1">
        <f t="shared" si="10"/>
        <v>3</v>
      </c>
      <c r="C116" s="1">
        <f t="shared" si="11"/>
        <v>4</v>
      </c>
      <c r="D116" s="18">
        <f t="shared" si="12"/>
        <v>4</v>
      </c>
      <c r="E116" s="18">
        <f t="shared" si="13"/>
        <v>5</v>
      </c>
      <c r="F116" s="19">
        <f t="shared" si="14"/>
        <v>240</v>
      </c>
      <c r="G116" s="19">
        <f t="shared" si="15"/>
        <v>300</v>
      </c>
      <c r="H116" s="20">
        <v>86</v>
      </c>
      <c r="I116" s="21">
        <v>86</v>
      </c>
      <c r="J116" s="1">
        <f>IF(ISBLANK(FiringRate13[[#This Row],[Event/bin]]), " ", FiringRate13[[#This Row],[Event/bin]]/BinSize_sec)</f>
        <v>1.4333333333333333</v>
      </c>
      <c r="K116" s="22">
        <f>IF(ISBLANK(FiringRate13[[#This Row],[Conc events/bin]]), " ", FiringRate13[[#This Row],[Conc events/bin]]/BinSize_sec)</f>
        <v>1.4333333333333333</v>
      </c>
      <c r="N116" s="1" t="s">
        <v>10</v>
      </c>
      <c r="O116" s="29">
        <v>0</v>
      </c>
      <c r="P116" s="29">
        <v>74</v>
      </c>
      <c r="Q116" s="3">
        <f>IF(ISBLANK(O116), "Enter Time", (P116-O116))</f>
        <v>74</v>
      </c>
      <c r="R116" s="30">
        <f>IF(ISNUMBER(O116), IF(ISNUMBER(P116), AVERAGE(_xlfn.XLOOKUP(O116, FiringRate13[Bin Start (min)], FiringRate13[Freq conc (in Hz)], "NA", 1):_xlfn.XLOOKUP(P116, FiringRate13[Bin End (min)], FiringRate13[Freq conc (in Hz)], "NA", 1)), "Enter End Time"), "Enter Start Time")</f>
        <v>0.89076576576576549</v>
      </c>
      <c r="T116" s="74" t="b">
        <v>0</v>
      </c>
      <c r="W116" s="18">
        <f t="shared" si="6"/>
        <v>8</v>
      </c>
      <c r="X116" s="18">
        <f t="shared" si="7"/>
        <v>10</v>
      </c>
      <c r="Y116" s="19">
        <f t="shared" si="8"/>
        <v>480</v>
      </c>
      <c r="Z116" s="19">
        <f t="shared" si="9"/>
        <v>600</v>
      </c>
      <c r="AA116" s="21">
        <v>308</v>
      </c>
      <c r="AB116" s="25">
        <f>IF(ISNUMBER(Cluster15[[#This Row],[Bin Start (min)]]), AB115+1, Cluster15[[#This Row],[Bin Start (min)]])</f>
        <v>4</v>
      </c>
      <c r="AC116" s="25">
        <f>IF(ISNUMBER(Cluster15[[#This Row],[Bin End (min)]]), AC115+1, Cluster15[[#This Row],[Bin End (min)]])</f>
        <v>5</v>
      </c>
      <c r="AD116" s="1" t="str">
        <f>IF(ISNUMBER(Cluster15[[#This Row],[Bin_end]]), _xlfn.XLOOKUP(Cluster15[[#This Row],[Bin_end]], ClusterCalc_2x2SD16[Bin_end], ClusterCalc_2x2SD16[Peak or Nadir], "fill ClusterCalc Table",1), "no bin")</f>
        <v>Peak</v>
      </c>
      <c r="AE116" s="1" t="str">
        <f>IF(ISNUMBER(Cluster15[[#This Row],[Bin_end]]), _xlfn.XLOOKUP(Cluster15[[#This Row],[Bin_end]], ClusterCalc_3x3SD18[Bin_end], ClusterCalc_3x3SD18[Peak or Nadir], "fill ClusterCalc Table",1), "no bin")</f>
        <v>Peak</v>
      </c>
      <c r="AF116" s="1" t="str">
        <f>IF(ISNUMBER(Cluster15[[#This Row],[Bin_end]]), _xlfn.XLOOKUP(Cluster15[[#This Row],[Bin_end]], ClusterCalc_2x2SE20[Bin_end], ClusterCalc_2x2SE20[Peak or Nadir], "fill ClusterCalc Table",1), "no bin")</f>
        <v>Peak</v>
      </c>
      <c r="AG116" s="1" t="str">
        <f>IF(ISNUMBER(Cluster15[[#This Row],[Bin_end]]), _xlfn.XLOOKUP(Cluster15[[#This Row],[Bin_end]], ClusterCalc_3x3SE22[Bin_end], ClusterCalc_3x3SE22[Peak or Nadir], "fill ClusterCalc Table",1), "no bin")</f>
        <v>Peak</v>
      </c>
      <c r="AI116" s="55" t="s">
        <v>88</v>
      </c>
      <c r="AJ116" s="55">
        <f>SUMIF(ClusterCalc_2x2SD16[Peak or Nadir], ClusterVals_2x2SD17[[#This Row],[Peak or Nadir]], ClusterCalc_2x2SD16[Duration (min)])</f>
        <v>48</v>
      </c>
      <c r="AK116" s="55">
        <f>AVERAGEIF(ClusterCalc_2x2SD16[Peak or Nadir], ClusterVals_2x2SD17[[#This Row],[Peak or Nadir]], ClusterCalc_2x2SD16[Duration (min)])</f>
        <v>8</v>
      </c>
      <c r="AL116" s="55">
        <f>AVERAGEIF(ClusterCalc_2x2SD16[Peak or Nadir], ClusterVals_2x2SD17[[#This Row],[Peak or Nadir]], ClusterCalc_2x2SD16[Mean Firing (Hz)])</f>
        <v>1.1481481481481481</v>
      </c>
      <c r="AM116" s="55">
        <f>COUNTIF(ClusterCalc_2x2SD16[Peak or Nadir],ClusterVals_2x2SD17[[#This Row],[Peak or Nadir]])</f>
        <v>6</v>
      </c>
      <c r="AP116" s="55" t="s">
        <v>88</v>
      </c>
      <c r="AQ116" s="55">
        <f>SUMIF(ClusterCalc_3x3SD18[Peak or Nadir], ClusterVals_3x3SD19[[#This Row],[Peak or Nadir]], ClusterCalc_3x3SD18[Duration (min)])</f>
        <v>58</v>
      </c>
      <c r="AR116" s="55">
        <f>AVERAGEIF(ClusterCalc_3x3SD18[Peak or Nadir], ClusterVals_3x3SD19[[#This Row],[Peak or Nadir]], ClusterCalc_3x3SD18[Duration (min)])</f>
        <v>19.333333333333332</v>
      </c>
      <c r="AS116" s="55">
        <f>AVERAGEIF(ClusterCalc_3x3SD18[Peak or Nadir], ClusterVals_3x3SD19[[#This Row],[Peak or Nadir]], ClusterCalc_3x3SD18[Mean Firing (Hz)])</f>
        <v>0.98819444444444438</v>
      </c>
      <c r="AT116" s="55">
        <f>COUNTIF(ClusterCalc_3x3SD18[Peak or Nadir],ClusterVals_3x3SD19[[#This Row],[Peak or Nadir]])</f>
        <v>3</v>
      </c>
      <c r="AU116" s="42"/>
      <c r="AV116" s="42"/>
      <c r="AW116" s="55" t="s">
        <v>88</v>
      </c>
      <c r="AX116" s="55">
        <f>SUMIF(ClusterCalc_2x2SE20[Peak or Nadir], ClusterVals_2x2SE21[[#This Row],[Peak or Nadir]], ClusterCalc_2x2SE20[Duration (min)])</f>
        <v>48</v>
      </c>
      <c r="AY116" s="55">
        <f>AVERAGEIF(ClusterCalc_2x2SE20[Peak or Nadir], ClusterVals_2x2SE21[[#This Row],[Peak or Nadir]], ClusterCalc_2x2SE20[Duration (min)])</f>
        <v>8</v>
      </c>
      <c r="AZ116" s="55">
        <f>AVERAGEIF(ClusterCalc_2x2SE20[Peak or Nadir], ClusterVals_2x2SE21[[#This Row],[Peak or Nadir]], ClusterCalc_2x2SE20[Mean Firing (Hz)])</f>
        <v>1.1481481481481481</v>
      </c>
      <c r="BA116" s="55">
        <f>COUNTIF(ClusterCalc_2x2SE20[Peak or Nadir],ClusterVals_2x2SE21[[#This Row],[Peak or Nadir]])</f>
        <v>6</v>
      </c>
      <c r="BD116" s="55" t="s">
        <v>88</v>
      </c>
      <c r="BE116" s="55">
        <f>SUMIF(ClusterCalc_3x3SE22[Peak or Nadir], ClusterVals_3x3SE23[[#This Row],[Peak or Nadir]], ClusterCalc_3x3SE22[Duration (min)])</f>
        <v>58</v>
      </c>
      <c r="BF116" s="55">
        <f>AVERAGEIF(ClusterCalc_3x3SE22[Peak or Nadir], ClusterVals_3x3SE23[[#This Row],[Peak or Nadir]], ClusterCalc_3x3SE22[Duration (min)])</f>
        <v>19.333333333333332</v>
      </c>
      <c r="BG116" s="55">
        <f>AVERAGEIF(ClusterCalc_3x3SE22[Peak or Nadir], ClusterVals_3x3SE23[[#This Row],[Peak or Nadir]], ClusterCalc_3x3SE22[Mean Firing (Hz)])</f>
        <v>0.98191137566137565</v>
      </c>
      <c r="BH116" s="55">
        <f>COUNTIF(ClusterCalc_3x3SE22[Peak or Nadir],ClusterVals_3x3SE23[[#This Row],[Peak or Nadir]])</f>
        <v>3</v>
      </c>
      <c r="BK116" s="32" t="s">
        <v>89</v>
      </c>
      <c r="BL116" s="32" t="s">
        <v>90</v>
      </c>
      <c r="BM116" s="32" t="s">
        <v>91</v>
      </c>
      <c r="BN116" s="32" t="s">
        <v>92</v>
      </c>
      <c r="BO116" s="32" t="s">
        <v>93</v>
      </c>
      <c r="BP116" s="32" t="s">
        <v>94</v>
      </c>
      <c r="BQ116" s="32" t="s">
        <v>95</v>
      </c>
      <c r="BR116" s="32" t="s">
        <v>96</v>
      </c>
      <c r="BS116" s="32" t="s">
        <v>97</v>
      </c>
      <c r="BT116" s="32" t="s">
        <v>98</v>
      </c>
      <c r="BV116"/>
    </row>
    <row r="117" spans="2:87" x14ac:dyDescent="0.2">
      <c r="B117" s="1">
        <f t="shared" si="10"/>
        <v>3</v>
      </c>
      <c r="C117" s="1">
        <f t="shared" si="11"/>
        <v>5</v>
      </c>
      <c r="D117" s="18">
        <f t="shared" si="12"/>
        <v>5</v>
      </c>
      <c r="E117" s="18">
        <f t="shared" si="13"/>
        <v>6</v>
      </c>
      <c r="F117" s="19">
        <f t="shared" si="14"/>
        <v>300</v>
      </c>
      <c r="G117" s="19">
        <f t="shared" si="15"/>
        <v>360</v>
      </c>
      <c r="H117" s="20">
        <v>164</v>
      </c>
      <c r="I117" s="21">
        <v>164</v>
      </c>
      <c r="J117" s="1">
        <f>IF(ISBLANK(FiringRate13[[#This Row],[Event/bin]]), " ", FiringRate13[[#This Row],[Event/bin]]/BinSize_sec)</f>
        <v>2.7333333333333334</v>
      </c>
      <c r="K117" s="22">
        <f>IF(ISBLANK(FiringRate13[[#This Row],[Conc events/bin]]), " ", FiringRate13[[#This Row],[Conc events/bin]]/BinSize_sec)</f>
        <v>2.7333333333333334</v>
      </c>
      <c r="N117" s="1" t="s">
        <v>99</v>
      </c>
      <c r="O117" s="33"/>
      <c r="P117" s="33"/>
      <c r="Q117" s="10" t="str">
        <f>IF(Senktide_analysis, IF(ISBLANK(O117), "Enter Time", (P117-O117)), "NA")</f>
        <v>NA</v>
      </c>
      <c r="R117" s="30" t="str">
        <f>IF(Senktide_analysis, IF(ISNUMBER(O117), IF(ISNUMBER(P117), AVERAGE(_xlfn.XLOOKUP(O117, FiringRate13[Bin Start (min)], FiringRate13[Freq conc (in Hz)], "NA", 1):_xlfn.XLOOKUP(P117, FiringRate13[Bin End (min)], FiringRate13[Freq conc (in Hz)], "NA", 1)), "Enter End Time"), "Enter Start Time"), "NA")</f>
        <v>NA</v>
      </c>
      <c r="W117" s="18">
        <f t="shared" si="6"/>
        <v>10</v>
      </c>
      <c r="X117" s="18">
        <f t="shared" si="7"/>
        <v>12</v>
      </c>
      <c r="Y117" s="19">
        <f t="shared" si="8"/>
        <v>600</v>
      </c>
      <c r="Z117" s="19">
        <f t="shared" si="9"/>
        <v>720</v>
      </c>
      <c r="AA117" s="21">
        <v>77</v>
      </c>
      <c r="AB117" s="25">
        <f>IF(ISNUMBER(Cluster15[[#This Row],[Bin Start (min)]]), AB116+1, Cluster15[[#This Row],[Bin Start (min)]])</f>
        <v>5</v>
      </c>
      <c r="AC117" s="25">
        <f>IF(ISNUMBER(Cluster15[[#This Row],[Bin End (min)]]), AC116+1, Cluster15[[#This Row],[Bin End (min)]])</f>
        <v>6</v>
      </c>
      <c r="AD117" s="1" t="str">
        <f>IF(ISNUMBER(Cluster15[[#This Row],[Bin_end]]), _xlfn.XLOOKUP(Cluster15[[#This Row],[Bin_end]], ClusterCalc_2x2SD16[Bin_end], ClusterCalc_2x2SD16[Peak or Nadir], "fill ClusterCalc Table",1), "no bin")</f>
        <v>Nadir</v>
      </c>
      <c r="AE117" s="1" t="str">
        <f>IF(ISNUMBER(Cluster15[[#This Row],[Bin_end]]), _xlfn.XLOOKUP(Cluster15[[#This Row],[Bin_end]], ClusterCalc_3x3SD18[Bin_end], ClusterCalc_3x3SD18[Peak or Nadir], "fill ClusterCalc Table",1), "no bin")</f>
        <v>Peak</v>
      </c>
      <c r="AF117" s="1" t="str">
        <f>IF(ISNUMBER(Cluster15[[#This Row],[Bin_end]]), _xlfn.XLOOKUP(Cluster15[[#This Row],[Bin_end]], ClusterCalc_2x2SE20[Bin_end], ClusterCalc_2x2SE20[Peak or Nadir], "fill ClusterCalc Table",1), "no bin")</f>
        <v>Nadir</v>
      </c>
      <c r="AG117" s="1" t="str">
        <f>IF(ISNUMBER(Cluster15[[#This Row],[Bin_end]]), _xlfn.XLOOKUP(Cluster15[[#This Row],[Bin_end]], ClusterCalc_3x3SE22[Bin_end], ClusterCalc_3x3SE22[Peak or Nadir], "fill ClusterCalc Table",1), "no bin")</f>
        <v>Peak</v>
      </c>
      <c r="AI117" s="56" t="s">
        <v>101</v>
      </c>
      <c r="AJ117" s="56">
        <f>SUMIF(ClusterCalc_2x2SD16[Peak or Nadir], ClusterVals_2x2SD17[[#This Row],[Peak or Nadir]], ClusterCalc_2x2SD16[Duration (min)])</f>
        <v>26</v>
      </c>
      <c r="AK117" s="56">
        <f>AVERAGEIF(ClusterCalc_2x2SD16[Peak or Nadir], ClusterVals_2x2SD17[[#This Row],[Peak or Nadir]], ClusterCalc_2x2SD16[Duration (min)])</f>
        <v>3.7142857142857144</v>
      </c>
      <c r="AL117" s="56">
        <f>AVERAGEIF(ClusterCalc_2x2SD16[Peak or Nadir], ClusterVals_2x2SD17[[#This Row],[Peak or Nadir]], ClusterCalc_2x2SD16[Mean Firing (Hz)])</f>
        <v>0.44107142857142856</v>
      </c>
      <c r="AM117" s="56">
        <f>COUNTIF(ClusterCalc_2x2SD16[Peak or Nadir],ClusterVals_2x2SD17[[#This Row],[Peak or Nadir]])</f>
        <v>7</v>
      </c>
      <c r="AP117" s="56" t="s">
        <v>101</v>
      </c>
      <c r="AQ117" s="56">
        <f>SUMIF(ClusterCalc_3x3SD18[Peak or Nadir], ClusterVals_3x3SD19[[#This Row],[Peak or Nadir]], ClusterCalc_3x3SD18[Duration (min)])</f>
        <v>16</v>
      </c>
      <c r="AR117" s="56">
        <f>AVERAGEIF(ClusterCalc_3x3SD18[Peak or Nadir], ClusterVals_3x3SD19[[#This Row],[Peak or Nadir]], ClusterCalc_3x3SD18[Duration (min)])</f>
        <v>5.333333333333333</v>
      </c>
      <c r="AS117" s="56">
        <f>AVERAGEIF(ClusterCalc_3x3SD18[Peak or Nadir], ClusterVals_3x3SD19[[#This Row],[Peak or Nadir]], ClusterCalc_3x3SD18[Mean Firing (Hz)])</f>
        <v>0.56851851851851853</v>
      </c>
      <c r="AT117" s="56">
        <f>COUNTIF(ClusterCalc_3x3SD18[Peak or Nadir],ClusterVals_3x3SD19[[#This Row],[Peak or Nadir]])</f>
        <v>3</v>
      </c>
      <c r="AU117" s="42"/>
      <c r="AV117" s="42"/>
      <c r="AW117" s="56" t="s">
        <v>101</v>
      </c>
      <c r="AX117" s="56">
        <f>SUMIF(ClusterCalc_2x2SE20[Peak or Nadir], ClusterVals_2x2SE21[[#This Row],[Peak or Nadir]], ClusterCalc_2x2SE20[Duration (min)])</f>
        <v>26</v>
      </c>
      <c r="AY117" s="56">
        <f>AVERAGEIF(ClusterCalc_2x2SE20[Peak or Nadir], ClusterVals_2x2SE21[[#This Row],[Peak or Nadir]], ClusterCalc_2x2SE20[Duration (min)])</f>
        <v>3.7142857142857144</v>
      </c>
      <c r="AZ117" s="56">
        <f>AVERAGEIF(ClusterCalc_2x2SE20[Peak or Nadir], ClusterVals_2x2SE21[[#This Row],[Peak or Nadir]], ClusterCalc_2x2SE20[Mean Firing (Hz)])</f>
        <v>0.44107142857142856</v>
      </c>
      <c r="BA117" s="56">
        <f>COUNTIF(ClusterCalc_2x2SE20[Peak or Nadir],ClusterVals_2x2SE21[[#This Row],[Peak or Nadir]])</f>
        <v>7</v>
      </c>
      <c r="BD117" s="56" t="s">
        <v>101</v>
      </c>
      <c r="BE117" s="56">
        <f>SUMIF(ClusterCalc_3x3SE22[Peak or Nadir], ClusterVals_3x3SE23[[#This Row],[Peak or Nadir]], ClusterCalc_3x3SE22[Duration (min)])</f>
        <v>16</v>
      </c>
      <c r="BF117" s="56">
        <f>AVERAGEIF(ClusterCalc_3x3SE22[Peak or Nadir], ClusterVals_3x3SE23[[#This Row],[Peak or Nadir]], ClusterCalc_3x3SE22[Duration (min)])</f>
        <v>4</v>
      </c>
      <c r="BG117" s="56">
        <f>AVERAGEIF(ClusterCalc_3x3SE22[Peak or Nadir], ClusterVals_3x3SE23[[#This Row],[Peak or Nadir]], ClusterCalc_3x3SE22[Mean Firing (Hz)])</f>
        <v>0.46076388888888892</v>
      </c>
      <c r="BH117" s="56">
        <f>COUNTIF(ClusterCalc_3x3SE22[Peak or Nadir],ClusterVals_3x3SE23[[#This Row],[Peak or Nadir]])</f>
        <v>4</v>
      </c>
      <c r="BK117" s="26"/>
      <c r="BL117" s="26"/>
      <c r="BM117" s="26"/>
      <c r="BN117" s="26"/>
      <c r="BO117" s="9"/>
      <c r="BP117" s="9"/>
      <c r="BQ117" s="9"/>
      <c r="BR117" s="9"/>
      <c r="BS117" s="9"/>
      <c r="BT117" s="9"/>
      <c r="BV117"/>
    </row>
    <row r="118" spans="2:87" x14ac:dyDescent="0.2">
      <c r="B118" s="1">
        <f t="shared" si="10"/>
        <v>3</v>
      </c>
      <c r="C118" s="1">
        <f t="shared" si="11"/>
        <v>6</v>
      </c>
      <c r="D118" s="18">
        <f t="shared" si="12"/>
        <v>6</v>
      </c>
      <c r="E118" s="18">
        <f t="shared" si="13"/>
        <v>7</v>
      </c>
      <c r="F118" s="19">
        <f t="shared" si="14"/>
        <v>360</v>
      </c>
      <c r="G118" s="19">
        <f t="shared" si="15"/>
        <v>420</v>
      </c>
      <c r="H118" s="20">
        <v>74</v>
      </c>
      <c r="I118" s="21">
        <v>74</v>
      </c>
      <c r="J118" s="1">
        <f>IF(ISBLANK(FiringRate13[[#This Row],[Event/bin]]), " ", FiringRate13[[#This Row],[Event/bin]]/BinSize_sec)</f>
        <v>1.2333333333333334</v>
      </c>
      <c r="K118" s="22">
        <f>IF(ISBLANK(FiringRate13[[#This Row],[Conc events/bin]]), " ", FiringRate13[[#This Row],[Conc events/bin]]/BinSize_sec)</f>
        <v>1.2333333333333334</v>
      </c>
      <c r="N118" s="1" t="s">
        <v>102</v>
      </c>
      <c r="O118" s="31"/>
      <c r="P118" s="31"/>
      <c r="Q118" s="11" t="str">
        <f>IF(ISBLANK(O118), "Enter Time", (P118-O118))</f>
        <v>Enter Time</v>
      </c>
      <c r="R118" s="30" t="str">
        <f>IF(ISNUMBER(O118), IF(ISNUMBER(P118), AVERAGE(_xlfn.XLOOKUP(O118, FiringRate13[Bin Start (min)], FiringRate13[Freq conc (in Hz)], "NA", 1):_xlfn.XLOOKUP(P118, FiringRate13[Bin End (min)], FiringRate13[Freq conc (in Hz)], "NA", 1)), "Enter End Time"), "Enter Start Time")</f>
        <v>Enter Start Time</v>
      </c>
      <c r="T118" s="1" t="b">
        <v>1</v>
      </c>
      <c r="W118" s="18">
        <f t="shared" si="6"/>
        <v>12</v>
      </c>
      <c r="X118" s="18">
        <f t="shared" si="7"/>
        <v>14</v>
      </c>
      <c r="Y118" s="19">
        <f t="shared" si="8"/>
        <v>720</v>
      </c>
      <c r="Z118" s="19">
        <f t="shared" si="9"/>
        <v>840</v>
      </c>
      <c r="AA118" s="21">
        <v>17</v>
      </c>
      <c r="AB118" s="25">
        <f>IF(ISNUMBER(Cluster15[[#This Row],[Bin Start (min)]]), AB117+1, Cluster15[[#This Row],[Bin Start (min)]])</f>
        <v>6</v>
      </c>
      <c r="AC118" s="25">
        <f>IF(ISNUMBER(Cluster15[[#This Row],[Bin End (min)]]), AC117+1, Cluster15[[#This Row],[Bin End (min)]])</f>
        <v>7</v>
      </c>
      <c r="AD118" s="1" t="str">
        <f>IF(ISNUMBER(Cluster15[[#This Row],[Bin_end]]), _xlfn.XLOOKUP(Cluster15[[#This Row],[Bin_end]], ClusterCalc_2x2SD16[Bin_end], ClusterCalc_2x2SD16[Peak or Nadir], "fill ClusterCalc Table",1), "no bin")</f>
        <v>Nadir</v>
      </c>
      <c r="AE118" s="1" t="str">
        <f>IF(ISNUMBER(Cluster15[[#This Row],[Bin_end]]), _xlfn.XLOOKUP(Cluster15[[#This Row],[Bin_end]], ClusterCalc_3x3SD18[Bin_end], ClusterCalc_3x3SD18[Peak or Nadir], "fill ClusterCalc Table",1), "no bin")</f>
        <v>Peak</v>
      </c>
      <c r="AF118" s="1" t="str">
        <f>IF(ISNUMBER(Cluster15[[#This Row],[Bin_end]]), _xlfn.XLOOKUP(Cluster15[[#This Row],[Bin_end]], ClusterCalc_2x2SE20[Bin_end], ClusterCalc_2x2SE20[Peak or Nadir], "fill ClusterCalc Table",1), "no bin")</f>
        <v>Nadir</v>
      </c>
      <c r="AG118" s="1" t="str">
        <f>IF(ISNUMBER(Cluster15[[#This Row],[Bin_end]]), _xlfn.XLOOKUP(Cluster15[[#This Row],[Bin_end]], ClusterCalc_3x3SE22[Bin_end], ClusterCalc_3x3SE22[Peak or Nadir], "fill ClusterCalc Table",1), "no bin")</f>
        <v>Peak</v>
      </c>
      <c r="AO118" s="42"/>
      <c r="AU118" s="42"/>
      <c r="AV118" s="42"/>
      <c r="AW118" s="42"/>
      <c r="BO118" s="2"/>
      <c r="BP118" s="2"/>
      <c r="BQ118" s="2"/>
      <c r="BR118" s="2"/>
      <c r="BS118" s="2"/>
      <c r="BT118" s="2"/>
      <c r="BV118"/>
    </row>
    <row r="119" spans="2:87" ht="19" x14ac:dyDescent="0.25">
      <c r="B119" s="1">
        <f t="shared" si="10"/>
        <v>3</v>
      </c>
      <c r="C119" s="1">
        <f t="shared" si="11"/>
        <v>7</v>
      </c>
      <c r="D119" s="18">
        <f t="shared" si="12"/>
        <v>7</v>
      </c>
      <c r="E119" s="18">
        <f t="shared" si="13"/>
        <v>8</v>
      </c>
      <c r="F119" s="19">
        <f t="shared" si="14"/>
        <v>420</v>
      </c>
      <c r="G119" s="19">
        <f t="shared" si="15"/>
        <v>480</v>
      </c>
      <c r="H119" s="20">
        <v>34</v>
      </c>
      <c r="I119" s="21">
        <v>34</v>
      </c>
      <c r="J119" s="1">
        <f>IF(ISBLANK(FiringRate13[[#This Row],[Event/bin]]), " ", FiringRate13[[#This Row],[Event/bin]]/BinSize_sec)</f>
        <v>0.56666666666666665</v>
      </c>
      <c r="K119" s="22">
        <f>IF(ISBLANK(FiringRate13[[#This Row],[Conc events/bin]]), " ", FiringRate13[[#This Row],[Conc events/bin]]/BinSize_sec)</f>
        <v>0.56666666666666665</v>
      </c>
      <c r="N119" s="1" t="s">
        <v>104</v>
      </c>
      <c r="O119" s="20"/>
      <c r="P119" s="20"/>
      <c r="Q119" s="20" t="str">
        <f>IF(ISBLANK(O119), "Enter Time", (P119-O119))</f>
        <v>Enter Time</v>
      </c>
      <c r="R119" s="30" t="str">
        <f>IF(ISNUMBER(O119), IF(ISNUMBER(P119), AVERAGE(_xlfn.XLOOKUP(O119, FiringRate13[Bin Start (min)], FiringRate13[Freq conc (in Hz)], "NA", 1):_xlfn.XLOOKUP(P119, FiringRate13[Bin End (min)], FiringRate13[Freq conc (in Hz)], "NA", 1)), "Enter End Time"), "Enter Start Time")</f>
        <v>Enter Start Time</v>
      </c>
      <c r="T119" s="1" t="b">
        <v>0</v>
      </c>
      <c r="W119" s="18">
        <f t="shared" si="6"/>
        <v>14</v>
      </c>
      <c r="X119" s="18">
        <f t="shared" si="7"/>
        <v>16</v>
      </c>
      <c r="Y119" s="19">
        <f t="shared" si="8"/>
        <v>840</v>
      </c>
      <c r="Z119" s="19">
        <f t="shared" si="9"/>
        <v>960</v>
      </c>
      <c r="AA119" s="21">
        <v>146</v>
      </c>
      <c r="AB119" s="25">
        <f>IF(ISNUMBER(Cluster15[[#This Row],[Bin Start (min)]]), AB118+1, Cluster15[[#This Row],[Bin Start (min)]])</f>
        <v>7</v>
      </c>
      <c r="AC119" s="25">
        <f>IF(ISNUMBER(Cluster15[[#This Row],[Bin End (min)]]), AC118+1, Cluster15[[#This Row],[Bin End (min)]])</f>
        <v>8</v>
      </c>
      <c r="AD119" s="1" t="str">
        <f>IF(ISNUMBER(Cluster15[[#This Row],[Bin_end]]), _xlfn.XLOOKUP(Cluster15[[#This Row],[Bin_end]], ClusterCalc_2x2SD16[Bin_end], ClusterCalc_2x2SD16[Peak or Nadir], "fill ClusterCalc Table",1), "no bin")</f>
        <v>Peak</v>
      </c>
      <c r="AE119" s="1" t="str">
        <f>IF(ISNUMBER(Cluster15[[#This Row],[Bin_end]]), _xlfn.XLOOKUP(Cluster15[[#This Row],[Bin_end]], ClusterCalc_3x3SD18[Bin_end], ClusterCalc_3x3SD18[Peak or Nadir], "fill ClusterCalc Table",1), "no bin")</f>
        <v>Peak</v>
      </c>
      <c r="AF119" s="1" t="str">
        <f>IF(ISNUMBER(Cluster15[[#This Row],[Bin_end]]), _xlfn.XLOOKUP(Cluster15[[#This Row],[Bin_end]], ClusterCalc_2x2SE20[Bin_end], ClusterCalc_2x2SE20[Peak or Nadir], "fill ClusterCalc Table",1), "no bin")</f>
        <v>Peak</v>
      </c>
      <c r="AG119" s="1" t="str">
        <f>IF(ISNUMBER(Cluster15[[#This Row],[Bin_end]]), _xlfn.XLOOKUP(Cluster15[[#This Row],[Bin_end]], ClusterCalc_3x3SE22[Bin_end], ClusterCalc_3x3SE22[Peak or Nadir], "fill ClusterCalc Table",1), "no bin")</f>
        <v>Peak</v>
      </c>
      <c r="AI119" s="43" t="s">
        <v>60</v>
      </c>
      <c r="AJ119" s="42"/>
      <c r="AK119" s="42"/>
      <c r="AL119" s="42"/>
      <c r="AM119" s="42"/>
      <c r="AN119" s="42"/>
      <c r="AP119" s="43" t="s">
        <v>61</v>
      </c>
      <c r="AQ119" s="42"/>
      <c r="AR119" s="42"/>
      <c r="AS119" s="42"/>
      <c r="AT119" s="42"/>
      <c r="AU119" s="42"/>
      <c r="AV119" s="42"/>
      <c r="AW119" s="43" t="s">
        <v>62</v>
      </c>
      <c r="AX119" s="42"/>
      <c r="AY119" s="42"/>
      <c r="AZ119" s="42"/>
      <c r="BA119" s="42"/>
      <c r="BB119" s="42"/>
      <c r="BD119" s="43" t="s">
        <v>63</v>
      </c>
      <c r="BE119" s="42"/>
      <c r="BF119" s="42"/>
      <c r="BG119" s="42"/>
      <c r="BH119" s="42"/>
      <c r="BI119" s="42"/>
      <c r="BK119" s="34" t="s">
        <v>107</v>
      </c>
      <c r="BL119" s="34" t="s">
        <v>108</v>
      </c>
      <c r="BM119" s="34" t="s">
        <v>109</v>
      </c>
      <c r="BN119" s="34" t="s">
        <v>110</v>
      </c>
      <c r="BO119" s="34" t="s">
        <v>111</v>
      </c>
      <c r="BP119" s="34" t="s">
        <v>112</v>
      </c>
      <c r="BQ119" s="34" t="s">
        <v>113</v>
      </c>
      <c r="BR119" s="34" t="s">
        <v>114</v>
      </c>
      <c r="BS119" s="34" t="s">
        <v>115</v>
      </c>
      <c r="BT119" s="34" t="s">
        <v>116</v>
      </c>
      <c r="BV119"/>
    </row>
    <row r="120" spans="2:87" x14ac:dyDescent="0.2">
      <c r="B120" s="1">
        <f t="shared" si="10"/>
        <v>3</v>
      </c>
      <c r="C120" s="1">
        <f t="shared" si="11"/>
        <v>8</v>
      </c>
      <c r="D120" s="18">
        <f t="shared" si="12"/>
        <v>8</v>
      </c>
      <c r="E120" s="18">
        <f t="shared" si="13"/>
        <v>9</v>
      </c>
      <c r="F120" s="19">
        <f t="shared" si="14"/>
        <v>480</v>
      </c>
      <c r="G120" s="19">
        <f t="shared" si="15"/>
        <v>540</v>
      </c>
      <c r="H120" s="20">
        <v>158</v>
      </c>
      <c r="I120" s="21">
        <v>158</v>
      </c>
      <c r="J120" s="1">
        <f>IF(ISBLANK(FiringRate13[[#This Row],[Event/bin]]), " ", FiringRate13[[#This Row],[Event/bin]]/BinSize_sec)</f>
        <v>2.6333333333333333</v>
      </c>
      <c r="K120" s="22">
        <f>IF(ISBLANK(FiringRate13[[#This Row],[Conc events/bin]]), " ", FiringRate13[[#This Row],[Conc events/bin]]/BinSize_sec)</f>
        <v>2.6333333333333333</v>
      </c>
      <c r="W120" s="18">
        <f t="shared" si="6"/>
        <v>16</v>
      </c>
      <c r="X120" s="18">
        <f t="shared" si="7"/>
        <v>18</v>
      </c>
      <c r="Y120" s="19">
        <f t="shared" si="8"/>
        <v>960</v>
      </c>
      <c r="Z120" s="19">
        <f t="shared" si="9"/>
        <v>1080</v>
      </c>
      <c r="AA120" s="21">
        <v>106</v>
      </c>
      <c r="AB120" s="25">
        <f>IF(ISNUMBER(Cluster15[[#This Row],[Bin Start (min)]]), AB119+1, Cluster15[[#This Row],[Bin Start (min)]])</f>
        <v>8</v>
      </c>
      <c r="AC120" s="25">
        <f>IF(ISNUMBER(Cluster15[[#This Row],[Bin End (min)]]), AC119+1, Cluster15[[#This Row],[Bin End (min)]])</f>
        <v>9</v>
      </c>
      <c r="AD120" s="1" t="str">
        <f>IF(ISNUMBER(Cluster15[[#This Row],[Bin_end]]), _xlfn.XLOOKUP(Cluster15[[#This Row],[Bin_end]], ClusterCalc_2x2SD16[Bin_end], ClusterCalc_2x2SD16[Peak or Nadir], "fill ClusterCalc Table",1), "no bin")</f>
        <v>Peak</v>
      </c>
      <c r="AE120" s="1" t="str">
        <f>IF(ISNUMBER(Cluster15[[#This Row],[Bin_end]]), _xlfn.XLOOKUP(Cluster15[[#This Row],[Bin_end]], ClusterCalc_3x3SD18[Bin_end], ClusterCalc_3x3SD18[Peak or Nadir], "fill ClusterCalc Table",1), "no bin")</f>
        <v>Nadir</v>
      </c>
      <c r="AF120" s="1" t="str">
        <f>IF(ISNUMBER(Cluster15[[#This Row],[Bin_end]]), _xlfn.XLOOKUP(Cluster15[[#This Row],[Bin_end]], ClusterCalc_2x2SE20[Bin_end], ClusterCalc_2x2SE20[Peak or Nadir], "fill ClusterCalc Table",1), "no bin")</f>
        <v>Peak</v>
      </c>
      <c r="AG120" s="1" t="str">
        <f>IF(ISNUMBER(Cluster15[[#This Row],[Bin_end]]), _xlfn.XLOOKUP(Cluster15[[#This Row],[Bin_end]], ClusterCalc_3x3SE22[Bin_end], ClusterCalc_3x3SE22[Peak or Nadir], "fill ClusterCalc Table",1), "no bin")</f>
        <v>Peak</v>
      </c>
      <c r="AI120" s="42" t="s">
        <v>79</v>
      </c>
      <c r="AJ120" s="42" t="s">
        <v>80</v>
      </c>
      <c r="AK120" s="42" t="s">
        <v>58</v>
      </c>
      <c r="AL120" s="42" t="s">
        <v>59</v>
      </c>
      <c r="AM120" s="42" t="s">
        <v>81</v>
      </c>
      <c r="AN120" s="42" t="s">
        <v>82</v>
      </c>
      <c r="AP120" s="42" t="s">
        <v>79</v>
      </c>
      <c r="AQ120" s="42" t="s">
        <v>80</v>
      </c>
      <c r="AR120" s="42" t="s">
        <v>58</v>
      </c>
      <c r="AS120" s="42" t="s">
        <v>59</v>
      </c>
      <c r="AT120" s="42" t="s">
        <v>81</v>
      </c>
      <c r="AU120" s="42" t="s">
        <v>82</v>
      </c>
      <c r="AV120" s="42"/>
      <c r="AW120" s="42" t="s">
        <v>79</v>
      </c>
      <c r="AX120" s="42" t="s">
        <v>80</v>
      </c>
      <c r="AY120" s="42" t="s">
        <v>58</v>
      </c>
      <c r="AZ120" s="42" t="s">
        <v>59</v>
      </c>
      <c r="BA120" s="42" t="s">
        <v>81</v>
      </c>
      <c r="BB120" s="42" t="s">
        <v>82</v>
      </c>
      <c r="BD120" s="42" t="s">
        <v>79</v>
      </c>
      <c r="BE120" s="42" t="s">
        <v>80</v>
      </c>
      <c r="BF120" s="42" t="s">
        <v>58</v>
      </c>
      <c r="BG120" s="42" t="s">
        <v>59</v>
      </c>
      <c r="BH120" s="42" t="s">
        <v>81</v>
      </c>
      <c r="BI120" s="42" t="s">
        <v>82</v>
      </c>
      <c r="BK120" s="26"/>
      <c r="BL120" s="26"/>
      <c r="BM120" s="26"/>
      <c r="BN120" s="26"/>
      <c r="BO120" s="9"/>
      <c r="BP120" s="9"/>
      <c r="BQ120" s="9"/>
      <c r="BR120" s="9"/>
      <c r="BS120" s="9"/>
      <c r="BT120" s="9"/>
      <c r="BV120"/>
    </row>
    <row r="121" spans="2:87" x14ac:dyDescent="0.2">
      <c r="B121" s="1">
        <f t="shared" si="10"/>
        <v>3</v>
      </c>
      <c r="C121" s="1">
        <f t="shared" si="11"/>
        <v>9</v>
      </c>
      <c r="D121" s="18">
        <f t="shared" si="12"/>
        <v>9</v>
      </c>
      <c r="E121" s="18">
        <f t="shared" si="13"/>
        <v>10</v>
      </c>
      <c r="F121" s="19">
        <f t="shared" si="14"/>
        <v>540</v>
      </c>
      <c r="G121" s="19">
        <f t="shared" si="15"/>
        <v>600</v>
      </c>
      <c r="H121" s="20">
        <v>150</v>
      </c>
      <c r="I121" s="21">
        <v>150</v>
      </c>
      <c r="J121" s="1">
        <f>IF(ISBLANK(FiringRate13[[#This Row],[Event/bin]]), " ", FiringRate13[[#This Row],[Event/bin]]/BinSize_sec)</f>
        <v>2.5</v>
      </c>
      <c r="K121" s="22">
        <f>IF(ISBLANK(FiringRate13[[#This Row],[Conc events/bin]]), " ", FiringRate13[[#This Row],[Conc events/bin]]/BinSize_sec)</f>
        <v>2.5</v>
      </c>
      <c r="W121" s="18">
        <f t="shared" si="6"/>
        <v>18</v>
      </c>
      <c r="X121" s="18">
        <f t="shared" si="7"/>
        <v>20</v>
      </c>
      <c r="Y121" s="19">
        <f t="shared" si="8"/>
        <v>1080</v>
      </c>
      <c r="Z121" s="19">
        <f t="shared" si="9"/>
        <v>1200</v>
      </c>
      <c r="AA121" s="21">
        <v>54</v>
      </c>
      <c r="AB121" s="25">
        <f>IF(ISNUMBER(Cluster15[[#This Row],[Bin Start (min)]]), AB120+1, Cluster15[[#This Row],[Bin Start (min)]])</f>
        <v>9</v>
      </c>
      <c r="AC121" s="25">
        <f>IF(ISNUMBER(Cluster15[[#This Row],[Bin End (min)]]), AC120+1, Cluster15[[#This Row],[Bin End (min)]])</f>
        <v>10</v>
      </c>
      <c r="AD121" s="1" t="str">
        <f>IF(ISNUMBER(Cluster15[[#This Row],[Bin_end]]), _xlfn.XLOOKUP(Cluster15[[#This Row],[Bin_end]], ClusterCalc_2x2SD16[Bin_end], ClusterCalc_2x2SD16[Peak or Nadir], "fill ClusterCalc Table",1), "no bin")</f>
        <v>Peak</v>
      </c>
      <c r="AE121" s="1" t="str">
        <f>IF(ISNUMBER(Cluster15[[#This Row],[Bin_end]]), _xlfn.XLOOKUP(Cluster15[[#This Row],[Bin_end]], ClusterCalc_3x3SD18[Bin_end], ClusterCalc_3x3SD18[Peak or Nadir], "fill ClusterCalc Table",1), "no bin")</f>
        <v>Nadir</v>
      </c>
      <c r="AF121" s="1" t="str">
        <f>IF(ISNUMBER(Cluster15[[#This Row],[Bin_end]]), _xlfn.XLOOKUP(Cluster15[[#This Row],[Bin_end]], ClusterCalc_2x2SE20[Bin_end], ClusterCalc_2x2SE20[Peak or Nadir], "fill ClusterCalc Table",1), "no bin")</f>
        <v>Peak</v>
      </c>
      <c r="AG121" s="1" t="str">
        <f>IF(ISNUMBER(Cluster15[[#This Row],[Bin_end]]), _xlfn.XLOOKUP(Cluster15[[#This Row],[Bin_end]], ClusterCalc_3x3SE22[Bin_end], ClusterCalc_3x3SE22[Peak or Nadir], "fill ClusterCalc Table",1), "no bin")</f>
        <v>Peak</v>
      </c>
      <c r="AI121" s="42" t="s">
        <v>87</v>
      </c>
      <c r="AJ121" s="31" t="s">
        <v>101</v>
      </c>
      <c r="AK121" s="31">
        <v>0</v>
      </c>
      <c r="AL121" s="31">
        <v>2</v>
      </c>
      <c r="AM121" s="42">
        <f>IF(ISNUMBER(ClusterCalc_2x2SD16[[#This Row],[Bin_end]]), (ClusterCalc_2x2SD16[[#This Row],[Bin_end]]-ClusterCalc_2x2SD16[[#This Row],[Bin_start]]) * (ClusterBinSize_sec / 60), "NA")</f>
        <v>4</v>
      </c>
      <c r="AN121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4.1666666666666666E-3</v>
      </c>
      <c r="AP121" s="42" t="s">
        <v>87</v>
      </c>
      <c r="AQ121" s="31" t="s">
        <v>101</v>
      </c>
      <c r="AR121" s="31">
        <v>0</v>
      </c>
      <c r="AS121" s="31">
        <v>3</v>
      </c>
      <c r="AT121" s="42">
        <f>IF(ISNUMBER(ClusterCalc_3x3SD18[[#This Row],[Bin_end]]), (ClusterCalc_3x3SD18[[#This Row],[Bin_end]]-ClusterCalc_3x3SD18[[#This Row],[Bin_start]]) * (ClusterBinSize_sec / 60), "NA")</f>
        <v>6</v>
      </c>
      <c r="AU121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0.6972222222222223</v>
      </c>
      <c r="AW121" s="42" t="s">
        <v>87</v>
      </c>
      <c r="AX121" s="31" t="s">
        <v>101</v>
      </c>
      <c r="AY121" s="31">
        <v>0</v>
      </c>
      <c r="AZ121" s="31">
        <v>2</v>
      </c>
      <c r="BA121" s="42">
        <f>IF(ISNUMBER(ClusterCalc_2x2SE20[[#This Row],[Bin_end]]), (ClusterCalc_2x2SE20[[#This Row],[Bin_end]]-ClusterCalc_2x2SE20[[#This Row],[Bin_start]]) * (ClusterBinSize_sec / 60), "NA")</f>
        <v>4</v>
      </c>
      <c r="BB121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4.1666666666666666E-3</v>
      </c>
      <c r="BD121" s="42" t="s">
        <v>87</v>
      </c>
      <c r="BE121" s="31" t="s">
        <v>101</v>
      </c>
      <c r="BF121" s="31">
        <v>0</v>
      </c>
      <c r="BG121" s="31">
        <v>3</v>
      </c>
      <c r="BH121" s="42">
        <f>IF(ISNUMBER(ClusterCalc_3x3SE22[[#This Row],[Bin_end]]), (ClusterCalc_3x3SE22[[#This Row],[Bin_end]]-ClusterCalc_3x3SE22[[#This Row],[Bin_start]]) * (ClusterBinSize_sec / 60), "NA")</f>
        <v>6</v>
      </c>
      <c r="BI121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0.6972222222222223</v>
      </c>
      <c r="BV121"/>
    </row>
    <row r="122" spans="2:87" x14ac:dyDescent="0.2">
      <c r="B122" s="1">
        <f t="shared" si="10"/>
        <v>4</v>
      </c>
      <c r="C122" s="1">
        <f t="shared" si="11"/>
        <v>0</v>
      </c>
      <c r="D122" s="18">
        <f t="shared" si="12"/>
        <v>10</v>
      </c>
      <c r="E122" s="18">
        <f t="shared" si="13"/>
        <v>11</v>
      </c>
      <c r="F122" s="19">
        <f t="shared" si="14"/>
        <v>600</v>
      </c>
      <c r="G122" s="19">
        <f t="shared" si="15"/>
        <v>660</v>
      </c>
      <c r="H122" s="20">
        <v>58</v>
      </c>
      <c r="I122" s="21">
        <v>57</v>
      </c>
      <c r="J122" s="1">
        <f>IF(ISBLANK(FiringRate13[[#This Row],[Event/bin]]), " ", FiringRate13[[#This Row],[Event/bin]]/BinSize_sec)</f>
        <v>0.96666666666666667</v>
      </c>
      <c r="K122" s="22">
        <f>IF(ISBLANK(FiringRate13[[#This Row],[Conc events/bin]]), " ", FiringRate13[[#This Row],[Conc events/bin]]/BinSize_sec)</f>
        <v>0.95</v>
      </c>
      <c r="W122" s="18">
        <f t="shared" si="6"/>
        <v>20</v>
      </c>
      <c r="X122" s="18">
        <f t="shared" si="7"/>
        <v>22</v>
      </c>
      <c r="Y122" s="19">
        <f t="shared" si="8"/>
        <v>1200</v>
      </c>
      <c r="Z122" s="19">
        <f t="shared" si="9"/>
        <v>1320</v>
      </c>
      <c r="AA122" s="21">
        <v>101</v>
      </c>
      <c r="AB122" s="25">
        <f>IF(ISNUMBER(Cluster15[[#This Row],[Bin Start (min)]]), AB121+1, Cluster15[[#This Row],[Bin Start (min)]])</f>
        <v>10</v>
      </c>
      <c r="AC122" s="25">
        <f>IF(ISNUMBER(Cluster15[[#This Row],[Bin End (min)]]), AC121+1, Cluster15[[#This Row],[Bin End (min)]])</f>
        <v>11</v>
      </c>
      <c r="AD122" s="1" t="str">
        <f>IF(ISNUMBER(Cluster15[[#This Row],[Bin_end]]), _xlfn.XLOOKUP(Cluster15[[#This Row],[Bin_end]], ClusterCalc_2x2SD16[Bin_end], ClusterCalc_2x2SD16[Peak or Nadir], "fill ClusterCalc Table",1), "no bin")</f>
        <v>Nadir</v>
      </c>
      <c r="AE122" s="1" t="str">
        <f>IF(ISNUMBER(Cluster15[[#This Row],[Bin_end]]), _xlfn.XLOOKUP(Cluster15[[#This Row],[Bin_end]], ClusterCalc_3x3SD18[Bin_end], ClusterCalc_3x3SD18[Peak or Nadir], "fill ClusterCalc Table",1), "no bin")</f>
        <v>Nadir</v>
      </c>
      <c r="AF122" s="1" t="str">
        <f>IF(ISNUMBER(Cluster15[[#This Row],[Bin_end]]), _xlfn.XLOOKUP(Cluster15[[#This Row],[Bin_end]], ClusterCalc_2x2SE20[Bin_end], ClusterCalc_2x2SE20[Peak or Nadir], "fill ClusterCalc Table",1), "no bin")</f>
        <v>Nadir</v>
      </c>
      <c r="AG122" s="1" t="str">
        <f>IF(ISNUMBER(Cluster15[[#This Row],[Bin_end]]), _xlfn.XLOOKUP(Cluster15[[#This Row],[Bin_end]], ClusterCalc_3x3SE22[Bin_end], ClusterCalc_3x3SE22[Peak or Nadir], "fill ClusterCalc Table",1), "no bin")</f>
        <v>Nadir</v>
      </c>
      <c r="AI122" s="42" t="s">
        <v>100</v>
      </c>
      <c r="AJ122" s="31" t="s">
        <v>88</v>
      </c>
      <c r="AK122" s="37">
        <f>IF(ISNUMBER(AL121), AL121, "")</f>
        <v>2</v>
      </c>
      <c r="AL122" s="31">
        <v>5</v>
      </c>
      <c r="AM122" s="42">
        <f>IF(ISNUMBER(ClusterCalc_2x2SD16[[#This Row],[Bin_end]]), (ClusterCalc_2x2SD16[[#This Row],[Bin_end]]-ClusterCalc_2x2SD16[[#This Row],[Bin_start]]) * (ClusterBinSize_sec / 60), "NA")</f>
        <v>6</v>
      </c>
      <c r="AN122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1.85</v>
      </c>
      <c r="AP122" s="42" t="s">
        <v>100</v>
      </c>
      <c r="AQ122" s="31" t="s">
        <v>88</v>
      </c>
      <c r="AR122" s="37">
        <f t="shared" ref="AR122:AR136" si="16">IF(ISNUMBER(AS121), AS121, "")</f>
        <v>3</v>
      </c>
      <c r="AS122" s="31">
        <v>8</v>
      </c>
      <c r="AT122" s="42">
        <f>IF(ISNUMBER(ClusterCalc_3x3SD18[[#This Row],[Bin_end]]), (ClusterCalc_3x3SD18[[#This Row],[Bin_end]]-ClusterCalc_3x3SD18[[#This Row],[Bin_start]]) * (ClusterBinSize_sec / 60), "NA")</f>
        <v>10</v>
      </c>
      <c r="AU122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1.0933333333333333</v>
      </c>
      <c r="AW122" s="42" t="s">
        <v>100</v>
      </c>
      <c r="AX122" s="31" t="s">
        <v>88</v>
      </c>
      <c r="AY122" s="37">
        <f>IF(ISNUMBER(AZ121), AZ121, "")</f>
        <v>2</v>
      </c>
      <c r="AZ122" s="31">
        <v>5</v>
      </c>
      <c r="BA122" s="42">
        <f>IF(ISNUMBER(ClusterCalc_2x2SE20[[#This Row],[Bin_end]]), (ClusterCalc_2x2SE20[[#This Row],[Bin_end]]-ClusterCalc_2x2SE20[[#This Row],[Bin_start]]) * (ClusterBinSize_sec / 60), "NA")</f>
        <v>6</v>
      </c>
      <c r="BB122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1.85</v>
      </c>
      <c r="BD122" s="42" t="s">
        <v>100</v>
      </c>
      <c r="BE122" s="31" t="s">
        <v>88</v>
      </c>
      <c r="BF122" s="37">
        <f t="shared" ref="BF122:BF136" si="17">IF(ISNUMBER(BG121), BG121, "")</f>
        <v>3</v>
      </c>
      <c r="BG122" s="31">
        <v>10</v>
      </c>
      <c r="BH122" s="42">
        <f>IF(ISNUMBER(ClusterCalc_3x3SE22[[#This Row],[Bin_end]]), (ClusterCalc_3x3SE22[[#This Row],[Bin_end]]-ClusterCalc_3x3SE22[[#This Row],[Bin_start]]) * (ClusterBinSize_sec / 60), "NA")</f>
        <v>14</v>
      </c>
      <c r="BI122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0.97142857142857142</v>
      </c>
      <c r="BK122" s="35" t="s">
        <v>122</v>
      </c>
      <c r="BL122" s="35" t="s">
        <v>123</v>
      </c>
      <c r="BM122" s="35" t="s">
        <v>124</v>
      </c>
      <c r="BN122" s="35" t="s">
        <v>125</v>
      </c>
      <c r="BO122" s="35" t="s">
        <v>126</v>
      </c>
      <c r="BP122" s="35" t="s">
        <v>127</v>
      </c>
      <c r="BQ122" s="35" t="s">
        <v>128</v>
      </c>
      <c r="BR122" s="35" t="s">
        <v>129</v>
      </c>
      <c r="BS122" s="35" t="s">
        <v>130</v>
      </c>
      <c r="BT122" s="35" t="s">
        <v>131</v>
      </c>
      <c r="BV122"/>
    </row>
    <row r="123" spans="2:87" x14ac:dyDescent="0.2">
      <c r="B123" s="1">
        <f t="shared" si="10"/>
        <v>4</v>
      </c>
      <c r="C123" s="1">
        <f t="shared" si="11"/>
        <v>1</v>
      </c>
      <c r="D123" s="18">
        <f t="shared" si="12"/>
        <v>11</v>
      </c>
      <c r="E123" s="18">
        <f t="shared" si="13"/>
        <v>12</v>
      </c>
      <c r="F123" s="19">
        <f t="shared" si="14"/>
        <v>660</v>
      </c>
      <c r="G123" s="19">
        <f t="shared" si="15"/>
        <v>720</v>
      </c>
      <c r="H123" s="20">
        <v>19</v>
      </c>
      <c r="I123" s="21">
        <v>20</v>
      </c>
      <c r="J123" s="1">
        <f>IF(ISBLANK(FiringRate13[[#This Row],[Event/bin]]), " ", FiringRate13[[#This Row],[Event/bin]]/BinSize_sec)</f>
        <v>0.31666666666666665</v>
      </c>
      <c r="K123" s="22">
        <f>IF(ISBLANK(FiringRate13[[#This Row],[Conc events/bin]]), " ", FiringRate13[[#This Row],[Conc events/bin]]/BinSize_sec)</f>
        <v>0.33333333333333331</v>
      </c>
      <c r="N123" s="169" t="s">
        <v>119</v>
      </c>
      <c r="O123" s="169"/>
      <c r="P123" s="169"/>
      <c r="Q123" s="169"/>
      <c r="W123" s="18">
        <f t="shared" si="6"/>
        <v>22</v>
      </c>
      <c r="X123" s="18">
        <f t="shared" si="7"/>
        <v>24</v>
      </c>
      <c r="Y123" s="19">
        <f t="shared" si="8"/>
        <v>1320</v>
      </c>
      <c r="Z123" s="19">
        <f t="shared" si="9"/>
        <v>1440</v>
      </c>
      <c r="AA123" s="21">
        <v>41</v>
      </c>
      <c r="AB123" s="25">
        <f>IF(ISNUMBER(Cluster15[[#This Row],[Bin Start (min)]]), AB122+1, Cluster15[[#This Row],[Bin Start (min)]])</f>
        <v>11</v>
      </c>
      <c r="AC123" s="25">
        <f>IF(ISNUMBER(Cluster15[[#This Row],[Bin End (min)]]), AC122+1, Cluster15[[#This Row],[Bin End (min)]])</f>
        <v>12</v>
      </c>
      <c r="AD123" s="1" t="str">
        <f>IF(ISNUMBER(Cluster15[[#This Row],[Bin_end]]), _xlfn.XLOOKUP(Cluster15[[#This Row],[Bin_end]], ClusterCalc_2x2SD16[Bin_end], ClusterCalc_2x2SD16[Peak or Nadir], "fill ClusterCalc Table",1), "no bin")</f>
        <v>Nadir</v>
      </c>
      <c r="AE123" s="1" t="str">
        <f>IF(ISNUMBER(Cluster15[[#This Row],[Bin_end]]), _xlfn.XLOOKUP(Cluster15[[#This Row],[Bin_end]], ClusterCalc_3x3SD18[Bin_end], ClusterCalc_3x3SD18[Peak or Nadir], "fill ClusterCalc Table",1), "no bin")</f>
        <v>Peak</v>
      </c>
      <c r="AF123" s="1" t="str">
        <f>IF(ISNUMBER(Cluster15[[#This Row],[Bin_end]]), _xlfn.XLOOKUP(Cluster15[[#This Row],[Bin_end]], ClusterCalc_2x2SE20[Bin_end], ClusterCalc_2x2SE20[Peak or Nadir], "fill ClusterCalc Table",1), "no bin")</f>
        <v>Nadir</v>
      </c>
      <c r="AG123" s="1" t="str">
        <f>IF(ISNUMBER(Cluster15[[#This Row],[Bin_end]]), _xlfn.XLOOKUP(Cluster15[[#This Row],[Bin_end]], ClusterCalc_3x3SE22[Bin_end], ClusterCalc_3x3SE22[Peak or Nadir], "fill ClusterCalc Table",1), "no bin")</f>
        <v>Peak</v>
      </c>
      <c r="AI123" s="42" t="s">
        <v>103</v>
      </c>
      <c r="AJ123" s="31" t="s">
        <v>101</v>
      </c>
      <c r="AK123" s="37">
        <f t="shared" ref="AK123:AK136" si="18">IF(ISNUMBER(AL122), AL122, "")</f>
        <v>5</v>
      </c>
      <c r="AL123" s="31">
        <v>7</v>
      </c>
      <c r="AM123" s="42">
        <f>IF(ISNUMBER(ClusterCalc_2x2SD16[[#This Row],[Bin_end]]), (ClusterCalc_2x2SD16[[#This Row],[Bin_end]]-ClusterCalc_2x2SD16[[#This Row],[Bin_start]]) * (ClusterBinSize_sec / 60), "NA")</f>
        <v>4</v>
      </c>
      <c r="AN123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0.39166666666666666</v>
      </c>
      <c r="AO123" s="42"/>
      <c r="AP123" s="42" t="s">
        <v>103</v>
      </c>
      <c r="AQ123" s="31" t="s">
        <v>101</v>
      </c>
      <c r="AR123" s="37">
        <f t="shared" si="16"/>
        <v>8</v>
      </c>
      <c r="AS123" s="31">
        <v>11</v>
      </c>
      <c r="AT123" s="42">
        <f>IF(ISNUMBER(ClusterCalc_3x3SD18[[#This Row],[Bin_end]]), (ClusterCalc_3x3SD18[[#This Row],[Bin_end]]-ClusterCalc_3x3SD18[[#This Row],[Bin_start]]) * (ClusterBinSize_sec / 60), "NA")</f>
        <v>6</v>
      </c>
      <c r="AU123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0.72499999999999998</v>
      </c>
      <c r="AV123" s="42"/>
      <c r="AW123" s="42" t="s">
        <v>103</v>
      </c>
      <c r="AX123" s="31" t="s">
        <v>101</v>
      </c>
      <c r="AY123" s="37">
        <f t="shared" ref="AY123:AY136" si="19">IF(ISNUMBER(AZ122), AZ122, "")</f>
        <v>5</v>
      </c>
      <c r="AZ123" s="31">
        <v>7</v>
      </c>
      <c r="BA123" s="42">
        <f>IF(ISNUMBER(ClusterCalc_2x2SE20[[#This Row],[Bin_end]]), (ClusterCalc_2x2SE20[[#This Row],[Bin_end]]-ClusterCalc_2x2SE20[[#This Row],[Bin_start]]) * (ClusterBinSize_sec / 60), "NA")</f>
        <v>4</v>
      </c>
      <c r="BB123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0.39166666666666666</v>
      </c>
      <c r="BD123" s="42" t="s">
        <v>103</v>
      </c>
      <c r="BE123" s="31" t="s">
        <v>101</v>
      </c>
      <c r="BF123" s="37">
        <f t="shared" si="17"/>
        <v>10</v>
      </c>
      <c r="BG123" s="31">
        <v>11</v>
      </c>
      <c r="BH123" s="42">
        <f>IF(ISNUMBER(ClusterCalc_3x3SE22[[#This Row],[Bin_end]]), (ClusterCalc_3x3SE22[[#This Row],[Bin_end]]-ClusterCalc_3x3SE22[[#This Row],[Bin_start]]) * (ClusterBinSize_sec / 60), "NA")</f>
        <v>2</v>
      </c>
      <c r="BI123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0.84166666666666667</v>
      </c>
      <c r="BK123" s="26"/>
      <c r="BL123" s="26"/>
      <c r="BM123" s="26"/>
      <c r="BN123" s="26"/>
      <c r="BO123" s="9"/>
      <c r="BP123" s="9"/>
      <c r="BQ123" s="9"/>
      <c r="BR123" s="9"/>
      <c r="BS123" s="9"/>
      <c r="BT123" s="9"/>
      <c r="BV123"/>
    </row>
    <row r="124" spans="2:87" x14ac:dyDescent="0.2">
      <c r="B124" s="1">
        <f t="shared" si="10"/>
        <v>4</v>
      </c>
      <c r="C124" s="1">
        <f t="shared" si="11"/>
        <v>2</v>
      </c>
      <c r="D124" s="18">
        <f t="shared" si="12"/>
        <v>12</v>
      </c>
      <c r="E124" s="18">
        <f t="shared" si="13"/>
        <v>13</v>
      </c>
      <c r="F124" s="19">
        <f t="shared" si="14"/>
        <v>720</v>
      </c>
      <c r="G124" s="19">
        <f t="shared" si="15"/>
        <v>780</v>
      </c>
      <c r="H124" s="20">
        <v>7</v>
      </c>
      <c r="I124" s="21">
        <v>7</v>
      </c>
      <c r="J124" s="1">
        <f>IF(ISBLANK(FiringRate13[[#This Row],[Event/bin]]), " ", FiringRate13[[#This Row],[Event/bin]]/BinSize_sec)</f>
        <v>0.11666666666666667</v>
      </c>
      <c r="K124" s="22">
        <f>IF(ISBLANK(FiringRate13[[#This Row],[Conc events/bin]]), " ", FiringRate13[[#This Row],[Conc events/bin]]/BinSize_sec)</f>
        <v>0.11666666666666667</v>
      </c>
      <c r="N124" s="169"/>
      <c r="O124" s="169"/>
      <c r="P124" s="169"/>
      <c r="Q124" s="169"/>
      <c r="W124" s="18">
        <f t="shared" si="6"/>
        <v>24</v>
      </c>
      <c r="X124" s="18">
        <f t="shared" si="7"/>
        <v>26</v>
      </c>
      <c r="Y124" s="19">
        <f t="shared" si="8"/>
        <v>1440</v>
      </c>
      <c r="Z124" s="19">
        <f t="shared" si="9"/>
        <v>1560</v>
      </c>
      <c r="AA124" s="21">
        <v>110</v>
      </c>
      <c r="AB124" s="25">
        <f>IF(ISNUMBER(Cluster15[[#This Row],[Bin Start (min)]]), AB123+1, Cluster15[[#This Row],[Bin Start (min)]])</f>
        <v>12</v>
      </c>
      <c r="AC124" s="25">
        <f>IF(ISNUMBER(Cluster15[[#This Row],[Bin End (min)]]), AC123+1, Cluster15[[#This Row],[Bin End (min)]])</f>
        <v>13</v>
      </c>
      <c r="AD124" s="1" t="str">
        <f>IF(ISNUMBER(Cluster15[[#This Row],[Bin_end]]), _xlfn.XLOOKUP(Cluster15[[#This Row],[Bin_end]], ClusterCalc_2x2SD16[Bin_end], ClusterCalc_2x2SD16[Peak or Nadir], "fill ClusterCalc Table",1), "no bin")</f>
        <v>Peak</v>
      </c>
      <c r="AE124" s="1" t="str">
        <f>IF(ISNUMBER(Cluster15[[#This Row],[Bin_end]]), _xlfn.XLOOKUP(Cluster15[[#This Row],[Bin_end]], ClusterCalc_3x3SD18[Bin_end], ClusterCalc_3x3SD18[Peak or Nadir], "fill ClusterCalc Table",1), "no bin")</f>
        <v>Peak</v>
      </c>
      <c r="AF124" s="1" t="str">
        <f>IF(ISNUMBER(Cluster15[[#This Row],[Bin_end]]), _xlfn.XLOOKUP(Cluster15[[#This Row],[Bin_end]], ClusterCalc_2x2SE20[Bin_end], ClusterCalc_2x2SE20[Peak or Nadir], "fill ClusterCalc Table",1), "no bin")</f>
        <v>Peak</v>
      </c>
      <c r="AG124" s="1" t="str">
        <f>IF(ISNUMBER(Cluster15[[#This Row],[Bin_end]]), _xlfn.XLOOKUP(Cluster15[[#This Row],[Bin_end]], ClusterCalc_3x3SE22[Bin_end], ClusterCalc_3x3SE22[Peak or Nadir], "fill ClusterCalc Table",1), "no bin")</f>
        <v>Peak</v>
      </c>
      <c r="AI124" s="42" t="s">
        <v>105</v>
      </c>
      <c r="AJ124" s="31" t="s">
        <v>88</v>
      </c>
      <c r="AK124" s="37">
        <f t="shared" si="18"/>
        <v>7</v>
      </c>
      <c r="AL124" s="31">
        <v>10</v>
      </c>
      <c r="AM124" s="42">
        <f>IF(ISNUMBER(ClusterCalc_2x2SD16[[#This Row],[Bin_end]]), (ClusterCalc_2x2SD16[[#This Row],[Bin_end]]-ClusterCalc_2x2SD16[[#This Row],[Bin_start]]) * (ClusterBinSize_sec / 60), "NA")</f>
        <v>6</v>
      </c>
      <c r="AN124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0.85</v>
      </c>
      <c r="AO124" s="42"/>
      <c r="AP124" s="42" t="s">
        <v>105</v>
      </c>
      <c r="AQ124" s="31" t="s">
        <v>88</v>
      </c>
      <c r="AR124" s="37">
        <f t="shared" si="16"/>
        <v>11</v>
      </c>
      <c r="AS124" s="31">
        <v>15</v>
      </c>
      <c r="AT124" s="42">
        <f>IF(ISNUMBER(ClusterCalc_3x3SD18[[#This Row],[Bin_end]]), (ClusterCalc_3x3SD18[[#This Row],[Bin_end]]-ClusterCalc_3x3SD18[[#This Row],[Bin_start]]) * (ClusterBinSize_sec / 60), "NA")</f>
        <v>8</v>
      </c>
      <c r="AU124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0.92291666666666672</v>
      </c>
      <c r="AV124" s="42"/>
      <c r="AW124" s="42" t="s">
        <v>105</v>
      </c>
      <c r="AX124" s="31" t="s">
        <v>88</v>
      </c>
      <c r="AY124" s="37">
        <f t="shared" si="19"/>
        <v>7</v>
      </c>
      <c r="AZ124" s="31">
        <v>10</v>
      </c>
      <c r="BA124" s="42">
        <f>IF(ISNUMBER(ClusterCalc_2x2SE20[[#This Row],[Bin_end]]), (ClusterCalc_2x2SE20[[#This Row],[Bin_end]]-ClusterCalc_2x2SE20[[#This Row],[Bin_start]]) * (ClusterBinSize_sec / 60), "NA")</f>
        <v>6</v>
      </c>
      <c r="BB124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0.85</v>
      </c>
      <c r="BD124" s="42" t="s">
        <v>105</v>
      </c>
      <c r="BE124" s="31" t="s">
        <v>88</v>
      </c>
      <c r="BF124" s="37">
        <f t="shared" si="17"/>
        <v>11</v>
      </c>
      <c r="BG124" s="31">
        <v>15</v>
      </c>
      <c r="BH124" s="42">
        <f>IF(ISNUMBER(ClusterCalc_3x3SE22[[#This Row],[Bin_end]]), (ClusterCalc_3x3SE22[[#This Row],[Bin_end]]-ClusterCalc_3x3SE22[[#This Row],[Bin_start]]) * (ClusterBinSize_sec / 60), "NA")</f>
        <v>8</v>
      </c>
      <c r="BI124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0.92291666666666672</v>
      </c>
      <c r="BV124"/>
    </row>
    <row r="125" spans="2:87" ht="31" x14ac:dyDescent="0.35">
      <c r="B125" s="1">
        <f t="shared" si="10"/>
        <v>4</v>
      </c>
      <c r="C125" s="1">
        <f t="shared" si="11"/>
        <v>3</v>
      </c>
      <c r="D125" s="18">
        <f t="shared" si="12"/>
        <v>13</v>
      </c>
      <c r="E125" s="18">
        <f t="shared" si="13"/>
        <v>14</v>
      </c>
      <c r="F125" s="19">
        <f t="shared" si="14"/>
        <v>780</v>
      </c>
      <c r="G125" s="19">
        <f t="shared" si="15"/>
        <v>840</v>
      </c>
      <c r="H125" s="20">
        <v>10</v>
      </c>
      <c r="I125" s="21">
        <v>10</v>
      </c>
      <c r="J125" s="1">
        <f>IF(ISBLANK(FiringRate13[[#This Row],[Event/bin]]), " ", FiringRate13[[#This Row],[Event/bin]]/BinSize_sec)</f>
        <v>0.16666666666666666</v>
      </c>
      <c r="K125" s="22">
        <f>IF(ISBLANK(FiringRate13[[#This Row],[Conc events/bin]]), " ", FiringRate13[[#This Row],[Conc events/bin]]/BinSize_sec)</f>
        <v>0.16666666666666666</v>
      </c>
      <c r="N125" s="169"/>
      <c r="O125" s="169"/>
      <c r="P125" s="169"/>
      <c r="Q125" s="169"/>
      <c r="W125" s="18">
        <f t="shared" si="6"/>
        <v>26</v>
      </c>
      <c r="X125" s="18">
        <f t="shared" si="7"/>
        <v>28</v>
      </c>
      <c r="Y125" s="19">
        <f t="shared" si="8"/>
        <v>1560</v>
      </c>
      <c r="Z125" s="19">
        <f t="shared" si="9"/>
        <v>1680</v>
      </c>
      <c r="AA125" s="21">
        <v>231</v>
      </c>
      <c r="AB125" s="25">
        <f>IF(ISNUMBER(Cluster15[[#This Row],[Bin Start (min)]]), AB124+1, Cluster15[[#This Row],[Bin Start (min)]])</f>
        <v>13</v>
      </c>
      <c r="AC125" s="25">
        <f>IF(ISNUMBER(Cluster15[[#This Row],[Bin End (min)]]), AC124+1, Cluster15[[#This Row],[Bin End (min)]])</f>
        <v>14</v>
      </c>
      <c r="AD125" s="1" t="str">
        <f>IF(ISNUMBER(Cluster15[[#This Row],[Bin_end]]), _xlfn.XLOOKUP(Cluster15[[#This Row],[Bin_end]], ClusterCalc_2x2SD16[Bin_end], ClusterCalc_2x2SD16[Peak or Nadir], "fill ClusterCalc Table",1), "no bin")</f>
        <v>Peak</v>
      </c>
      <c r="AE125" s="1" t="str">
        <f>IF(ISNUMBER(Cluster15[[#This Row],[Bin_end]]), _xlfn.XLOOKUP(Cluster15[[#This Row],[Bin_end]], ClusterCalc_3x3SD18[Bin_end], ClusterCalc_3x3SD18[Peak or Nadir], "fill ClusterCalc Table",1), "no bin")</f>
        <v>Peak</v>
      </c>
      <c r="AF125" s="1" t="str">
        <f>IF(ISNUMBER(Cluster15[[#This Row],[Bin_end]]), _xlfn.XLOOKUP(Cluster15[[#This Row],[Bin_end]], ClusterCalc_2x2SE20[Bin_end], ClusterCalc_2x2SE20[Peak or Nadir], "fill ClusterCalc Table",1), "no bin")</f>
        <v>Peak</v>
      </c>
      <c r="AG125" s="1" t="str">
        <f>IF(ISNUMBER(Cluster15[[#This Row],[Bin_end]]), _xlfn.XLOOKUP(Cluster15[[#This Row],[Bin_end]], ClusterCalc_3x3SE22[Bin_end], ClusterCalc_3x3SE22[Peak or Nadir], "fill ClusterCalc Table",1), "no bin")</f>
        <v>Peak</v>
      </c>
      <c r="AI125" s="42" t="s">
        <v>106</v>
      </c>
      <c r="AJ125" s="31" t="s">
        <v>101</v>
      </c>
      <c r="AK125" s="37">
        <f t="shared" si="18"/>
        <v>10</v>
      </c>
      <c r="AL125" s="31">
        <v>12</v>
      </c>
      <c r="AM125" s="42">
        <f>IF(ISNUMBER(ClusterCalc_2x2SD16[[#This Row],[Bin_end]]), (ClusterCalc_2x2SD16[[#This Row],[Bin_end]]-ClusterCalc_2x2SD16[[#This Row],[Bin_start]]) * (ClusterBinSize_sec / 60), "NA")</f>
        <v>4</v>
      </c>
      <c r="AN125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0.59166666666666667</v>
      </c>
      <c r="AO125" s="42"/>
      <c r="AP125" s="42" t="s">
        <v>106</v>
      </c>
      <c r="AQ125" s="31" t="s">
        <v>101</v>
      </c>
      <c r="AR125" s="37">
        <f t="shared" si="16"/>
        <v>15</v>
      </c>
      <c r="AS125" s="31">
        <v>17</v>
      </c>
      <c r="AT125" s="42">
        <f>IF(ISNUMBER(ClusterCalc_3x3SD18[[#This Row],[Bin_end]]), (ClusterCalc_3x3SD18[[#This Row],[Bin_end]]-ClusterCalc_3x3SD18[[#This Row],[Bin_start]]) * (ClusterBinSize_sec / 60), "NA")</f>
        <v>4</v>
      </c>
      <c r="AU125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0.28333333333333333</v>
      </c>
      <c r="AV125" s="42"/>
      <c r="AW125" s="42" t="s">
        <v>106</v>
      </c>
      <c r="AX125" s="31" t="s">
        <v>101</v>
      </c>
      <c r="AY125" s="37">
        <f t="shared" si="19"/>
        <v>10</v>
      </c>
      <c r="AZ125" s="31">
        <v>12</v>
      </c>
      <c r="BA125" s="42">
        <f>IF(ISNUMBER(ClusterCalc_2x2SE20[[#This Row],[Bin_end]]), (ClusterCalc_2x2SE20[[#This Row],[Bin_end]]-ClusterCalc_2x2SE20[[#This Row],[Bin_start]]) * (ClusterBinSize_sec / 60), "NA")</f>
        <v>4</v>
      </c>
      <c r="BB125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0.59166666666666667</v>
      </c>
      <c r="BD125" s="42" t="s">
        <v>106</v>
      </c>
      <c r="BE125" s="31" t="s">
        <v>101</v>
      </c>
      <c r="BF125" s="37">
        <f t="shared" si="17"/>
        <v>15</v>
      </c>
      <c r="BG125" s="31">
        <v>17</v>
      </c>
      <c r="BH125" s="42">
        <f>IF(ISNUMBER(ClusterCalc_3x3SE22[[#This Row],[Bin_end]]), (ClusterCalc_3x3SE22[[#This Row],[Bin_end]]-ClusterCalc_3x3SE22[[#This Row],[Bin_start]]) * (ClusterBinSize_sec / 60), "NA")</f>
        <v>4</v>
      </c>
      <c r="BI125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0.28333333333333333</v>
      </c>
      <c r="BK125" s="50" t="s">
        <v>201</v>
      </c>
      <c r="BV125"/>
    </row>
    <row r="126" spans="2:87" x14ac:dyDescent="0.2">
      <c r="B126" s="1">
        <f t="shared" si="10"/>
        <v>4</v>
      </c>
      <c r="C126" s="1">
        <f t="shared" si="11"/>
        <v>4</v>
      </c>
      <c r="D126" s="18">
        <f t="shared" si="12"/>
        <v>14</v>
      </c>
      <c r="E126" s="18">
        <f t="shared" si="13"/>
        <v>15</v>
      </c>
      <c r="F126" s="19">
        <f t="shared" si="14"/>
        <v>840</v>
      </c>
      <c r="G126" s="19">
        <f t="shared" si="15"/>
        <v>900</v>
      </c>
      <c r="H126" s="20">
        <v>20</v>
      </c>
      <c r="I126" s="21">
        <v>20</v>
      </c>
      <c r="J126" s="1">
        <f>IF(ISBLANK(FiringRate13[[#This Row],[Event/bin]]), " ", FiringRate13[[#This Row],[Event/bin]]/BinSize_sec)</f>
        <v>0.33333333333333331</v>
      </c>
      <c r="K126" s="22">
        <f>IF(ISBLANK(FiringRate13[[#This Row],[Conc events/bin]]), " ", FiringRate13[[#This Row],[Conc events/bin]]/BinSize_sec)</f>
        <v>0.33333333333333331</v>
      </c>
      <c r="W126" s="18">
        <f t="shared" si="6"/>
        <v>28</v>
      </c>
      <c r="X126" s="18">
        <f t="shared" si="7"/>
        <v>30</v>
      </c>
      <c r="Y126" s="19">
        <f t="shared" si="8"/>
        <v>1680</v>
      </c>
      <c r="Z126" s="19">
        <f t="shared" si="9"/>
        <v>1800</v>
      </c>
      <c r="AA126" s="21">
        <v>61</v>
      </c>
      <c r="AB126" s="25">
        <f>IF(ISNUMBER(Cluster15[[#This Row],[Bin Start (min)]]), AB125+1, Cluster15[[#This Row],[Bin Start (min)]])</f>
        <v>14</v>
      </c>
      <c r="AC126" s="25">
        <f>IF(ISNUMBER(Cluster15[[#This Row],[Bin End (min)]]), AC125+1, Cluster15[[#This Row],[Bin End (min)]])</f>
        <v>15</v>
      </c>
      <c r="AD126" s="1" t="str">
        <f>IF(ISNUMBER(Cluster15[[#This Row],[Bin_end]]), _xlfn.XLOOKUP(Cluster15[[#This Row],[Bin_end]], ClusterCalc_2x2SD16[Bin_end], ClusterCalc_2x2SD16[Peak or Nadir], "fill ClusterCalc Table",1), "no bin")</f>
        <v>Nadir</v>
      </c>
      <c r="AE126" s="1" t="str">
        <f>IF(ISNUMBER(Cluster15[[#This Row],[Bin_end]]), _xlfn.XLOOKUP(Cluster15[[#This Row],[Bin_end]], ClusterCalc_3x3SD18[Bin_end], ClusterCalc_3x3SD18[Peak or Nadir], "fill ClusterCalc Table",1), "no bin")</f>
        <v>Peak</v>
      </c>
      <c r="AF126" s="1" t="str">
        <f>IF(ISNUMBER(Cluster15[[#This Row],[Bin_end]]), _xlfn.XLOOKUP(Cluster15[[#This Row],[Bin_end]], ClusterCalc_2x2SE20[Bin_end], ClusterCalc_2x2SE20[Peak or Nadir], "fill ClusterCalc Table",1), "no bin")</f>
        <v>Nadir</v>
      </c>
      <c r="AG126" s="1" t="str">
        <f>IF(ISNUMBER(Cluster15[[#This Row],[Bin_end]]), _xlfn.XLOOKUP(Cluster15[[#This Row],[Bin_end]], ClusterCalc_3x3SE22[Bin_end], ClusterCalc_3x3SE22[Peak or Nadir], "fill ClusterCalc Table",1), "no bin")</f>
        <v>Peak</v>
      </c>
      <c r="AI126" s="42" t="s">
        <v>117</v>
      </c>
      <c r="AJ126" s="31" t="s">
        <v>88</v>
      </c>
      <c r="AK126" s="37">
        <f t="shared" si="18"/>
        <v>12</v>
      </c>
      <c r="AL126" s="31">
        <v>14</v>
      </c>
      <c r="AM126" s="42">
        <f>IF(ISNUMBER(ClusterCalc_2x2SD16[[#This Row],[Bin_end]]), (ClusterCalc_2x2SD16[[#This Row],[Bin_end]]-ClusterCalc_2x2SD16[[#This Row],[Bin_start]]) * (ClusterBinSize_sec / 60), "NA")</f>
        <v>4</v>
      </c>
      <c r="AN126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1.4208333333333334</v>
      </c>
      <c r="AO126" s="42"/>
      <c r="AP126" s="42" t="s">
        <v>117</v>
      </c>
      <c r="AQ126" s="31" t="s">
        <v>88</v>
      </c>
      <c r="AR126" s="37">
        <f t="shared" si="16"/>
        <v>17</v>
      </c>
      <c r="AS126" s="31">
        <v>37</v>
      </c>
      <c r="AT126" s="42">
        <f>IF(ISNUMBER(ClusterCalc_3x3SD18[[#This Row],[Bin_end]]), (ClusterCalc_3x3SD18[[#This Row],[Bin_end]]-ClusterCalc_3x3SD18[[#This Row],[Bin_start]]) * (ClusterBinSize_sec / 60), "NA")</f>
        <v>40</v>
      </c>
      <c r="AU126" s="42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0.94833333333333336</v>
      </c>
      <c r="AV126" s="42"/>
      <c r="AW126" s="42" t="s">
        <v>117</v>
      </c>
      <c r="AX126" s="31" t="s">
        <v>88</v>
      </c>
      <c r="AY126" s="37">
        <f t="shared" si="19"/>
        <v>12</v>
      </c>
      <c r="AZ126" s="31">
        <v>14</v>
      </c>
      <c r="BA126" s="42">
        <f>IF(ISNUMBER(ClusterCalc_2x2SE20[[#This Row],[Bin_end]]), (ClusterCalc_2x2SE20[[#This Row],[Bin_end]]-ClusterCalc_2x2SE20[[#This Row],[Bin_start]]) * (ClusterBinSize_sec / 60), "NA")</f>
        <v>4</v>
      </c>
      <c r="BB126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1.4208333333333334</v>
      </c>
      <c r="BD126" s="42" t="s">
        <v>117</v>
      </c>
      <c r="BE126" s="31" t="s">
        <v>88</v>
      </c>
      <c r="BF126" s="37">
        <f t="shared" si="17"/>
        <v>17</v>
      </c>
      <c r="BG126" s="31">
        <v>35</v>
      </c>
      <c r="BH126" s="42">
        <f>IF(ISNUMBER(ClusterCalc_3x3SE22[[#This Row],[Bin_end]]), (ClusterCalc_3x3SE22[[#This Row],[Bin_end]]-ClusterCalc_3x3SE22[[#This Row],[Bin_start]]) * (ClusterBinSize_sec / 60), "NA")</f>
        <v>36</v>
      </c>
      <c r="BI126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1.0513888888888889</v>
      </c>
      <c r="BK126" s="12" t="s">
        <v>155</v>
      </c>
      <c r="BL126" s="12" t="s">
        <v>154</v>
      </c>
      <c r="BM126" s="12" t="s">
        <v>156</v>
      </c>
      <c r="BN126" s="12" t="s">
        <v>157</v>
      </c>
      <c r="BO126" s="12" t="s">
        <v>158</v>
      </c>
      <c r="BP126" s="12" t="s">
        <v>153</v>
      </c>
      <c r="BQ126" s="12" t="s">
        <v>159</v>
      </c>
      <c r="BR126" s="12" t="s">
        <v>160</v>
      </c>
      <c r="BS126" s="12" t="s">
        <v>161</v>
      </c>
      <c r="BT126" s="44" t="s">
        <v>162</v>
      </c>
      <c r="BV126"/>
    </row>
    <row r="127" spans="2:87" x14ac:dyDescent="0.2">
      <c r="B127" s="1">
        <f t="shared" si="10"/>
        <v>4</v>
      </c>
      <c r="C127" s="1">
        <f t="shared" si="11"/>
        <v>5</v>
      </c>
      <c r="D127" s="18">
        <f t="shared" si="12"/>
        <v>15</v>
      </c>
      <c r="E127" s="18">
        <f t="shared" si="13"/>
        <v>16</v>
      </c>
      <c r="F127" s="19">
        <f t="shared" si="14"/>
        <v>900</v>
      </c>
      <c r="G127" s="19">
        <f t="shared" si="15"/>
        <v>960</v>
      </c>
      <c r="H127" s="20">
        <v>128</v>
      </c>
      <c r="I127" s="21">
        <v>126</v>
      </c>
      <c r="J127" s="1">
        <f>IF(ISBLANK(FiringRate13[[#This Row],[Event/bin]]), " ", FiringRate13[[#This Row],[Event/bin]]/BinSize_sec)</f>
        <v>2.1333333333333333</v>
      </c>
      <c r="K127" s="22">
        <f>IF(ISBLANK(FiringRate13[[#This Row],[Conc events/bin]]), " ", FiringRate13[[#This Row],[Conc events/bin]]/BinSize_sec)</f>
        <v>2.1</v>
      </c>
      <c r="W127" s="18">
        <f t="shared" si="6"/>
        <v>30</v>
      </c>
      <c r="X127" s="18">
        <f t="shared" si="7"/>
        <v>32</v>
      </c>
      <c r="Y127" s="19">
        <f t="shared" si="8"/>
        <v>1800</v>
      </c>
      <c r="Z127" s="19">
        <f t="shared" si="9"/>
        <v>1920</v>
      </c>
      <c r="AA127" s="21">
        <v>26</v>
      </c>
      <c r="AB127" s="25">
        <f>IF(ISNUMBER(Cluster15[[#This Row],[Bin Start (min)]]), AB126+1, Cluster15[[#This Row],[Bin Start (min)]])</f>
        <v>15</v>
      </c>
      <c r="AC127" s="25">
        <f>IF(ISNUMBER(Cluster15[[#This Row],[Bin End (min)]]), AC126+1, Cluster15[[#This Row],[Bin End (min)]])</f>
        <v>16</v>
      </c>
      <c r="AD127" s="1" t="str">
        <f>IF(ISNUMBER(Cluster15[[#This Row],[Bin_end]]), _xlfn.XLOOKUP(Cluster15[[#This Row],[Bin_end]], ClusterCalc_2x2SD16[Bin_end], ClusterCalc_2x2SD16[Peak or Nadir], "fill ClusterCalc Table",1), "no bin")</f>
        <v>Nadir</v>
      </c>
      <c r="AE127" s="1" t="str">
        <f>IF(ISNUMBER(Cluster15[[#This Row],[Bin_end]]), _xlfn.XLOOKUP(Cluster15[[#This Row],[Bin_end]], ClusterCalc_3x3SD18[Bin_end], ClusterCalc_3x3SD18[Peak or Nadir], "fill ClusterCalc Table",1), "no bin")</f>
        <v>Nadir</v>
      </c>
      <c r="AF127" s="1" t="str">
        <f>IF(ISNUMBER(Cluster15[[#This Row],[Bin_end]]), _xlfn.XLOOKUP(Cluster15[[#This Row],[Bin_end]], ClusterCalc_2x2SE20[Bin_end], ClusterCalc_2x2SE20[Peak or Nadir], "fill ClusterCalc Table",1), "no bin")</f>
        <v>Nadir</v>
      </c>
      <c r="AG127" s="1" t="str">
        <f>IF(ISNUMBER(Cluster15[[#This Row],[Bin_end]]), _xlfn.XLOOKUP(Cluster15[[#This Row],[Bin_end]], ClusterCalc_3x3SE22[Bin_end], ClusterCalc_3x3SE22[Peak or Nadir], "fill ClusterCalc Table",1), "no bin")</f>
        <v>Nadir</v>
      </c>
      <c r="AI127" s="42" t="s">
        <v>118</v>
      </c>
      <c r="AJ127" s="31" t="s">
        <v>101</v>
      </c>
      <c r="AK127" s="37">
        <f t="shared" si="18"/>
        <v>14</v>
      </c>
      <c r="AL127" s="31">
        <v>16</v>
      </c>
      <c r="AM127" s="42">
        <f>IF(ISNUMBER(ClusterCalc_2x2SD16[[#This Row],[Bin_end]]), (ClusterCalc_2x2SD16[[#This Row],[Bin_end]]-ClusterCalc_2x2SD16[[#This Row],[Bin_start]]) * (ClusterBinSize_sec / 60), "NA")</f>
        <v>4</v>
      </c>
      <c r="AN127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0.36249999999999999</v>
      </c>
      <c r="AO127" s="42"/>
      <c r="AP127" s="42" t="s">
        <v>118</v>
      </c>
      <c r="AQ127" s="31"/>
      <c r="AR127" s="37">
        <f t="shared" si="16"/>
        <v>37</v>
      </c>
      <c r="AS127" s="31"/>
      <c r="AT127" s="42" t="str">
        <f>IF(ISNUMBER(ClusterCalc_3x3SD18[[#This Row],[Bin_end]]), (ClusterCalc_3x3SD18[[#This Row],[Bin_end]]-ClusterCalc_3x3SD18[[#This Row],[Bin_start]]) * (ClusterBinSize_sec / 60), "NA")</f>
        <v>NA</v>
      </c>
      <c r="AU127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27" s="42"/>
      <c r="AW127" s="42" t="s">
        <v>118</v>
      </c>
      <c r="AX127" s="31" t="s">
        <v>101</v>
      </c>
      <c r="AY127" s="37">
        <f t="shared" si="19"/>
        <v>14</v>
      </c>
      <c r="AZ127" s="31">
        <v>16</v>
      </c>
      <c r="BA127" s="42">
        <f>IF(ISNUMBER(ClusterCalc_2x2SE20[[#This Row],[Bin_end]]), (ClusterCalc_2x2SE20[[#This Row],[Bin_end]]-ClusterCalc_2x2SE20[[#This Row],[Bin_start]]) * (ClusterBinSize_sec / 60), "NA")</f>
        <v>4</v>
      </c>
      <c r="BB127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0.36249999999999999</v>
      </c>
      <c r="BD127" s="42" t="s">
        <v>118</v>
      </c>
      <c r="BE127" s="31" t="s">
        <v>101</v>
      </c>
      <c r="BF127" s="37">
        <f t="shared" si="17"/>
        <v>35</v>
      </c>
      <c r="BG127" s="31">
        <v>37</v>
      </c>
      <c r="BH127" s="42">
        <f>IF(ISNUMBER(ClusterCalc_3x3SE22[[#This Row],[Bin_end]]), (ClusterCalc_3x3SE22[[#This Row],[Bin_end]]-ClusterCalc_3x3SE22[[#This Row],[Bin_start]]) * (ClusterBinSize_sec / 60), "NA")</f>
        <v>4</v>
      </c>
      <c r="BI127" s="42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2.0833333333333332E-2</v>
      </c>
      <c r="BK127" s="45">
        <f>IF(ISNUMBER(SpontLength_min), IF(SpontLength_min &gt; 0, SpontLength_min, "NA"), "NA")</f>
        <v>74</v>
      </c>
      <c r="BL127" s="45">
        <f>IF(ISNUMBER(SpontAvgFiring), SpontAvgFiring, "NA")</f>
        <v>0.89076576576576549</v>
      </c>
      <c r="BM127" s="45">
        <f>IF(ISNUMBER(numPeaks_2x2SD), numPeaks_2x2SD, "NA")</f>
        <v>6</v>
      </c>
      <c r="BN127" s="45">
        <f>IF(ISNUMBER(numNadirs_2x2SD), numNadirs_2x2SD, "NA")</f>
        <v>7</v>
      </c>
      <c r="BO127" s="45">
        <f>IF(ISNUMBER(meanPeakDur_2x2SD), meanPeakDur_2x2SD, "NA")</f>
        <v>8</v>
      </c>
      <c r="BP127" s="45">
        <f>IF(ISNUMBER(totalPeakDur_2x2SD), totalPeakDur_2x2SD, "NA")</f>
        <v>48</v>
      </c>
      <c r="BQ127" s="45">
        <f>IF(ISNUMBER(meanNadirDur_2x2SD), meanNadirDur_2x2SD, "NA")</f>
        <v>3.7142857142857144</v>
      </c>
      <c r="BR127" s="45">
        <f>IF(ISNUMBER(totalNadirDur_2x2SD), totalNadirDur_2x2SD, "NA")</f>
        <v>26</v>
      </c>
      <c r="BS127" s="45">
        <f>IF(ISNUMBER(meanPeakFiring_2x2SD), meanPeakFiring_2x2SD, "NA")</f>
        <v>1.1481481481481481</v>
      </c>
      <c r="BT127" s="45">
        <f>IF(ISNUMBER(meanNadirFiring_2x2SD), meanNadirFiring_2x2SD, "NA")</f>
        <v>0.44107142857142856</v>
      </c>
      <c r="BV127"/>
    </row>
    <row r="128" spans="2:87" x14ac:dyDescent="0.2">
      <c r="B128" s="1">
        <f t="shared" si="10"/>
        <v>4</v>
      </c>
      <c r="C128" s="1">
        <f t="shared" si="11"/>
        <v>6</v>
      </c>
      <c r="D128" s="18">
        <f t="shared" si="12"/>
        <v>16</v>
      </c>
      <c r="E128" s="18">
        <f t="shared" si="13"/>
        <v>17</v>
      </c>
      <c r="F128" s="19">
        <f t="shared" si="14"/>
        <v>960</v>
      </c>
      <c r="G128" s="19">
        <f t="shared" si="15"/>
        <v>1020</v>
      </c>
      <c r="H128" s="20">
        <v>85</v>
      </c>
      <c r="I128" s="21">
        <v>87</v>
      </c>
      <c r="J128" s="1">
        <f>IF(ISBLANK(FiringRate13[[#This Row],[Event/bin]]), " ", FiringRate13[[#This Row],[Event/bin]]/BinSize_sec)</f>
        <v>1.4166666666666667</v>
      </c>
      <c r="K128" s="22">
        <f>IF(ISBLANK(FiringRate13[[#This Row],[Conc events/bin]]), " ", FiringRate13[[#This Row],[Conc events/bin]]/BinSize_sec)</f>
        <v>1.45</v>
      </c>
      <c r="W128" s="18">
        <f t="shared" si="6"/>
        <v>32</v>
      </c>
      <c r="X128" s="18">
        <f t="shared" si="7"/>
        <v>34</v>
      </c>
      <c r="Y128" s="19">
        <f t="shared" si="8"/>
        <v>1920</v>
      </c>
      <c r="Z128" s="19">
        <f t="shared" si="9"/>
        <v>2040</v>
      </c>
      <c r="AA128" s="21">
        <v>42</v>
      </c>
      <c r="AB128" s="25">
        <f>IF(ISNUMBER(Cluster15[[#This Row],[Bin Start (min)]]), AB127+1, Cluster15[[#This Row],[Bin Start (min)]])</f>
        <v>16</v>
      </c>
      <c r="AC128" s="25">
        <f>IF(ISNUMBER(Cluster15[[#This Row],[Bin End (min)]]), AC127+1, Cluster15[[#This Row],[Bin End (min)]])</f>
        <v>17</v>
      </c>
      <c r="AD128" s="1" t="str">
        <f>IF(ISNUMBER(Cluster15[[#This Row],[Bin_end]]), _xlfn.XLOOKUP(Cluster15[[#This Row],[Bin_end]], ClusterCalc_2x2SD16[Bin_end], ClusterCalc_2x2SD16[Peak or Nadir], "fill ClusterCalc Table",1), "no bin")</f>
        <v>Peak</v>
      </c>
      <c r="AE128" s="1" t="str">
        <f>IF(ISNUMBER(Cluster15[[#This Row],[Bin_end]]), _xlfn.XLOOKUP(Cluster15[[#This Row],[Bin_end]], ClusterCalc_3x3SD18[Bin_end], ClusterCalc_3x3SD18[Peak or Nadir], "fill ClusterCalc Table",1), "no bin")</f>
        <v>Nadir</v>
      </c>
      <c r="AF128" s="1" t="str">
        <f>IF(ISNUMBER(Cluster15[[#This Row],[Bin_end]]), _xlfn.XLOOKUP(Cluster15[[#This Row],[Bin_end]], ClusterCalc_2x2SE20[Bin_end], ClusterCalc_2x2SE20[Peak or Nadir], "fill ClusterCalc Table",1), "no bin")</f>
        <v>Peak</v>
      </c>
      <c r="AG128" s="1" t="str">
        <f>IF(ISNUMBER(Cluster15[[#This Row],[Bin_end]]), _xlfn.XLOOKUP(Cluster15[[#This Row],[Bin_end]], ClusterCalc_3x3SE22[Bin_end], ClusterCalc_3x3SE22[Peak or Nadir], "fill ClusterCalc Table",1), "no bin")</f>
        <v>Nadir</v>
      </c>
      <c r="AI128" s="42" t="s">
        <v>120</v>
      </c>
      <c r="AJ128" s="31" t="s">
        <v>88</v>
      </c>
      <c r="AK128" s="37">
        <f t="shared" si="18"/>
        <v>16</v>
      </c>
      <c r="AL128" s="31">
        <v>22</v>
      </c>
      <c r="AM128" s="42">
        <f>IF(ISNUMBER(ClusterCalc_2x2SD16[[#This Row],[Bin_end]]), (ClusterCalc_2x2SD16[[#This Row],[Bin_end]]-ClusterCalc_2x2SD16[[#This Row],[Bin_start]]) * (ClusterBinSize_sec / 60), "NA")</f>
        <v>12</v>
      </c>
      <c r="AN128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0.92222222222222228</v>
      </c>
      <c r="AO128" s="42"/>
      <c r="AP128" s="42" t="s">
        <v>120</v>
      </c>
      <c r="AQ128" s="31"/>
      <c r="AR128" s="37" t="str">
        <f t="shared" si="16"/>
        <v/>
      </c>
      <c r="AS128" s="31"/>
      <c r="AT128" s="42" t="str">
        <f>IF(ISNUMBER(ClusterCalc_3x3SD18[[#This Row],[Bin_end]]), (ClusterCalc_3x3SD18[[#This Row],[Bin_end]]-ClusterCalc_3x3SD18[[#This Row],[Bin_start]]) * (ClusterBinSize_sec / 60), "NA")</f>
        <v>NA</v>
      </c>
      <c r="AU128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28" s="42"/>
      <c r="AW128" s="42" t="s">
        <v>120</v>
      </c>
      <c r="AX128" s="31" t="s">
        <v>88</v>
      </c>
      <c r="AY128" s="37">
        <f t="shared" si="19"/>
        <v>16</v>
      </c>
      <c r="AZ128" s="31">
        <v>22</v>
      </c>
      <c r="BA128" s="42">
        <f>IF(ISNUMBER(ClusterCalc_2x2SE20[[#This Row],[Bin_end]]), (ClusterCalc_2x2SE20[[#This Row],[Bin_end]]-ClusterCalc_2x2SE20[[#This Row],[Bin_start]]) * (ClusterBinSize_sec / 60), "NA")</f>
        <v>12</v>
      </c>
      <c r="BB128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0.92222222222222228</v>
      </c>
      <c r="BD128" s="42" t="s">
        <v>120</v>
      </c>
      <c r="BE128" s="31"/>
      <c r="BF128" s="37">
        <f t="shared" si="17"/>
        <v>37</v>
      </c>
      <c r="BG128" s="31"/>
      <c r="BH128" s="42" t="str">
        <f>IF(ISNUMBER(ClusterCalc_3x3SE22[[#This Row],[Bin_end]]), (ClusterCalc_3x3SE22[[#This Row],[Bin_end]]-ClusterCalc_3x3SE22[[#This Row],[Bin_start]]) * (ClusterBinSize_sec / 60), "NA")</f>
        <v>NA</v>
      </c>
      <c r="BI128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V128"/>
    </row>
    <row r="129" spans="2:74" x14ac:dyDescent="0.2">
      <c r="B129" s="1">
        <f t="shared" si="10"/>
        <v>4</v>
      </c>
      <c r="C129" s="1">
        <f t="shared" si="11"/>
        <v>7</v>
      </c>
      <c r="D129" s="18">
        <f t="shared" si="12"/>
        <v>17</v>
      </c>
      <c r="E129" s="18">
        <f t="shared" si="13"/>
        <v>18</v>
      </c>
      <c r="F129" s="19">
        <f t="shared" si="14"/>
        <v>1020</v>
      </c>
      <c r="G129" s="19">
        <f t="shared" si="15"/>
        <v>1080</v>
      </c>
      <c r="H129" s="20">
        <v>19</v>
      </c>
      <c r="I129" s="21">
        <v>19</v>
      </c>
      <c r="J129" s="1">
        <f>IF(ISBLANK(FiringRate13[[#This Row],[Event/bin]]), " ", FiringRate13[[#This Row],[Event/bin]]/BinSize_sec)</f>
        <v>0.31666666666666665</v>
      </c>
      <c r="K129" s="22">
        <f>IF(ISBLANK(FiringRate13[[#This Row],[Conc events/bin]]), " ", FiringRate13[[#This Row],[Conc events/bin]]/BinSize_sec)</f>
        <v>0.31666666666666665</v>
      </c>
      <c r="W129" s="18">
        <f t="shared" si="6"/>
        <v>34</v>
      </c>
      <c r="X129" s="18">
        <f t="shared" si="7"/>
        <v>36</v>
      </c>
      <c r="Y129" s="19">
        <f t="shared" si="8"/>
        <v>2040</v>
      </c>
      <c r="Z129" s="19">
        <f t="shared" si="9"/>
        <v>2160</v>
      </c>
      <c r="AA129" s="21">
        <v>95</v>
      </c>
      <c r="AB129" s="25">
        <f>IF(ISNUMBER(Cluster15[[#This Row],[Bin Start (min)]]), AB128+1, Cluster15[[#This Row],[Bin Start (min)]])</f>
        <v>17</v>
      </c>
      <c r="AC129" s="25">
        <f>IF(ISNUMBER(Cluster15[[#This Row],[Bin End (min)]]), AC128+1, Cluster15[[#This Row],[Bin End (min)]])</f>
        <v>18</v>
      </c>
      <c r="AD129" s="1" t="str">
        <f>IF(ISNUMBER(Cluster15[[#This Row],[Bin_end]]), _xlfn.XLOOKUP(Cluster15[[#This Row],[Bin_end]], ClusterCalc_2x2SD16[Bin_end], ClusterCalc_2x2SD16[Peak or Nadir], "fill ClusterCalc Table",1), "no bin")</f>
        <v>Peak</v>
      </c>
      <c r="AE129" s="1" t="str">
        <f>IF(ISNUMBER(Cluster15[[#This Row],[Bin_end]]), _xlfn.XLOOKUP(Cluster15[[#This Row],[Bin_end]], ClusterCalc_3x3SD18[Bin_end], ClusterCalc_3x3SD18[Peak or Nadir], "fill ClusterCalc Table",1), "no bin")</f>
        <v>Peak</v>
      </c>
      <c r="AF129" s="1" t="str">
        <f>IF(ISNUMBER(Cluster15[[#This Row],[Bin_end]]), _xlfn.XLOOKUP(Cluster15[[#This Row],[Bin_end]], ClusterCalc_2x2SE20[Bin_end], ClusterCalc_2x2SE20[Peak or Nadir], "fill ClusterCalc Table",1), "no bin")</f>
        <v>Peak</v>
      </c>
      <c r="AG129" s="1" t="str">
        <f>IF(ISNUMBER(Cluster15[[#This Row],[Bin_end]]), _xlfn.XLOOKUP(Cluster15[[#This Row],[Bin_end]], ClusterCalc_3x3SE22[Bin_end], ClusterCalc_3x3SE22[Peak or Nadir], "fill ClusterCalc Table",1), "no bin")</f>
        <v>Peak</v>
      </c>
      <c r="AI129" s="42" t="s">
        <v>121</v>
      </c>
      <c r="AJ129" s="31" t="s">
        <v>101</v>
      </c>
      <c r="AK129" s="37">
        <f t="shared" si="18"/>
        <v>22</v>
      </c>
      <c r="AL129" s="31">
        <v>24</v>
      </c>
      <c r="AM129" s="42">
        <f>IF(ISNUMBER(ClusterCalc_2x2SD16[[#This Row],[Bin_end]]), (ClusterCalc_2x2SD16[[#This Row],[Bin_end]]-ClusterCalc_2x2SD16[[#This Row],[Bin_start]]) * (ClusterBinSize_sec / 60), "NA")</f>
        <v>4</v>
      </c>
      <c r="AN129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1.1000000000000001</v>
      </c>
      <c r="AO129" s="42"/>
      <c r="AP129" s="42" t="s">
        <v>121</v>
      </c>
      <c r="AQ129" s="31"/>
      <c r="AR129" s="37" t="str">
        <f t="shared" si="16"/>
        <v/>
      </c>
      <c r="AS129" s="31"/>
      <c r="AT129" s="42" t="str">
        <f>IF(ISNUMBER(ClusterCalc_3x3SD18[[#This Row],[Bin_end]]), (ClusterCalc_3x3SD18[[#This Row],[Bin_end]]-ClusterCalc_3x3SD18[[#This Row],[Bin_start]]) * (ClusterBinSize_sec / 60), "NA")</f>
        <v>NA</v>
      </c>
      <c r="AU129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29" s="42"/>
      <c r="AW129" s="42" t="s">
        <v>121</v>
      </c>
      <c r="AX129" s="31" t="s">
        <v>101</v>
      </c>
      <c r="AY129" s="37">
        <f t="shared" si="19"/>
        <v>22</v>
      </c>
      <c r="AZ129" s="31">
        <v>24</v>
      </c>
      <c r="BA129" s="42">
        <f>IF(ISNUMBER(ClusterCalc_2x2SE20[[#This Row],[Bin_end]]), (ClusterCalc_2x2SE20[[#This Row],[Bin_end]]-ClusterCalc_2x2SE20[[#This Row],[Bin_start]]) * (ClusterBinSize_sec / 60), "NA")</f>
        <v>4</v>
      </c>
      <c r="BB129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1.1000000000000001</v>
      </c>
      <c r="BD129" s="42" t="s">
        <v>121</v>
      </c>
      <c r="BE129" s="31"/>
      <c r="BF129" s="37" t="str">
        <f t="shared" si="17"/>
        <v/>
      </c>
      <c r="BG129" s="31"/>
      <c r="BH129" s="42" t="str">
        <f>IF(ISNUMBER(ClusterCalc_3x3SE22[[#This Row],[Bin_end]]), (ClusterCalc_3x3SE22[[#This Row],[Bin_end]]-ClusterCalc_3x3SE22[[#This Row],[Bin_start]]) * (ClusterBinSize_sec / 60), "NA")</f>
        <v>NA</v>
      </c>
      <c r="BI129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29" s="32" t="s">
        <v>163</v>
      </c>
      <c r="BL129" s="32" t="s">
        <v>164</v>
      </c>
      <c r="BM129" s="32" t="s">
        <v>165</v>
      </c>
      <c r="BN129" s="32" t="s">
        <v>166</v>
      </c>
      <c r="BO129" s="32" t="s">
        <v>167</v>
      </c>
      <c r="BP129" s="32" t="s">
        <v>168</v>
      </c>
      <c r="BQ129" s="32" t="s">
        <v>169</v>
      </c>
      <c r="BR129" s="32" t="s">
        <v>170</v>
      </c>
      <c r="BS129" s="32" t="s">
        <v>171</v>
      </c>
      <c r="BT129" s="47" t="s">
        <v>172</v>
      </c>
      <c r="BV129"/>
    </row>
    <row r="130" spans="2:74" x14ac:dyDescent="0.2">
      <c r="B130" s="1">
        <f t="shared" si="10"/>
        <v>4</v>
      </c>
      <c r="C130" s="1">
        <f t="shared" si="11"/>
        <v>8</v>
      </c>
      <c r="D130" s="18">
        <f t="shared" si="12"/>
        <v>18</v>
      </c>
      <c r="E130" s="18">
        <f t="shared" si="13"/>
        <v>19</v>
      </c>
      <c r="F130" s="19">
        <f t="shared" si="14"/>
        <v>1080</v>
      </c>
      <c r="G130" s="19">
        <f t="shared" si="15"/>
        <v>1140</v>
      </c>
      <c r="H130" s="20">
        <v>13</v>
      </c>
      <c r="I130" s="21">
        <v>13</v>
      </c>
      <c r="J130" s="1">
        <f>IF(ISBLANK(FiringRate13[[#This Row],[Event/bin]]), " ", FiringRate13[[#This Row],[Event/bin]]/BinSize_sec)</f>
        <v>0.21666666666666667</v>
      </c>
      <c r="K130" s="22">
        <f>IF(ISBLANK(FiringRate13[[#This Row],[Conc events/bin]]), " ", FiringRate13[[#This Row],[Conc events/bin]]/BinSize_sec)</f>
        <v>0.21666666666666667</v>
      </c>
      <c r="W130" s="18">
        <f t="shared" si="6"/>
        <v>36</v>
      </c>
      <c r="X130" s="18">
        <f t="shared" si="7"/>
        <v>38</v>
      </c>
      <c r="Y130" s="19">
        <f t="shared" si="8"/>
        <v>2160</v>
      </c>
      <c r="Z130" s="19">
        <f t="shared" si="9"/>
        <v>2280</v>
      </c>
      <c r="AA130" s="21">
        <v>126</v>
      </c>
      <c r="AB130" s="25">
        <f>IF(ISNUMBER(Cluster15[[#This Row],[Bin Start (min)]]), AB129+1, Cluster15[[#This Row],[Bin Start (min)]])</f>
        <v>18</v>
      </c>
      <c r="AC130" s="25">
        <f>IF(ISNUMBER(Cluster15[[#This Row],[Bin End (min)]]), AC129+1, Cluster15[[#This Row],[Bin End (min)]])</f>
        <v>19</v>
      </c>
      <c r="AD130" s="1" t="str">
        <f>IF(ISNUMBER(Cluster15[[#This Row],[Bin_end]]), _xlfn.XLOOKUP(Cluster15[[#This Row],[Bin_end]], ClusterCalc_2x2SD16[Bin_end], ClusterCalc_2x2SD16[Peak or Nadir], "fill ClusterCalc Table",1), "no bin")</f>
        <v>Peak</v>
      </c>
      <c r="AE130" s="1" t="str">
        <f>IF(ISNUMBER(Cluster15[[#This Row],[Bin_end]]), _xlfn.XLOOKUP(Cluster15[[#This Row],[Bin_end]], ClusterCalc_3x3SD18[Bin_end], ClusterCalc_3x3SD18[Peak or Nadir], "fill ClusterCalc Table",1), "no bin")</f>
        <v>Peak</v>
      </c>
      <c r="AF130" s="1" t="str">
        <f>IF(ISNUMBER(Cluster15[[#This Row],[Bin_end]]), _xlfn.XLOOKUP(Cluster15[[#This Row],[Bin_end]], ClusterCalc_2x2SE20[Bin_end], ClusterCalc_2x2SE20[Peak or Nadir], "fill ClusterCalc Table",1), "no bin")</f>
        <v>Peak</v>
      </c>
      <c r="AG130" s="1" t="str">
        <f>IF(ISNUMBER(Cluster15[[#This Row],[Bin_end]]), _xlfn.XLOOKUP(Cluster15[[#This Row],[Bin_end]], ClusterCalc_3x3SE22[Bin_end], ClusterCalc_3x3SE22[Peak or Nadir], "fill ClusterCalc Table",1), "no bin")</f>
        <v>Peak</v>
      </c>
      <c r="AI130" s="42" t="s">
        <v>132</v>
      </c>
      <c r="AJ130" s="31" t="s">
        <v>88</v>
      </c>
      <c r="AK130" s="37">
        <f t="shared" si="18"/>
        <v>24</v>
      </c>
      <c r="AL130" s="31">
        <v>30</v>
      </c>
      <c r="AM130" s="42">
        <f>IF(ISNUMBER(ClusterCalc_2x2SD16[[#This Row],[Bin_end]]), (ClusterCalc_2x2SD16[[#This Row],[Bin_end]]-ClusterCalc_2x2SD16[[#This Row],[Bin_start]]) * (ClusterBinSize_sec / 60), "NA")</f>
        <v>12</v>
      </c>
      <c r="AN130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1.4750000000000001</v>
      </c>
      <c r="AO130" s="42"/>
      <c r="AP130" s="42" t="s">
        <v>132</v>
      </c>
      <c r="AQ130" s="31"/>
      <c r="AR130" s="37" t="str">
        <f t="shared" si="16"/>
        <v/>
      </c>
      <c r="AS130" s="31"/>
      <c r="AT130" s="42" t="str">
        <f>IF(ISNUMBER(ClusterCalc_3x3SD18[[#This Row],[Bin_end]]), (ClusterCalc_3x3SD18[[#This Row],[Bin_end]]-ClusterCalc_3x3SD18[[#This Row],[Bin_start]]) * (ClusterBinSize_sec / 60), "NA")</f>
        <v>NA</v>
      </c>
      <c r="AU130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0" s="42"/>
      <c r="AW130" s="42" t="s">
        <v>132</v>
      </c>
      <c r="AX130" s="31" t="s">
        <v>88</v>
      </c>
      <c r="AY130" s="37">
        <f t="shared" si="19"/>
        <v>24</v>
      </c>
      <c r="AZ130" s="31">
        <v>30</v>
      </c>
      <c r="BA130" s="42">
        <f>IF(ISNUMBER(ClusterCalc_2x2SE20[[#This Row],[Bin_end]]), (ClusterCalc_2x2SE20[[#This Row],[Bin_end]]-ClusterCalc_2x2SE20[[#This Row],[Bin_start]]) * (ClusterBinSize_sec / 60), "NA")</f>
        <v>12</v>
      </c>
      <c r="BB130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1.4750000000000001</v>
      </c>
      <c r="BD130" s="42" t="s">
        <v>132</v>
      </c>
      <c r="BE130" s="31"/>
      <c r="BF130" s="37" t="str">
        <f t="shared" si="17"/>
        <v/>
      </c>
      <c r="BG130" s="31"/>
      <c r="BH130" s="42" t="str">
        <f>IF(ISNUMBER(ClusterCalc_3x3SE22[[#This Row],[Bin_end]]), (ClusterCalc_3x3SE22[[#This Row],[Bin_end]]-ClusterCalc_3x3SE22[[#This Row],[Bin_start]]) * (ClusterBinSize_sec / 60), "NA")</f>
        <v>NA</v>
      </c>
      <c r="BI130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30" s="45">
        <f>IF(ISNUMBER(SpontLength_min), IF(SpontLength_min &gt; 0, SpontLength_min, "NA"), "NA")</f>
        <v>74</v>
      </c>
      <c r="BL130" s="45">
        <f>IF(ISNUMBER(SpontAvgFiring), SpontAvgFiring, "NA")</f>
        <v>0.89076576576576549</v>
      </c>
      <c r="BM130" s="45">
        <f>IF(ISNUMBER(numPeaks_3x3SD), numPeaks_3x3SD, "NA")</f>
        <v>3</v>
      </c>
      <c r="BN130" s="45">
        <f>IF(ISNUMBER(numNadirs_3x3SD), numNadirs_3x3SD, "NA")</f>
        <v>3</v>
      </c>
      <c r="BO130" s="45">
        <f>IF(ISNUMBER(meanPeakDur_3x3SD), meanPeakDur_3x3SD, "NA")</f>
        <v>19.333333333333332</v>
      </c>
      <c r="BP130" s="45">
        <f>IF(ISNUMBER(totalPeakDur_3x3SD), totalPeakDur_3x3SD, "NA")</f>
        <v>58</v>
      </c>
      <c r="BQ130" s="45">
        <f>IF(ISNUMBER(meanNadirDur_3x3SD), meanNadirDur_3x3SD, "NA")</f>
        <v>5.333333333333333</v>
      </c>
      <c r="BR130" s="45">
        <f>IF(ISNUMBER(totalNadirDur_3x3SD), totalNadirDur_3x3SD, "NA")</f>
        <v>16</v>
      </c>
      <c r="BS130" s="45">
        <f>IF(ISNUMBER(meanPeakFiring_3x3SD), meanPeakFiring_3x3SD, "NA")</f>
        <v>0.98819444444444438</v>
      </c>
      <c r="BT130" s="45">
        <f>IF(ISNUMBER(meanNadirFiring_3x3SD), meanNadirFiring_3x3SD, "NA")</f>
        <v>0.56851851851851853</v>
      </c>
      <c r="BV130"/>
    </row>
    <row r="131" spans="2:74" x14ac:dyDescent="0.2">
      <c r="B131" s="1">
        <f t="shared" si="10"/>
        <v>4</v>
      </c>
      <c r="C131" s="1">
        <f t="shared" si="11"/>
        <v>9</v>
      </c>
      <c r="D131" s="18">
        <f t="shared" si="12"/>
        <v>19</v>
      </c>
      <c r="E131" s="18">
        <f t="shared" si="13"/>
        <v>20</v>
      </c>
      <c r="F131" s="19">
        <f t="shared" si="14"/>
        <v>1140</v>
      </c>
      <c r="G131" s="19">
        <f t="shared" si="15"/>
        <v>1200</v>
      </c>
      <c r="H131" s="20">
        <v>42</v>
      </c>
      <c r="I131" s="21">
        <v>41</v>
      </c>
      <c r="J131" s="1">
        <f>IF(ISBLANK(FiringRate13[[#This Row],[Event/bin]]), " ", FiringRate13[[#This Row],[Event/bin]]/BinSize_sec)</f>
        <v>0.7</v>
      </c>
      <c r="K131" s="22">
        <f>IF(ISBLANK(FiringRate13[[#This Row],[Conc events/bin]]), " ", FiringRate13[[#This Row],[Conc events/bin]]/BinSize_sec)</f>
        <v>0.68333333333333335</v>
      </c>
      <c r="W131" s="18">
        <f t="shared" si="6"/>
        <v>38</v>
      </c>
      <c r="X131" s="18">
        <f t="shared" si="7"/>
        <v>40</v>
      </c>
      <c r="Y131" s="19">
        <f t="shared" si="8"/>
        <v>2280</v>
      </c>
      <c r="Z131" s="19">
        <f t="shared" si="9"/>
        <v>2400</v>
      </c>
      <c r="AA131" s="21">
        <v>99</v>
      </c>
      <c r="AB131" s="25">
        <f>IF(ISNUMBER(Cluster15[[#This Row],[Bin Start (min)]]), AB130+1, Cluster15[[#This Row],[Bin Start (min)]])</f>
        <v>19</v>
      </c>
      <c r="AC131" s="25">
        <f>IF(ISNUMBER(Cluster15[[#This Row],[Bin End (min)]]), AC130+1, Cluster15[[#This Row],[Bin End (min)]])</f>
        <v>20</v>
      </c>
      <c r="AD131" s="1" t="str">
        <f>IF(ISNUMBER(Cluster15[[#This Row],[Bin_end]]), _xlfn.XLOOKUP(Cluster15[[#This Row],[Bin_end]], ClusterCalc_2x2SD16[Bin_end], ClusterCalc_2x2SD16[Peak or Nadir], "fill ClusterCalc Table",1), "no bin")</f>
        <v>Peak</v>
      </c>
      <c r="AE131" s="1" t="str">
        <f>IF(ISNUMBER(Cluster15[[#This Row],[Bin_end]]), _xlfn.XLOOKUP(Cluster15[[#This Row],[Bin_end]], ClusterCalc_3x3SD18[Bin_end], ClusterCalc_3x3SD18[Peak or Nadir], "fill ClusterCalc Table",1), "no bin")</f>
        <v>Peak</v>
      </c>
      <c r="AF131" s="1" t="str">
        <f>IF(ISNUMBER(Cluster15[[#This Row],[Bin_end]]), _xlfn.XLOOKUP(Cluster15[[#This Row],[Bin_end]], ClusterCalc_2x2SE20[Bin_end], ClusterCalc_2x2SE20[Peak or Nadir], "fill ClusterCalc Table",1), "no bin")</f>
        <v>Peak</v>
      </c>
      <c r="AG131" s="1" t="str">
        <f>IF(ISNUMBER(Cluster15[[#This Row],[Bin_end]]), _xlfn.XLOOKUP(Cluster15[[#This Row],[Bin_end]], ClusterCalc_3x3SE22[Bin_end], ClusterCalc_3x3SE22[Peak or Nadir], "fill ClusterCalc Table",1), "no bin")</f>
        <v>Peak</v>
      </c>
      <c r="AI131" s="42" t="s">
        <v>133</v>
      </c>
      <c r="AJ131" s="31" t="s">
        <v>101</v>
      </c>
      <c r="AK131" s="37">
        <f t="shared" si="18"/>
        <v>30</v>
      </c>
      <c r="AL131" s="31">
        <v>32</v>
      </c>
      <c r="AM131" s="42">
        <f>IF(ISNUMBER(ClusterCalc_2x2SD16[[#This Row],[Bin_end]]), (ClusterCalc_2x2SD16[[#This Row],[Bin_end]]-ClusterCalc_2x2SD16[[#This Row],[Bin_start]]) * (ClusterBinSize_sec / 60), "NA")</f>
        <v>4</v>
      </c>
      <c r="AN131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0.61250000000000004</v>
      </c>
      <c r="AO131" s="42"/>
      <c r="AP131" s="42" t="s">
        <v>133</v>
      </c>
      <c r="AQ131" s="31"/>
      <c r="AR131" s="37" t="str">
        <f t="shared" si="16"/>
        <v/>
      </c>
      <c r="AS131" s="31"/>
      <c r="AT131" s="42" t="str">
        <f>IF(ISNUMBER(ClusterCalc_3x3SD18[[#This Row],[Bin_end]]), (ClusterCalc_3x3SD18[[#This Row],[Bin_end]]-ClusterCalc_3x3SD18[[#This Row],[Bin_start]]) * (ClusterBinSize_sec / 60), "NA")</f>
        <v>NA</v>
      </c>
      <c r="AU131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1" s="42"/>
      <c r="AW131" s="42" t="s">
        <v>133</v>
      </c>
      <c r="AX131" s="31" t="s">
        <v>101</v>
      </c>
      <c r="AY131" s="37">
        <f t="shared" si="19"/>
        <v>30</v>
      </c>
      <c r="AZ131" s="31">
        <v>32</v>
      </c>
      <c r="BA131" s="42">
        <f>IF(ISNUMBER(ClusterCalc_2x2SE20[[#This Row],[Bin_end]]), (ClusterCalc_2x2SE20[[#This Row],[Bin_end]]-ClusterCalc_2x2SE20[[#This Row],[Bin_start]]) * (ClusterBinSize_sec / 60), "NA")</f>
        <v>4</v>
      </c>
      <c r="BB131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0.61250000000000004</v>
      </c>
      <c r="BD131" s="42" t="s">
        <v>133</v>
      </c>
      <c r="BE131" s="31"/>
      <c r="BF131" s="37" t="str">
        <f t="shared" si="17"/>
        <v/>
      </c>
      <c r="BG131" s="31"/>
      <c r="BH131" s="42" t="str">
        <f>IF(ISNUMBER(ClusterCalc_3x3SE22[[#This Row],[Bin_end]]), (ClusterCalc_3x3SE22[[#This Row],[Bin_end]]-ClusterCalc_3x3SE22[[#This Row],[Bin_start]]) * (ClusterBinSize_sec / 60), "NA")</f>
        <v>NA</v>
      </c>
      <c r="BI131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V131"/>
    </row>
    <row r="132" spans="2:74" x14ac:dyDescent="0.2">
      <c r="B132" s="1">
        <f t="shared" si="10"/>
        <v>5</v>
      </c>
      <c r="C132" s="1">
        <f t="shared" si="11"/>
        <v>0</v>
      </c>
      <c r="D132" s="18">
        <f t="shared" si="12"/>
        <v>20</v>
      </c>
      <c r="E132" s="18">
        <f t="shared" si="13"/>
        <v>21</v>
      </c>
      <c r="F132" s="19">
        <f t="shared" si="14"/>
        <v>1200</v>
      </c>
      <c r="G132" s="19">
        <f t="shared" si="15"/>
        <v>1260</v>
      </c>
      <c r="H132" s="20">
        <v>51</v>
      </c>
      <c r="I132" s="21">
        <v>50</v>
      </c>
      <c r="J132" s="1">
        <f>IF(ISBLANK(FiringRate13[[#This Row],[Event/bin]]), " ", FiringRate13[[#This Row],[Event/bin]]/BinSize_sec)</f>
        <v>0.85</v>
      </c>
      <c r="K132" s="22">
        <f>IF(ISBLANK(FiringRate13[[#This Row],[Conc events/bin]]), " ", FiringRate13[[#This Row],[Conc events/bin]]/BinSize_sec)</f>
        <v>0.83333333333333337</v>
      </c>
      <c r="W132" s="18">
        <f t="shared" si="6"/>
        <v>40</v>
      </c>
      <c r="X132" s="18">
        <f t="shared" si="7"/>
        <v>42</v>
      </c>
      <c r="Y132" s="19">
        <f t="shared" si="8"/>
        <v>2400</v>
      </c>
      <c r="Z132" s="19">
        <f t="shared" si="9"/>
        <v>2520</v>
      </c>
      <c r="AA132" s="21">
        <v>120</v>
      </c>
      <c r="AB132" s="25">
        <f>IF(ISNUMBER(Cluster15[[#This Row],[Bin Start (min)]]), AB131+1, Cluster15[[#This Row],[Bin Start (min)]])</f>
        <v>20</v>
      </c>
      <c r="AC132" s="25">
        <f>IF(ISNUMBER(Cluster15[[#This Row],[Bin End (min)]]), AC131+1, Cluster15[[#This Row],[Bin End (min)]])</f>
        <v>21</v>
      </c>
      <c r="AD132" s="1" t="str">
        <f>IF(ISNUMBER(Cluster15[[#This Row],[Bin_end]]), _xlfn.XLOOKUP(Cluster15[[#This Row],[Bin_end]], ClusterCalc_2x2SD16[Bin_end], ClusterCalc_2x2SD16[Peak or Nadir], "fill ClusterCalc Table",1), "no bin")</f>
        <v>Peak</v>
      </c>
      <c r="AE132" s="1" t="str">
        <f>IF(ISNUMBER(Cluster15[[#This Row],[Bin_end]]), _xlfn.XLOOKUP(Cluster15[[#This Row],[Bin_end]], ClusterCalc_3x3SD18[Bin_end], ClusterCalc_3x3SD18[Peak or Nadir], "fill ClusterCalc Table",1), "no bin")</f>
        <v>Peak</v>
      </c>
      <c r="AF132" s="1" t="str">
        <f>IF(ISNUMBER(Cluster15[[#This Row],[Bin_end]]), _xlfn.XLOOKUP(Cluster15[[#This Row],[Bin_end]], ClusterCalc_2x2SE20[Bin_end], ClusterCalc_2x2SE20[Peak or Nadir], "fill ClusterCalc Table",1), "no bin")</f>
        <v>Peak</v>
      </c>
      <c r="AG132" s="1" t="str">
        <f>IF(ISNUMBER(Cluster15[[#This Row],[Bin_end]]), _xlfn.XLOOKUP(Cluster15[[#This Row],[Bin_end]], ClusterCalc_3x3SE22[Bin_end], ClusterCalc_3x3SE22[Peak or Nadir], "fill ClusterCalc Table",1), "no bin")</f>
        <v>Peak</v>
      </c>
      <c r="AI132" s="42" t="s">
        <v>134</v>
      </c>
      <c r="AJ132" s="31" t="s">
        <v>88</v>
      </c>
      <c r="AK132" s="37">
        <f t="shared" si="18"/>
        <v>32</v>
      </c>
      <c r="AL132" s="31">
        <v>36</v>
      </c>
      <c r="AM132" s="42">
        <f>IF(ISNUMBER(ClusterCalc_2x2SD16[[#This Row],[Bin_end]]), (ClusterCalc_2x2SD16[[#This Row],[Bin_end]]-ClusterCalc_2x2SD16[[#This Row],[Bin_start]]) * (ClusterBinSize_sec / 60), "NA")</f>
        <v>8</v>
      </c>
      <c r="AN132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0.37083333333333335</v>
      </c>
      <c r="AO132" s="42"/>
      <c r="AP132" s="42" t="s">
        <v>134</v>
      </c>
      <c r="AQ132" s="31"/>
      <c r="AR132" s="37" t="str">
        <f t="shared" si="16"/>
        <v/>
      </c>
      <c r="AS132" s="31"/>
      <c r="AT132" s="42" t="str">
        <f>IF(ISNUMBER(ClusterCalc_3x3SD18[[#This Row],[Bin_end]]), (ClusterCalc_3x3SD18[[#This Row],[Bin_end]]-ClusterCalc_3x3SD18[[#This Row],[Bin_start]]) * (ClusterBinSize_sec / 60), "NA")</f>
        <v>NA</v>
      </c>
      <c r="AU132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2" s="42"/>
      <c r="AW132" s="42" t="s">
        <v>134</v>
      </c>
      <c r="AX132" s="31" t="s">
        <v>88</v>
      </c>
      <c r="AY132" s="37">
        <f t="shared" si="19"/>
        <v>32</v>
      </c>
      <c r="AZ132" s="31">
        <v>36</v>
      </c>
      <c r="BA132" s="42">
        <f>IF(ISNUMBER(ClusterCalc_2x2SE20[[#This Row],[Bin_end]]), (ClusterCalc_2x2SE20[[#This Row],[Bin_end]]-ClusterCalc_2x2SE20[[#This Row],[Bin_start]]) * (ClusterBinSize_sec / 60), "NA")</f>
        <v>8</v>
      </c>
      <c r="BB132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0.37083333333333335</v>
      </c>
      <c r="BD132" s="42" t="s">
        <v>134</v>
      </c>
      <c r="BE132" s="31"/>
      <c r="BF132" s="37" t="str">
        <f t="shared" si="17"/>
        <v/>
      </c>
      <c r="BG132" s="31"/>
      <c r="BH132" s="42" t="str">
        <f>IF(ISNUMBER(ClusterCalc_3x3SE22[[#This Row],[Bin_end]]), (ClusterCalc_3x3SE22[[#This Row],[Bin_end]]-ClusterCalc_3x3SE22[[#This Row],[Bin_start]]) * (ClusterBinSize_sec / 60), "NA")</f>
        <v>NA</v>
      </c>
      <c r="BI132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32" s="38" t="s">
        <v>173</v>
      </c>
      <c r="BL132" s="38" t="s">
        <v>174</v>
      </c>
      <c r="BM132" s="38" t="s">
        <v>175</v>
      </c>
      <c r="BN132" s="38" t="s">
        <v>176</v>
      </c>
      <c r="BO132" s="38" t="s">
        <v>177</v>
      </c>
      <c r="BP132" s="38" t="s">
        <v>178</v>
      </c>
      <c r="BQ132" s="38" t="s">
        <v>179</v>
      </c>
      <c r="BR132" s="38" t="s">
        <v>180</v>
      </c>
      <c r="BS132" s="38" t="s">
        <v>181</v>
      </c>
      <c r="BT132" s="48" t="s">
        <v>182</v>
      </c>
      <c r="BV132"/>
    </row>
    <row r="133" spans="2:74" ht="22" customHeight="1" x14ac:dyDescent="0.45">
      <c r="B133" s="1">
        <f t="shared" si="10"/>
        <v>5</v>
      </c>
      <c r="C133" s="1">
        <f t="shared" si="11"/>
        <v>1</v>
      </c>
      <c r="D133" s="18">
        <f t="shared" si="12"/>
        <v>21</v>
      </c>
      <c r="E133" s="18">
        <f t="shared" si="13"/>
        <v>22</v>
      </c>
      <c r="F133" s="19">
        <f t="shared" si="14"/>
        <v>1260</v>
      </c>
      <c r="G133" s="19">
        <f t="shared" si="15"/>
        <v>1320</v>
      </c>
      <c r="H133" s="20">
        <v>54</v>
      </c>
      <c r="I133" s="21">
        <v>51</v>
      </c>
      <c r="J133" s="1">
        <f>IF(ISBLANK(FiringRate13[[#This Row],[Event/bin]]), " ", FiringRate13[[#This Row],[Event/bin]]/BinSize_sec)</f>
        <v>0.9</v>
      </c>
      <c r="K133" s="22">
        <f>IF(ISBLANK(FiringRate13[[#This Row],[Conc events/bin]]), " ", FiringRate13[[#This Row],[Conc events/bin]]/BinSize_sec)</f>
        <v>0.85</v>
      </c>
      <c r="M133" s="36"/>
      <c r="N133" s="36"/>
      <c r="O133" s="36"/>
      <c r="P133" s="36"/>
      <c r="W133" s="18">
        <f t="shared" si="6"/>
        <v>42</v>
      </c>
      <c r="X133" s="18">
        <f t="shared" si="7"/>
        <v>44</v>
      </c>
      <c r="Y133" s="19">
        <f t="shared" si="8"/>
        <v>2520</v>
      </c>
      <c r="Z133" s="19">
        <f t="shared" si="9"/>
        <v>2640</v>
      </c>
      <c r="AA133" s="21">
        <v>182</v>
      </c>
      <c r="AB133" s="25">
        <f>IF(ISNUMBER(Cluster15[[#This Row],[Bin Start (min)]]), AB132+1, Cluster15[[#This Row],[Bin Start (min)]])</f>
        <v>21</v>
      </c>
      <c r="AC133" s="25">
        <f>IF(ISNUMBER(Cluster15[[#This Row],[Bin End (min)]]), AC132+1, Cluster15[[#This Row],[Bin End (min)]])</f>
        <v>22</v>
      </c>
      <c r="AD133" s="1" t="str">
        <f>IF(ISNUMBER(Cluster15[[#This Row],[Bin_end]]), _xlfn.XLOOKUP(Cluster15[[#This Row],[Bin_end]], ClusterCalc_2x2SD16[Bin_end], ClusterCalc_2x2SD16[Peak or Nadir], "fill ClusterCalc Table",1), "no bin")</f>
        <v>Peak</v>
      </c>
      <c r="AE133" s="1" t="str">
        <f>IF(ISNUMBER(Cluster15[[#This Row],[Bin_end]]), _xlfn.XLOOKUP(Cluster15[[#This Row],[Bin_end]], ClusterCalc_3x3SD18[Bin_end], ClusterCalc_3x3SD18[Peak or Nadir], "fill ClusterCalc Table",1), "no bin")</f>
        <v>Peak</v>
      </c>
      <c r="AF133" s="1" t="str">
        <f>IF(ISNUMBER(Cluster15[[#This Row],[Bin_end]]), _xlfn.XLOOKUP(Cluster15[[#This Row],[Bin_end]], ClusterCalc_2x2SE20[Bin_end], ClusterCalc_2x2SE20[Peak or Nadir], "fill ClusterCalc Table",1), "no bin")</f>
        <v>Peak</v>
      </c>
      <c r="AG133" s="1" t="str">
        <f>IF(ISNUMBER(Cluster15[[#This Row],[Bin_end]]), _xlfn.XLOOKUP(Cluster15[[#This Row],[Bin_end]], ClusterCalc_3x3SE22[Bin_end], ClusterCalc_3x3SE22[Peak or Nadir], "fill ClusterCalc Table",1), "no bin")</f>
        <v>Peak</v>
      </c>
      <c r="AI133" s="42" t="s">
        <v>135</v>
      </c>
      <c r="AJ133" s="31" t="s">
        <v>101</v>
      </c>
      <c r="AK133" s="37">
        <f t="shared" si="18"/>
        <v>36</v>
      </c>
      <c r="AL133" s="31">
        <v>37</v>
      </c>
      <c r="AM133" s="42">
        <f>IF(ISNUMBER(ClusterCalc_2x2SD16[[#This Row],[Bin_end]]), (ClusterCalc_2x2SD16[[#This Row],[Bin_end]]-ClusterCalc_2x2SD16[[#This Row],[Bin_start]]) * (ClusterBinSize_sec / 60), "NA")</f>
        <v>2</v>
      </c>
      <c r="AN133" s="42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2.5000000000000001E-2</v>
      </c>
      <c r="AO133" s="42"/>
      <c r="AP133" s="42" t="s">
        <v>135</v>
      </c>
      <c r="AQ133" s="31"/>
      <c r="AR133" s="37" t="str">
        <f t="shared" si="16"/>
        <v/>
      </c>
      <c r="AS133" s="31"/>
      <c r="AT133" s="42" t="str">
        <f>IF(ISNUMBER(ClusterCalc_3x3SD18[[#This Row],[Bin_end]]), (ClusterCalc_3x3SD18[[#This Row],[Bin_end]]-ClusterCalc_3x3SD18[[#This Row],[Bin_start]]) * (ClusterBinSize_sec / 60), "NA")</f>
        <v>NA</v>
      </c>
      <c r="AU133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3" s="42"/>
      <c r="AW133" s="42" t="s">
        <v>135</v>
      </c>
      <c r="AX133" s="31" t="s">
        <v>101</v>
      </c>
      <c r="AY133" s="37">
        <f t="shared" si="19"/>
        <v>36</v>
      </c>
      <c r="AZ133" s="31">
        <v>37</v>
      </c>
      <c r="BA133" s="42">
        <f>IF(ISNUMBER(ClusterCalc_2x2SE20[[#This Row],[Bin_end]]), (ClusterCalc_2x2SE20[[#This Row],[Bin_end]]-ClusterCalc_2x2SE20[[#This Row],[Bin_start]]) * (ClusterBinSize_sec / 60), "NA")</f>
        <v>2</v>
      </c>
      <c r="BB133" s="42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2.5000000000000001E-2</v>
      </c>
      <c r="BD133" s="42" t="s">
        <v>135</v>
      </c>
      <c r="BE133" s="31"/>
      <c r="BF133" s="37" t="str">
        <f t="shared" si="17"/>
        <v/>
      </c>
      <c r="BG133" s="31"/>
      <c r="BH133" s="42" t="str">
        <f>IF(ISNUMBER(ClusterCalc_3x3SE22[[#This Row],[Bin_end]]), (ClusterCalc_3x3SE22[[#This Row],[Bin_end]]-ClusterCalc_3x3SE22[[#This Row],[Bin_start]]) * (ClusterBinSize_sec / 60), "NA")</f>
        <v>NA</v>
      </c>
      <c r="BI133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33" s="45">
        <f>IF(ISNUMBER(SpontLength_min), IF(SpontLength_min &gt; 0, SpontLength_min, "NA"), "NA")</f>
        <v>74</v>
      </c>
      <c r="BL133" s="45">
        <f>IF(ISNUMBER(SpontAvgFiring), SpontAvgFiring, "NA")</f>
        <v>0.89076576576576549</v>
      </c>
      <c r="BM133" s="45">
        <f>IF(ISNUMBER(numPeaks_2x2SE), numPeaks_2x2SE, "NA")</f>
        <v>6</v>
      </c>
      <c r="BN133" s="45">
        <f>IF(ISNUMBER(numNadirs_2x2SE), numNadirs_2x2SE, "NA")</f>
        <v>7</v>
      </c>
      <c r="BO133" s="45">
        <f>IF(ISNUMBER(meanPeakDur_2x2SE), meanPeakDur_2x2SE, "NA")</f>
        <v>8</v>
      </c>
      <c r="BP133" s="45">
        <f>IF(ISNUMBER(totalPeakDur_2x2SE), totalPeakDur_2x2SE, "NA")</f>
        <v>48</v>
      </c>
      <c r="BQ133" s="45">
        <f>IF(ISNUMBER(meanNadirDur_2x2SE), meanNadirDur_2x2SE, "NA")</f>
        <v>3.7142857142857144</v>
      </c>
      <c r="BR133" s="45">
        <f>IF(ISNUMBER(totalNadirDur_2x2SE), totalNadirDur_2x2SE, "NA")</f>
        <v>26</v>
      </c>
      <c r="BS133" s="45">
        <f>IF(ISNUMBER(meanPeakFiring_2x2SE), meanPeakFiring_2x2SE, "NA")</f>
        <v>1.1481481481481481</v>
      </c>
      <c r="BT133" s="45">
        <f>IF(ISNUMBER(meanNadirFiring_2x2SE), meanNadirFiring_2x2SE, "NA")</f>
        <v>0.44107142857142856</v>
      </c>
      <c r="BV133"/>
    </row>
    <row r="134" spans="2:74" ht="37" x14ac:dyDescent="0.45">
      <c r="B134" s="1">
        <f t="shared" si="10"/>
        <v>5</v>
      </c>
      <c r="C134" s="1">
        <f t="shared" si="11"/>
        <v>2</v>
      </c>
      <c r="D134" s="18">
        <f t="shared" si="12"/>
        <v>22</v>
      </c>
      <c r="E134" s="18">
        <f t="shared" si="13"/>
        <v>23</v>
      </c>
      <c r="F134" s="19">
        <f t="shared" si="14"/>
        <v>1320</v>
      </c>
      <c r="G134" s="19">
        <f t="shared" si="15"/>
        <v>1380</v>
      </c>
      <c r="H134" s="20">
        <v>21</v>
      </c>
      <c r="I134" s="21">
        <v>26</v>
      </c>
      <c r="J134" s="1">
        <f>IF(ISBLANK(FiringRate13[[#This Row],[Event/bin]]), " ", FiringRate13[[#This Row],[Event/bin]]/BinSize_sec)</f>
        <v>0.35</v>
      </c>
      <c r="K134" s="22">
        <f>IF(ISBLANK(FiringRate13[[#This Row],[Conc events/bin]]), " ", FiringRate13[[#This Row],[Conc events/bin]]/BinSize_sec)</f>
        <v>0.43333333333333335</v>
      </c>
      <c r="M134" s="36"/>
      <c r="N134" s="36"/>
      <c r="O134" s="36"/>
      <c r="P134" s="36"/>
      <c r="W134" s="18">
        <f t="shared" si="6"/>
        <v>44</v>
      </c>
      <c r="X134" s="18">
        <f t="shared" si="7"/>
        <v>46</v>
      </c>
      <c r="Y134" s="19">
        <f t="shared" si="8"/>
        <v>2640</v>
      </c>
      <c r="Z134" s="19">
        <f t="shared" si="9"/>
        <v>2760</v>
      </c>
      <c r="AA134" s="21">
        <v>169</v>
      </c>
      <c r="AB134" s="25">
        <f>IF(ISNUMBER(Cluster15[[#This Row],[Bin Start (min)]]), AB133+1, Cluster15[[#This Row],[Bin Start (min)]])</f>
        <v>22</v>
      </c>
      <c r="AC134" s="25">
        <f>IF(ISNUMBER(Cluster15[[#This Row],[Bin End (min)]]), AC133+1, Cluster15[[#This Row],[Bin End (min)]])</f>
        <v>23</v>
      </c>
      <c r="AD134" s="1" t="str">
        <f>IF(ISNUMBER(Cluster15[[#This Row],[Bin_end]]), _xlfn.XLOOKUP(Cluster15[[#This Row],[Bin_end]], ClusterCalc_2x2SD16[Bin_end], ClusterCalc_2x2SD16[Peak or Nadir], "fill ClusterCalc Table",1), "no bin")</f>
        <v>Nadir</v>
      </c>
      <c r="AE134" s="1" t="str">
        <f>IF(ISNUMBER(Cluster15[[#This Row],[Bin_end]]), _xlfn.XLOOKUP(Cluster15[[#This Row],[Bin_end]], ClusterCalc_3x3SD18[Bin_end], ClusterCalc_3x3SD18[Peak or Nadir], "fill ClusterCalc Table",1), "no bin")</f>
        <v>Peak</v>
      </c>
      <c r="AF134" s="1" t="str">
        <f>IF(ISNUMBER(Cluster15[[#This Row],[Bin_end]]), _xlfn.XLOOKUP(Cluster15[[#This Row],[Bin_end]], ClusterCalc_2x2SE20[Bin_end], ClusterCalc_2x2SE20[Peak or Nadir], "fill ClusterCalc Table",1), "no bin")</f>
        <v>Nadir</v>
      </c>
      <c r="AG134" s="1" t="str">
        <f>IF(ISNUMBER(Cluster15[[#This Row],[Bin_end]]), _xlfn.XLOOKUP(Cluster15[[#This Row],[Bin_end]], ClusterCalc_3x3SE22[Bin_end], ClusterCalc_3x3SE22[Peak or Nadir], "fill ClusterCalc Table",1), "no bin")</f>
        <v>Peak</v>
      </c>
      <c r="AI134" s="42" t="s">
        <v>136</v>
      </c>
      <c r="AJ134" s="31"/>
      <c r="AK134" s="37">
        <f t="shared" si="18"/>
        <v>37</v>
      </c>
      <c r="AL134" s="31"/>
      <c r="AM134" s="42" t="str">
        <f>IF(ISNUMBER(ClusterCalc_2x2SD16[[#This Row],[Bin_end]]), (ClusterCalc_2x2SD16[[#This Row],[Bin_end]]-ClusterCalc_2x2SD16[[#This Row],[Bin_start]]) * (ClusterBinSize_sec / 60), "NA")</f>
        <v>NA</v>
      </c>
      <c r="AN134" s="42" t="str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NA</v>
      </c>
      <c r="AO134" s="42"/>
      <c r="AP134" s="42" t="s">
        <v>136</v>
      </c>
      <c r="AQ134" s="31"/>
      <c r="AR134" s="37" t="str">
        <f t="shared" si="16"/>
        <v/>
      </c>
      <c r="AS134" s="31"/>
      <c r="AT134" s="42" t="str">
        <f>IF(ISNUMBER(ClusterCalc_3x3SD18[[#This Row],[Bin_end]]), (ClusterCalc_3x3SD18[[#This Row],[Bin_end]]-ClusterCalc_3x3SD18[[#This Row],[Bin_start]]) * (ClusterBinSize_sec / 60), "NA")</f>
        <v>NA</v>
      </c>
      <c r="AU134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4" s="42"/>
      <c r="AW134" s="42" t="s">
        <v>136</v>
      </c>
      <c r="AX134" s="31"/>
      <c r="AY134" s="37">
        <f t="shared" si="19"/>
        <v>37</v>
      </c>
      <c r="AZ134" s="31"/>
      <c r="BA134" s="42" t="str">
        <f>IF(ISNUMBER(ClusterCalc_2x2SE20[[#This Row],[Bin_end]]), (ClusterCalc_2x2SE20[[#This Row],[Bin_end]]-ClusterCalc_2x2SE20[[#This Row],[Bin_start]]) * (ClusterBinSize_sec / 60), "NA")</f>
        <v>NA</v>
      </c>
      <c r="BB134" s="42" t="str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NA</v>
      </c>
      <c r="BD134" s="42" t="s">
        <v>136</v>
      </c>
      <c r="BE134" s="31"/>
      <c r="BF134" s="37" t="str">
        <f t="shared" si="17"/>
        <v/>
      </c>
      <c r="BG134" s="31"/>
      <c r="BH134" s="42" t="str">
        <f>IF(ISNUMBER(ClusterCalc_3x3SE22[[#This Row],[Bin_end]]), (ClusterCalc_3x3SE22[[#This Row],[Bin_end]]-ClusterCalc_3x3SE22[[#This Row],[Bin_start]]) * (ClusterBinSize_sec / 60), "NA")</f>
        <v>NA</v>
      </c>
      <c r="BI134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V134"/>
    </row>
    <row r="135" spans="2:74" ht="37" x14ac:dyDescent="0.45">
      <c r="B135" s="1">
        <f t="shared" si="10"/>
        <v>5</v>
      </c>
      <c r="C135" s="1">
        <f t="shared" si="11"/>
        <v>3</v>
      </c>
      <c r="D135" s="18">
        <f t="shared" si="12"/>
        <v>23</v>
      </c>
      <c r="E135" s="18">
        <f t="shared" si="13"/>
        <v>24</v>
      </c>
      <c r="F135" s="19">
        <f t="shared" si="14"/>
        <v>1380</v>
      </c>
      <c r="G135" s="19">
        <f t="shared" si="15"/>
        <v>1440</v>
      </c>
      <c r="H135" s="20">
        <v>15</v>
      </c>
      <c r="I135" s="21">
        <v>15</v>
      </c>
      <c r="J135" s="1">
        <f>IF(ISBLANK(FiringRate13[[#This Row],[Event/bin]]), " ", FiringRate13[[#This Row],[Event/bin]]/BinSize_sec)</f>
        <v>0.25</v>
      </c>
      <c r="K135" s="22">
        <f>IF(ISBLANK(FiringRate13[[#This Row],[Conc events/bin]]), " ", FiringRate13[[#This Row],[Conc events/bin]]/BinSize_sec)</f>
        <v>0.25</v>
      </c>
      <c r="M135" s="36"/>
      <c r="N135" s="36"/>
      <c r="O135" s="36"/>
      <c r="P135" s="36"/>
      <c r="W135" s="18">
        <f t="shared" si="6"/>
        <v>46</v>
      </c>
      <c r="X135" s="18">
        <f t="shared" si="7"/>
        <v>48</v>
      </c>
      <c r="Y135" s="19">
        <f t="shared" si="8"/>
        <v>2760</v>
      </c>
      <c r="Z135" s="19">
        <f t="shared" si="9"/>
        <v>2880</v>
      </c>
      <c r="AA135" s="21">
        <v>95</v>
      </c>
      <c r="AB135" s="25">
        <f>IF(ISNUMBER(Cluster15[[#This Row],[Bin Start (min)]]), AB134+1, Cluster15[[#This Row],[Bin Start (min)]])</f>
        <v>23</v>
      </c>
      <c r="AC135" s="25">
        <f>IF(ISNUMBER(Cluster15[[#This Row],[Bin End (min)]]), AC134+1, Cluster15[[#This Row],[Bin End (min)]])</f>
        <v>24</v>
      </c>
      <c r="AD135" s="1" t="str">
        <f>IF(ISNUMBER(Cluster15[[#This Row],[Bin_end]]), _xlfn.XLOOKUP(Cluster15[[#This Row],[Bin_end]], ClusterCalc_2x2SD16[Bin_end], ClusterCalc_2x2SD16[Peak or Nadir], "fill ClusterCalc Table",1), "no bin")</f>
        <v>Nadir</v>
      </c>
      <c r="AE135" s="1" t="str">
        <f>IF(ISNUMBER(Cluster15[[#This Row],[Bin_end]]), _xlfn.XLOOKUP(Cluster15[[#This Row],[Bin_end]], ClusterCalc_3x3SD18[Bin_end], ClusterCalc_3x3SD18[Peak or Nadir], "fill ClusterCalc Table",1), "no bin")</f>
        <v>Peak</v>
      </c>
      <c r="AF135" s="1" t="str">
        <f>IF(ISNUMBER(Cluster15[[#This Row],[Bin_end]]), _xlfn.XLOOKUP(Cluster15[[#This Row],[Bin_end]], ClusterCalc_2x2SE20[Bin_end], ClusterCalc_2x2SE20[Peak or Nadir], "fill ClusterCalc Table",1), "no bin")</f>
        <v>Nadir</v>
      </c>
      <c r="AG135" s="1" t="str">
        <f>IF(ISNUMBER(Cluster15[[#This Row],[Bin_end]]), _xlfn.XLOOKUP(Cluster15[[#This Row],[Bin_end]], ClusterCalc_3x3SE22[Bin_end], ClusterCalc_3x3SE22[Peak or Nadir], "fill ClusterCalc Table",1), "no bin")</f>
        <v>Peak</v>
      </c>
      <c r="AI135" s="42" t="s">
        <v>137</v>
      </c>
      <c r="AJ135" s="31"/>
      <c r="AK135" s="37" t="str">
        <f t="shared" si="18"/>
        <v/>
      </c>
      <c r="AL135" s="31"/>
      <c r="AM135" s="42" t="str">
        <f>IF(ISNUMBER(ClusterCalc_2x2SD16[[#This Row],[Bin_end]]), (ClusterCalc_2x2SD16[[#This Row],[Bin_end]]-ClusterCalc_2x2SD16[[#This Row],[Bin_start]]) * (ClusterBinSize_sec / 60), "NA")</f>
        <v>NA</v>
      </c>
      <c r="AN135" s="42" t="str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NA</v>
      </c>
      <c r="AO135" s="42"/>
      <c r="AP135" s="42" t="s">
        <v>137</v>
      </c>
      <c r="AQ135" s="31"/>
      <c r="AR135" s="37" t="str">
        <f t="shared" si="16"/>
        <v/>
      </c>
      <c r="AS135" s="31"/>
      <c r="AT135" s="42" t="str">
        <f>IF(ISNUMBER(ClusterCalc_3x3SD18[[#This Row],[Bin_end]]), (ClusterCalc_3x3SD18[[#This Row],[Bin_end]]-ClusterCalc_3x3SD18[[#This Row],[Bin_start]]) * (ClusterBinSize_sec / 60), "NA")</f>
        <v>NA</v>
      </c>
      <c r="AU135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5" s="42"/>
      <c r="AW135" s="42" t="s">
        <v>137</v>
      </c>
      <c r="AX135" s="31"/>
      <c r="AY135" s="37" t="str">
        <f t="shared" si="19"/>
        <v/>
      </c>
      <c r="AZ135" s="31"/>
      <c r="BA135" s="42" t="str">
        <f>IF(ISNUMBER(ClusterCalc_2x2SE20[[#This Row],[Bin_end]]), (ClusterCalc_2x2SE20[[#This Row],[Bin_end]]-ClusterCalc_2x2SE20[[#This Row],[Bin_start]]) * (ClusterBinSize_sec / 60), "NA")</f>
        <v>NA</v>
      </c>
      <c r="BB135" s="42" t="str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NA</v>
      </c>
      <c r="BD135" s="42" t="s">
        <v>137</v>
      </c>
      <c r="BE135" s="31"/>
      <c r="BF135" s="37" t="str">
        <f t="shared" si="17"/>
        <v/>
      </c>
      <c r="BG135" s="31"/>
      <c r="BH135" s="42" t="str">
        <f>IF(ISNUMBER(ClusterCalc_3x3SE22[[#This Row],[Bin_end]]), (ClusterCalc_3x3SE22[[#This Row],[Bin_end]]-ClusterCalc_3x3SE22[[#This Row],[Bin_start]]) * (ClusterBinSize_sec / 60), "NA")</f>
        <v>NA</v>
      </c>
      <c r="BI135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35" s="35" t="s">
        <v>204</v>
      </c>
      <c r="BL135" s="35" t="s">
        <v>205</v>
      </c>
      <c r="BM135" s="35" t="s">
        <v>206</v>
      </c>
      <c r="BN135" s="35" t="s">
        <v>207</v>
      </c>
      <c r="BO135" s="35" t="s">
        <v>208</v>
      </c>
      <c r="BP135" s="35" t="s">
        <v>209</v>
      </c>
      <c r="BQ135" s="35" t="s">
        <v>210</v>
      </c>
      <c r="BR135" s="35" t="s">
        <v>211</v>
      </c>
      <c r="BS135" s="35" t="s">
        <v>212</v>
      </c>
      <c r="BT135" s="49" t="s">
        <v>213</v>
      </c>
      <c r="BV135"/>
    </row>
    <row r="136" spans="2:74" x14ac:dyDescent="0.2">
      <c r="B136" s="1">
        <f t="shared" si="10"/>
        <v>5</v>
      </c>
      <c r="C136" s="1">
        <f t="shared" si="11"/>
        <v>4</v>
      </c>
      <c r="D136" s="18">
        <f t="shared" si="12"/>
        <v>24</v>
      </c>
      <c r="E136" s="18">
        <f t="shared" si="13"/>
        <v>25</v>
      </c>
      <c r="F136" s="19">
        <f t="shared" si="14"/>
        <v>1440</v>
      </c>
      <c r="G136" s="19">
        <f t="shared" si="15"/>
        <v>1500</v>
      </c>
      <c r="H136" s="20">
        <v>5</v>
      </c>
      <c r="I136" s="21">
        <v>3</v>
      </c>
      <c r="J136" s="1">
        <f>IF(ISBLANK(FiringRate13[[#This Row],[Event/bin]]), " ", FiringRate13[[#This Row],[Event/bin]]/BinSize_sec)</f>
        <v>8.3333333333333329E-2</v>
      </c>
      <c r="K136" s="22">
        <f>IF(ISBLANK(FiringRate13[[#This Row],[Conc events/bin]]), " ", FiringRate13[[#This Row],[Conc events/bin]]/BinSize_sec)</f>
        <v>0.05</v>
      </c>
      <c r="W136" s="18">
        <f t="shared" si="6"/>
        <v>48</v>
      </c>
      <c r="X136" s="18">
        <f t="shared" si="7"/>
        <v>50</v>
      </c>
      <c r="Y136" s="19">
        <f t="shared" si="8"/>
        <v>2880</v>
      </c>
      <c r="Z136" s="19">
        <f t="shared" si="9"/>
        <v>3000</v>
      </c>
      <c r="AA136" s="21">
        <v>182</v>
      </c>
      <c r="AB136" s="25">
        <f>IF(ISNUMBER(Cluster15[[#This Row],[Bin Start (min)]]), AB135+1, Cluster15[[#This Row],[Bin Start (min)]])</f>
        <v>24</v>
      </c>
      <c r="AC136" s="25">
        <f>IF(ISNUMBER(Cluster15[[#This Row],[Bin End (min)]]), AC135+1, Cluster15[[#This Row],[Bin End (min)]])</f>
        <v>25</v>
      </c>
      <c r="AD136" s="1" t="str">
        <f>IF(ISNUMBER(Cluster15[[#This Row],[Bin_end]]), _xlfn.XLOOKUP(Cluster15[[#This Row],[Bin_end]], ClusterCalc_2x2SD16[Bin_end], ClusterCalc_2x2SD16[Peak or Nadir], "fill ClusterCalc Table",1), "no bin")</f>
        <v>Peak</v>
      </c>
      <c r="AE136" s="1" t="str">
        <f>IF(ISNUMBER(Cluster15[[#This Row],[Bin_end]]), _xlfn.XLOOKUP(Cluster15[[#This Row],[Bin_end]], ClusterCalc_3x3SD18[Bin_end], ClusterCalc_3x3SD18[Peak or Nadir], "fill ClusterCalc Table",1), "no bin")</f>
        <v>Peak</v>
      </c>
      <c r="AF136" s="1" t="str">
        <f>IF(ISNUMBER(Cluster15[[#This Row],[Bin_end]]), _xlfn.XLOOKUP(Cluster15[[#This Row],[Bin_end]], ClusterCalc_2x2SE20[Bin_end], ClusterCalc_2x2SE20[Peak or Nadir], "fill ClusterCalc Table",1), "no bin")</f>
        <v>Peak</v>
      </c>
      <c r="AG136" s="1" t="str">
        <f>IF(ISNUMBER(Cluster15[[#This Row],[Bin_end]]), _xlfn.XLOOKUP(Cluster15[[#This Row],[Bin_end]], ClusterCalc_3x3SE22[Bin_end], ClusterCalc_3x3SE22[Peak or Nadir], "fill ClusterCalc Table",1), "no bin")</f>
        <v>Peak</v>
      </c>
      <c r="AI136" s="42" t="s">
        <v>138</v>
      </c>
      <c r="AJ136" s="31"/>
      <c r="AK136" s="37" t="str">
        <f t="shared" si="18"/>
        <v/>
      </c>
      <c r="AL136" s="31"/>
      <c r="AM136" s="42" t="str">
        <f>IF(ISNUMBER(ClusterCalc_2x2SD16[[#This Row],[Bin_end]]), (ClusterCalc_2x2SD16[[#This Row],[Bin_end]]-ClusterCalc_2x2SD16[[#This Row],[Bin_start]]) * (ClusterBinSize_sec / 60), "NA")</f>
        <v>NA</v>
      </c>
      <c r="AN136" s="42" t="str">
        <f>IF(ISNUMBER(ClusterCalc_2x2SD16[[#This Row],[Bin_end]]), (AVERAGE(_xlfn.XLOOKUP(ClusterCalc_2x2SD16[[#This Row],[Bin_start]], Cluster15[Bin_start], Cluster15[Conc events/bin]):_xlfn.XLOOKUP(ClusterCalc_2x2SD16[[#This Row],[Bin_end]], Cluster15[Bin_end], Cluster15[Conc events/bin])))/ClusterBinSize_sec, "NA")</f>
        <v>NA</v>
      </c>
      <c r="AO136" s="42"/>
      <c r="AP136" s="42" t="s">
        <v>138</v>
      </c>
      <c r="AQ136" s="31"/>
      <c r="AR136" s="37" t="str">
        <f t="shared" si="16"/>
        <v/>
      </c>
      <c r="AS136" s="31"/>
      <c r="AT136" s="42" t="str">
        <f>IF(ISNUMBER(ClusterCalc_3x3SD18[[#This Row],[Bin_end]]), (ClusterCalc_3x3SD18[[#This Row],[Bin_end]]-ClusterCalc_3x3SD18[[#This Row],[Bin_start]]) * (ClusterBinSize_sec / 60), "NA")</f>
        <v>NA</v>
      </c>
      <c r="AU136" s="42" t="str">
        <f>IF(ISNUMBER(ClusterCalc_3x3SD18[[#This Row],[Bin_end]]), (AVERAGE(_xlfn.XLOOKUP(ClusterCalc_3x3SD18[[#This Row],[Bin_start]], Cluster15[Bin_start], Cluster15[Conc events/bin]):_xlfn.XLOOKUP(ClusterCalc_3x3SD18[[#This Row],[Bin_end]], Cluster15[Bin_end], Cluster15[Conc events/bin])))/ClusterBinSize_sec, "NA")</f>
        <v>NA</v>
      </c>
      <c r="AV136" s="42"/>
      <c r="AW136" s="42" t="s">
        <v>138</v>
      </c>
      <c r="AX136" s="31"/>
      <c r="AY136" s="37" t="str">
        <f t="shared" si="19"/>
        <v/>
      </c>
      <c r="AZ136" s="31"/>
      <c r="BA136" s="42" t="str">
        <f>IF(ISNUMBER(ClusterCalc_2x2SE20[[#This Row],[Bin_end]]), (ClusterCalc_2x2SE20[[#This Row],[Bin_end]]-ClusterCalc_2x2SE20[[#This Row],[Bin_start]]) * (ClusterBinSize_sec / 60), "NA")</f>
        <v>NA</v>
      </c>
      <c r="BB136" s="42" t="str">
        <f>IF(ISNUMBER(ClusterCalc_2x2SE20[[#This Row],[Bin_end]]), (AVERAGE(_xlfn.XLOOKUP(ClusterCalc_2x2SE20[[#This Row],[Bin_start]], Cluster15[Bin_start], Cluster15[Conc events/bin]):_xlfn.XLOOKUP(ClusterCalc_2x2SE20[[#This Row],[Bin_end]], Cluster15[Bin_end], Cluster15[Conc events/bin])))/ClusterBinSize_sec, "NA")</f>
        <v>NA</v>
      </c>
      <c r="BD136" s="42" t="s">
        <v>138</v>
      </c>
      <c r="BE136" s="31"/>
      <c r="BF136" s="37" t="str">
        <f t="shared" si="17"/>
        <v/>
      </c>
      <c r="BG136" s="31"/>
      <c r="BH136" s="42" t="str">
        <f>IF(ISNUMBER(ClusterCalc_3x3SE22[[#This Row],[Bin_end]]), (ClusterCalc_3x3SE22[[#This Row],[Bin_end]]-ClusterCalc_3x3SE22[[#This Row],[Bin_start]]) * (ClusterBinSize_sec / 60), "NA")</f>
        <v>NA</v>
      </c>
      <c r="BI136" s="42" t="str">
        <f>IF(ISNUMBER(ClusterCalc_3x3SE22[[#This Row],[Bin_end]]), (AVERAGE(_xlfn.XLOOKUP(ClusterCalc_3x3SE22[[#This Row],[Bin_start]], Cluster15[Bin_start], Cluster15[Conc events/bin]):_xlfn.XLOOKUP(ClusterCalc_3x3SE22[[#This Row],[Bin_end]], Cluster15[Bin_end], Cluster15[Conc events/bin])))/ClusterBinSize_sec, "NA")</f>
        <v>NA</v>
      </c>
      <c r="BK136" s="45">
        <f>IF(ISNUMBER(SpontLength_min), IF(SpontLength_min &gt; 0, SpontLength_min, "NA"), "NA")</f>
        <v>74</v>
      </c>
      <c r="BL136" s="45">
        <f>IF(ISNUMBER(SpontAvgFiring), SpontAvgFiring, "NA")</f>
        <v>0.89076576576576549</v>
      </c>
      <c r="BM136" s="45">
        <f>IF(ISNUMBER(numPeaks_3x3SE), numPeaks_3x3SE, "NA")</f>
        <v>3</v>
      </c>
      <c r="BN136" s="45">
        <f>IF(ISNUMBER(numNadirs_3x3SE), numNadirs_3x3SE, "NA")</f>
        <v>4</v>
      </c>
      <c r="BO136" s="45">
        <f>IF(ISNUMBER(meanPeakDur_3x3SE), meanPeakDur_3x3SE, "NA")</f>
        <v>19.333333333333332</v>
      </c>
      <c r="BP136" s="45">
        <f>IF(ISNUMBER(totalPeakDur_3x3SE), totalPeakDur_3x3SE, "NA")</f>
        <v>58</v>
      </c>
      <c r="BQ136" s="45">
        <f>IF(ISNUMBER(meanNadirDur_3x3SE), meanNadirDur_3x3SE, "NA")</f>
        <v>4</v>
      </c>
      <c r="BR136" s="45">
        <f>IF(ISNUMBER(totalNadirDur_3x3SE), totalNadirDur_3x3SE, "NA")</f>
        <v>16</v>
      </c>
      <c r="BS136" s="45">
        <f>IF(ISNUMBER(meanPeakFiring_3x3SE), meanPeakFiring_3x3SE, "NA")</f>
        <v>0.98191137566137565</v>
      </c>
      <c r="BT136" s="45">
        <f>IF(ISNUMBER(meanNadirFiring_3x3SE), meanNadirFiring_3x3SE, "NA")</f>
        <v>0.46076388888888892</v>
      </c>
      <c r="BV136"/>
    </row>
    <row r="137" spans="2:74" x14ac:dyDescent="0.2">
      <c r="B137" s="1">
        <f t="shared" si="10"/>
        <v>5</v>
      </c>
      <c r="C137" s="1">
        <f t="shared" si="11"/>
        <v>5</v>
      </c>
      <c r="D137" s="18">
        <f t="shared" si="12"/>
        <v>25</v>
      </c>
      <c r="E137" s="18">
        <f t="shared" si="13"/>
        <v>26</v>
      </c>
      <c r="F137" s="19">
        <f t="shared" si="14"/>
        <v>1500</v>
      </c>
      <c r="G137" s="19">
        <f t="shared" si="15"/>
        <v>1560</v>
      </c>
      <c r="H137" s="20">
        <v>110</v>
      </c>
      <c r="I137" s="21">
        <v>107</v>
      </c>
      <c r="J137" s="1">
        <f>IF(ISBLANK(FiringRate13[[#This Row],[Event/bin]]), " ", FiringRate13[[#This Row],[Event/bin]]/BinSize_sec)</f>
        <v>1.8333333333333333</v>
      </c>
      <c r="K137" s="22">
        <f>IF(ISBLANK(FiringRate13[[#This Row],[Conc events/bin]]), " ", FiringRate13[[#This Row],[Conc events/bin]]/BinSize_sec)</f>
        <v>1.7833333333333334</v>
      </c>
      <c r="W137" s="18">
        <f t="shared" si="6"/>
        <v>50</v>
      </c>
      <c r="X137" s="18">
        <f t="shared" si="7"/>
        <v>52</v>
      </c>
      <c r="Y137" s="19">
        <f t="shared" si="8"/>
        <v>3000</v>
      </c>
      <c r="Z137" s="19">
        <f t="shared" si="9"/>
        <v>3120</v>
      </c>
      <c r="AA137" s="21">
        <v>203</v>
      </c>
      <c r="AB137" s="25">
        <f>IF(ISNUMBER(Cluster15[[#This Row],[Bin Start (min)]]), AB136+1, Cluster15[[#This Row],[Bin Start (min)]])</f>
        <v>25</v>
      </c>
      <c r="AC137" s="25">
        <f>IF(ISNUMBER(Cluster15[[#This Row],[Bin End (min)]]), AC136+1, Cluster15[[#This Row],[Bin End (min)]])</f>
        <v>26</v>
      </c>
      <c r="AD137" s="1" t="str">
        <f>IF(ISNUMBER(Cluster15[[#This Row],[Bin_end]]), _xlfn.XLOOKUP(Cluster15[[#This Row],[Bin_end]], ClusterCalc_2x2SD16[Bin_end], ClusterCalc_2x2SD16[Peak or Nadir], "fill ClusterCalc Table",1), "no bin")</f>
        <v>Peak</v>
      </c>
      <c r="AE137" s="1" t="str">
        <f>IF(ISNUMBER(Cluster15[[#This Row],[Bin_end]]), _xlfn.XLOOKUP(Cluster15[[#This Row],[Bin_end]], ClusterCalc_3x3SD18[Bin_end], ClusterCalc_3x3SD18[Peak or Nadir], "fill ClusterCalc Table",1), "no bin")</f>
        <v>Peak</v>
      </c>
      <c r="AF137" s="1" t="str">
        <f>IF(ISNUMBER(Cluster15[[#This Row],[Bin_end]]), _xlfn.XLOOKUP(Cluster15[[#This Row],[Bin_end]], ClusterCalc_2x2SE20[Bin_end], ClusterCalc_2x2SE20[Peak or Nadir], "fill ClusterCalc Table",1), "no bin")</f>
        <v>Peak</v>
      </c>
      <c r="AG137" s="1" t="str">
        <f>IF(ISNUMBER(Cluster15[[#This Row],[Bin_end]]), _xlfn.XLOOKUP(Cluster15[[#This Row],[Bin_end]], ClusterCalc_3x3SE22[Bin_end], ClusterCalc_3x3SE22[Peak or Nadir], "fill ClusterCalc Table",1), "no bin")</f>
        <v>Peak</v>
      </c>
      <c r="AO137" s="42"/>
      <c r="AP137" s="42"/>
      <c r="AW137" s="42"/>
      <c r="AX137" s="42"/>
      <c r="BV137"/>
    </row>
    <row r="138" spans="2:74" x14ac:dyDescent="0.2">
      <c r="B138" s="1">
        <f t="shared" si="10"/>
        <v>5</v>
      </c>
      <c r="C138" s="1">
        <f t="shared" si="11"/>
        <v>6</v>
      </c>
      <c r="D138" s="18">
        <f t="shared" si="12"/>
        <v>26</v>
      </c>
      <c r="E138" s="18">
        <f t="shared" si="13"/>
        <v>27</v>
      </c>
      <c r="F138" s="19">
        <f t="shared" si="14"/>
        <v>1560</v>
      </c>
      <c r="G138" s="19">
        <f t="shared" si="15"/>
        <v>1620</v>
      </c>
      <c r="H138" s="20">
        <v>133</v>
      </c>
      <c r="I138" s="21">
        <v>132</v>
      </c>
      <c r="J138" s="1">
        <f>IF(ISBLANK(FiringRate13[[#This Row],[Event/bin]]), " ", FiringRate13[[#This Row],[Event/bin]]/BinSize_sec)</f>
        <v>2.2166666666666668</v>
      </c>
      <c r="K138" s="22">
        <f>IF(ISBLANK(FiringRate13[[#This Row],[Conc events/bin]]), " ", FiringRate13[[#This Row],[Conc events/bin]]/BinSize_sec)</f>
        <v>2.2000000000000002</v>
      </c>
      <c r="W138" s="18">
        <f t="shared" si="6"/>
        <v>52</v>
      </c>
      <c r="X138" s="18">
        <f t="shared" si="7"/>
        <v>54</v>
      </c>
      <c r="Y138" s="19">
        <f t="shared" si="8"/>
        <v>3120</v>
      </c>
      <c r="Z138" s="19">
        <f t="shared" si="9"/>
        <v>3240</v>
      </c>
      <c r="AA138" s="21">
        <v>220</v>
      </c>
      <c r="AB138" s="25">
        <f>IF(ISNUMBER(Cluster15[[#This Row],[Bin Start (min)]]), AB137+1, Cluster15[[#This Row],[Bin Start (min)]])</f>
        <v>26</v>
      </c>
      <c r="AC138" s="25">
        <f>IF(ISNUMBER(Cluster15[[#This Row],[Bin End (min)]]), AC137+1, Cluster15[[#This Row],[Bin End (min)]])</f>
        <v>27</v>
      </c>
      <c r="AD138" s="1" t="str">
        <f>IF(ISNUMBER(Cluster15[[#This Row],[Bin_end]]), _xlfn.XLOOKUP(Cluster15[[#This Row],[Bin_end]], ClusterCalc_2x2SD16[Bin_end], ClusterCalc_2x2SD16[Peak or Nadir], "fill ClusterCalc Table",1), "no bin")</f>
        <v>Peak</v>
      </c>
      <c r="AE138" s="1" t="str">
        <f>IF(ISNUMBER(Cluster15[[#This Row],[Bin_end]]), _xlfn.XLOOKUP(Cluster15[[#This Row],[Bin_end]], ClusterCalc_3x3SD18[Bin_end], ClusterCalc_3x3SD18[Peak or Nadir], "fill ClusterCalc Table",1), "no bin")</f>
        <v>Peak</v>
      </c>
      <c r="AF138" s="1" t="str">
        <f>IF(ISNUMBER(Cluster15[[#This Row],[Bin_end]]), _xlfn.XLOOKUP(Cluster15[[#This Row],[Bin_end]], ClusterCalc_2x2SE20[Bin_end], ClusterCalc_2x2SE20[Peak or Nadir], "fill ClusterCalc Table",1), "no bin")</f>
        <v>Peak</v>
      </c>
      <c r="AG138" s="1" t="str">
        <f>IF(ISNUMBER(Cluster15[[#This Row],[Bin_end]]), _xlfn.XLOOKUP(Cluster15[[#This Row],[Bin_end]], ClusterCalc_3x3SE22[Bin_end], ClusterCalc_3x3SE22[Peak or Nadir], "fill ClusterCalc Table",1), "no bin")</f>
        <v>Peak</v>
      </c>
      <c r="AO138" s="42"/>
      <c r="AP138" s="42"/>
      <c r="AW138" s="42"/>
      <c r="AX138" s="42"/>
      <c r="BV138"/>
    </row>
    <row r="139" spans="2:74" x14ac:dyDescent="0.2">
      <c r="B139" s="1">
        <f t="shared" si="10"/>
        <v>5</v>
      </c>
      <c r="C139" s="1">
        <f t="shared" si="11"/>
        <v>7</v>
      </c>
      <c r="D139" s="18">
        <f t="shared" si="12"/>
        <v>27</v>
      </c>
      <c r="E139" s="18">
        <f t="shared" si="13"/>
        <v>28</v>
      </c>
      <c r="F139" s="19">
        <f t="shared" si="14"/>
        <v>1620</v>
      </c>
      <c r="G139" s="19">
        <f t="shared" si="15"/>
        <v>1680</v>
      </c>
      <c r="H139" s="20">
        <v>98</v>
      </c>
      <c r="I139" s="21">
        <v>99</v>
      </c>
      <c r="J139" s="1">
        <f>IF(ISBLANK(FiringRate13[[#This Row],[Event/bin]]), " ", FiringRate13[[#This Row],[Event/bin]]/BinSize_sec)</f>
        <v>1.6333333333333333</v>
      </c>
      <c r="K139" s="22">
        <f>IF(ISBLANK(FiringRate13[[#This Row],[Conc events/bin]]), " ", FiringRate13[[#This Row],[Conc events/bin]]/BinSize_sec)</f>
        <v>1.65</v>
      </c>
      <c r="W139" s="18">
        <f t="shared" si="6"/>
        <v>54</v>
      </c>
      <c r="X139" s="18">
        <f t="shared" si="7"/>
        <v>56</v>
      </c>
      <c r="Y139" s="19">
        <f t="shared" si="8"/>
        <v>3240</v>
      </c>
      <c r="Z139" s="19">
        <f t="shared" si="9"/>
        <v>3360</v>
      </c>
      <c r="AA139" s="21">
        <v>138</v>
      </c>
      <c r="AB139" s="25">
        <f>IF(ISNUMBER(Cluster15[[#This Row],[Bin Start (min)]]), AB138+1, Cluster15[[#This Row],[Bin Start (min)]])</f>
        <v>27</v>
      </c>
      <c r="AC139" s="25">
        <f>IF(ISNUMBER(Cluster15[[#This Row],[Bin End (min)]]), AC138+1, Cluster15[[#This Row],[Bin End (min)]])</f>
        <v>28</v>
      </c>
      <c r="AD139" s="1" t="str">
        <f>IF(ISNUMBER(Cluster15[[#This Row],[Bin_end]]), _xlfn.XLOOKUP(Cluster15[[#This Row],[Bin_end]], ClusterCalc_2x2SD16[Bin_end], ClusterCalc_2x2SD16[Peak or Nadir], "fill ClusterCalc Table",1), "no bin")</f>
        <v>Peak</v>
      </c>
      <c r="AE139" s="1" t="str">
        <f>IF(ISNUMBER(Cluster15[[#This Row],[Bin_end]]), _xlfn.XLOOKUP(Cluster15[[#This Row],[Bin_end]], ClusterCalc_3x3SD18[Bin_end], ClusterCalc_3x3SD18[Peak or Nadir], "fill ClusterCalc Table",1), "no bin")</f>
        <v>Peak</v>
      </c>
      <c r="AF139" s="1" t="str">
        <f>IF(ISNUMBER(Cluster15[[#This Row],[Bin_end]]), _xlfn.XLOOKUP(Cluster15[[#This Row],[Bin_end]], ClusterCalc_2x2SE20[Bin_end], ClusterCalc_2x2SE20[Peak or Nadir], "fill ClusterCalc Table",1), "no bin")</f>
        <v>Peak</v>
      </c>
      <c r="AG139" s="1" t="str">
        <f>IF(ISNUMBER(Cluster15[[#This Row],[Bin_end]]), _xlfn.XLOOKUP(Cluster15[[#This Row],[Bin_end]], ClusterCalc_3x3SE22[Bin_end], ClusterCalc_3x3SE22[Peak or Nadir], "fill ClusterCalc Table",1), "no bin")</f>
        <v>Peak</v>
      </c>
      <c r="AO139" s="42"/>
      <c r="AP139" s="42"/>
      <c r="AW139" s="42"/>
      <c r="AX139" s="42"/>
      <c r="AY139" s="42"/>
      <c r="BV139"/>
    </row>
    <row r="140" spans="2:74" x14ac:dyDescent="0.2">
      <c r="B140" s="1">
        <f t="shared" si="10"/>
        <v>5</v>
      </c>
      <c r="C140" s="1">
        <f t="shared" si="11"/>
        <v>8</v>
      </c>
      <c r="D140" s="18">
        <f t="shared" si="12"/>
        <v>28</v>
      </c>
      <c r="E140" s="18">
        <f t="shared" si="13"/>
        <v>29</v>
      </c>
      <c r="F140" s="19">
        <f t="shared" si="14"/>
        <v>1680</v>
      </c>
      <c r="G140" s="19">
        <f t="shared" si="15"/>
        <v>1740</v>
      </c>
      <c r="H140" s="20">
        <v>40</v>
      </c>
      <c r="I140" s="21">
        <v>45</v>
      </c>
      <c r="J140" s="1">
        <f>IF(ISBLANK(FiringRate13[[#This Row],[Event/bin]]), " ", FiringRate13[[#This Row],[Event/bin]]/BinSize_sec)</f>
        <v>0.66666666666666663</v>
      </c>
      <c r="K140" s="22">
        <f>IF(ISBLANK(FiringRate13[[#This Row],[Conc events/bin]]), " ", FiringRate13[[#This Row],[Conc events/bin]]/BinSize_sec)</f>
        <v>0.75</v>
      </c>
      <c r="W140" s="18">
        <f t="shared" si="6"/>
        <v>56</v>
      </c>
      <c r="X140" s="18">
        <f t="shared" si="7"/>
        <v>58</v>
      </c>
      <c r="Y140" s="19">
        <f t="shared" si="8"/>
        <v>3360</v>
      </c>
      <c r="Z140" s="19">
        <f t="shared" si="9"/>
        <v>3480</v>
      </c>
      <c r="AA140" s="21">
        <v>177</v>
      </c>
      <c r="AB140" s="25">
        <f>IF(ISNUMBER(Cluster15[[#This Row],[Bin Start (min)]]), AB139+1, Cluster15[[#This Row],[Bin Start (min)]])</f>
        <v>28</v>
      </c>
      <c r="AC140" s="25">
        <f>IF(ISNUMBER(Cluster15[[#This Row],[Bin End (min)]]), AC139+1, Cluster15[[#This Row],[Bin End (min)]])</f>
        <v>29</v>
      </c>
      <c r="AD140" s="1" t="str">
        <f>IF(ISNUMBER(Cluster15[[#This Row],[Bin_end]]), _xlfn.XLOOKUP(Cluster15[[#This Row],[Bin_end]], ClusterCalc_2x2SD16[Bin_end], ClusterCalc_2x2SD16[Peak or Nadir], "fill ClusterCalc Table",1), "no bin")</f>
        <v>Peak</v>
      </c>
      <c r="AE140" s="1" t="str">
        <f>IF(ISNUMBER(Cluster15[[#This Row],[Bin_end]]), _xlfn.XLOOKUP(Cluster15[[#This Row],[Bin_end]], ClusterCalc_3x3SD18[Bin_end], ClusterCalc_3x3SD18[Peak or Nadir], "fill ClusterCalc Table",1), "no bin")</f>
        <v>Peak</v>
      </c>
      <c r="AF140" s="1" t="str">
        <f>IF(ISNUMBER(Cluster15[[#This Row],[Bin_end]]), _xlfn.XLOOKUP(Cluster15[[#This Row],[Bin_end]], ClusterCalc_2x2SE20[Bin_end], ClusterCalc_2x2SE20[Peak or Nadir], "fill ClusterCalc Table",1), "no bin")</f>
        <v>Peak</v>
      </c>
      <c r="AG140" s="1" t="str">
        <f>IF(ISNUMBER(Cluster15[[#This Row],[Bin_end]]), _xlfn.XLOOKUP(Cluster15[[#This Row],[Bin_end]], ClusterCalc_3x3SE22[Bin_end], ClusterCalc_3x3SE22[Peak or Nadir], "fill ClusterCalc Table",1), "no bin")</f>
        <v>Peak</v>
      </c>
      <c r="BV140"/>
    </row>
    <row r="141" spans="2:74" x14ac:dyDescent="0.2">
      <c r="B141" s="1">
        <f t="shared" si="10"/>
        <v>5</v>
      </c>
      <c r="C141" s="1">
        <f t="shared" si="11"/>
        <v>9</v>
      </c>
      <c r="D141" s="18">
        <f t="shared" si="12"/>
        <v>29</v>
      </c>
      <c r="E141" s="18">
        <f t="shared" si="13"/>
        <v>30</v>
      </c>
      <c r="F141" s="19">
        <f t="shared" si="14"/>
        <v>1740</v>
      </c>
      <c r="G141" s="19">
        <f t="shared" si="15"/>
        <v>1800</v>
      </c>
      <c r="H141" s="20">
        <v>17</v>
      </c>
      <c r="I141" s="21">
        <v>16</v>
      </c>
      <c r="J141" s="1">
        <f>IF(ISBLANK(FiringRate13[[#This Row],[Event/bin]]), " ", FiringRate13[[#This Row],[Event/bin]]/BinSize_sec)</f>
        <v>0.28333333333333333</v>
      </c>
      <c r="K141" s="22">
        <f>IF(ISBLANK(FiringRate13[[#This Row],[Conc events/bin]]), " ", FiringRate13[[#This Row],[Conc events/bin]]/BinSize_sec)</f>
        <v>0.26666666666666666</v>
      </c>
      <c r="W141" s="18">
        <f t="shared" si="6"/>
        <v>58</v>
      </c>
      <c r="X141" s="18">
        <f t="shared" si="7"/>
        <v>60</v>
      </c>
      <c r="Y141" s="19">
        <f t="shared" si="8"/>
        <v>3480</v>
      </c>
      <c r="Z141" s="19">
        <f t="shared" si="9"/>
        <v>3600</v>
      </c>
      <c r="AA141" s="21">
        <v>142</v>
      </c>
      <c r="AB141" s="25">
        <f>IF(ISNUMBER(Cluster15[[#This Row],[Bin Start (min)]]), AB140+1, Cluster15[[#This Row],[Bin Start (min)]])</f>
        <v>29</v>
      </c>
      <c r="AC141" s="25">
        <f>IF(ISNUMBER(Cluster15[[#This Row],[Bin End (min)]]), AC140+1, Cluster15[[#This Row],[Bin End (min)]])</f>
        <v>30</v>
      </c>
      <c r="AD141" s="1" t="str">
        <f>IF(ISNUMBER(Cluster15[[#This Row],[Bin_end]]), _xlfn.XLOOKUP(Cluster15[[#This Row],[Bin_end]], ClusterCalc_2x2SD16[Bin_end], ClusterCalc_2x2SD16[Peak or Nadir], "fill ClusterCalc Table",1), "no bin")</f>
        <v>Peak</v>
      </c>
      <c r="AE141" s="1" t="str">
        <f>IF(ISNUMBER(Cluster15[[#This Row],[Bin_end]]), _xlfn.XLOOKUP(Cluster15[[#This Row],[Bin_end]], ClusterCalc_3x3SD18[Bin_end], ClusterCalc_3x3SD18[Peak or Nadir], "fill ClusterCalc Table",1), "no bin")</f>
        <v>Peak</v>
      </c>
      <c r="AF141" s="1" t="str">
        <f>IF(ISNUMBER(Cluster15[[#This Row],[Bin_end]]), _xlfn.XLOOKUP(Cluster15[[#This Row],[Bin_end]], ClusterCalc_2x2SE20[Bin_end], ClusterCalc_2x2SE20[Peak or Nadir], "fill ClusterCalc Table",1), "no bin")</f>
        <v>Peak</v>
      </c>
      <c r="AG141" s="1" t="str">
        <f>IF(ISNUMBER(Cluster15[[#This Row],[Bin_end]]), _xlfn.XLOOKUP(Cluster15[[#This Row],[Bin_end]], ClusterCalc_3x3SE22[Bin_end], ClusterCalc_3x3SE22[Peak or Nadir], "fill ClusterCalc Table",1), "no bin")</f>
        <v>Peak</v>
      </c>
      <c r="BV141"/>
    </row>
    <row r="142" spans="2:74" x14ac:dyDescent="0.2">
      <c r="B142" s="1">
        <f t="shared" si="10"/>
        <v>6</v>
      </c>
      <c r="C142" s="1">
        <f t="shared" si="11"/>
        <v>0</v>
      </c>
      <c r="D142" s="18">
        <f t="shared" si="12"/>
        <v>30</v>
      </c>
      <c r="E142" s="18">
        <f t="shared" si="13"/>
        <v>31</v>
      </c>
      <c r="F142" s="19">
        <f t="shared" si="14"/>
        <v>1800</v>
      </c>
      <c r="G142" s="19">
        <f t="shared" si="15"/>
        <v>1860</v>
      </c>
      <c r="H142" s="20">
        <v>8</v>
      </c>
      <c r="I142" s="21">
        <v>9</v>
      </c>
      <c r="J142" s="1">
        <f>IF(ISBLANK(FiringRate13[[#This Row],[Event/bin]]), " ", FiringRate13[[#This Row],[Event/bin]]/BinSize_sec)</f>
        <v>0.13333333333333333</v>
      </c>
      <c r="K142" s="22">
        <f>IF(ISBLANK(FiringRate13[[#This Row],[Conc events/bin]]), " ", FiringRate13[[#This Row],[Conc events/bin]]/BinSize_sec)</f>
        <v>0.15</v>
      </c>
      <c r="W142" s="18">
        <f t="shared" si="6"/>
        <v>60</v>
      </c>
      <c r="X142" s="18">
        <f t="shared" si="7"/>
        <v>62</v>
      </c>
      <c r="Y142" s="19">
        <f t="shared" si="8"/>
        <v>3600</v>
      </c>
      <c r="Z142" s="19">
        <f t="shared" si="9"/>
        <v>3720</v>
      </c>
      <c r="AA142" s="21">
        <v>96</v>
      </c>
      <c r="AB142" s="25">
        <f>IF(ISNUMBER(Cluster15[[#This Row],[Bin Start (min)]]), AB141+1, Cluster15[[#This Row],[Bin Start (min)]])</f>
        <v>30</v>
      </c>
      <c r="AC142" s="25">
        <f>IF(ISNUMBER(Cluster15[[#This Row],[Bin End (min)]]), AC141+1, Cluster15[[#This Row],[Bin End (min)]])</f>
        <v>31</v>
      </c>
      <c r="AD142" s="1" t="str">
        <f>IF(ISNUMBER(Cluster15[[#This Row],[Bin_end]]), _xlfn.XLOOKUP(Cluster15[[#This Row],[Bin_end]], ClusterCalc_2x2SD16[Bin_end], ClusterCalc_2x2SD16[Peak or Nadir], "fill ClusterCalc Table",1), "no bin")</f>
        <v>Nadir</v>
      </c>
      <c r="AE142" s="1" t="str">
        <f>IF(ISNUMBER(Cluster15[[#This Row],[Bin_end]]), _xlfn.XLOOKUP(Cluster15[[#This Row],[Bin_end]], ClusterCalc_3x3SD18[Bin_end], ClusterCalc_3x3SD18[Peak or Nadir], "fill ClusterCalc Table",1), "no bin")</f>
        <v>Peak</v>
      </c>
      <c r="AF142" s="1" t="str">
        <f>IF(ISNUMBER(Cluster15[[#This Row],[Bin_end]]), _xlfn.XLOOKUP(Cluster15[[#This Row],[Bin_end]], ClusterCalc_2x2SE20[Bin_end], ClusterCalc_2x2SE20[Peak or Nadir], "fill ClusterCalc Table",1), "no bin")</f>
        <v>Nadir</v>
      </c>
      <c r="AG142" s="1" t="str">
        <f>IF(ISNUMBER(Cluster15[[#This Row],[Bin_end]]), _xlfn.XLOOKUP(Cluster15[[#This Row],[Bin_end]], ClusterCalc_3x3SE22[Bin_end], ClusterCalc_3x3SE22[Peak or Nadir], "fill ClusterCalc Table",1), "no bin")</f>
        <v>Peak</v>
      </c>
      <c r="BV142"/>
    </row>
    <row r="143" spans="2:74" x14ac:dyDescent="0.2">
      <c r="B143" s="1">
        <f t="shared" si="10"/>
        <v>6</v>
      </c>
      <c r="C143" s="1">
        <f t="shared" si="11"/>
        <v>1</v>
      </c>
      <c r="D143" s="18">
        <f t="shared" si="12"/>
        <v>31</v>
      </c>
      <c r="E143" s="18">
        <f t="shared" si="13"/>
        <v>32</v>
      </c>
      <c r="F143" s="19">
        <f t="shared" si="14"/>
        <v>1860</v>
      </c>
      <c r="G143" s="19">
        <f t="shared" si="15"/>
        <v>1920</v>
      </c>
      <c r="H143" s="20">
        <v>17</v>
      </c>
      <c r="I143" s="21">
        <v>17</v>
      </c>
      <c r="J143" s="1">
        <f>IF(ISBLANK(FiringRate13[[#This Row],[Event/bin]]), " ", FiringRate13[[#This Row],[Event/bin]]/BinSize_sec)</f>
        <v>0.28333333333333333</v>
      </c>
      <c r="K143" s="22">
        <f>IF(ISBLANK(FiringRate13[[#This Row],[Conc events/bin]]), " ", FiringRate13[[#This Row],[Conc events/bin]]/BinSize_sec)</f>
        <v>0.28333333333333333</v>
      </c>
      <c r="W143" s="18">
        <f t="shared" si="6"/>
        <v>62</v>
      </c>
      <c r="X143" s="18">
        <f t="shared" si="7"/>
        <v>64</v>
      </c>
      <c r="Y143" s="19">
        <f t="shared" si="8"/>
        <v>3720</v>
      </c>
      <c r="Z143" s="19">
        <f t="shared" si="9"/>
        <v>3840</v>
      </c>
      <c r="AA143" s="21">
        <v>51</v>
      </c>
      <c r="AB143" s="25">
        <f>IF(ISNUMBER(Cluster15[[#This Row],[Bin Start (min)]]), AB142+1, Cluster15[[#This Row],[Bin Start (min)]])</f>
        <v>31</v>
      </c>
      <c r="AC143" s="25">
        <f>IF(ISNUMBER(Cluster15[[#This Row],[Bin End (min)]]), AC142+1, Cluster15[[#This Row],[Bin End (min)]])</f>
        <v>32</v>
      </c>
      <c r="AD143" s="1" t="str">
        <f>IF(ISNUMBER(Cluster15[[#This Row],[Bin_end]]), _xlfn.XLOOKUP(Cluster15[[#This Row],[Bin_end]], ClusterCalc_2x2SD16[Bin_end], ClusterCalc_2x2SD16[Peak or Nadir], "fill ClusterCalc Table",1), "no bin")</f>
        <v>Nadir</v>
      </c>
      <c r="AE143" s="1" t="str">
        <f>IF(ISNUMBER(Cluster15[[#This Row],[Bin_end]]), _xlfn.XLOOKUP(Cluster15[[#This Row],[Bin_end]], ClusterCalc_3x3SD18[Bin_end], ClusterCalc_3x3SD18[Peak or Nadir], "fill ClusterCalc Table",1), "no bin")</f>
        <v>Peak</v>
      </c>
      <c r="AF143" s="1" t="str">
        <f>IF(ISNUMBER(Cluster15[[#This Row],[Bin_end]]), _xlfn.XLOOKUP(Cluster15[[#This Row],[Bin_end]], ClusterCalc_2x2SE20[Bin_end], ClusterCalc_2x2SE20[Peak or Nadir], "fill ClusterCalc Table",1), "no bin")</f>
        <v>Nadir</v>
      </c>
      <c r="AG143" s="1" t="str">
        <f>IF(ISNUMBER(Cluster15[[#This Row],[Bin_end]]), _xlfn.XLOOKUP(Cluster15[[#This Row],[Bin_end]], ClusterCalc_3x3SE22[Bin_end], ClusterCalc_3x3SE22[Peak or Nadir], "fill ClusterCalc Table",1), "no bin")</f>
        <v>Peak</v>
      </c>
      <c r="BV143"/>
    </row>
    <row r="144" spans="2:74" x14ac:dyDescent="0.2">
      <c r="B144" s="1">
        <f t="shared" si="10"/>
        <v>6</v>
      </c>
      <c r="C144" s="1">
        <f t="shared" si="11"/>
        <v>2</v>
      </c>
      <c r="D144" s="18">
        <f t="shared" si="12"/>
        <v>32</v>
      </c>
      <c r="E144" s="18">
        <f t="shared" si="13"/>
        <v>33</v>
      </c>
      <c r="F144" s="19">
        <f t="shared" si="14"/>
        <v>1920</v>
      </c>
      <c r="G144" s="19">
        <f t="shared" si="15"/>
        <v>1980</v>
      </c>
      <c r="H144" s="20">
        <v>6</v>
      </c>
      <c r="I144" s="21">
        <v>2</v>
      </c>
      <c r="J144" s="1">
        <f>IF(ISBLANK(FiringRate13[[#This Row],[Event/bin]]), " ", FiringRate13[[#This Row],[Event/bin]]/BinSize_sec)</f>
        <v>0.1</v>
      </c>
      <c r="K144" s="22">
        <f>IF(ISBLANK(FiringRate13[[#This Row],[Conc events/bin]]), " ", FiringRate13[[#This Row],[Conc events/bin]]/BinSize_sec)</f>
        <v>3.3333333333333333E-2</v>
      </c>
      <c r="W144" s="18">
        <f t="shared" si="6"/>
        <v>64</v>
      </c>
      <c r="X144" s="18">
        <f t="shared" si="7"/>
        <v>66</v>
      </c>
      <c r="Y144" s="19">
        <f t="shared" si="8"/>
        <v>3840</v>
      </c>
      <c r="Z144" s="19">
        <f t="shared" si="9"/>
        <v>3960</v>
      </c>
      <c r="AA144" s="21">
        <v>94</v>
      </c>
      <c r="AB144" s="25">
        <f>IF(ISNUMBER(Cluster15[[#This Row],[Bin Start (min)]]), AB143+1, Cluster15[[#This Row],[Bin Start (min)]])</f>
        <v>32</v>
      </c>
      <c r="AC144" s="25">
        <f>IF(ISNUMBER(Cluster15[[#This Row],[Bin End (min)]]), AC143+1, Cluster15[[#This Row],[Bin End (min)]])</f>
        <v>33</v>
      </c>
      <c r="AD144" s="1" t="str">
        <f>IF(ISNUMBER(Cluster15[[#This Row],[Bin_end]]), _xlfn.XLOOKUP(Cluster15[[#This Row],[Bin_end]], ClusterCalc_2x2SD16[Bin_end], ClusterCalc_2x2SD16[Peak or Nadir], "fill ClusterCalc Table",1), "no bin")</f>
        <v>Peak</v>
      </c>
      <c r="AE144" s="1" t="str">
        <f>IF(ISNUMBER(Cluster15[[#This Row],[Bin_end]]), _xlfn.XLOOKUP(Cluster15[[#This Row],[Bin_end]], ClusterCalc_3x3SD18[Bin_end], ClusterCalc_3x3SD18[Peak or Nadir], "fill ClusterCalc Table",1), "no bin")</f>
        <v>Peak</v>
      </c>
      <c r="AF144" s="1" t="str">
        <f>IF(ISNUMBER(Cluster15[[#This Row],[Bin_end]]), _xlfn.XLOOKUP(Cluster15[[#This Row],[Bin_end]], ClusterCalc_2x2SE20[Bin_end], ClusterCalc_2x2SE20[Peak or Nadir], "fill ClusterCalc Table",1), "no bin")</f>
        <v>Peak</v>
      </c>
      <c r="AG144" s="1" t="str">
        <f>IF(ISNUMBER(Cluster15[[#This Row],[Bin_end]]), _xlfn.XLOOKUP(Cluster15[[#This Row],[Bin_end]], ClusterCalc_3x3SE22[Bin_end], ClusterCalc_3x3SE22[Peak or Nadir], "fill ClusterCalc Table",1), "no bin")</f>
        <v>Peak</v>
      </c>
      <c r="AO144" s="42"/>
      <c r="AU144" s="42"/>
      <c r="AV144" s="42"/>
      <c r="AW144" s="42"/>
      <c r="AX144" s="42"/>
      <c r="AY144" s="42"/>
      <c r="BV144"/>
    </row>
    <row r="145" spans="2:74" x14ac:dyDescent="0.2">
      <c r="B145" s="1">
        <f t="shared" ref="B145:B176" si="20">IF(E144&lt;TotalLength_min, IF(ISNONTEXT(B144), IF(C145&gt;C144, B144, IF(B144&lt;LastSeries, B144+1)), B144), "Greater than Total Length")</f>
        <v>6</v>
      </c>
      <c r="C145" s="1">
        <f t="shared" ref="C145:C176" si="21">IF(E144&lt;TotalLength_min, IF(ISNONTEXT(C144), IF(C144&lt;(BinsPerSeries-1),C144+1,0), C144), "Greater than Total Length")</f>
        <v>3</v>
      </c>
      <c r="D145" s="18">
        <f t="shared" ref="D145:D176" si="22">IF(BinSize_sec &gt; 0, IF(ISNONTEXT(F144), IF(F144 + BinSize_sec &lt; TotalLength_sec, F145/60, "Greater than Total Length"), F144), "No bin size")</f>
        <v>33</v>
      </c>
      <c r="E145" s="18">
        <f t="shared" ref="E145:E176" si="23">IF(BinSize_sec &gt; 0, IF(ISNONTEXT(G144), IF(G144 + BinSize_sec &gt; TotalLength_sec, "Greater than Total Length", G145/60), G144), "No bin size")</f>
        <v>34</v>
      </c>
      <c r="F145" s="19">
        <f t="shared" ref="F145:F176" si="24">IF(BinSize_sec &gt; 0, IF(ISNONTEXT(F144), IF(F144 + BinSize_sec &lt; TotalLength_sec, F144 + BinSize_sec, "Greater than Total Length"), F144), "No bin size")</f>
        <v>1980</v>
      </c>
      <c r="G145" s="19">
        <f t="shared" ref="G145:G176" si="25">IF(BinSize_sec &gt; 0, IF(ISNONTEXT(G144), IF(G144 + BinSize_sec &gt; TotalLength_sec, "Greater than Total Length", G144 + BinSize_sec), G144), "No bin size")</f>
        <v>2040</v>
      </c>
      <c r="H145" s="20">
        <v>41</v>
      </c>
      <c r="I145" s="21">
        <v>40</v>
      </c>
      <c r="J145" s="1">
        <f>IF(ISBLANK(FiringRate13[[#This Row],[Event/bin]]), " ", FiringRate13[[#This Row],[Event/bin]]/BinSize_sec)</f>
        <v>0.68333333333333335</v>
      </c>
      <c r="K145" s="22">
        <f>IF(ISBLANK(FiringRate13[[#This Row],[Conc events/bin]]), " ", FiringRate13[[#This Row],[Conc events/bin]]/BinSize_sec)</f>
        <v>0.66666666666666663</v>
      </c>
      <c r="W145" s="18">
        <f t="shared" ref="W145:W176" si="26">IF(ClusterBinSize_sec &gt; 0, IF(ISNONTEXT(W144), IF(X144 &lt; EndTime_spont, W144 + (ClusterBinSize_sec / 60), "&gt; Spont Length"), W144), "No bin size")</f>
        <v>66</v>
      </c>
      <c r="X145" s="18">
        <f t="shared" ref="X145:X176" si="27">IF(ClusterBinSize_sec &gt; 0, IF(ISNONTEXT(X144), IF(X144 + (ClusterBinSize_sec / 60) &gt; EndTime_spont, "&gt; Spont Length", X144 + (ClusterBinSize_sec / 60)), X144), "No bin size")</f>
        <v>68</v>
      </c>
      <c r="Y145" s="19">
        <f t="shared" ref="Y145:Y176" si="28">IF(ClusterBinSize_sec &gt; 0, IF(ISNONTEXT(Y144), IF(Z144 &lt; (EndTime_spont *60), Y144 + ClusterBinSize_sec, "&gt; Spont Length"), Y144), "No bin size")</f>
        <v>3960</v>
      </c>
      <c r="Z145" s="19">
        <f t="shared" ref="Z145:Z176" si="29">IF(ClusterBinSize_sec &gt; 0, IF(ISNONTEXT(Z144), IF(Z144 + ClusterBinSize_sec &gt; (EndTime_spont * 60), "&gt; Spont Length", Z144 + ClusterBinSize_sec), Z144), "No bin size")</f>
        <v>4080</v>
      </c>
      <c r="AA145" s="21">
        <v>76</v>
      </c>
      <c r="AB145" s="25">
        <f>IF(ISNUMBER(Cluster15[[#This Row],[Bin Start (min)]]), AB144+1, Cluster15[[#This Row],[Bin Start (min)]])</f>
        <v>33</v>
      </c>
      <c r="AC145" s="25">
        <f>IF(ISNUMBER(Cluster15[[#This Row],[Bin End (min)]]), AC144+1, Cluster15[[#This Row],[Bin End (min)]])</f>
        <v>34</v>
      </c>
      <c r="AD145" s="1" t="str">
        <f>IF(ISNUMBER(Cluster15[[#This Row],[Bin_end]]), _xlfn.XLOOKUP(Cluster15[[#This Row],[Bin_end]], ClusterCalc_2x2SD16[Bin_end], ClusterCalc_2x2SD16[Peak or Nadir], "fill ClusterCalc Table",1), "no bin")</f>
        <v>Peak</v>
      </c>
      <c r="AE145" s="1" t="str">
        <f>IF(ISNUMBER(Cluster15[[#This Row],[Bin_end]]), _xlfn.XLOOKUP(Cluster15[[#This Row],[Bin_end]], ClusterCalc_3x3SD18[Bin_end], ClusterCalc_3x3SD18[Peak or Nadir], "fill ClusterCalc Table",1), "no bin")</f>
        <v>Peak</v>
      </c>
      <c r="AF145" s="1" t="str">
        <f>IF(ISNUMBER(Cluster15[[#This Row],[Bin_end]]), _xlfn.XLOOKUP(Cluster15[[#This Row],[Bin_end]], ClusterCalc_2x2SE20[Bin_end], ClusterCalc_2x2SE20[Peak or Nadir], "fill ClusterCalc Table",1), "no bin")</f>
        <v>Peak</v>
      </c>
      <c r="AG145" s="1" t="str">
        <f>IF(ISNUMBER(Cluster15[[#This Row],[Bin_end]]), _xlfn.XLOOKUP(Cluster15[[#This Row],[Bin_end]], ClusterCalc_3x3SE22[Bin_end], ClusterCalc_3x3SE22[Peak or Nadir], "fill ClusterCalc Table",1), "no bin")</f>
        <v>Peak</v>
      </c>
      <c r="AO145" s="42"/>
      <c r="AU145" s="42"/>
      <c r="AV145" s="42"/>
      <c r="AW145" s="42"/>
      <c r="AX145" s="42"/>
      <c r="AY145" s="42"/>
      <c r="BV145"/>
    </row>
    <row r="146" spans="2:74" x14ac:dyDescent="0.2">
      <c r="B146" s="1">
        <f t="shared" si="20"/>
        <v>6</v>
      </c>
      <c r="C146" s="1">
        <f t="shared" si="21"/>
        <v>4</v>
      </c>
      <c r="D146" s="18">
        <f t="shared" si="22"/>
        <v>34</v>
      </c>
      <c r="E146" s="18">
        <f t="shared" si="23"/>
        <v>35</v>
      </c>
      <c r="F146" s="19">
        <f t="shared" si="24"/>
        <v>2040</v>
      </c>
      <c r="G146" s="19">
        <f t="shared" si="25"/>
        <v>2100</v>
      </c>
      <c r="H146" s="20">
        <v>28</v>
      </c>
      <c r="I146" s="21">
        <v>29</v>
      </c>
      <c r="J146" s="1">
        <f>IF(ISBLANK(FiringRate13[[#This Row],[Event/bin]]), " ", FiringRate13[[#This Row],[Event/bin]]/BinSize_sec)</f>
        <v>0.46666666666666667</v>
      </c>
      <c r="K146" s="22">
        <f>IF(ISBLANK(FiringRate13[[#This Row],[Conc events/bin]]), " ", FiringRate13[[#This Row],[Conc events/bin]]/BinSize_sec)</f>
        <v>0.48333333333333334</v>
      </c>
      <c r="W146" s="18">
        <f t="shared" si="26"/>
        <v>68</v>
      </c>
      <c r="X146" s="18">
        <f t="shared" si="27"/>
        <v>70</v>
      </c>
      <c r="Y146" s="19">
        <f t="shared" si="28"/>
        <v>4080</v>
      </c>
      <c r="Z146" s="19">
        <f t="shared" si="29"/>
        <v>4200</v>
      </c>
      <c r="AA146" s="21">
        <v>6</v>
      </c>
      <c r="AB146" s="25">
        <f>IF(ISNUMBER(Cluster15[[#This Row],[Bin Start (min)]]), AB145+1, Cluster15[[#This Row],[Bin Start (min)]])</f>
        <v>34</v>
      </c>
      <c r="AC146" s="25">
        <f>IF(ISNUMBER(Cluster15[[#This Row],[Bin End (min)]]), AC145+1, Cluster15[[#This Row],[Bin End (min)]])</f>
        <v>35</v>
      </c>
      <c r="AD146" s="1" t="str">
        <f>IF(ISNUMBER(Cluster15[[#This Row],[Bin_end]]), _xlfn.XLOOKUP(Cluster15[[#This Row],[Bin_end]], ClusterCalc_2x2SD16[Bin_end], ClusterCalc_2x2SD16[Peak or Nadir], "fill ClusterCalc Table",1), "no bin")</f>
        <v>Peak</v>
      </c>
      <c r="AE146" s="1" t="str">
        <f>IF(ISNUMBER(Cluster15[[#This Row],[Bin_end]]), _xlfn.XLOOKUP(Cluster15[[#This Row],[Bin_end]], ClusterCalc_3x3SD18[Bin_end], ClusterCalc_3x3SD18[Peak or Nadir], "fill ClusterCalc Table",1), "no bin")</f>
        <v>Peak</v>
      </c>
      <c r="AF146" s="1" t="str">
        <f>IF(ISNUMBER(Cluster15[[#This Row],[Bin_end]]), _xlfn.XLOOKUP(Cluster15[[#This Row],[Bin_end]], ClusterCalc_2x2SE20[Bin_end], ClusterCalc_2x2SE20[Peak or Nadir], "fill ClusterCalc Table",1), "no bin")</f>
        <v>Peak</v>
      </c>
      <c r="AG146" s="1" t="str">
        <f>IF(ISNUMBER(Cluster15[[#This Row],[Bin_end]]), _xlfn.XLOOKUP(Cluster15[[#This Row],[Bin_end]], ClusterCalc_3x3SE22[Bin_end], ClusterCalc_3x3SE22[Peak or Nadir], "fill ClusterCalc Table",1), "no bin")</f>
        <v>Peak</v>
      </c>
      <c r="AO146" s="42"/>
      <c r="AU146" s="42"/>
      <c r="AV146" s="42"/>
      <c r="AW146" s="42"/>
      <c r="AX146" s="42"/>
      <c r="AY146" s="42"/>
      <c r="BV146"/>
    </row>
    <row r="147" spans="2:74" x14ac:dyDescent="0.2">
      <c r="B147" s="1">
        <f t="shared" si="20"/>
        <v>6</v>
      </c>
      <c r="C147" s="1">
        <f t="shared" si="21"/>
        <v>5</v>
      </c>
      <c r="D147" s="18">
        <f t="shared" si="22"/>
        <v>35</v>
      </c>
      <c r="E147" s="18">
        <f t="shared" si="23"/>
        <v>36</v>
      </c>
      <c r="F147" s="19">
        <f t="shared" si="24"/>
        <v>2100</v>
      </c>
      <c r="G147" s="19">
        <f t="shared" si="25"/>
        <v>2160</v>
      </c>
      <c r="H147" s="20">
        <v>66</v>
      </c>
      <c r="I147" s="21">
        <v>66</v>
      </c>
      <c r="J147" s="1">
        <f>IF(ISBLANK(FiringRate13[[#This Row],[Event/bin]]), " ", FiringRate13[[#This Row],[Event/bin]]/BinSize_sec)</f>
        <v>1.1000000000000001</v>
      </c>
      <c r="K147" s="22">
        <f>IF(ISBLANK(FiringRate13[[#This Row],[Conc events/bin]]), " ", FiringRate13[[#This Row],[Conc events/bin]]/BinSize_sec)</f>
        <v>1.1000000000000001</v>
      </c>
      <c r="W147" s="18">
        <f t="shared" si="26"/>
        <v>70</v>
      </c>
      <c r="X147" s="18">
        <f t="shared" si="27"/>
        <v>72</v>
      </c>
      <c r="Y147" s="19">
        <f t="shared" si="28"/>
        <v>4200</v>
      </c>
      <c r="Z147" s="19">
        <f t="shared" si="29"/>
        <v>4320</v>
      </c>
      <c r="AA147" s="21">
        <v>2</v>
      </c>
      <c r="AB147" s="25">
        <f>IF(ISNUMBER(Cluster15[[#This Row],[Bin Start (min)]]), AB146+1, Cluster15[[#This Row],[Bin Start (min)]])</f>
        <v>35</v>
      </c>
      <c r="AC147" s="25">
        <f>IF(ISNUMBER(Cluster15[[#This Row],[Bin End (min)]]), AC146+1, Cluster15[[#This Row],[Bin End (min)]])</f>
        <v>36</v>
      </c>
      <c r="AD147" s="1" t="str">
        <f>IF(ISNUMBER(Cluster15[[#This Row],[Bin_end]]), _xlfn.XLOOKUP(Cluster15[[#This Row],[Bin_end]], ClusterCalc_2x2SD16[Bin_end], ClusterCalc_2x2SD16[Peak or Nadir], "fill ClusterCalc Table",1), "no bin")</f>
        <v>Peak</v>
      </c>
      <c r="AE147" s="1" t="str">
        <f>IF(ISNUMBER(Cluster15[[#This Row],[Bin_end]]), _xlfn.XLOOKUP(Cluster15[[#This Row],[Bin_end]], ClusterCalc_3x3SD18[Bin_end], ClusterCalc_3x3SD18[Peak or Nadir], "fill ClusterCalc Table",1), "no bin")</f>
        <v>Peak</v>
      </c>
      <c r="AF147" s="1" t="str">
        <f>IF(ISNUMBER(Cluster15[[#This Row],[Bin_end]]), _xlfn.XLOOKUP(Cluster15[[#This Row],[Bin_end]], ClusterCalc_2x2SE20[Bin_end], ClusterCalc_2x2SE20[Peak or Nadir], "fill ClusterCalc Table",1), "no bin")</f>
        <v>Peak</v>
      </c>
      <c r="AG147" s="1" t="str">
        <f>IF(ISNUMBER(Cluster15[[#This Row],[Bin_end]]), _xlfn.XLOOKUP(Cluster15[[#This Row],[Bin_end]], ClusterCalc_3x3SE22[Bin_end], ClusterCalc_3x3SE22[Peak or Nadir], "fill ClusterCalc Table",1), "no bin")</f>
        <v>Nadir</v>
      </c>
      <c r="AO147" s="42"/>
      <c r="AU147" s="42"/>
      <c r="AV147" s="42"/>
      <c r="AW147" s="42"/>
      <c r="AX147" s="42"/>
      <c r="AY147" s="42"/>
      <c r="BV147"/>
    </row>
    <row r="148" spans="2:74" x14ac:dyDescent="0.2">
      <c r="B148" s="1">
        <f t="shared" si="20"/>
        <v>6</v>
      </c>
      <c r="C148" s="1">
        <f t="shared" si="21"/>
        <v>6</v>
      </c>
      <c r="D148" s="18">
        <f t="shared" si="22"/>
        <v>36</v>
      </c>
      <c r="E148" s="18">
        <f t="shared" si="23"/>
        <v>37</v>
      </c>
      <c r="F148" s="19">
        <f t="shared" si="24"/>
        <v>2160</v>
      </c>
      <c r="G148" s="19">
        <f t="shared" si="25"/>
        <v>2220</v>
      </c>
      <c r="H148" s="20">
        <v>91</v>
      </c>
      <c r="I148" s="21">
        <v>91</v>
      </c>
      <c r="J148" s="1">
        <f>IF(ISBLANK(FiringRate13[[#This Row],[Event/bin]]), " ", FiringRate13[[#This Row],[Event/bin]]/BinSize_sec)</f>
        <v>1.5166666666666666</v>
      </c>
      <c r="K148" s="22">
        <f>IF(ISBLANK(FiringRate13[[#This Row],[Conc events/bin]]), " ", FiringRate13[[#This Row],[Conc events/bin]]/BinSize_sec)</f>
        <v>1.5166666666666666</v>
      </c>
      <c r="W148" s="18">
        <f t="shared" si="26"/>
        <v>72</v>
      </c>
      <c r="X148" s="18">
        <f t="shared" si="27"/>
        <v>74</v>
      </c>
      <c r="Y148" s="19">
        <f t="shared" si="28"/>
        <v>4320</v>
      </c>
      <c r="Z148" s="19">
        <f t="shared" si="29"/>
        <v>4440</v>
      </c>
      <c r="AA148" s="21">
        <v>3</v>
      </c>
      <c r="AB148" s="25">
        <f>IF(ISNUMBER(Cluster15[[#This Row],[Bin Start (min)]]), AB147+1, Cluster15[[#This Row],[Bin Start (min)]])</f>
        <v>36</v>
      </c>
      <c r="AC148" s="25">
        <f>IF(ISNUMBER(Cluster15[[#This Row],[Bin End (min)]]), AC147+1, Cluster15[[#This Row],[Bin End (min)]])</f>
        <v>37</v>
      </c>
      <c r="AD148" s="1" t="str">
        <f>IF(ISNUMBER(Cluster15[[#This Row],[Bin_end]]), _xlfn.XLOOKUP(Cluster15[[#This Row],[Bin_end]], ClusterCalc_2x2SD16[Bin_end], ClusterCalc_2x2SD16[Peak or Nadir], "fill ClusterCalc Table",1), "no bin")</f>
        <v>Nadir</v>
      </c>
      <c r="AE148" s="1" t="str">
        <f>IF(ISNUMBER(Cluster15[[#This Row],[Bin_end]]), _xlfn.XLOOKUP(Cluster15[[#This Row],[Bin_end]], ClusterCalc_3x3SD18[Bin_end], ClusterCalc_3x3SD18[Peak or Nadir], "fill ClusterCalc Table",1), "no bin")</f>
        <v>Peak</v>
      </c>
      <c r="AF148" s="1" t="str">
        <f>IF(ISNUMBER(Cluster15[[#This Row],[Bin_end]]), _xlfn.XLOOKUP(Cluster15[[#This Row],[Bin_end]], ClusterCalc_2x2SE20[Bin_end], ClusterCalc_2x2SE20[Peak or Nadir], "fill ClusterCalc Table",1), "no bin")</f>
        <v>Nadir</v>
      </c>
      <c r="AG148" s="1" t="str">
        <f>IF(ISNUMBER(Cluster15[[#This Row],[Bin_end]]), _xlfn.XLOOKUP(Cluster15[[#This Row],[Bin_end]], ClusterCalc_3x3SE22[Bin_end], ClusterCalc_3x3SE22[Peak or Nadir], "fill ClusterCalc Table",1), "no bin")</f>
        <v>Nadir</v>
      </c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BV148"/>
    </row>
    <row r="149" spans="2:74" x14ac:dyDescent="0.2">
      <c r="B149" s="1">
        <f t="shared" si="20"/>
        <v>6</v>
      </c>
      <c r="C149" s="1">
        <f t="shared" si="21"/>
        <v>7</v>
      </c>
      <c r="D149" s="18">
        <f t="shared" si="22"/>
        <v>37</v>
      </c>
      <c r="E149" s="18">
        <f t="shared" si="23"/>
        <v>38</v>
      </c>
      <c r="F149" s="19">
        <f t="shared" si="24"/>
        <v>2220</v>
      </c>
      <c r="G149" s="19">
        <f t="shared" si="25"/>
        <v>2280</v>
      </c>
      <c r="H149" s="20">
        <v>34</v>
      </c>
      <c r="I149" s="21">
        <v>35</v>
      </c>
      <c r="J149" s="1">
        <f>IF(ISBLANK(FiringRate13[[#This Row],[Event/bin]]), " ", FiringRate13[[#This Row],[Event/bin]]/BinSize_sec)</f>
        <v>0.56666666666666665</v>
      </c>
      <c r="K149" s="22">
        <f>IF(ISBLANK(FiringRate13[[#This Row],[Conc events/bin]]), " ", FiringRate13[[#This Row],[Conc events/bin]]/BinSize_sec)</f>
        <v>0.58333333333333337</v>
      </c>
      <c r="W149" s="18" t="str">
        <f t="shared" si="26"/>
        <v>&gt; Spont Length</v>
      </c>
      <c r="X149" s="18" t="str">
        <f t="shared" si="27"/>
        <v>&gt; Spont Length</v>
      </c>
      <c r="Y149" s="19" t="str">
        <f t="shared" si="28"/>
        <v>&gt; Spont Length</v>
      </c>
      <c r="Z149" s="19" t="str">
        <f t="shared" si="29"/>
        <v>&gt; Spont Length</v>
      </c>
      <c r="AA149" s="21"/>
      <c r="AB149" s="25" t="str">
        <f>IF(ISNUMBER(Cluster15[[#This Row],[Bin Start (min)]]), AB148+1, Cluster15[[#This Row],[Bin Start (min)]])</f>
        <v>&gt; Spont Length</v>
      </c>
      <c r="AC149" s="25" t="str">
        <f>IF(ISNUMBER(Cluster15[[#This Row],[Bin End (min)]]), AC148+1, Cluster15[[#This Row],[Bin End (min)]])</f>
        <v>&gt; Spont Length</v>
      </c>
      <c r="AD14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4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4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49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BV149"/>
    </row>
    <row r="150" spans="2:74" x14ac:dyDescent="0.2">
      <c r="B150" s="1">
        <f t="shared" si="20"/>
        <v>6</v>
      </c>
      <c r="C150" s="1">
        <f t="shared" si="21"/>
        <v>8</v>
      </c>
      <c r="D150" s="18">
        <f t="shared" si="22"/>
        <v>38</v>
      </c>
      <c r="E150" s="18">
        <f t="shared" si="23"/>
        <v>39</v>
      </c>
      <c r="F150" s="19">
        <f t="shared" si="24"/>
        <v>2280</v>
      </c>
      <c r="G150" s="19">
        <f t="shared" si="25"/>
        <v>2340</v>
      </c>
      <c r="H150" s="20">
        <v>53</v>
      </c>
      <c r="I150" s="21">
        <v>52</v>
      </c>
      <c r="J150" s="1">
        <f>IF(ISBLANK(FiringRate13[[#This Row],[Event/bin]]), " ", FiringRate13[[#This Row],[Event/bin]]/BinSize_sec)</f>
        <v>0.8833333333333333</v>
      </c>
      <c r="K150" s="22">
        <f>IF(ISBLANK(FiringRate13[[#This Row],[Conc events/bin]]), " ", FiringRate13[[#This Row],[Conc events/bin]]/BinSize_sec)</f>
        <v>0.8666666666666667</v>
      </c>
      <c r="W150" s="18" t="str">
        <f t="shared" si="26"/>
        <v>&gt; Spont Length</v>
      </c>
      <c r="X150" s="18" t="str">
        <f t="shared" si="27"/>
        <v>&gt; Spont Length</v>
      </c>
      <c r="Y150" s="19" t="str">
        <f t="shared" si="28"/>
        <v>&gt; Spont Length</v>
      </c>
      <c r="Z150" s="19" t="str">
        <f t="shared" si="29"/>
        <v>&gt; Spont Length</v>
      </c>
      <c r="AA150" s="21"/>
      <c r="AB150" s="25" t="str">
        <f>IF(ISNUMBER(Cluster15[[#This Row],[Bin Start (min)]]), AB149+1, Cluster15[[#This Row],[Bin Start (min)]])</f>
        <v>&gt; Spont Length</v>
      </c>
      <c r="AC150" s="25" t="str">
        <f>IF(ISNUMBER(Cluster15[[#This Row],[Bin End (min)]]), AC149+1, Cluster15[[#This Row],[Bin End (min)]])</f>
        <v>&gt; Spont Length</v>
      </c>
      <c r="AD15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0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0" s="42"/>
      <c r="AP150" s="46"/>
      <c r="AQ150" s="46"/>
      <c r="AR150" s="46"/>
      <c r="AS150" s="46"/>
      <c r="AT150" s="46"/>
      <c r="AU150" s="46"/>
      <c r="AV150" s="46"/>
      <c r="AW150" s="46"/>
      <c r="AX150" s="46"/>
      <c r="AY150" s="42"/>
      <c r="BV150"/>
    </row>
    <row r="151" spans="2:74" x14ac:dyDescent="0.2">
      <c r="B151" s="1">
        <f t="shared" si="20"/>
        <v>6</v>
      </c>
      <c r="C151" s="1">
        <f t="shared" si="21"/>
        <v>9</v>
      </c>
      <c r="D151" s="18">
        <f t="shared" si="22"/>
        <v>39</v>
      </c>
      <c r="E151" s="18">
        <f t="shared" si="23"/>
        <v>40</v>
      </c>
      <c r="F151" s="19">
        <f t="shared" si="24"/>
        <v>2340</v>
      </c>
      <c r="G151" s="19">
        <f t="shared" si="25"/>
        <v>2400</v>
      </c>
      <c r="H151" s="20">
        <v>45</v>
      </c>
      <c r="I151" s="21">
        <v>47</v>
      </c>
      <c r="J151" s="1">
        <f>IF(ISBLANK(FiringRate13[[#This Row],[Event/bin]]), " ", FiringRate13[[#This Row],[Event/bin]]/BinSize_sec)</f>
        <v>0.75</v>
      </c>
      <c r="K151" s="22">
        <f>IF(ISBLANK(FiringRate13[[#This Row],[Conc events/bin]]), " ", FiringRate13[[#This Row],[Conc events/bin]]/BinSize_sec)</f>
        <v>0.78333333333333333</v>
      </c>
      <c r="W151" s="18" t="str">
        <f t="shared" si="26"/>
        <v>&gt; Spont Length</v>
      </c>
      <c r="X151" s="18" t="str">
        <f t="shared" si="27"/>
        <v>&gt; Spont Length</v>
      </c>
      <c r="Y151" s="19" t="str">
        <f t="shared" si="28"/>
        <v>&gt; Spont Length</v>
      </c>
      <c r="Z151" s="19" t="str">
        <f t="shared" si="29"/>
        <v>&gt; Spont Length</v>
      </c>
      <c r="AA151" s="21"/>
      <c r="AB151" s="25" t="str">
        <f>IF(ISNUMBER(Cluster15[[#This Row],[Bin Start (min)]]), AB150+1, Cluster15[[#This Row],[Bin Start (min)]])</f>
        <v>&gt; Spont Length</v>
      </c>
      <c r="AC151" s="25" t="str">
        <f>IF(ISNUMBER(Cluster15[[#This Row],[Bin End (min)]]), AC150+1, Cluster15[[#This Row],[Bin End (min)]])</f>
        <v>&gt; Spont Length</v>
      </c>
      <c r="AD15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1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1" s="42"/>
      <c r="BV151"/>
    </row>
    <row r="152" spans="2:74" x14ac:dyDescent="0.2">
      <c r="B152" s="1">
        <f t="shared" si="20"/>
        <v>7</v>
      </c>
      <c r="C152" s="1">
        <f t="shared" si="21"/>
        <v>0</v>
      </c>
      <c r="D152" s="18">
        <f t="shared" si="22"/>
        <v>40</v>
      </c>
      <c r="E152" s="18">
        <f t="shared" si="23"/>
        <v>41</v>
      </c>
      <c r="F152" s="19">
        <f t="shared" si="24"/>
        <v>2400</v>
      </c>
      <c r="G152" s="19">
        <f t="shared" si="25"/>
        <v>2460</v>
      </c>
      <c r="H152" s="20">
        <v>67</v>
      </c>
      <c r="I152" s="21">
        <v>63</v>
      </c>
      <c r="J152" s="1">
        <f>IF(ISBLANK(FiringRate13[[#This Row],[Event/bin]]), " ", FiringRate13[[#This Row],[Event/bin]]/BinSize_sec)</f>
        <v>1.1166666666666667</v>
      </c>
      <c r="K152" s="22">
        <f>IF(ISBLANK(FiringRate13[[#This Row],[Conc events/bin]]), " ", FiringRate13[[#This Row],[Conc events/bin]]/BinSize_sec)</f>
        <v>1.05</v>
      </c>
      <c r="W152" s="18" t="str">
        <f t="shared" si="26"/>
        <v>&gt; Spont Length</v>
      </c>
      <c r="X152" s="18" t="str">
        <f t="shared" si="27"/>
        <v>&gt; Spont Length</v>
      </c>
      <c r="Y152" s="19" t="str">
        <f t="shared" si="28"/>
        <v>&gt; Spont Length</v>
      </c>
      <c r="Z152" s="19" t="str">
        <f t="shared" si="29"/>
        <v>&gt; Spont Length</v>
      </c>
      <c r="AA152" s="21"/>
      <c r="AB152" s="25" t="str">
        <f>IF(ISNUMBER(Cluster15[[#This Row],[Bin Start (min)]]), AB151+1, Cluster15[[#This Row],[Bin Start (min)]])</f>
        <v>&gt; Spont Length</v>
      </c>
      <c r="AC152" s="25" t="str">
        <f>IF(ISNUMBER(Cluster15[[#This Row],[Bin End (min)]]), AC151+1, Cluster15[[#This Row],[Bin End (min)]])</f>
        <v>&gt; Spont Length</v>
      </c>
      <c r="AD152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2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2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2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2" s="42"/>
      <c r="BV152"/>
    </row>
    <row r="153" spans="2:74" x14ac:dyDescent="0.2">
      <c r="B153" s="1">
        <f t="shared" si="20"/>
        <v>7</v>
      </c>
      <c r="C153" s="1">
        <f t="shared" si="21"/>
        <v>1</v>
      </c>
      <c r="D153" s="18">
        <f t="shared" si="22"/>
        <v>41</v>
      </c>
      <c r="E153" s="18">
        <f t="shared" si="23"/>
        <v>42</v>
      </c>
      <c r="F153" s="19">
        <f t="shared" si="24"/>
        <v>2460</v>
      </c>
      <c r="G153" s="19">
        <f t="shared" si="25"/>
        <v>2520</v>
      </c>
      <c r="H153" s="20">
        <v>53</v>
      </c>
      <c r="I153" s="21">
        <v>57</v>
      </c>
      <c r="J153" s="1">
        <f>IF(ISBLANK(FiringRate13[[#This Row],[Event/bin]]), " ", FiringRate13[[#This Row],[Event/bin]]/BinSize_sec)</f>
        <v>0.8833333333333333</v>
      </c>
      <c r="K153" s="22">
        <f>IF(ISBLANK(FiringRate13[[#This Row],[Conc events/bin]]), " ", FiringRate13[[#This Row],[Conc events/bin]]/BinSize_sec)</f>
        <v>0.95</v>
      </c>
      <c r="M153" s="2"/>
      <c r="N153" s="2"/>
      <c r="O153" s="2"/>
      <c r="P153" s="2"/>
      <c r="W153" s="18" t="str">
        <f t="shared" si="26"/>
        <v>&gt; Spont Length</v>
      </c>
      <c r="X153" s="18" t="str">
        <f t="shared" si="27"/>
        <v>&gt; Spont Length</v>
      </c>
      <c r="Y153" s="19" t="str">
        <f t="shared" si="28"/>
        <v>&gt; Spont Length</v>
      </c>
      <c r="Z153" s="19" t="str">
        <f t="shared" si="29"/>
        <v>&gt; Spont Length</v>
      </c>
      <c r="AA153" s="21"/>
      <c r="AB153" s="25" t="str">
        <f>IF(ISNUMBER(Cluster15[[#This Row],[Bin Start (min)]]), AB152+1, Cluster15[[#This Row],[Bin Start (min)]])</f>
        <v>&gt; Spont Length</v>
      </c>
      <c r="AC153" s="25" t="str">
        <f>IF(ISNUMBER(Cluster15[[#This Row],[Bin End (min)]]), AC152+1, Cluster15[[#This Row],[Bin End (min)]])</f>
        <v>&gt; Spont Length</v>
      </c>
      <c r="AD153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3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3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3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BV153"/>
    </row>
    <row r="154" spans="2:74" x14ac:dyDescent="0.2">
      <c r="B154" s="1">
        <f t="shared" si="20"/>
        <v>7</v>
      </c>
      <c r="C154" s="1">
        <f t="shared" si="21"/>
        <v>2</v>
      </c>
      <c r="D154" s="18">
        <f t="shared" si="22"/>
        <v>42</v>
      </c>
      <c r="E154" s="18">
        <f t="shared" si="23"/>
        <v>43</v>
      </c>
      <c r="F154" s="19">
        <f t="shared" si="24"/>
        <v>2520</v>
      </c>
      <c r="G154" s="19">
        <f t="shared" si="25"/>
        <v>2580</v>
      </c>
      <c r="H154" s="20">
        <v>53</v>
      </c>
      <c r="I154" s="21">
        <v>42</v>
      </c>
      <c r="J154" s="1">
        <f>IF(ISBLANK(FiringRate13[[#This Row],[Event/bin]]), " ", FiringRate13[[#This Row],[Event/bin]]/BinSize_sec)</f>
        <v>0.8833333333333333</v>
      </c>
      <c r="K154" s="22">
        <f>IF(ISBLANK(FiringRate13[[#This Row],[Conc events/bin]]), " ", FiringRate13[[#This Row],[Conc events/bin]]/BinSize_sec)</f>
        <v>0.7</v>
      </c>
      <c r="M154" s="2"/>
      <c r="N154" s="2"/>
      <c r="O154" s="2"/>
      <c r="P154" s="2"/>
      <c r="W154" s="18" t="str">
        <f t="shared" si="26"/>
        <v>&gt; Spont Length</v>
      </c>
      <c r="X154" s="18" t="str">
        <f t="shared" si="27"/>
        <v>&gt; Spont Length</v>
      </c>
      <c r="Y154" s="19" t="str">
        <f t="shared" si="28"/>
        <v>&gt; Spont Length</v>
      </c>
      <c r="Z154" s="19" t="str">
        <f t="shared" si="29"/>
        <v>&gt; Spont Length</v>
      </c>
      <c r="AA154" s="21"/>
      <c r="AB154" s="25" t="str">
        <f>IF(ISNUMBER(Cluster15[[#This Row],[Bin Start (min)]]), AB153+1, Cluster15[[#This Row],[Bin Start (min)]])</f>
        <v>&gt; Spont Length</v>
      </c>
      <c r="AC154" s="25" t="str">
        <f>IF(ISNUMBER(Cluster15[[#This Row],[Bin End (min)]]), AC153+1, Cluster15[[#This Row],[Bin End (min)]])</f>
        <v>&gt; Spont Length</v>
      </c>
      <c r="AD154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4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4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4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BV154"/>
    </row>
    <row r="155" spans="2:74" x14ac:dyDescent="0.2">
      <c r="B155" s="1">
        <f t="shared" si="20"/>
        <v>7</v>
      </c>
      <c r="C155" s="1">
        <f t="shared" si="21"/>
        <v>3</v>
      </c>
      <c r="D155" s="18">
        <f t="shared" si="22"/>
        <v>43</v>
      </c>
      <c r="E155" s="18">
        <f t="shared" si="23"/>
        <v>44</v>
      </c>
      <c r="F155" s="19">
        <f t="shared" si="24"/>
        <v>2580</v>
      </c>
      <c r="G155" s="19">
        <f t="shared" si="25"/>
        <v>2640</v>
      </c>
      <c r="H155" s="20">
        <v>134</v>
      </c>
      <c r="I155" s="21">
        <v>140</v>
      </c>
      <c r="J155" s="1">
        <f>IF(ISBLANK(FiringRate13[[#This Row],[Event/bin]]), " ", FiringRate13[[#This Row],[Event/bin]]/BinSize_sec)</f>
        <v>2.2333333333333334</v>
      </c>
      <c r="K155" s="22">
        <f>IF(ISBLANK(FiringRate13[[#This Row],[Conc events/bin]]), " ", FiringRate13[[#This Row],[Conc events/bin]]/BinSize_sec)</f>
        <v>2.3333333333333335</v>
      </c>
      <c r="M155" s="2"/>
      <c r="N155" s="2"/>
      <c r="O155" s="2"/>
      <c r="P155" s="2"/>
      <c r="W155" s="18" t="str">
        <f t="shared" si="26"/>
        <v>&gt; Spont Length</v>
      </c>
      <c r="X155" s="18" t="str">
        <f t="shared" si="27"/>
        <v>&gt; Spont Length</v>
      </c>
      <c r="Y155" s="19" t="str">
        <f t="shared" si="28"/>
        <v>&gt; Spont Length</v>
      </c>
      <c r="Z155" s="19" t="str">
        <f t="shared" si="29"/>
        <v>&gt; Spont Length</v>
      </c>
      <c r="AA155" s="21"/>
      <c r="AB155" s="25" t="str">
        <f>IF(ISNUMBER(Cluster15[[#This Row],[Bin Start (min)]]), AB154+1, Cluster15[[#This Row],[Bin Start (min)]])</f>
        <v>&gt; Spont Length</v>
      </c>
      <c r="AC155" s="25" t="str">
        <f>IF(ISNUMBER(Cluster15[[#This Row],[Bin End (min)]]), AC154+1, Cluster15[[#This Row],[Bin End (min)]])</f>
        <v>&gt; Spont Length</v>
      </c>
      <c r="AD155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5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5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5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BV155" t="s">
        <v>230</v>
      </c>
    </row>
    <row r="156" spans="2:74" x14ac:dyDescent="0.2">
      <c r="B156" s="1">
        <f t="shared" si="20"/>
        <v>7</v>
      </c>
      <c r="C156" s="1">
        <f t="shared" si="21"/>
        <v>4</v>
      </c>
      <c r="D156" s="18">
        <f t="shared" si="22"/>
        <v>44</v>
      </c>
      <c r="E156" s="18">
        <f t="shared" si="23"/>
        <v>45</v>
      </c>
      <c r="F156" s="19">
        <f t="shared" si="24"/>
        <v>2640</v>
      </c>
      <c r="G156" s="19">
        <f t="shared" si="25"/>
        <v>2700</v>
      </c>
      <c r="H156" s="20">
        <v>92</v>
      </c>
      <c r="I156" s="21">
        <v>95</v>
      </c>
      <c r="J156" s="1">
        <f>IF(ISBLANK(FiringRate13[[#This Row],[Event/bin]]), " ", FiringRate13[[#This Row],[Event/bin]]/BinSize_sec)</f>
        <v>1.5333333333333334</v>
      </c>
      <c r="K156" s="22">
        <f>IF(ISBLANK(FiringRate13[[#This Row],[Conc events/bin]]), " ", FiringRate13[[#This Row],[Conc events/bin]]/BinSize_sec)</f>
        <v>1.5833333333333333</v>
      </c>
      <c r="W156" s="18" t="str">
        <f t="shared" si="26"/>
        <v>&gt; Spont Length</v>
      </c>
      <c r="X156" s="18" t="str">
        <f t="shared" si="27"/>
        <v>&gt; Spont Length</v>
      </c>
      <c r="Y156" s="19" t="str">
        <f t="shared" si="28"/>
        <v>&gt; Spont Length</v>
      </c>
      <c r="Z156" s="19" t="str">
        <f t="shared" si="29"/>
        <v>&gt; Spont Length</v>
      </c>
      <c r="AA156" s="21"/>
      <c r="AB156" s="25" t="str">
        <f>IF(ISNUMBER(Cluster15[[#This Row],[Bin Start (min)]]), AB155+1, Cluster15[[#This Row],[Bin Start (min)]])</f>
        <v>&gt; Spont Length</v>
      </c>
      <c r="AC156" s="25" t="str">
        <f>IF(ISNUMBER(Cluster15[[#This Row],[Bin End (min)]]), AC155+1, Cluster15[[#This Row],[Bin End (min)]])</f>
        <v>&gt; Spont Length</v>
      </c>
      <c r="AD156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6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6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6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BV156"/>
    </row>
    <row r="157" spans="2:74" x14ac:dyDescent="0.2">
      <c r="B157" s="1">
        <f t="shared" si="20"/>
        <v>7</v>
      </c>
      <c r="C157" s="1">
        <f t="shared" si="21"/>
        <v>5</v>
      </c>
      <c r="D157" s="18">
        <f t="shared" si="22"/>
        <v>45</v>
      </c>
      <c r="E157" s="18">
        <f t="shared" si="23"/>
        <v>46</v>
      </c>
      <c r="F157" s="19">
        <f t="shared" si="24"/>
        <v>2700</v>
      </c>
      <c r="G157" s="19">
        <f t="shared" si="25"/>
        <v>2760</v>
      </c>
      <c r="H157" s="20">
        <v>75</v>
      </c>
      <c r="I157" s="21">
        <v>74</v>
      </c>
      <c r="J157" s="1">
        <f>IF(ISBLANK(FiringRate13[[#This Row],[Event/bin]]), " ", FiringRate13[[#This Row],[Event/bin]]/BinSize_sec)</f>
        <v>1.25</v>
      </c>
      <c r="K157" s="22">
        <f>IF(ISBLANK(FiringRate13[[#This Row],[Conc events/bin]]), " ", FiringRate13[[#This Row],[Conc events/bin]]/BinSize_sec)</f>
        <v>1.2333333333333334</v>
      </c>
      <c r="W157" s="18" t="str">
        <f t="shared" si="26"/>
        <v>&gt; Spont Length</v>
      </c>
      <c r="X157" s="18" t="str">
        <f t="shared" si="27"/>
        <v>&gt; Spont Length</v>
      </c>
      <c r="Y157" s="19" t="str">
        <f t="shared" si="28"/>
        <v>&gt; Spont Length</v>
      </c>
      <c r="Z157" s="19" t="str">
        <f t="shared" si="29"/>
        <v>&gt; Spont Length</v>
      </c>
      <c r="AA157" s="21"/>
      <c r="AB157" s="25" t="str">
        <f>IF(ISNUMBER(Cluster15[[#This Row],[Bin Start (min)]]), AB156+1, Cluster15[[#This Row],[Bin Start (min)]])</f>
        <v>&gt; Spont Length</v>
      </c>
      <c r="AC157" s="25" t="str">
        <f>IF(ISNUMBER(Cluster15[[#This Row],[Bin End (min)]]), AC156+1, Cluster15[[#This Row],[Bin End (min)]])</f>
        <v>&gt; Spont Length</v>
      </c>
      <c r="AD157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7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7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7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BV157"/>
    </row>
    <row r="158" spans="2:74" x14ac:dyDescent="0.2">
      <c r="B158" s="1">
        <f t="shared" si="20"/>
        <v>7</v>
      </c>
      <c r="C158" s="1">
        <f t="shared" si="21"/>
        <v>6</v>
      </c>
      <c r="D158" s="18">
        <f t="shared" si="22"/>
        <v>46</v>
      </c>
      <c r="E158" s="18">
        <f t="shared" si="23"/>
        <v>47</v>
      </c>
      <c r="F158" s="19">
        <f t="shared" si="24"/>
        <v>2760</v>
      </c>
      <c r="G158" s="19">
        <f t="shared" si="25"/>
        <v>2820</v>
      </c>
      <c r="H158" s="20">
        <v>34</v>
      </c>
      <c r="I158" s="21">
        <v>39</v>
      </c>
      <c r="J158" s="1">
        <f>IF(ISBLANK(FiringRate13[[#This Row],[Event/bin]]), " ", FiringRate13[[#This Row],[Event/bin]]/BinSize_sec)</f>
        <v>0.56666666666666665</v>
      </c>
      <c r="K158" s="22">
        <f>IF(ISBLANK(FiringRate13[[#This Row],[Conc events/bin]]), " ", FiringRate13[[#This Row],[Conc events/bin]]/BinSize_sec)</f>
        <v>0.65</v>
      </c>
      <c r="W158" s="18" t="str">
        <f t="shared" si="26"/>
        <v>&gt; Spont Length</v>
      </c>
      <c r="X158" s="18" t="str">
        <f t="shared" si="27"/>
        <v>&gt; Spont Length</v>
      </c>
      <c r="Y158" s="19" t="str">
        <f t="shared" si="28"/>
        <v>&gt; Spont Length</v>
      </c>
      <c r="Z158" s="19" t="str">
        <f t="shared" si="29"/>
        <v>&gt; Spont Length</v>
      </c>
      <c r="AA158" s="21"/>
      <c r="AB158" s="25" t="str">
        <f>IF(ISNUMBER(Cluster15[[#This Row],[Bin Start (min)]]), AB157+1, Cluster15[[#This Row],[Bin Start (min)]])</f>
        <v>&gt; Spont Length</v>
      </c>
      <c r="AC158" s="25" t="str">
        <f>IF(ISNUMBER(Cluster15[[#This Row],[Bin End (min)]]), AC157+1, Cluster15[[#This Row],[Bin End (min)]])</f>
        <v>&gt; Spont Length</v>
      </c>
      <c r="AD158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8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8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8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BV158"/>
    </row>
    <row r="159" spans="2:74" x14ac:dyDescent="0.2">
      <c r="B159" s="1">
        <f t="shared" si="20"/>
        <v>7</v>
      </c>
      <c r="C159" s="1">
        <f t="shared" si="21"/>
        <v>7</v>
      </c>
      <c r="D159" s="18">
        <f t="shared" si="22"/>
        <v>47</v>
      </c>
      <c r="E159" s="18">
        <f t="shared" si="23"/>
        <v>48</v>
      </c>
      <c r="F159" s="19">
        <f t="shared" si="24"/>
        <v>2820</v>
      </c>
      <c r="G159" s="19">
        <f t="shared" si="25"/>
        <v>2880</v>
      </c>
      <c r="H159" s="20">
        <v>61</v>
      </c>
      <c r="I159" s="21">
        <v>56</v>
      </c>
      <c r="J159" s="1">
        <f>IF(ISBLANK(FiringRate13[[#This Row],[Event/bin]]), " ", FiringRate13[[#This Row],[Event/bin]]/BinSize_sec)</f>
        <v>1.0166666666666666</v>
      </c>
      <c r="K159" s="22">
        <f>IF(ISBLANK(FiringRate13[[#This Row],[Conc events/bin]]), " ", FiringRate13[[#This Row],[Conc events/bin]]/BinSize_sec)</f>
        <v>0.93333333333333335</v>
      </c>
      <c r="W159" s="18" t="str">
        <f t="shared" si="26"/>
        <v>&gt; Spont Length</v>
      </c>
      <c r="X159" s="18" t="str">
        <f t="shared" si="27"/>
        <v>&gt; Spont Length</v>
      </c>
      <c r="Y159" s="19" t="str">
        <f t="shared" si="28"/>
        <v>&gt; Spont Length</v>
      </c>
      <c r="Z159" s="19" t="str">
        <f t="shared" si="29"/>
        <v>&gt; Spont Length</v>
      </c>
      <c r="AA159" s="21"/>
      <c r="AB159" s="25" t="str">
        <f>IF(ISNUMBER(Cluster15[[#This Row],[Bin Start (min)]]), AB158+1, Cluster15[[#This Row],[Bin Start (min)]])</f>
        <v>&gt; Spont Length</v>
      </c>
      <c r="AC159" s="25" t="str">
        <f>IF(ISNUMBER(Cluster15[[#This Row],[Bin End (min)]]), AC158+1, Cluster15[[#This Row],[Bin End (min)]])</f>
        <v>&gt; Spont Length</v>
      </c>
      <c r="AD15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5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5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59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BV159"/>
    </row>
    <row r="160" spans="2:74" x14ac:dyDescent="0.2">
      <c r="B160" s="1">
        <f t="shared" si="20"/>
        <v>7</v>
      </c>
      <c r="C160" s="1">
        <f t="shared" si="21"/>
        <v>8</v>
      </c>
      <c r="D160" s="18">
        <f t="shared" si="22"/>
        <v>48</v>
      </c>
      <c r="E160" s="18">
        <f t="shared" si="23"/>
        <v>49</v>
      </c>
      <c r="F160" s="19">
        <f t="shared" si="24"/>
        <v>2880</v>
      </c>
      <c r="G160" s="19">
        <f t="shared" si="25"/>
        <v>2940</v>
      </c>
      <c r="H160" s="20">
        <v>102</v>
      </c>
      <c r="I160" s="21">
        <v>92</v>
      </c>
      <c r="J160" s="1">
        <f>IF(ISBLANK(FiringRate13[[#This Row],[Event/bin]]), " ", FiringRate13[[#This Row],[Event/bin]]/BinSize_sec)</f>
        <v>1.7</v>
      </c>
      <c r="K160" s="22">
        <f>IF(ISBLANK(FiringRate13[[#This Row],[Conc events/bin]]), " ", FiringRate13[[#This Row],[Conc events/bin]]/BinSize_sec)</f>
        <v>1.5333333333333334</v>
      </c>
      <c r="W160" s="18" t="str">
        <f t="shared" si="26"/>
        <v>&gt; Spont Length</v>
      </c>
      <c r="X160" s="18" t="str">
        <f t="shared" si="27"/>
        <v>&gt; Spont Length</v>
      </c>
      <c r="Y160" s="19" t="str">
        <f t="shared" si="28"/>
        <v>&gt; Spont Length</v>
      </c>
      <c r="Z160" s="19" t="str">
        <f t="shared" si="29"/>
        <v>&gt; Spont Length</v>
      </c>
      <c r="AA160" s="21"/>
      <c r="AB160" s="25" t="str">
        <f>IF(ISNUMBER(Cluster15[[#This Row],[Bin Start (min)]]), AB159+1, Cluster15[[#This Row],[Bin Start (min)]])</f>
        <v>&gt; Spont Length</v>
      </c>
      <c r="AC160" s="25" t="str">
        <f>IF(ISNUMBER(Cluster15[[#This Row],[Bin End (min)]]), AC159+1, Cluster15[[#This Row],[Bin End (min)]])</f>
        <v>&gt; Spont Length</v>
      </c>
      <c r="AD16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0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BV160"/>
    </row>
    <row r="161" spans="2:74" x14ac:dyDescent="0.2">
      <c r="B161" s="1">
        <f t="shared" si="20"/>
        <v>7</v>
      </c>
      <c r="C161" s="1">
        <f t="shared" si="21"/>
        <v>9</v>
      </c>
      <c r="D161" s="18">
        <f t="shared" si="22"/>
        <v>49</v>
      </c>
      <c r="E161" s="18">
        <f t="shared" si="23"/>
        <v>50</v>
      </c>
      <c r="F161" s="19">
        <f t="shared" si="24"/>
        <v>2940</v>
      </c>
      <c r="G161" s="19">
        <f t="shared" si="25"/>
        <v>3000</v>
      </c>
      <c r="H161" s="20">
        <v>81</v>
      </c>
      <c r="I161" s="21">
        <v>90</v>
      </c>
      <c r="J161" s="1">
        <f>IF(ISBLANK(FiringRate13[[#This Row],[Event/bin]]), " ", FiringRate13[[#This Row],[Event/bin]]/BinSize_sec)</f>
        <v>1.35</v>
      </c>
      <c r="K161" s="22">
        <f>IF(ISBLANK(FiringRate13[[#This Row],[Conc events/bin]]), " ", FiringRate13[[#This Row],[Conc events/bin]]/BinSize_sec)</f>
        <v>1.5</v>
      </c>
      <c r="W161" s="18" t="str">
        <f t="shared" si="26"/>
        <v>&gt; Spont Length</v>
      </c>
      <c r="X161" s="18" t="str">
        <f t="shared" si="27"/>
        <v>&gt; Spont Length</v>
      </c>
      <c r="Y161" s="19" t="str">
        <f t="shared" si="28"/>
        <v>&gt; Spont Length</v>
      </c>
      <c r="Z161" s="19" t="str">
        <f t="shared" si="29"/>
        <v>&gt; Spont Length</v>
      </c>
      <c r="AA161" s="21"/>
      <c r="AB161" s="25" t="str">
        <f>IF(ISNUMBER(Cluster15[[#This Row],[Bin Start (min)]]), AB160+1, Cluster15[[#This Row],[Bin Start (min)]])</f>
        <v>&gt; Spont Length</v>
      </c>
      <c r="AC161" s="25" t="str">
        <f>IF(ISNUMBER(Cluster15[[#This Row],[Bin End (min)]]), AC160+1, Cluster15[[#This Row],[Bin End (min)]])</f>
        <v>&gt; Spont Length</v>
      </c>
      <c r="AD16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1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BV161"/>
    </row>
    <row r="162" spans="2:74" x14ac:dyDescent="0.2">
      <c r="B162" s="1">
        <f t="shared" si="20"/>
        <v>8</v>
      </c>
      <c r="C162" s="1">
        <f t="shared" si="21"/>
        <v>0</v>
      </c>
      <c r="D162" s="18">
        <f t="shared" si="22"/>
        <v>50</v>
      </c>
      <c r="E162" s="18">
        <f t="shared" si="23"/>
        <v>51</v>
      </c>
      <c r="F162" s="19">
        <f t="shared" si="24"/>
        <v>3000</v>
      </c>
      <c r="G162" s="19">
        <f t="shared" si="25"/>
        <v>3060</v>
      </c>
      <c r="H162" s="20">
        <v>101</v>
      </c>
      <c r="I162" s="21">
        <v>99</v>
      </c>
      <c r="J162" s="1">
        <f>IF(ISBLANK(FiringRate13[[#This Row],[Event/bin]]), " ", FiringRate13[[#This Row],[Event/bin]]/BinSize_sec)</f>
        <v>1.6833333333333333</v>
      </c>
      <c r="K162" s="22">
        <f>IF(ISBLANK(FiringRate13[[#This Row],[Conc events/bin]]), " ", FiringRate13[[#This Row],[Conc events/bin]]/BinSize_sec)</f>
        <v>1.65</v>
      </c>
      <c r="W162" s="18" t="str">
        <f t="shared" si="26"/>
        <v>&gt; Spont Length</v>
      </c>
      <c r="X162" s="18" t="str">
        <f t="shared" si="27"/>
        <v>&gt; Spont Length</v>
      </c>
      <c r="Y162" s="19" t="str">
        <f t="shared" si="28"/>
        <v>&gt; Spont Length</v>
      </c>
      <c r="Z162" s="19" t="str">
        <f t="shared" si="29"/>
        <v>&gt; Spont Length</v>
      </c>
      <c r="AA162" s="21"/>
      <c r="AB162" s="25" t="str">
        <f>IF(ISNUMBER(Cluster15[[#This Row],[Bin Start (min)]]), AB161+1, Cluster15[[#This Row],[Bin Start (min)]])</f>
        <v>&gt; Spont Length</v>
      </c>
      <c r="AC162" s="25" t="str">
        <f>IF(ISNUMBER(Cluster15[[#This Row],[Bin End (min)]]), AC161+1, Cluster15[[#This Row],[Bin End (min)]])</f>
        <v>&gt; Spont Length</v>
      </c>
      <c r="AD162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2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2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2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BV162"/>
    </row>
    <row r="163" spans="2:74" x14ac:dyDescent="0.2">
      <c r="B163" s="1">
        <f t="shared" si="20"/>
        <v>8</v>
      </c>
      <c r="C163" s="1">
        <f t="shared" si="21"/>
        <v>1</v>
      </c>
      <c r="D163" s="18">
        <f t="shared" si="22"/>
        <v>51</v>
      </c>
      <c r="E163" s="18">
        <f t="shared" si="23"/>
        <v>52</v>
      </c>
      <c r="F163" s="19">
        <f t="shared" si="24"/>
        <v>3060</v>
      </c>
      <c r="G163" s="19">
        <f t="shared" si="25"/>
        <v>3120</v>
      </c>
      <c r="H163" s="20">
        <v>112</v>
      </c>
      <c r="I163" s="21">
        <v>104</v>
      </c>
      <c r="J163" s="1">
        <f>IF(ISBLANK(FiringRate13[[#This Row],[Event/bin]]), " ", FiringRate13[[#This Row],[Event/bin]]/BinSize_sec)</f>
        <v>1.8666666666666667</v>
      </c>
      <c r="K163" s="22">
        <f>IF(ISBLANK(FiringRate13[[#This Row],[Conc events/bin]]), " ", FiringRate13[[#This Row],[Conc events/bin]]/BinSize_sec)</f>
        <v>1.7333333333333334</v>
      </c>
      <c r="W163" s="18" t="str">
        <f t="shared" si="26"/>
        <v>&gt; Spont Length</v>
      </c>
      <c r="X163" s="18" t="str">
        <f t="shared" si="27"/>
        <v>&gt; Spont Length</v>
      </c>
      <c r="Y163" s="19" t="str">
        <f t="shared" si="28"/>
        <v>&gt; Spont Length</v>
      </c>
      <c r="Z163" s="19" t="str">
        <f t="shared" si="29"/>
        <v>&gt; Spont Length</v>
      </c>
      <c r="AA163" s="21"/>
      <c r="AB163" s="25" t="str">
        <f>IF(ISNUMBER(Cluster15[[#This Row],[Bin Start (min)]]), AB162+1, Cluster15[[#This Row],[Bin Start (min)]])</f>
        <v>&gt; Spont Length</v>
      </c>
      <c r="AC163" s="25" t="str">
        <f>IF(ISNUMBER(Cluster15[[#This Row],[Bin End (min)]]), AC162+1, Cluster15[[#This Row],[Bin End (min)]])</f>
        <v>&gt; Spont Length</v>
      </c>
      <c r="AD163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3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3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3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BV163"/>
    </row>
    <row r="164" spans="2:74" x14ac:dyDescent="0.2">
      <c r="B164" s="1">
        <f t="shared" si="20"/>
        <v>8</v>
      </c>
      <c r="C164" s="1">
        <f t="shared" si="21"/>
        <v>2</v>
      </c>
      <c r="D164" s="18">
        <f t="shared" si="22"/>
        <v>52</v>
      </c>
      <c r="E164" s="18">
        <f t="shared" si="23"/>
        <v>53</v>
      </c>
      <c r="F164" s="19">
        <f t="shared" si="24"/>
        <v>3120</v>
      </c>
      <c r="G164" s="19">
        <f t="shared" si="25"/>
        <v>3180</v>
      </c>
      <c r="H164" s="20">
        <v>91</v>
      </c>
      <c r="I164" s="21">
        <v>93</v>
      </c>
      <c r="J164" s="1">
        <f>IF(ISBLANK(FiringRate13[[#This Row],[Event/bin]]), " ", FiringRate13[[#This Row],[Event/bin]]/BinSize_sec)</f>
        <v>1.5166666666666666</v>
      </c>
      <c r="K164" s="22">
        <f>IF(ISBLANK(FiringRate13[[#This Row],[Conc events/bin]]), " ", FiringRate13[[#This Row],[Conc events/bin]]/BinSize_sec)</f>
        <v>1.55</v>
      </c>
      <c r="W164" s="18" t="str">
        <f t="shared" si="26"/>
        <v>&gt; Spont Length</v>
      </c>
      <c r="X164" s="18" t="str">
        <f t="shared" si="27"/>
        <v>&gt; Spont Length</v>
      </c>
      <c r="Y164" s="19" t="str">
        <f t="shared" si="28"/>
        <v>&gt; Spont Length</v>
      </c>
      <c r="Z164" s="19" t="str">
        <f t="shared" si="29"/>
        <v>&gt; Spont Length</v>
      </c>
      <c r="AA164" s="21"/>
      <c r="AB164" s="25" t="str">
        <f>IF(ISNUMBER(Cluster15[[#This Row],[Bin Start (min)]]), AB163+1, Cluster15[[#This Row],[Bin Start (min)]])</f>
        <v>&gt; Spont Length</v>
      </c>
      <c r="AC164" s="25" t="str">
        <f>IF(ISNUMBER(Cluster15[[#This Row],[Bin End (min)]]), AC163+1, Cluster15[[#This Row],[Bin End (min)]])</f>
        <v>&gt; Spont Length</v>
      </c>
      <c r="AD164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4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4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4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BV164"/>
    </row>
    <row r="165" spans="2:74" x14ac:dyDescent="0.2">
      <c r="B165" s="1">
        <f t="shared" si="20"/>
        <v>8</v>
      </c>
      <c r="C165" s="1">
        <f t="shared" si="21"/>
        <v>3</v>
      </c>
      <c r="D165" s="18">
        <f t="shared" si="22"/>
        <v>53</v>
      </c>
      <c r="E165" s="18">
        <f t="shared" si="23"/>
        <v>54</v>
      </c>
      <c r="F165" s="19">
        <f t="shared" si="24"/>
        <v>3180</v>
      </c>
      <c r="G165" s="19">
        <f t="shared" si="25"/>
        <v>3240</v>
      </c>
      <c r="H165" s="20">
        <v>126</v>
      </c>
      <c r="I165" s="21">
        <v>127</v>
      </c>
      <c r="J165" s="1">
        <f>IF(ISBLANK(FiringRate13[[#This Row],[Event/bin]]), " ", FiringRate13[[#This Row],[Event/bin]]/BinSize_sec)</f>
        <v>2.1</v>
      </c>
      <c r="K165" s="22">
        <f>IF(ISBLANK(FiringRate13[[#This Row],[Conc events/bin]]), " ", FiringRate13[[#This Row],[Conc events/bin]]/BinSize_sec)</f>
        <v>2.1166666666666667</v>
      </c>
      <c r="W165" s="18" t="str">
        <f t="shared" si="26"/>
        <v>&gt; Spont Length</v>
      </c>
      <c r="X165" s="18" t="str">
        <f t="shared" si="27"/>
        <v>&gt; Spont Length</v>
      </c>
      <c r="Y165" s="19" t="str">
        <f t="shared" si="28"/>
        <v>&gt; Spont Length</v>
      </c>
      <c r="Z165" s="19" t="str">
        <f t="shared" si="29"/>
        <v>&gt; Spont Length</v>
      </c>
      <c r="AA165" s="21"/>
      <c r="AB165" s="25" t="str">
        <f>IF(ISNUMBER(Cluster15[[#This Row],[Bin Start (min)]]), AB164+1, Cluster15[[#This Row],[Bin Start (min)]])</f>
        <v>&gt; Spont Length</v>
      </c>
      <c r="AC165" s="25" t="str">
        <f>IF(ISNUMBER(Cluster15[[#This Row],[Bin End (min)]]), AC164+1, Cluster15[[#This Row],[Bin End (min)]])</f>
        <v>&gt; Spont Length</v>
      </c>
      <c r="AD165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5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5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5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BV165"/>
    </row>
    <row r="166" spans="2:74" x14ac:dyDescent="0.2">
      <c r="B166" s="1">
        <f t="shared" si="20"/>
        <v>8</v>
      </c>
      <c r="C166" s="1">
        <f t="shared" si="21"/>
        <v>4</v>
      </c>
      <c r="D166" s="18">
        <f t="shared" si="22"/>
        <v>54</v>
      </c>
      <c r="E166" s="18">
        <f t="shared" si="23"/>
        <v>55</v>
      </c>
      <c r="F166" s="19">
        <f t="shared" si="24"/>
        <v>3240</v>
      </c>
      <c r="G166" s="19">
        <f t="shared" si="25"/>
        <v>3300</v>
      </c>
      <c r="H166" s="20">
        <v>78</v>
      </c>
      <c r="I166" s="21">
        <v>78</v>
      </c>
      <c r="J166" s="1">
        <f>IF(ISBLANK(FiringRate13[[#This Row],[Event/bin]]), " ", FiringRate13[[#This Row],[Event/bin]]/BinSize_sec)</f>
        <v>1.3</v>
      </c>
      <c r="K166" s="22">
        <f>IF(ISBLANK(FiringRate13[[#This Row],[Conc events/bin]]), " ", FiringRate13[[#This Row],[Conc events/bin]]/BinSize_sec)</f>
        <v>1.3</v>
      </c>
      <c r="W166" s="18" t="str">
        <f t="shared" si="26"/>
        <v>&gt; Spont Length</v>
      </c>
      <c r="X166" s="18" t="str">
        <f t="shared" si="27"/>
        <v>&gt; Spont Length</v>
      </c>
      <c r="Y166" s="19" t="str">
        <f t="shared" si="28"/>
        <v>&gt; Spont Length</v>
      </c>
      <c r="Z166" s="19" t="str">
        <f t="shared" si="29"/>
        <v>&gt; Spont Length</v>
      </c>
      <c r="AA166" s="21"/>
      <c r="AB166" s="25" t="str">
        <f>IF(ISNUMBER(Cluster15[[#This Row],[Bin Start (min)]]), AB165+1, Cluster15[[#This Row],[Bin Start (min)]])</f>
        <v>&gt; Spont Length</v>
      </c>
      <c r="AC166" s="25" t="str">
        <f>IF(ISNUMBER(Cluster15[[#This Row],[Bin End (min)]]), AC165+1, Cluster15[[#This Row],[Bin End (min)]])</f>
        <v>&gt; Spont Length</v>
      </c>
      <c r="AD166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6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6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6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BV166"/>
    </row>
    <row r="167" spans="2:74" x14ac:dyDescent="0.2">
      <c r="B167" s="1">
        <f t="shared" si="20"/>
        <v>8</v>
      </c>
      <c r="C167" s="1">
        <f t="shared" si="21"/>
        <v>5</v>
      </c>
      <c r="D167" s="18">
        <f t="shared" si="22"/>
        <v>55</v>
      </c>
      <c r="E167" s="18">
        <f t="shared" si="23"/>
        <v>56</v>
      </c>
      <c r="F167" s="19">
        <f t="shared" si="24"/>
        <v>3300</v>
      </c>
      <c r="G167" s="19">
        <f t="shared" si="25"/>
        <v>3360</v>
      </c>
      <c r="H167" s="20">
        <v>51</v>
      </c>
      <c r="I167" s="21">
        <v>60</v>
      </c>
      <c r="J167" s="1">
        <f>IF(ISBLANK(FiringRate13[[#This Row],[Event/bin]]), " ", FiringRate13[[#This Row],[Event/bin]]/BinSize_sec)</f>
        <v>0.85</v>
      </c>
      <c r="K167" s="22">
        <f>IF(ISBLANK(FiringRate13[[#This Row],[Conc events/bin]]), " ", FiringRate13[[#This Row],[Conc events/bin]]/BinSize_sec)</f>
        <v>1</v>
      </c>
      <c r="W167" s="18" t="str">
        <f t="shared" si="26"/>
        <v>&gt; Spont Length</v>
      </c>
      <c r="X167" s="18" t="str">
        <f t="shared" si="27"/>
        <v>&gt; Spont Length</v>
      </c>
      <c r="Y167" s="19" t="str">
        <f t="shared" si="28"/>
        <v>&gt; Spont Length</v>
      </c>
      <c r="Z167" s="19" t="str">
        <f t="shared" si="29"/>
        <v>&gt; Spont Length</v>
      </c>
      <c r="AA167" s="21"/>
      <c r="AB167" s="25" t="str">
        <f>IF(ISNUMBER(Cluster15[[#This Row],[Bin Start (min)]]), AB166+1, Cluster15[[#This Row],[Bin Start (min)]])</f>
        <v>&gt; Spont Length</v>
      </c>
      <c r="AC167" s="25" t="str">
        <f>IF(ISNUMBER(Cluster15[[#This Row],[Bin End (min)]]), AC166+1, Cluster15[[#This Row],[Bin End (min)]])</f>
        <v>&gt; Spont Length</v>
      </c>
      <c r="AD167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7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7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7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BV167"/>
    </row>
    <row r="168" spans="2:74" x14ac:dyDescent="0.2">
      <c r="B168" s="1">
        <f t="shared" si="20"/>
        <v>8</v>
      </c>
      <c r="C168" s="1">
        <f t="shared" si="21"/>
        <v>6</v>
      </c>
      <c r="D168" s="18">
        <f t="shared" si="22"/>
        <v>56</v>
      </c>
      <c r="E168" s="18">
        <f t="shared" si="23"/>
        <v>57</v>
      </c>
      <c r="F168" s="19">
        <f t="shared" si="24"/>
        <v>3360</v>
      </c>
      <c r="G168" s="19">
        <f t="shared" si="25"/>
        <v>3420</v>
      </c>
      <c r="H168" s="20">
        <v>81</v>
      </c>
      <c r="I168" s="21">
        <v>76</v>
      </c>
      <c r="J168" s="1">
        <f>IF(ISBLANK(FiringRate13[[#This Row],[Event/bin]]), " ", FiringRate13[[#This Row],[Event/bin]]/BinSize_sec)</f>
        <v>1.35</v>
      </c>
      <c r="K168" s="22">
        <f>IF(ISBLANK(FiringRate13[[#This Row],[Conc events/bin]]), " ", FiringRate13[[#This Row],[Conc events/bin]]/BinSize_sec)</f>
        <v>1.2666666666666666</v>
      </c>
      <c r="W168" s="18" t="str">
        <f t="shared" si="26"/>
        <v>&gt; Spont Length</v>
      </c>
      <c r="X168" s="18" t="str">
        <f t="shared" si="27"/>
        <v>&gt; Spont Length</v>
      </c>
      <c r="Y168" s="19" t="str">
        <f t="shared" si="28"/>
        <v>&gt; Spont Length</v>
      </c>
      <c r="Z168" s="19" t="str">
        <f t="shared" si="29"/>
        <v>&gt; Spont Length</v>
      </c>
      <c r="AA168" s="21"/>
      <c r="AB168" s="25" t="str">
        <f>IF(ISNUMBER(Cluster15[[#This Row],[Bin Start (min)]]), AB167+1, Cluster15[[#This Row],[Bin Start (min)]])</f>
        <v>&gt; Spont Length</v>
      </c>
      <c r="AC168" s="25" t="str">
        <f>IF(ISNUMBER(Cluster15[[#This Row],[Bin End (min)]]), AC167+1, Cluster15[[#This Row],[Bin End (min)]])</f>
        <v>&gt; Spont Length</v>
      </c>
      <c r="AD168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8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8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8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BV168"/>
    </row>
    <row r="169" spans="2:74" x14ac:dyDescent="0.2">
      <c r="B169" s="1">
        <f t="shared" si="20"/>
        <v>8</v>
      </c>
      <c r="C169" s="1">
        <f t="shared" si="21"/>
        <v>7</v>
      </c>
      <c r="D169" s="18">
        <f t="shared" si="22"/>
        <v>57</v>
      </c>
      <c r="E169" s="18">
        <f t="shared" si="23"/>
        <v>58</v>
      </c>
      <c r="F169" s="19">
        <f t="shared" si="24"/>
        <v>3420</v>
      </c>
      <c r="G169" s="19">
        <f t="shared" si="25"/>
        <v>3480</v>
      </c>
      <c r="H169" s="20">
        <v>102</v>
      </c>
      <c r="I169" s="21">
        <v>101</v>
      </c>
      <c r="J169" s="1">
        <f>IF(ISBLANK(FiringRate13[[#This Row],[Event/bin]]), " ", FiringRate13[[#This Row],[Event/bin]]/BinSize_sec)</f>
        <v>1.7</v>
      </c>
      <c r="K169" s="22">
        <f>IF(ISBLANK(FiringRate13[[#This Row],[Conc events/bin]]), " ", FiringRate13[[#This Row],[Conc events/bin]]/BinSize_sec)</f>
        <v>1.6833333333333333</v>
      </c>
      <c r="W169" s="18" t="str">
        <f t="shared" si="26"/>
        <v>&gt; Spont Length</v>
      </c>
      <c r="X169" s="18" t="str">
        <f t="shared" si="27"/>
        <v>&gt; Spont Length</v>
      </c>
      <c r="Y169" s="19" t="str">
        <f t="shared" si="28"/>
        <v>&gt; Spont Length</v>
      </c>
      <c r="Z169" s="19" t="str">
        <f t="shared" si="29"/>
        <v>&gt; Spont Length</v>
      </c>
      <c r="AA169" s="21"/>
      <c r="AB169" s="25" t="str">
        <f>IF(ISNUMBER(Cluster15[[#This Row],[Bin Start (min)]]), AB168+1, Cluster15[[#This Row],[Bin Start (min)]])</f>
        <v>&gt; Spont Length</v>
      </c>
      <c r="AC169" s="25" t="str">
        <f>IF(ISNUMBER(Cluster15[[#This Row],[Bin End (min)]]), AC168+1, Cluster15[[#This Row],[Bin End (min)]])</f>
        <v>&gt; Spont Length</v>
      </c>
      <c r="AD16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6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6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69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BV169"/>
    </row>
    <row r="170" spans="2:74" x14ac:dyDescent="0.2">
      <c r="B170" s="1">
        <f t="shared" si="20"/>
        <v>8</v>
      </c>
      <c r="C170" s="1">
        <f t="shared" si="21"/>
        <v>8</v>
      </c>
      <c r="D170" s="18">
        <f t="shared" si="22"/>
        <v>58</v>
      </c>
      <c r="E170" s="18">
        <f t="shared" si="23"/>
        <v>59</v>
      </c>
      <c r="F170" s="19">
        <f t="shared" si="24"/>
        <v>3480</v>
      </c>
      <c r="G170" s="19">
        <f t="shared" si="25"/>
        <v>3540</v>
      </c>
      <c r="H170" s="20">
        <v>67</v>
      </c>
      <c r="I170" s="21">
        <v>72</v>
      </c>
      <c r="J170" s="1">
        <f>IF(ISBLANK(FiringRate13[[#This Row],[Event/bin]]), " ", FiringRate13[[#This Row],[Event/bin]]/BinSize_sec)</f>
        <v>1.1166666666666667</v>
      </c>
      <c r="K170" s="22">
        <f>IF(ISBLANK(FiringRate13[[#This Row],[Conc events/bin]]), " ", FiringRate13[[#This Row],[Conc events/bin]]/BinSize_sec)</f>
        <v>1.2</v>
      </c>
      <c r="W170" s="18" t="str">
        <f t="shared" si="26"/>
        <v>&gt; Spont Length</v>
      </c>
      <c r="X170" s="18" t="str">
        <f t="shared" si="27"/>
        <v>&gt; Spont Length</v>
      </c>
      <c r="Y170" s="19" t="str">
        <f t="shared" si="28"/>
        <v>&gt; Spont Length</v>
      </c>
      <c r="Z170" s="19" t="str">
        <f t="shared" si="29"/>
        <v>&gt; Spont Length</v>
      </c>
      <c r="AA170" s="21"/>
      <c r="AB170" s="25" t="str">
        <f>IF(ISNUMBER(Cluster15[[#This Row],[Bin Start (min)]]), AB169+1, Cluster15[[#This Row],[Bin Start (min)]])</f>
        <v>&gt; Spont Length</v>
      </c>
      <c r="AC170" s="25" t="str">
        <f>IF(ISNUMBER(Cluster15[[#This Row],[Bin End (min)]]), AC169+1, Cluster15[[#This Row],[Bin End (min)]])</f>
        <v>&gt; Spont Length</v>
      </c>
      <c r="AD17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0" s="1" t="str">
        <f>IF(ISNUMBER(Cluster15[[#This Row],[Bin_end]]), _xlfn.XLOOKUP(Cluster15[[#This Row],[Bin_end]], ClusterCalc_3x3SE22[Bin_end], ClusterCalc_3x3SE22[Peak or Nadir], "fill ClusterCalc Table",1), "no bin")</f>
        <v>no bin</v>
      </c>
      <c r="BV170"/>
    </row>
    <row r="171" spans="2:74" x14ac:dyDescent="0.2">
      <c r="B171" s="1">
        <f t="shared" si="20"/>
        <v>8</v>
      </c>
      <c r="C171" s="1">
        <f t="shared" si="21"/>
        <v>9</v>
      </c>
      <c r="D171" s="18">
        <f t="shared" si="22"/>
        <v>59</v>
      </c>
      <c r="E171" s="18">
        <f t="shared" si="23"/>
        <v>60</v>
      </c>
      <c r="F171" s="19">
        <f t="shared" si="24"/>
        <v>3540</v>
      </c>
      <c r="G171" s="19">
        <f t="shared" si="25"/>
        <v>3600</v>
      </c>
      <c r="H171" s="20">
        <v>71</v>
      </c>
      <c r="I171" s="21">
        <v>70</v>
      </c>
      <c r="J171" s="1">
        <f>IF(ISBLANK(FiringRate13[[#This Row],[Event/bin]]), " ", FiringRate13[[#This Row],[Event/bin]]/BinSize_sec)</f>
        <v>1.1833333333333333</v>
      </c>
      <c r="K171" s="22">
        <f>IF(ISBLANK(FiringRate13[[#This Row],[Conc events/bin]]), " ", FiringRate13[[#This Row],[Conc events/bin]]/BinSize_sec)</f>
        <v>1.1666666666666667</v>
      </c>
      <c r="W171" s="18" t="str">
        <f t="shared" si="26"/>
        <v>&gt; Spont Length</v>
      </c>
      <c r="X171" s="18" t="str">
        <f t="shared" si="27"/>
        <v>&gt; Spont Length</v>
      </c>
      <c r="Y171" s="19" t="str">
        <f t="shared" si="28"/>
        <v>&gt; Spont Length</v>
      </c>
      <c r="Z171" s="19" t="str">
        <f t="shared" si="29"/>
        <v>&gt; Spont Length</v>
      </c>
      <c r="AA171" s="21"/>
      <c r="AB171" s="25" t="str">
        <f>IF(ISNUMBER(Cluster15[[#This Row],[Bin Start (min)]]), AB170+1, Cluster15[[#This Row],[Bin Start (min)]])</f>
        <v>&gt; Spont Length</v>
      </c>
      <c r="AC171" s="25" t="str">
        <f>IF(ISNUMBER(Cluster15[[#This Row],[Bin End (min)]]), AC170+1, Cluster15[[#This Row],[Bin End (min)]])</f>
        <v>&gt; Spont Length</v>
      </c>
      <c r="AD17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1" s="1" t="str">
        <f>IF(ISNUMBER(Cluster15[[#This Row],[Bin_end]]), _xlfn.XLOOKUP(Cluster15[[#This Row],[Bin_end]], ClusterCalc_3x3SE22[Bin_end], ClusterCalc_3x3SE22[Peak or Nadir], "fill ClusterCalc Table",1), "no bin")</f>
        <v>no bin</v>
      </c>
      <c r="BV171"/>
    </row>
    <row r="172" spans="2:74" x14ac:dyDescent="0.2">
      <c r="B172" s="1">
        <f t="shared" si="20"/>
        <v>9</v>
      </c>
      <c r="C172" s="1">
        <f t="shared" si="21"/>
        <v>0</v>
      </c>
      <c r="D172" s="18">
        <f t="shared" si="22"/>
        <v>60</v>
      </c>
      <c r="E172" s="18">
        <f t="shared" si="23"/>
        <v>61</v>
      </c>
      <c r="F172" s="19">
        <f t="shared" si="24"/>
        <v>3600</v>
      </c>
      <c r="G172" s="19">
        <f t="shared" si="25"/>
        <v>3660</v>
      </c>
      <c r="H172" s="20">
        <v>47</v>
      </c>
      <c r="I172" s="21">
        <v>50</v>
      </c>
      <c r="J172" s="1">
        <f>IF(ISBLANK(FiringRate13[[#This Row],[Event/bin]]), " ", FiringRate13[[#This Row],[Event/bin]]/BinSize_sec)</f>
        <v>0.78333333333333333</v>
      </c>
      <c r="K172" s="22">
        <f>IF(ISBLANK(FiringRate13[[#This Row],[Conc events/bin]]), " ", FiringRate13[[#This Row],[Conc events/bin]]/BinSize_sec)</f>
        <v>0.83333333333333337</v>
      </c>
      <c r="W172" s="18" t="str">
        <f t="shared" si="26"/>
        <v>&gt; Spont Length</v>
      </c>
      <c r="X172" s="18" t="str">
        <f t="shared" si="27"/>
        <v>&gt; Spont Length</v>
      </c>
      <c r="Y172" s="19" t="str">
        <f t="shared" si="28"/>
        <v>&gt; Spont Length</v>
      </c>
      <c r="Z172" s="19" t="str">
        <f t="shared" si="29"/>
        <v>&gt; Spont Length</v>
      </c>
      <c r="AA172" s="21"/>
      <c r="AB172" s="25" t="str">
        <f>IF(ISNUMBER(Cluster15[[#This Row],[Bin Start (min)]]), AB171+1, Cluster15[[#This Row],[Bin Start (min)]])</f>
        <v>&gt; Spont Length</v>
      </c>
      <c r="AC172" s="25" t="str">
        <f>IF(ISNUMBER(Cluster15[[#This Row],[Bin End (min)]]), AC171+1, Cluster15[[#This Row],[Bin End (min)]])</f>
        <v>&gt; Spont Length</v>
      </c>
      <c r="AD172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2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2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2" s="1" t="str">
        <f>IF(ISNUMBER(Cluster15[[#This Row],[Bin_end]]), _xlfn.XLOOKUP(Cluster15[[#This Row],[Bin_end]], ClusterCalc_3x3SE22[Bin_end], ClusterCalc_3x3SE22[Peak or Nadir], "fill ClusterCalc Table",1), "no bin")</f>
        <v>no bin</v>
      </c>
      <c r="BV172"/>
    </row>
    <row r="173" spans="2:74" x14ac:dyDescent="0.2">
      <c r="B173" s="1">
        <f t="shared" si="20"/>
        <v>9</v>
      </c>
      <c r="C173" s="1">
        <f t="shared" si="21"/>
        <v>1</v>
      </c>
      <c r="D173" s="18">
        <f t="shared" si="22"/>
        <v>61</v>
      </c>
      <c r="E173" s="18">
        <f t="shared" si="23"/>
        <v>62</v>
      </c>
      <c r="F173" s="19">
        <f t="shared" si="24"/>
        <v>3660</v>
      </c>
      <c r="G173" s="19">
        <f t="shared" si="25"/>
        <v>3720</v>
      </c>
      <c r="H173" s="20">
        <v>45</v>
      </c>
      <c r="I173" s="21">
        <v>46</v>
      </c>
      <c r="J173" s="1">
        <f>IF(ISBLANK(FiringRate13[[#This Row],[Event/bin]]), " ", FiringRate13[[#This Row],[Event/bin]]/BinSize_sec)</f>
        <v>0.75</v>
      </c>
      <c r="K173" s="22">
        <f>IF(ISBLANK(FiringRate13[[#This Row],[Conc events/bin]]), " ", FiringRate13[[#This Row],[Conc events/bin]]/BinSize_sec)</f>
        <v>0.76666666666666672</v>
      </c>
      <c r="W173" s="18" t="str">
        <f t="shared" si="26"/>
        <v>&gt; Spont Length</v>
      </c>
      <c r="X173" s="18" t="str">
        <f t="shared" si="27"/>
        <v>&gt; Spont Length</v>
      </c>
      <c r="Y173" s="19" t="str">
        <f t="shared" si="28"/>
        <v>&gt; Spont Length</v>
      </c>
      <c r="Z173" s="19" t="str">
        <f t="shared" si="29"/>
        <v>&gt; Spont Length</v>
      </c>
      <c r="AA173" s="21"/>
      <c r="AB173" s="25" t="str">
        <f>IF(ISNUMBER(Cluster15[[#This Row],[Bin Start (min)]]), AB172+1, Cluster15[[#This Row],[Bin Start (min)]])</f>
        <v>&gt; Spont Length</v>
      </c>
      <c r="AC173" s="25" t="str">
        <f>IF(ISNUMBER(Cluster15[[#This Row],[Bin End (min)]]), AC172+1, Cluster15[[#This Row],[Bin End (min)]])</f>
        <v>&gt; Spont Length</v>
      </c>
      <c r="AD173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3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3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3" s="1" t="str">
        <f>IF(ISNUMBER(Cluster15[[#This Row],[Bin_end]]), _xlfn.XLOOKUP(Cluster15[[#This Row],[Bin_end]], ClusterCalc_3x3SE22[Bin_end], ClusterCalc_3x3SE22[Peak or Nadir], "fill ClusterCalc Table",1), "no bin")</f>
        <v>no bin</v>
      </c>
      <c r="BV173"/>
    </row>
    <row r="174" spans="2:74" x14ac:dyDescent="0.2">
      <c r="B174" s="1">
        <f t="shared" si="20"/>
        <v>9</v>
      </c>
      <c r="C174" s="1">
        <f t="shared" si="21"/>
        <v>2</v>
      </c>
      <c r="D174" s="18">
        <f t="shared" si="22"/>
        <v>62</v>
      </c>
      <c r="E174" s="18">
        <f t="shared" si="23"/>
        <v>63</v>
      </c>
      <c r="F174" s="19">
        <f t="shared" si="24"/>
        <v>3720</v>
      </c>
      <c r="G174" s="19">
        <f t="shared" si="25"/>
        <v>3780</v>
      </c>
      <c r="H174" s="20">
        <v>26</v>
      </c>
      <c r="I174" s="21">
        <v>28</v>
      </c>
      <c r="J174" s="1">
        <f>IF(ISBLANK(FiringRate13[[#This Row],[Event/bin]]), " ", FiringRate13[[#This Row],[Event/bin]]/BinSize_sec)</f>
        <v>0.43333333333333335</v>
      </c>
      <c r="K174" s="22">
        <f>IF(ISBLANK(FiringRate13[[#This Row],[Conc events/bin]]), " ", FiringRate13[[#This Row],[Conc events/bin]]/BinSize_sec)</f>
        <v>0.46666666666666667</v>
      </c>
      <c r="W174" s="18" t="str">
        <f t="shared" si="26"/>
        <v>&gt; Spont Length</v>
      </c>
      <c r="X174" s="18" t="str">
        <f t="shared" si="27"/>
        <v>&gt; Spont Length</v>
      </c>
      <c r="Y174" s="19" t="str">
        <f t="shared" si="28"/>
        <v>&gt; Spont Length</v>
      </c>
      <c r="Z174" s="19" t="str">
        <f t="shared" si="29"/>
        <v>&gt; Spont Length</v>
      </c>
      <c r="AA174" s="21"/>
      <c r="AB174" s="25" t="str">
        <f>IF(ISNUMBER(Cluster15[[#This Row],[Bin Start (min)]]), AB173+1, Cluster15[[#This Row],[Bin Start (min)]])</f>
        <v>&gt; Spont Length</v>
      </c>
      <c r="AC174" s="25" t="str">
        <f>IF(ISNUMBER(Cluster15[[#This Row],[Bin End (min)]]), AC173+1, Cluster15[[#This Row],[Bin End (min)]])</f>
        <v>&gt; Spont Length</v>
      </c>
      <c r="AD174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4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4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4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4" s="42"/>
      <c r="AU174" s="42"/>
      <c r="AV174" s="42"/>
      <c r="AW174" s="42"/>
      <c r="AX174" s="42"/>
      <c r="AY174" s="42"/>
      <c r="BV174"/>
    </row>
    <row r="175" spans="2:74" x14ac:dyDescent="0.2">
      <c r="B175" s="1">
        <f t="shared" si="20"/>
        <v>9</v>
      </c>
      <c r="C175" s="1">
        <f t="shared" si="21"/>
        <v>3</v>
      </c>
      <c r="D175" s="18">
        <f t="shared" si="22"/>
        <v>63</v>
      </c>
      <c r="E175" s="18">
        <f t="shared" si="23"/>
        <v>64</v>
      </c>
      <c r="F175" s="19">
        <f t="shared" si="24"/>
        <v>3780</v>
      </c>
      <c r="G175" s="19">
        <f t="shared" si="25"/>
        <v>3840</v>
      </c>
      <c r="H175" s="20">
        <v>25</v>
      </c>
      <c r="I175" s="21">
        <v>23</v>
      </c>
      <c r="J175" s="1">
        <f>IF(ISBLANK(FiringRate13[[#This Row],[Event/bin]]), " ", FiringRate13[[#This Row],[Event/bin]]/BinSize_sec)</f>
        <v>0.41666666666666669</v>
      </c>
      <c r="K175" s="22">
        <f>IF(ISBLANK(FiringRate13[[#This Row],[Conc events/bin]]), " ", FiringRate13[[#This Row],[Conc events/bin]]/BinSize_sec)</f>
        <v>0.38333333333333336</v>
      </c>
      <c r="W175" s="18" t="str">
        <f t="shared" si="26"/>
        <v>&gt; Spont Length</v>
      </c>
      <c r="X175" s="18" t="str">
        <f t="shared" si="27"/>
        <v>&gt; Spont Length</v>
      </c>
      <c r="Y175" s="19" t="str">
        <f t="shared" si="28"/>
        <v>&gt; Spont Length</v>
      </c>
      <c r="Z175" s="19" t="str">
        <f t="shared" si="29"/>
        <v>&gt; Spont Length</v>
      </c>
      <c r="AA175" s="21"/>
      <c r="AB175" s="25" t="str">
        <f>IF(ISNUMBER(Cluster15[[#This Row],[Bin Start (min)]]), AB174+1, Cluster15[[#This Row],[Bin Start (min)]])</f>
        <v>&gt; Spont Length</v>
      </c>
      <c r="AC175" s="25" t="str">
        <f>IF(ISNUMBER(Cluster15[[#This Row],[Bin End (min)]]), AC174+1, Cluster15[[#This Row],[Bin End (min)]])</f>
        <v>&gt; Spont Length</v>
      </c>
      <c r="AD175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5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5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5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5" s="42"/>
      <c r="AU175" s="42"/>
      <c r="AV175" s="42"/>
      <c r="AW175" s="42"/>
      <c r="AX175" s="42"/>
      <c r="AY175" s="42"/>
      <c r="BV175"/>
    </row>
    <row r="176" spans="2:74" x14ac:dyDescent="0.2">
      <c r="B176" s="1">
        <f t="shared" si="20"/>
        <v>9</v>
      </c>
      <c r="C176" s="1">
        <f t="shared" si="21"/>
        <v>4</v>
      </c>
      <c r="D176" s="18">
        <f t="shared" si="22"/>
        <v>64</v>
      </c>
      <c r="E176" s="18">
        <f t="shared" si="23"/>
        <v>65</v>
      </c>
      <c r="F176" s="19">
        <f t="shared" si="24"/>
        <v>3840</v>
      </c>
      <c r="G176" s="19">
        <f t="shared" si="25"/>
        <v>3900</v>
      </c>
      <c r="H176" s="20">
        <v>27</v>
      </c>
      <c r="I176" s="21">
        <v>21</v>
      </c>
      <c r="J176" s="1">
        <f>IF(ISBLANK(FiringRate13[[#This Row],[Event/bin]]), " ", FiringRate13[[#This Row],[Event/bin]]/BinSize_sec)</f>
        <v>0.45</v>
      </c>
      <c r="K176" s="22">
        <f>IF(ISBLANK(FiringRate13[[#This Row],[Conc events/bin]]), " ", FiringRate13[[#This Row],[Conc events/bin]]/BinSize_sec)</f>
        <v>0.35</v>
      </c>
      <c r="W176" s="18" t="str">
        <f t="shared" si="26"/>
        <v>&gt; Spont Length</v>
      </c>
      <c r="X176" s="18" t="str">
        <f t="shared" si="27"/>
        <v>&gt; Spont Length</v>
      </c>
      <c r="Y176" s="19" t="str">
        <f t="shared" si="28"/>
        <v>&gt; Spont Length</v>
      </c>
      <c r="Z176" s="19" t="str">
        <f t="shared" si="29"/>
        <v>&gt; Spont Length</v>
      </c>
      <c r="AA176" s="21"/>
      <c r="AB176" s="25" t="str">
        <f>IF(ISNUMBER(Cluster15[[#This Row],[Bin Start (min)]]), AB175+1, Cluster15[[#This Row],[Bin Start (min)]])</f>
        <v>&gt; Spont Length</v>
      </c>
      <c r="AC176" s="25" t="str">
        <f>IF(ISNUMBER(Cluster15[[#This Row],[Bin End (min)]]), AC175+1, Cluster15[[#This Row],[Bin End (min)]])</f>
        <v>&gt; Spont Length</v>
      </c>
      <c r="AD176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6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6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6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6" s="42"/>
      <c r="AU176" s="42"/>
      <c r="AV176" s="42"/>
      <c r="AW176" s="42"/>
      <c r="AX176" s="42"/>
      <c r="AY176" s="42"/>
      <c r="BV176"/>
    </row>
    <row r="177" spans="2:74" x14ac:dyDescent="0.2">
      <c r="B177" s="1">
        <f t="shared" ref="B177:B208" si="30">IF(E176&lt;TotalLength_min, IF(ISNONTEXT(B176), IF(C177&gt;C176, B176, IF(B176&lt;LastSeries, B176+1)), B176), "Greater than Total Length")</f>
        <v>9</v>
      </c>
      <c r="C177" s="1">
        <f t="shared" ref="C177:C208" si="31">IF(E176&lt;TotalLength_min, IF(ISNONTEXT(C176), IF(C176&lt;(BinsPerSeries-1),C176+1,0), C176), "Greater than Total Length")</f>
        <v>5</v>
      </c>
      <c r="D177" s="18">
        <f t="shared" ref="D177:D208" si="32">IF(BinSize_sec &gt; 0, IF(ISNONTEXT(F176), IF(F176 + BinSize_sec &lt; TotalLength_sec, F177/60, "Greater than Total Length"), F176), "No bin size")</f>
        <v>65</v>
      </c>
      <c r="E177" s="18">
        <f t="shared" ref="E177:E208" si="33">IF(BinSize_sec &gt; 0, IF(ISNONTEXT(G176), IF(G176 + BinSize_sec &gt; TotalLength_sec, "Greater than Total Length", G177/60), G176), "No bin size")</f>
        <v>66</v>
      </c>
      <c r="F177" s="19">
        <f t="shared" ref="F177:F208" si="34">IF(BinSize_sec &gt; 0, IF(ISNONTEXT(F176), IF(F176 + BinSize_sec &lt; TotalLength_sec, F176 + BinSize_sec, "Greater than Total Length"), F176), "No bin size")</f>
        <v>3900</v>
      </c>
      <c r="G177" s="19">
        <f t="shared" ref="G177:G208" si="35">IF(BinSize_sec &gt; 0, IF(ISNONTEXT(G176), IF(G176 + BinSize_sec &gt; TotalLength_sec, "Greater than Total Length", G176 + BinSize_sec), G176), "No bin size")</f>
        <v>3960</v>
      </c>
      <c r="H177" s="20">
        <v>75</v>
      </c>
      <c r="I177" s="21">
        <v>73</v>
      </c>
      <c r="J177" s="1">
        <f>IF(ISBLANK(FiringRate13[[#This Row],[Event/bin]]), " ", FiringRate13[[#This Row],[Event/bin]]/BinSize_sec)</f>
        <v>1.25</v>
      </c>
      <c r="K177" s="22">
        <f>IF(ISBLANK(FiringRate13[[#This Row],[Conc events/bin]]), " ", FiringRate13[[#This Row],[Conc events/bin]]/BinSize_sec)</f>
        <v>1.2166666666666666</v>
      </c>
      <c r="W177" s="18" t="str">
        <f t="shared" ref="W177:W201" si="36">IF(ClusterBinSize_sec &gt; 0, IF(ISNONTEXT(W176), IF(X176 &lt; EndTime_spont, W176 + (ClusterBinSize_sec / 60), "&gt; Spont Length"), W176), "No bin size")</f>
        <v>&gt; Spont Length</v>
      </c>
      <c r="X177" s="18" t="str">
        <f t="shared" ref="X177:X201" si="37">IF(ClusterBinSize_sec &gt; 0, IF(ISNONTEXT(X176), IF(X176 + (ClusterBinSize_sec / 60) &gt; EndTime_spont, "&gt; Spont Length", X176 + (ClusterBinSize_sec / 60)), X176), "No bin size")</f>
        <v>&gt; Spont Length</v>
      </c>
      <c r="Y177" s="19" t="str">
        <f t="shared" ref="Y177:Y201" si="38">IF(ClusterBinSize_sec &gt; 0, IF(ISNONTEXT(Y176), IF(Z176 &lt; (EndTime_spont *60), Y176 + ClusterBinSize_sec, "&gt; Spont Length"), Y176), "No bin size")</f>
        <v>&gt; Spont Length</v>
      </c>
      <c r="Z177" s="19" t="str">
        <f t="shared" ref="Z177:Z201" si="39">IF(ClusterBinSize_sec &gt; 0, IF(ISNONTEXT(Z176), IF(Z176 + ClusterBinSize_sec &gt; (EndTime_spont * 60), "&gt; Spont Length", Z176 + ClusterBinSize_sec), Z176), "No bin size")</f>
        <v>&gt; Spont Length</v>
      </c>
      <c r="AA177" s="21"/>
      <c r="AB177" s="25" t="str">
        <f>IF(ISNUMBER(Cluster15[[#This Row],[Bin Start (min)]]), AB176+1, Cluster15[[#This Row],[Bin Start (min)]])</f>
        <v>&gt; Spont Length</v>
      </c>
      <c r="AC177" s="25" t="str">
        <f>IF(ISNUMBER(Cluster15[[#This Row],[Bin End (min)]]), AC176+1, Cluster15[[#This Row],[Bin End (min)]])</f>
        <v>&gt; Spont Length</v>
      </c>
      <c r="AD177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7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7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7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7" s="42"/>
      <c r="AU177" s="42"/>
      <c r="AV177" s="42"/>
      <c r="AW177" s="42"/>
      <c r="AX177" s="42"/>
      <c r="AY177" s="42"/>
      <c r="BV177"/>
    </row>
    <row r="178" spans="2:74" x14ac:dyDescent="0.2">
      <c r="B178" s="1">
        <f t="shared" si="30"/>
        <v>9</v>
      </c>
      <c r="C178" s="1">
        <f t="shared" si="31"/>
        <v>6</v>
      </c>
      <c r="D178" s="18">
        <f t="shared" si="32"/>
        <v>66</v>
      </c>
      <c r="E178" s="18">
        <f t="shared" si="33"/>
        <v>67</v>
      </c>
      <c r="F178" s="19">
        <f t="shared" si="34"/>
        <v>3960</v>
      </c>
      <c r="G178" s="19">
        <f t="shared" si="35"/>
        <v>4020</v>
      </c>
      <c r="H178" s="20">
        <v>55</v>
      </c>
      <c r="I178" s="21">
        <v>63</v>
      </c>
      <c r="J178" s="1">
        <f>IF(ISBLANK(FiringRate13[[#This Row],[Event/bin]]), " ", FiringRate13[[#This Row],[Event/bin]]/BinSize_sec)</f>
        <v>0.91666666666666663</v>
      </c>
      <c r="K178" s="22">
        <f>IF(ISBLANK(FiringRate13[[#This Row],[Conc events/bin]]), " ", FiringRate13[[#This Row],[Conc events/bin]]/BinSize_sec)</f>
        <v>1.05</v>
      </c>
      <c r="W178" s="18" t="str">
        <f t="shared" si="36"/>
        <v>&gt; Spont Length</v>
      </c>
      <c r="X178" s="18" t="str">
        <f t="shared" si="37"/>
        <v>&gt; Spont Length</v>
      </c>
      <c r="Y178" s="19" t="str">
        <f t="shared" si="38"/>
        <v>&gt; Spont Length</v>
      </c>
      <c r="Z178" s="19" t="str">
        <f t="shared" si="39"/>
        <v>&gt; Spont Length</v>
      </c>
      <c r="AA178" s="21"/>
      <c r="AB178" s="25" t="str">
        <f>IF(ISNUMBER(Cluster15[[#This Row],[Bin Start (min)]]), AB177+1, Cluster15[[#This Row],[Bin Start (min)]])</f>
        <v>&gt; Spont Length</v>
      </c>
      <c r="AC178" s="25" t="str">
        <f>IF(ISNUMBER(Cluster15[[#This Row],[Bin End (min)]]), AC177+1, Cluster15[[#This Row],[Bin End (min)]])</f>
        <v>&gt; Spont Length</v>
      </c>
      <c r="AD178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8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8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8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BV178"/>
    </row>
    <row r="179" spans="2:74" x14ac:dyDescent="0.2">
      <c r="B179" s="1">
        <f t="shared" si="30"/>
        <v>9</v>
      </c>
      <c r="C179" s="1">
        <f t="shared" si="31"/>
        <v>7</v>
      </c>
      <c r="D179" s="18">
        <f t="shared" si="32"/>
        <v>67</v>
      </c>
      <c r="E179" s="18">
        <f t="shared" si="33"/>
        <v>68</v>
      </c>
      <c r="F179" s="19">
        <f t="shared" si="34"/>
        <v>4020</v>
      </c>
      <c r="G179" s="19">
        <f t="shared" si="35"/>
        <v>4080</v>
      </c>
      <c r="H179" s="20">
        <v>12</v>
      </c>
      <c r="I179" s="21">
        <v>13</v>
      </c>
      <c r="J179" s="1">
        <f>IF(ISBLANK(FiringRate13[[#This Row],[Event/bin]]), " ", FiringRate13[[#This Row],[Event/bin]]/BinSize_sec)</f>
        <v>0.2</v>
      </c>
      <c r="K179" s="22">
        <f>IF(ISBLANK(FiringRate13[[#This Row],[Conc events/bin]]), " ", FiringRate13[[#This Row],[Conc events/bin]]/BinSize_sec)</f>
        <v>0.21666666666666667</v>
      </c>
      <c r="W179" s="18" t="str">
        <f t="shared" si="36"/>
        <v>&gt; Spont Length</v>
      </c>
      <c r="X179" s="18" t="str">
        <f t="shared" si="37"/>
        <v>&gt; Spont Length</v>
      </c>
      <c r="Y179" s="19" t="str">
        <f t="shared" si="38"/>
        <v>&gt; Spont Length</v>
      </c>
      <c r="Z179" s="19" t="str">
        <f t="shared" si="39"/>
        <v>&gt; Spont Length</v>
      </c>
      <c r="AA179" s="21"/>
      <c r="AB179" s="25" t="str">
        <f>IF(ISNUMBER(Cluster15[[#This Row],[Bin Start (min)]]), AB178+1, Cluster15[[#This Row],[Bin Start (min)]])</f>
        <v>&gt; Spont Length</v>
      </c>
      <c r="AC179" s="25" t="str">
        <f>IF(ISNUMBER(Cluster15[[#This Row],[Bin End (min)]]), AC178+1, Cluster15[[#This Row],[Bin End (min)]])</f>
        <v>&gt; Spont Length</v>
      </c>
      <c r="AD17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7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7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79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BV179"/>
    </row>
    <row r="180" spans="2:74" x14ac:dyDescent="0.2">
      <c r="B180" s="1">
        <f t="shared" si="30"/>
        <v>9</v>
      </c>
      <c r="C180" s="1">
        <f t="shared" si="31"/>
        <v>8</v>
      </c>
      <c r="D180" s="18">
        <f t="shared" si="32"/>
        <v>68</v>
      </c>
      <c r="E180" s="18">
        <f t="shared" si="33"/>
        <v>69</v>
      </c>
      <c r="F180" s="19">
        <f t="shared" si="34"/>
        <v>4080</v>
      </c>
      <c r="G180" s="19">
        <f t="shared" si="35"/>
        <v>4140</v>
      </c>
      <c r="H180" s="20">
        <v>4</v>
      </c>
      <c r="I180" s="21">
        <v>5</v>
      </c>
      <c r="J180" s="1">
        <f>IF(ISBLANK(FiringRate13[[#This Row],[Event/bin]]), " ", FiringRate13[[#This Row],[Event/bin]]/BinSize_sec)</f>
        <v>6.6666666666666666E-2</v>
      </c>
      <c r="K180" s="22">
        <f>IF(ISBLANK(FiringRate13[[#This Row],[Conc events/bin]]), " ", FiringRate13[[#This Row],[Conc events/bin]]/BinSize_sec)</f>
        <v>8.3333333333333329E-2</v>
      </c>
      <c r="W180" s="18" t="str">
        <f t="shared" si="36"/>
        <v>&gt; Spont Length</v>
      </c>
      <c r="X180" s="18" t="str">
        <f t="shared" si="37"/>
        <v>&gt; Spont Length</v>
      </c>
      <c r="Y180" s="19" t="str">
        <f t="shared" si="38"/>
        <v>&gt; Spont Length</v>
      </c>
      <c r="Z180" s="19" t="str">
        <f t="shared" si="39"/>
        <v>&gt; Spont Length</v>
      </c>
      <c r="AA180" s="21"/>
      <c r="AB180" s="25" t="str">
        <f>IF(ISNUMBER(Cluster15[[#This Row],[Bin Start (min)]]), AB179+1, Cluster15[[#This Row],[Bin Start (min)]])</f>
        <v>&gt; Spont Length</v>
      </c>
      <c r="AC180" s="25" t="str">
        <f>IF(ISNUMBER(Cluster15[[#This Row],[Bin End (min)]]), AC179+1, Cluster15[[#This Row],[Bin End (min)]])</f>
        <v>&gt; Spont Length</v>
      </c>
      <c r="AD18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0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0" s="42"/>
      <c r="AP180" s="46"/>
      <c r="AQ180" s="46"/>
      <c r="AR180" s="46"/>
      <c r="AS180" s="46"/>
      <c r="AT180" s="46"/>
      <c r="AU180" s="46"/>
      <c r="AV180" s="46"/>
      <c r="AW180" s="46"/>
      <c r="AX180" s="46"/>
      <c r="AY180" s="42"/>
      <c r="BV180"/>
    </row>
    <row r="181" spans="2:74" x14ac:dyDescent="0.2">
      <c r="B181" s="1">
        <f t="shared" si="30"/>
        <v>9</v>
      </c>
      <c r="C181" s="1">
        <f t="shared" si="31"/>
        <v>9</v>
      </c>
      <c r="D181" s="18">
        <f t="shared" si="32"/>
        <v>69</v>
      </c>
      <c r="E181" s="18">
        <f t="shared" si="33"/>
        <v>70</v>
      </c>
      <c r="F181" s="19">
        <f t="shared" si="34"/>
        <v>4140</v>
      </c>
      <c r="G181" s="19">
        <f t="shared" si="35"/>
        <v>4200</v>
      </c>
      <c r="H181" s="20">
        <v>1</v>
      </c>
      <c r="I181" s="21">
        <v>1</v>
      </c>
      <c r="J181" s="1">
        <f>IF(ISBLANK(FiringRate13[[#This Row],[Event/bin]]), " ", FiringRate13[[#This Row],[Event/bin]]/BinSize_sec)</f>
        <v>1.6666666666666666E-2</v>
      </c>
      <c r="K181" s="22">
        <f>IF(ISBLANK(FiringRate13[[#This Row],[Conc events/bin]]), " ", FiringRate13[[#This Row],[Conc events/bin]]/BinSize_sec)</f>
        <v>1.6666666666666666E-2</v>
      </c>
      <c r="W181" s="18" t="str">
        <f t="shared" si="36"/>
        <v>&gt; Spont Length</v>
      </c>
      <c r="X181" s="18" t="str">
        <f t="shared" si="37"/>
        <v>&gt; Spont Length</v>
      </c>
      <c r="Y181" s="19" t="str">
        <f t="shared" si="38"/>
        <v>&gt; Spont Length</v>
      </c>
      <c r="Z181" s="19" t="str">
        <f t="shared" si="39"/>
        <v>&gt; Spont Length</v>
      </c>
      <c r="AA181" s="21"/>
      <c r="AB181" s="25" t="str">
        <f>IF(ISNUMBER(Cluster15[[#This Row],[Bin Start (min)]]), AB180+1, Cluster15[[#This Row],[Bin Start (min)]])</f>
        <v>&gt; Spont Length</v>
      </c>
      <c r="AC181" s="25" t="str">
        <f>IF(ISNUMBER(Cluster15[[#This Row],[Bin End (min)]]), AC180+1, Cluster15[[#This Row],[Bin End (min)]])</f>
        <v>&gt; Spont Length</v>
      </c>
      <c r="AD18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1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1" s="42"/>
      <c r="BV181"/>
    </row>
    <row r="182" spans="2:74" x14ac:dyDescent="0.2">
      <c r="B182" s="1">
        <f t="shared" si="30"/>
        <v>10</v>
      </c>
      <c r="C182" s="1">
        <f t="shared" si="31"/>
        <v>0</v>
      </c>
      <c r="D182" s="18">
        <f t="shared" si="32"/>
        <v>70</v>
      </c>
      <c r="E182" s="18">
        <f t="shared" si="33"/>
        <v>71</v>
      </c>
      <c r="F182" s="19">
        <f t="shared" si="34"/>
        <v>4200</v>
      </c>
      <c r="G182" s="19">
        <f t="shared" si="35"/>
        <v>4260</v>
      </c>
      <c r="H182" s="20">
        <v>2</v>
      </c>
      <c r="I182" s="21">
        <v>1</v>
      </c>
      <c r="J182" s="1">
        <f>IF(ISBLANK(FiringRate13[[#This Row],[Event/bin]]), " ", FiringRate13[[#This Row],[Event/bin]]/BinSize_sec)</f>
        <v>3.3333333333333333E-2</v>
      </c>
      <c r="K182" s="22">
        <f>IF(ISBLANK(FiringRate13[[#This Row],[Conc events/bin]]), " ", FiringRate13[[#This Row],[Conc events/bin]]/BinSize_sec)</f>
        <v>1.6666666666666666E-2</v>
      </c>
      <c r="M182" s="2"/>
      <c r="N182" s="2"/>
      <c r="O182" s="2"/>
      <c r="P182" s="2"/>
      <c r="W182" s="18" t="str">
        <f t="shared" si="36"/>
        <v>&gt; Spont Length</v>
      </c>
      <c r="X182" s="18" t="str">
        <f t="shared" si="37"/>
        <v>&gt; Spont Length</v>
      </c>
      <c r="Y182" s="19" t="str">
        <f t="shared" si="38"/>
        <v>&gt; Spont Length</v>
      </c>
      <c r="Z182" s="19" t="str">
        <f t="shared" si="39"/>
        <v>&gt; Spont Length</v>
      </c>
      <c r="AA182" s="21"/>
      <c r="AB182" s="25" t="str">
        <f>IF(ISNUMBER(Cluster15[[#This Row],[Bin Start (min)]]), AB181+1, Cluster15[[#This Row],[Bin Start (min)]])</f>
        <v>&gt; Spont Length</v>
      </c>
      <c r="AC182" s="25" t="str">
        <f>IF(ISNUMBER(Cluster15[[#This Row],[Bin End (min)]]), AC181+1, Cluster15[[#This Row],[Bin End (min)]])</f>
        <v>&gt; Spont Length</v>
      </c>
      <c r="AD182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2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2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2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2" s="42"/>
      <c r="BV182"/>
    </row>
    <row r="183" spans="2:74" x14ac:dyDescent="0.2">
      <c r="B183" s="1">
        <f t="shared" si="30"/>
        <v>10</v>
      </c>
      <c r="C183" s="1">
        <f t="shared" si="31"/>
        <v>1</v>
      </c>
      <c r="D183" s="18">
        <f t="shared" si="32"/>
        <v>71</v>
      </c>
      <c r="E183" s="18">
        <f t="shared" si="33"/>
        <v>72</v>
      </c>
      <c r="F183" s="19">
        <f t="shared" si="34"/>
        <v>4260</v>
      </c>
      <c r="G183" s="19">
        <f t="shared" si="35"/>
        <v>4320</v>
      </c>
      <c r="H183" s="20">
        <v>0</v>
      </c>
      <c r="I183" s="21">
        <v>1</v>
      </c>
      <c r="J183" s="1">
        <f>IF(ISBLANK(FiringRate13[[#This Row],[Event/bin]]), " ", FiringRate13[[#This Row],[Event/bin]]/BinSize_sec)</f>
        <v>0</v>
      </c>
      <c r="K183" s="22">
        <f>IF(ISBLANK(FiringRate13[[#This Row],[Conc events/bin]]), " ", FiringRate13[[#This Row],[Conc events/bin]]/BinSize_sec)</f>
        <v>1.6666666666666666E-2</v>
      </c>
      <c r="M183" s="2"/>
      <c r="N183" s="2"/>
      <c r="O183" s="2"/>
      <c r="P183" s="2"/>
      <c r="W183" s="18" t="str">
        <f t="shared" si="36"/>
        <v>&gt; Spont Length</v>
      </c>
      <c r="X183" s="18" t="str">
        <f t="shared" si="37"/>
        <v>&gt; Spont Length</v>
      </c>
      <c r="Y183" s="19" t="str">
        <f t="shared" si="38"/>
        <v>&gt; Spont Length</v>
      </c>
      <c r="Z183" s="19" t="str">
        <f t="shared" si="39"/>
        <v>&gt; Spont Length</v>
      </c>
      <c r="AA183" s="21"/>
      <c r="AB183" s="25" t="str">
        <f>IF(ISNUMBER(Cluster15[[#This Row],[Bin Start (min)]]), AB182+1, Cluster15[[#This Row],[Bin Start (min)]])</f>
        <v>&gt; Spont Length</v>
      </c>
      <c r="AC183" s="25" t="str">
        <f>IF(ISNUMBER(Cluster15[[#This Row],[Bin End (min)]]), AC182+1, Cluster15[[#This Row],[Bin End (min)]])</f>
        <v>&gt; Spont Length</v>
      </c>
      <c r="AD183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3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3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3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BV183"/>
    </row>
    <row r="184" spans="2:74" x14ac:dyDescent="0.2">
      <c r="B184" s="1">
        <f t="shared" si="30"/>
        <v>10</v>
      </c>
      <c r="C184" s="1">
        <f t="shared" si="31"/>
        <v>2</v>
      </c>
      <c r="D184" s="18">
        <f t="shared" si="32"/>
        <v>72</v>
      </c>
      <c r="E184" s="18">
        <f t="shared" si="33"/>
        <v>73</v>
      </c>
      <c r="F184" s="19">
        <f t="shared" si="34"/>
        <v>4320</v>
      </c>
      <c r="G184" s="19">
        <f t="shared" si="35"/>
        <v>4380</v>
      </c>
      <c r="H184" s="20">
        <v>0</v>
      </c>
      <c r="I184" s="21">
        <v>0</v>
      </c>
      <c r="J184" s="1">
        <f>IF(ISBLANK(FiringRate13[[#This Row],[Event/bin]]), " ", FiringRate13[[#This Row],[Event/bin]]/BinSize_sec)</f>
        <v>0</v>
      </c>
      <c r="K184" s="22">
        <f>IF(ISBLANK(FiringRate13[[#This Row],[Conc events/bin]]), " ", FiringRate13[[#This Row],[Conc events/bin]]/BinSize_sec)</f>
        <v>0</v>
      </c>
      <c r="M184" s="2"/>
      <c r="N184" s="2"/>
      <c r="O184" s="2"/>
      <c r="P184" s="2"/>
      <c r="W184" s="18" t="str">
        <f t="shared" si="36"/>
        <v>&gt; Spont Length</v>
      </c>
      <c r="X184" s="18" t="str">
        <f t="shared" si="37"/>
        <v>&gt; Spont Length</v>
      </c>
      <c r="Y184" s="19" t="str">
        <f t="shared" si="38"/>
        <v>&gt; Spont Length</v>
      </c>
      <c r="Z184" s="19" t="str">
        <f t="shared" si="39"/>
        <v>&gt; Spont Length</v>
      </c>
      <c r="AA184" s="21"/>
      <c r="AB184" s="25" t="str">
        <f>IF(ISNUMBER(Cluster15[[#This Row],[Bin Start (min)]]), AB183+1, Cluster15[[#This Row],[Bin Start (min)]])</f>
        <v>&gt; Spont Length</v>
      </c>
      <c r="AC184" s="25" t="str">
        <f>IF(ISNUMBER(Cluster15[[#This Row],[Bin End (min)]]), AC183+1, Cluster15[[#This Row],[Bin End (min)]])</f>
        <v>&gt; Spont Length</v>
      </c>
      <c r="AD184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4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4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4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BV184"/>
    </row>
    <row r="185" spans="2:74" x14ac:dyDescent="0.2">
      <c r="B185" s="1">
        <f t="shared" si="30"/>
        <v>10</v>
      </c>
      <c r="C185" s="1">
        <f t="shared" si="31"/>
        <v>3</v>
      </c>
      <c r="D185" s="18">
        <f t="shared" si="32"/>
        <v>73</v>
      </c>
      <c r="E185" s="18">
        <f t="shared" si="33"/>
        <v>74</v>
      </c>
      <c r="F185" s="19">
        <f t="shared" si="34"/>
        <v>4380</v>
      </c>
      <c r="G185" s="19">
        <f t="shared" si="35"/>
        <v>4440</v>
      </c>
      <c r="H185" s="20">
        <v>3</v>
      </c>
      <c r="I185" s="21">
        <v>3</v>
      </c>
      <c r="J185" s="1">
        <f>IF(ISBLANK(FiringRate13[[#This Row],[Event/bin]]), " ", FiringRate13[[#This Row],[Event/bin]]/BinSize_sec)</f>
        <v>0.05</v>
      </c>
      <c r="K185" s="22">
        <f>IF(ISBLANK(FiringRate13[[#This Row],[Conc events/bin]]), " ", FiringRate13[[#This Row],[Conc events/bin]]/BinSize_sec)</f>
        <v>0.05</v>
      </c>
      <c r="M185" s="2"/>
      <c r="N185" s="2"/>
      <c r="O185" s="2"/>
      <c r="P185" s="2"/>
      <c r="W185" s="18" t="str">
        <f t="shared" si="36"/>
        <v>&gt; Spont Length</v>
      </c>
      <c r="X185" s="18" t="str">
        <f t="shared" si="37"/>
        <v>&gt; Spont Length</v>
      </c>
      <c r="Y185" s="19" t="str">
        <f t="shared" si="38"/>
        <v>&gt; Spont Length</v>
      </c>
      <c r="Z185" s="19" t="str">
        <f t="shared" si="39"/>
        <v>&gt; Spont Length</v>
      </c>
      <c r="AA185" s="21"/>
      <c r="AB185" s="25" t="str">
        <f>IF(ISNUMBER(Cluster15[[#This Row],[Bin Start (min)]]), AB184+1, Cluster15[[#This Row],[Bin Start (min)]])</f>
        <v>&gt; Spont Length</v>
      </c>
      <c r="AC185" s="25" t="str">
        <f>IF(ISNUMBER(Cluster15[[#This Row],[Bin End (min)]]), AC184+1, Cluster15[[#This Row],[Bin End (min)]])</f>
        <v>&gt; Spont Length</v>
      </c>
      <c r="AD185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5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5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5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BV185"/>
    </row>
    <row r="186" spans="2:74" x14ac:dyDescent="0.2">
      <c r="B186" s="1">
        <f t="shared" si="30"/>
        <v>10</v>
      </c>
      <c r="C186" s="1">
        <f t="shared" si="31"/>
        <v>4</v>
      </c>
      <c r="D186" s="18">
        <f t="shared" si="32"/>
        <v>74</v>
      </c>
      <c r="E186" s="18">
        <f t="shared" si="33"/>
        <v>75</v>
      </c>
      <c r="F186" s="19">
        <f t="shared" si="34"/>
        <v>4440</v>
      </c>
      <c r="G186" s="19">
        <f t="shared" si="35"/>
        <v>4500</v>
      </c>
      <c r="H186" s="20">
        <v>1</v>
      </c>
      <c r="I186" s="21"/>
      <c r="J186" s="1">
        <f>IF(ISBLANK(FiringRate13[[#This Row],[Event/bin]]), " ", FiringRate13[[#This Row],[Event/bin]]/BinSize_sec)</f>
        <v>1.6666666666666666E-2</v>
      </c>
      <c r="K186" s="22" t="str">
        <f>IF(ISBLANK(FiringRate13[[#This Row],[Conc events/bin]]), " ", FiringRate13[[#This Row],[Conc events/bin]]/BinSize_sec)</f>
        <v xml:space="preserve"> </v>
      </c>
      <c r="M186" s="2"/>
      <c r="N186" s="2"/>
      <c r="O186" s="2"/>
      <c r="P186" s="2"/>
      <c r="W186" s="18" t="str">
        <f t="shared" si="36"/>
        <v>&gt; Spont Length</v>
      </c>
      <c r="X186" s="18" t="str">
        <f t="shared" si="37"/>
        <v>&gt; Spont Length</v>
      </c>
      <c r="Y186" s="19" t="str">
        <f t="shared" si="38"/>
        <v>&gt; Spont Length</v>
      </c>
      <c r="Z186" s="19" t="str">
        <f t="shared" si="39"/>
        <v>&gt; Spont Length</v>
      </c>
      <c r="AA186" s="21"/>
      <c r="AB186" s="25" t="str">
        <f>IF(ISNUMBER(Cluster15[[#This Row],[Bin Start (min)]]), AB185+1, Cluster15[[#This Row],[Bin Start (min)]])</f>
        <v>&gt; Spont Length</v>
      </c>
      <c r="AC186" s="25" t="str">
        <f>IF(ISNUMBER(Cluster15[[#This Row],[Bin End (min)]]), AC185+1, Cluster15[[#This Row],[Bin End (min)]])</f>
        <v>&gt; Spont Length</v>
      </c>
      <c r="AD186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6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6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6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BV186"/>
    </row>
    <row r="187" spans="2:74" x14ac:dyDescent="0.2">
      <c r="B187" s="1">
        <f t="shared" si="30"/>
        <v>10</v>
      </c>
      <c r="C187" s="1">
        <f t="shared" si="31"/>
        <v>5</v>
      </c>
      <c r="D187" s="18">
        <f t="shared" si="32"/>
        <v>75</v>
      </c>
      <c r="E187" s="18">
        <f t="shared" si="33"/>
        <v>76</v>
      </c>
      <c r="F187" s="19">
        <f t="shared" si="34"/>
        <v>4500</v>
      </c>
      <c r="G187" s="19">
        <f t="shared" si="35"/>
        <v>4560</v>
      </c>
      <c r="H187" s="20"/>
      <c r="I187" s="21"/>
      <c r="J187" s="1" t="str">
        <f>IF(ISBLANK(FiringRate13[[#This Row],[Event/bin]]), " ", FiringRate13[[#This Row],[Event/bin]]/BinSize_sec)</f>
        <v xml:space="preserve"> </v>
      </c>
      <c r="K187" s="22" t="str">
        <f>IF(ISBLANK(FiringRate13[[#This Row],[Conc events/bin]]), " ", FiringRate13[[#This Row],[Conc events/bin]]/BinSize_sec)</f>
        <v xml:space="preserve"> </v>
      </c>
      <c r="M187" s="2"/>
      <c r="N187" s="2"/>
      <c r="O187" s="2"/>
      <c r="P187" s="2"/>
      <c r="W187" s="18" t="str">
        <f t="shared" si="36"/>
        <v>&gt; Spont Length</v>
      </c>
      <c r="X187" s="18" t="str">
        <f t="shared" si="37"/>
        <v>&gt; Spont Length</v>
      </c>
      <c r="Y187" s="19" t="str">
        <f t="shared" si="38"/>
        <v>&gt; Spont Length</v>
      </c>
      <c r="Z187" s="19" t="str">
        <f t="shared" si="39"/>
        <v>&gt; Spont Length</v>
      </c>
      <c r="AA187" s="21"/>
      <c r="AB187" s="25" t="str">
        <f>IF(ISNUMBER(Cluster15[[#This Row],[Bin Start (min)]]), AB186+1, Cluster15[[#This Row],[Bin Start (min)]])</f>
        <v>&gt; Spont Length</v>
      </c>
      <c r="AC187" s="25" t="str">
        <f>IF(ISNUMBER(Cluster15[[#This Row],[Bin End (min)]]), AC186+1, Cluster15[[#This Row],[Bin End (min)]])</f>
        <v>&gt; Spont Length</v>
      </c>
      <c r="AD187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7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7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7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BV187"/>
    </row>
    <row r="188" spans="2:74" x14ac:dyDescent="0.2">
      <c r="B188" s="1">
        <f t="shared" si="30"/>
        <v>10</v>
      </c>
      <c r="C188" s="1">
        <f t="shared" si="31"/>
        <v>6</v>
      </c>
      <c r="D188" s="18">
        <f t="shared" si="32"/>
        <v>76</v>
      </c>
      <c r="E188" s="18">
        <f t="shared" si="33"/>
        <v>77</v>
      </c>
      <c r="F188" s="19">
        <f t="shared" si="34"/>
        <v>4560</v>
      </c>
      <c r="G188" s="19">
        <f t="shared" si="35"/>
        <v>4620</v>
      </c>
      <c r="H188" s="20"/>
      <c r="I188" s="21"/>
      <c r="J188" s="1" t="str">
        <f>IF(ISBLANK(FiringRate13[[#This Row],[Event/bin]]), " ", FiringRate13[[#This Row],[Event/bin]]/BinSize_sec)</f>
        <v xml:space="preserve"> </v>
      </c>
      <c r="K188" s="22" t="str">
        <f>IF(ISBLANK(FiringRate13[[#This Row],[Conc events/bin]]), " ", FiringRate13[[#This Row],[Conc events/bin]]/BinSize_sec)</f>
        <v xml:space="preserve"> </v>
      </c>
      <c r="M188" s="2"/>
      <c r="N188" s="2"/>
      <c r="O188" s="2"/>
      <c r="P188" s="2"/>
      <c r="W188" s="18" t="str">
        <f t="shared" si="36"/>
        <v>&gt; Spont Length</v>
      </c>
      <c r="X188" s="18" t="str">
        <f t="shared" si="37"/>
        <v>&gt; Spont Length</v>
      </c>
      <c r="Y188" s="19" t="str">
        <f t="shared" si="38"/>
        <v>&gt; Spont Length</v>
      </c>
      <c r="Z188" s="19" t="str">
        <f t="shared" si="39"/>
        <v>&gt; Spont Length</v>
      </c>
      <c r="AA188" s="21"/>
      <c r="AB188" s="25" t="str">
        <f>IF(ISNUMBER(Cluster15[[#This Row],[Bin Start (min)]]), AB187+1, Cluster15[[#This Row],[Bin Start (min)]])</f>
        <v>&gt; Spont Length</v>
      </c>
      <c r="AC188" s="25" t="str">
        <f>IF(ISNUMBER(Cluster15[[#This Row],[Bin End (min)]]), AC187+1, Cluster15[[#This Row],[Bin End (min)]])</f>
        <v>&gt; Spont Length</v>
      </c>
      <c r="AD188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8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8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8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BV188"/>
    </row>
    <row r="189" spans="2:74" x14ac:dyDescent="0.2">
      <c r="B189" s="1">
        <f t="shared" si="30"/>
        <v>10</v>
      </c>
      <c r="C189" s="1">
        <f t="shared" si="31"/>
        <v>7</v>
      </c>
      <c r="D189" s="18">
        <f t="shared" si="32"/>
        <v>77</v>
      </c>
      <c r="E189" s="18">
        <f t="shared" si="33"/>
        <v>78</v>
      </c>
      <c r="F189" s="19">
        <f t="shared" si="34"/>
        <v>4620</v>
      </c>
      <c r="G189" s="19">
        <f t="shared" si="35"/>
        <v>4680</v>
      </c>
      <c r="H189" s="20"/>
      <c r="I189" s="21"/>
      <c r="J189" s="1" t="str">
        <f>IF(ISBLANK(FiringRate13[[#This Row],[Event/bin]]), " ", FiringRate13[[#This Row],[Event/bin]]/BinSize_sec)</f>
        <v xml:space="preserve"> </v>
      </c>
      <c r="K189" s="22" t="str">
        <f>IF(ISBLANK(FiringRate13[[#This Row],[Conc events/bin]]), " ", FiringRate13[[#This Row],[Conc events/bin]]/BinSize_sec)</f>
        <v xml:space="preserve"> </v>
      </c>
      <c r="M189" s="2"/>
      <c r="N189" s="2"/>
      <c r="O189" s="2"/>
      <c r="P189" s="2"/>
      <c r="W189" s="18" t="str">
        <f t="shared" si="36"/>
        <v>&gt; Spont Length</v>
      </c>
      <c r="X189" s="18" t="str">
        <f t="shared" si="37"/>
        <v>&gt; Spont Length</v>
      </c>
      <c r="Y189" s="19" t="str">
        <f t="shared" si="38"/>
        <v>&gt; Spont Length</v>
      </c>
      <c r="Z189" s="19" t="str">
        <f t="shared" si="39"/>
        <v>&gt; Spont Length</v>
      </c>
      <c r="AA189" s="21"/>
      <c r="AB189" s="25" t="str">
        <f>IF(ISNUMBER(Cluster15[[#This Row],[Bin Start (min)]]), AB188+1, Cluster15[[#This Row],[Bin Start (min)]])</f>
        <v>&gt; Spont Length</v>
      </c>
      <c r="AC189" s="25" t="str">
        <f>IF(ISNUMBER(Cluster15[[#This Row],[Bin End (min)]]), AC188+1, Cluster15[[#This Row],[Bin End (min)]])</f>
        <v>&gt; Spont Length</v>
      </c>
      <c r="AD18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8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8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89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BV189"/>
    </row>
    <row r="190" spans="2:74" x14ac:dyDescent="0.2">
      <c r="B190" s="1">
        <f t="shared" si="30"/>
        <v>10</v>
      </c>
      <c r="C190" s="1">
        <f t="shared" si="31"/>
        <v>8</v>
      </c>
      <c r="D190" s="18">
        <f t="shared" si="32"/>
        <v>78</v>
      </c>
      <c r="E190" s="18">
        <f t="shared" si="33"/>
        <v>79</v>
      </c>
      <c r="F190" s="19">
        <f t="shared" si="34"/>
        <v>4680</v>
      </c>
      <c r="G190" s="19">
        <f t="shared" si="35"/>
        <v>4740</v>
      </c>
      <c r="H190" s="20"/>
      <c r="I190" s="21"/>
      <c r="J190" s="1" t="str">
        <f>IF(ISBLANK(FiringRate13[[#This Row],[Event/bin]]), " ", FiringRate13[[#This Row],[Event/bin]]/BinSize_sec)</f>
        <v xml:space="preserve"> </v>
      </c>
      <c r="K190" s="22" t="str">
        <f>IF(ISBLANK(FiringRate13[[#This Row],[Conc events/bin]]), " ", FiringRate13[[#This Row],[Conc events/bin]]/BinSize_sec)</f>
        <v xml:space="preserve"> </v>
      </c>
      <c r="M190" s="2"/>
      <c r="N190" s="2"/>
      <c r="O190" s="2"/>
      <c r="P190" s="2"/>
      <c r="W190" s="18" t="str">
        <f t="shared" si="36"/>
        <v>&gt; Spont Length</v>
      </c>
      <c r="X190" s="18" t="str">
        <f t="shared" si="37"/>
        <v>&gt; Spont Length</v>
      </c>
      <c r="Y190" s="19" t="str">
        <f t="shared" si="38"/>
        <v>&gt; Spont Length</v>
      </c>
      <c r="Z190" s="19" t="str">
        <f t="shared" si="39"/>
        <v>&gt; Spont Length</v>
      </c>
      <c r="AA190" s="21"/>
      <c r="AB190" s="25" t="str">
        <f>IF(ISNUMBER(Cluster15[[#This Row],[Bin Start (min)]]), AB189+1, Cluster15[[#This Row],[Bin Start (min)]])</f>
        <v>&gt; Spont Length</v>
      </c>
      <c r="AC190" s="25" t="str">
        <f>IF(ISNUMBER(Cluster15[[#This Row],[Bin End (min)]]), AC189+1, Cluster15[[#This Row],[Bin End (min)]])</f>
        <v>&gt; Spont Length</v>
      </c>
      <c r="AD19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0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BV190"/>
    </row>
    <row r="191" spans="2:74" x14ac:dyDescent="0.2">
      <c r="B191" s="1">
        <f t="shared" si="30"/>
        <v>10</v>
      </c>
      <c r="C191" s="1">
        <f t="shared" si="31"/>
        <v>9</v>
      </c>
      <c r="D191" s="18">
        <f t="shared" si="32"/>
        <v>79</v>
      </c>
      <c r="E191" s="18">
        <f t="shared" si="33"/>
        <v>80</v>
      </c>
      <c r="F191" s="19">
        <f t="shared" si="34"/>
        <v>4740</v>
      </c>
      <c r="G191" s="19">
        <f t="shared" si="35"/>
        <v>4800</v>
      </c>
      <c r="H191" s="20"/>
      <c r="I191" s="21"/>
      <c r="J191" s="1" t="str">
        <f>IF(ISBLANK(FiringRate13[[#This Row],[Event/bin]]), " ", FiringRate13[[#This Row],[Event/bin]]/BinSize_sec)</f>
        <v xml:space="preserve"> </v>
      </c>
      <c r="K191" s="22" t="str">
        <f>IF(ISBLANK(FiringRate13[[#This Row],[Conc events/bin]]), " ", FiringRate13[[#This Row],[Conc events/bin]]/BinSize_sec)</f>
        <v xml:space="preserve"> </v>
      </c>
      <c r="M191" s="2"/>
      <c r="N191" s="2"/>
      <c r="O191" s="2"/>
      <c r="P191" s="2"/>
      <c r="W191" s="18" t="str">
        <f t="shared" si="36"/>
        <v>&gt; Spont Length</v>
      </c>
      <c r="X191" s="18" t="str">
        <f t="shared" si="37"/>
        <v>&gt; Spont Length</v>
      </c>
      <c r="Y191" s="19" t="str">
        <f t="shared" si="38"/>
        <v>&gt; Spont Length</v>
      </c>
      <c r="Z191" s="19" t="str">
        <f t="shared" si="39"/>
        <v>&gt; Spont Length</v>
      </c>
      <c r="AA191" s="21"/>
      <c r="AB191" s="25" t="str">
        <f>IF(ISNUMBER(Cluster15[[#This Row],[Bin Start (min)]]), AB190+1, Cluster15[[#This Row],[Bin Start (min)]])</f>
        <v>&gt; Spont Length</v>
      </c>
      <c r="AC191" s="25" t="str">
        <f>IF(ISNUMBER(Cluster15[[#This Row],[Bin End (min)]]), AC190+1, Cluster15[[#This Row],[Bin End (min)]])</f>
        <v>&gt; Spont Length</v>
      </c>
      <c r="AD19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1" s="1" t="str">
        <f>IF(ISNUMBER(Cluster15[[#This Row],[Bin_end]]), _xlfn.XLOOKUP(Cluster15[[#This Row],[Bin_end]], ClusterCalc_3x3SE22[Bin_end], ClusterCalc_3x3SE22[Peak or Nadir], "fill ClusterCalc Table",1), "no bin")</f>
        <v>no bin</v>
      </c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BV191"/>
    </row>
    <row r="192" spans="2:74" x14ac:dyDescent="0.2">
      <c r="B192" s="1" t="str">
        <f t="shared" si="30"/>
        <v>Greater than Total Length</v>
      </c>
      <c r="C192" s="1" t="str">
        <f t="shared" si="31"/>
        <v>Greater than Total Length</v>
      </c>
      <c r="D192" s="18" t="str">
        <f t="shared" si="32"/>
        <v>Greater than Total Length</v>
      </c>
      <c r="E192" s="18" t="str">
        <f t="shared" si="33"/>
        <v>Greater than Total Length</v>
      </c>
      <c r="F192" s="19" t="str">
        <f t="shared" si="34"/>
        <v>Greater than Total Length</v>
      </c>
      <c r="G192" s="19" t="str">
        <f t="shared" si="35"/>
        <v>Greater than Total Length</v>
      </c>
      <c r="H192" s="20"/>
      <c r="I192" s="21"/>
      <c r="J192" s="1" t="str">
        <f>IF(ISBLANK(FiringRate13[[#This Row],[Event/bin]]), " ", FiringRate13[[#This Row],[Event/bin]]/BinSize_sec)</f>
        <v xml:space="preserve"> </v>
      </c>
      <c r="K192" s="22" t="str">
        <f>IF(ISBLANK(FiringRate13[[#This Row],[Conc events/bin]]), " ", FiringRate13[[#This Row],[Conc events/bin]]/BinSize_sec)</f>
        <v xml:space="preserve"> </v>
      </c>
      <c r="M192" s="2"/>
      <c r="N192" s="2"/>
      <c r="O192" s="2"/>
      <c r="P192" s="2"/>
      <c r="W192" s="18" t="str">
        <f t="shared" si="36"/>
        <v>&gt; Spont Length</v>
      </c>
      <c r="X192" s="18" t="str">
        <f t="shared" si="37"/>
        <v>&gt; Spont Length</v>
      </c>
      <c r="Y192" s="19" t="str">
        <f t="shared" si="38"/>
        <v>&gt; Spont Length</v>
      </c>
      <c r="Z192" s="19" t="str">
        <f t="shared" si="39"/>
        <v>&gt; Spont Length</v>
      </c>
      <c r="AA192" s="21"/>
      <c r="AB192" s="25" t="str">
        <f>IF(ISNUMBER(Cluster15[[#This Row],[Bin Start (min)]]), AB191+1, Cluster15[[#This Row],[Bin Start (min)]])</f>
        <v>&gt; Spont Length</v>
      </c>
      <c r="AC192" s="25" t="str">
        <f>IF(ISNUMBER(Cluster15[[#This Row],[Bin End (min)]]), AC191+1, Cluster15[[#This Row],[Bin End (min)]])</f>
        <v>&gt; Spont Length</v>
      </c>
      <c r="AD192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2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2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2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BV192"/>
    </row>
    <row r="193" spans="2:74" x14ac:dyDescent="0.2">
      <c r="B193" s="1" t="str">
        <f t="shared" si="30"/>
        <v>Greater than Total Length</v>
      </c>
      <c r="C193" s="1" t="str">
        <f t="shared" si="31"/>
        <v>Greater than Total Length</v>
      </c>
      <c r="D193" s="18" t="str">
        <f t="shared" si="32"/>
        <v>Greater than Total Length</v>
      </c>
      <c r="E193" s="18" t="str">
        <f t="shared" si="33"/>
        <v>Greater than Total Length</v>
      </c>
      <c r="F193" s="19" t="str">
        <f t="shared" si="34"/>
        <v>Greater than Total Length</v>
      </c>
      <c r="G193" s="19" t="str">
        <f t="shared" si="35"/>
        <v>Greater than Total Length</v>
      </c>
      <c r="H193" s="20"/>
      <c r="I193" s="21"/>
      <c r="J193" s="1" t="str">
        <f>IF(ISBLANK(FiringRate13[[#This Row],[Event/bin]]), " ", FiringRate13[[#This Row],[Event/bin]]/BinSize_sec)</f>
        <v xml:space="preserve"> </v>
      </c>
      <c r="K193" s="22" t="str">
        <f>IF(ISBLANK(FiringRate13[[#This Row],[Conc events/bin]]), " ", FiringRate13[[#This Row],[Conc events/bin]]/BinSize_sec)</f>
        <v xml:space="preserve"> </v>
      </c>
      <c r="M193" s="2"/>
      <c r="N193" s="2"/>
      <c r="O193" s="2"/>
      <c r="P193" s="2"/>
      <c r="W193" s="18" t="str">
        <f t="shared" si="36"/>
        <v>&gt; Spont Length</v>
      </c>
      <c r="X193" s="18" t="str">
        <f t="shared" si="37"/>
        <v>&gt; Spont Length</v>
      </c>
      <c r="Y193" s="19" t="str">
        <f t="shared" si="38"/>
        <v>&gt; Spont Length</v>
      </c>
      <c r="Z193" s="19" t="str">
        <f t="shared" si="39"/>
        <v>&gt; Spont Length</v>
      </c>
      <c r="AA193" s="21"/>
      <c r="AB193" s="25" t="str">
        <f>IF(ISNUMBER(Cluster15[[#This Row],[Bin Start (min)]]), AB192+1, Cluster15[[#This Row],[Bin Start (min)]])</f>
        <v>&gt; Spont Length</v>
      </c>
      <c r="AC193" s="25" t="str">
        <f>IF(ISNUMBER(Cluster15[[#This Row],[Bin End (min)]]), AC192+1, Cluster15[[#This Row],[Bin End (min)]])</f>
        <v>&gt; Spont Length</v>
      </c>
      <c r="AD193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3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3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3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BV193"/>
    </row>
    <row r="194" spans="2:74" x14ac:dyDescent="0.2">
      <c r="B194" s="1" t="str">
        <f t="shared" si="30"/>
        <v>Greater than Total Length</v>
      </c>
      <c r="C194" s="1" t="str">
        <f t="shared" si="31"/>
        <v>Greater than Total Length</v>
      </c>
      <c r="D194" s="18" t="str">
        <f t="shared" si="32"/>
        <v>Greater than Total Length</v>
      </c>
      <c r="E194" s="18" t="str">
        <f t="shared" si="33"/>
        <v>Greater than Total Length</v>
      </c>
      <c r="F194" s="19" t="str">
        <f t="shared" si="34"/>
        <v>Greater than Total Length</v>
      </c>
      <c r="G194" s="19" t="str">
        <f t="shared" si="35"/>
        <v>Greater than Total Length</v>
      </c>
      <c r="H194" s="20"/>
      <c r="I194" s="21"/>
      <c r="J194" s="1" t="str">
        <f>IF(ISBLANK(FiringRate13[[#This Row],[Event/bin]]), " ", FiringRate13[[#This Row],[Event/bin]]/BinSize_sec)</f>
        <v xml:space="preserve"> </v>
      </c>
      <c r="K194" s="22" t="str">
        <f>IF(ISBLANK(FiringRate13[[#This Row],[Conc events/bin]]), " ", FiringRate13[[#This Row],[Conc events/bin]]/BinSize_sec)</f>
        <v xml:space="preserve"> </v>
      </c>
      <c r="M194" s="2"/>
      <c r="N194" s="2"/>
      <c r="O194" s="2"/>
      <c r="P194" s="2"/>
      <c r="W194" s="18" t="str">
        <f t="shared" si="36"/>
        <v>&gt; Spont Length</v>
      </c>
      <c r="X194" s="18" t="str">
        <f t="shared" si="37"/>
        <v>&gt; Spont Length</v>
      </c>
      <c r="Y194" s="19" t="str">
        <f t="shared" si="38"/>
        <v>&gt; Spont Length</v>
      </c>
      <c r="Z194" s="19" t="str">
        <f t="shared" si="39"/>
        <v>&gt; Spont Length</v>
      </c>
      <c r="AA194" s="21"/>
      <c r="AB194" s="25" t="str">
        <f>IF(ISNUMBER(Cluster15[[#This Row],[Bin Start (min)]]), AB193+1, Cluster15[[#This Row],[Bin Start (min)]])</f>
        <v>&gt; Spont Length</v>
      </c>
      <c r="AC194" s="25" t="str">
        <f>IF(ISNUMBER(Cluster15[[#This Row],[Bin End (min)]]), AC193+1, Cluster15[[#This Row],[Bin End (min)]])</f>
        <v>&gt; Spont Length</v>
      </c>
      <c r="AD194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4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4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4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BV194"/>
    </row>
    <row r="195" spans="2:74" x14ac:dyDescent="0.2">
      <c r="B195" s="1" t="str">
        <f t="shared" si="30"/>
        <v>Greater than Total Length</v>
      </c>
      <c r="C195" s="1" t="str">
        <f t="shared" si="31"/>
        <v>Greater than Total Length</v>
      </c>
      <c r="D195" s="18" t="str">
        <f t="shared" si="32"/>
        <v>Greater than Total Length</v>
      </c>
      <c r="E195" s="18" t="str">
        <f t="shared" si="33"/>
        <v>Greater than Total Length</v>
      </c>
      <c r="F195" s="19" t="str">
        <f t="shared" si="34"/>
        <v>Greater than Total Length</v>
      </c>
      <c r="G195" s="19" t="str">
        <f t="shared" si="35"/>
        <v>Greater than Total Length</v>
      </c>
      <c r="H195" s="20"/>
      <c r="I195" s="21"/>
      <c r="J195" s="1" t="str">
        <f>IF(ISBLANK(FiringRate13[[#This Row],[Event/bin]]), " ", FiringRate13[[#This Row],[Event/bin]]/BinSize_sec)</f>
        <v xml:space="preserve"> </v>
      </c>
      <c r="K195" s="22" t="str">
        <f>IF(ISBLANK(FiringRate13[[#This Row],[Conc events/bin]]), " ", FiringRate13[[#This Row],[Conc events/bin]]/BinSize_sec)</f>
        <v xml:space="preserve"> </v>
      </c>
      <c r="M195" s="2"/>
      <c r="N195" s="2"/>
      <c r="O195" s="2"/>
      <c r="P195" s="2"/>
      <c r="W195" s="18" t="str">
        <f t="shared" si="36"/>
        <v>&gt; Spont Length</v>
      </c>
      <c r="X195" s="18" t="str">
        <f t="shared" si="37"/>
        <v>&gt; Spont Length</v>
      </c>
      <c r="Y195" s="19" t="str">
        <f t="shared" si="38"/>
        <v>&gt; Spont Length</v>
      </c>
      <c r="Z195" s="19" t="str">
        <f t="shared" si="39"/>
        <v>&gt; Spont Length</v>
      </c>
      <c r="AA195" s="21"/>
      <c r="AB195" s="25" t="str">
        <f>IF(ISNUMBER(Cluster15[[#This Row],[Bin Start (min)]]), AB194+1, Cluster15[[#This Row],[Bin Start (min)]])</f>
        <v>&gt; Spont Length</v>
      </c>
      <c r="AC195" s="25" t="str">
        <f>IF(ISNUMBER(Cluster15[[#This Row],[Bin End (min)]]), AC194+1, Cluster15[[#This Row],[Bin End (min)]])</f>
        <v>&gt; Spont Length</v>
      </c>
      <c r="AD195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5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5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5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BV195"/>
    </row>
    <row r="196" spans="2:74" x14ac:dyDescent="0.2">
      <c r="B196" s="1" t="str">
        <f t="shared" si="30"/>
        <v>Greater than Total Length</v>
      </c>
      <c r="C196" s="1" t="str">
        <f t="shared" si="31"/>
        <v>Greater than Total Length</v>
      </c>
      <c r="D196" s="18" t="str">
        <f t="shared" si="32"/>
        <v>Greater than Total Length</v>
      </c>
      <c r="E196" s="18" t="str">
        <f t="shared" si="33"/>
        <v>Greater than Total Length</v>
      </c>
      <c r="F196" s="19" t="str">
        <f t="shared" si="34"/>
        <v>Greater than Total Length</v>
      </c>
      <c r="G196" s="19" t="str">
        <f t="shared" si="35"/>
        <v>Greater than Total Length</v>
      </c>
      <c r="H196" s="20"/>
      <c r="I196" s="21"/>
      <c r="J196" s="1" t="str">
        <f>IF(ISBLANK(FiringRate13[[#This Row],[Event/bin]]), " ", FiringRate13[[#This Row],[Event/bin]]/BinSize_sec)</f>
        <v xml:space="preserve"> </v>
      </c>
      <c r="K196" s="22" t="str">
        <f>IF(ISBLANK(FiringRate13[[#This Row],[Conc events/bin]]), " ", FiringRate13[[#This Row],[Conc events/bin]]/BinSize_sec)</f>
        <v xml:space="preserve"> </v>
      </c>
      <c r="M196" s="2"/>
      <c r="N196" s="2"/>
      <c r="O196" s="2"/>
      <c r="P196" s="2"/>
      <c r="W196" s="18" t="str">
        <f t="shared" si="36"/>
        <v>&gt; Spont Length</v>
      </c>
      <c r="X196" s="18" t="str">
        <f t="shared" si="37"/>
        <v>&gt; Spont Length</v>
      </c>
      <c r="Y196" s="19" t="str">
        <f t="shared" si="38"/>
        <v>&gt; Spont Length</v>
      </c>
      <c r="Z196" s="19" t="str">
        <f t="shared" si="39"/>
        <v>&gt; Spont Length</v>
      </c>
      <c r="AA196" s="21"/>
      <c r="AB196" s="25" t="str">
        <f>IF(ISNUMBER(Cluster15[[#This Row],[Bin Start (min)]]), AB195+1, Cluster15[[#This Row],[Bin Start (min)]])</f>
        <v>&gt; Spont Length</v>
      </c>
      <c r="AC196" s="25" t="str">
        <f>IF(ISNUMBER(Cluster15[[#This Row],[Bin End (min)]]), AC195+1, Cluster15[[#This Row],[Bin End (min)]])</f>
        <v>&gt; Spont Length</v>
      </c>
      <c r="AD196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6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6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6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BV196"/>
    </row>
    <row r="197" spans="2:74" x14ac:dyDescent="0.2">
      <c r="B197" s="1" t="str">
        <f t="shared" si="30"/>
        <v>Greater than Total Length</v>
      </c>
      <c r="C197" s="1" t="str">
        <f t="shared" si="31"/>
        <v>Greater than Total Length</v>
      </c>
      <c r="D197" s="18" t="str">
        <f t="shared" si="32"/>
        <v>Greater than Total Length</v>
      </c>
      <c r="E197" s="18" t="str">
        <f t="shared" si="33"/>
        <v>Greater than Total Length</v>
      </c>
      <c r="F197" s="19" t="str">
        <f t="shared" si="34"/>
        <v>Greater than Total Length</v>
      </c>
      <c r="G197" s="19" t="str">
        <f t="shared" si="35"/>
        <v>Greater than Total Length</v>
      </c>
      <c r="H197" s="20"/>
      <c r="I197" s="21"/>
      <c r="J197" s="1" t="str">
        <f>IF(ISBLANK(FiringRate13[[#This Row],[Event/bin]]), " ", FiringRate13[[#This Row],[Event/bin]]/BinSize_sec)</f>
        <v xml:space="preserve"> </v>
      </c>
      <c r="K197" s="22" t="str">
        <f>IF(ISBLANK(FiringRate13[[#This Row],[Conc events/bin]]), " ", FiringRate13[[#This Row],[Conc events/bin]]/BinSize_sec)</f>
        <v xml:space="preserve"> </v>
      </c>
      <c r="M197" s="2"/>
      <c r="N197" s="2"/>
      <c r="O197" s="2"/>
      <c r="P197" s="2"/>
      <c r="W197" s="18" t="str">
        <f t="shared" si="36"/>
        <v>&gt; Spont Length</v>
      </c>
      <c r="X197" s="18" t="str">
        <f t="shared" si="37"/>
        <v>&gt; Spont Length</v>
      </c>
      <c r="Y197" s="19" t="str">
        <f t="shared" si="38"/>
        <v>&gt; Spont Length</v>
      </c>
      <c r="Z197" s="19" t="str">
        <f t="shared" si="39"/>
        <v>&gt; Spont Length</v>
      </c>
      <c r="AA197" s="21"/>
      <c r="AB197" s="25" t="str">
        <f>IF(ISNUMBER(Cluster15[[#This Row],[Bin Start (min)]]), AB196+1, Cluster15[[#This Row],[Bin Start (min)]])</f>
        <v>&gt; Spont Length</v>
      </c>
      <c r="AC197" s="25" t="str">
        <f>IF(ISNUMBER(Cluster15[[#This Row],[Bin End (min)]]), AC196+1, Cluster15[[#This Row],[Bin End (min)]])</f>
        <v>&gt; Spont Length</v>
      </c>
      <c r="AD197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7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7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7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BV197"/>
    </row>
    <row r="198" spans="2:74" x14ac:dyDescent="0.2">
      <c r="B198" s="1" t="str">
        <f t="shared" si="30"/>
        <v>Greater than Total Length</v>
      </c>
      <c r="C198" s="1" t="str">
        <f t="shared" si="31"/>
        <v>Greater than Total Length</v>
      </c>
      <c r="D198" s="18" t="str">
        <f t="shared" si="32"/>
        <v>Greater than Total Length</v>
      </c>
      <c r="E198" s="18" t="str">
        <f t="shared" si="33"/>
        <v>Greater than Total Length</v>
      </c>
      <c r="F198" s="19" t="str">
        <f t="shared" si="34"/>
        <v>Greater than Total Length</v>
      </c>
      <c r="G198" s="19" t="str">
        <f t="shared" si="35"/>
        <v>Greater than Total Length</v>
      </c>
      <c r="H198" s="20"/>
      <c r="I198" s="21"/>
      <c r="J198" s="1" t="str">
        <f>IF(ISBLANK(FiringRate13[[#This Row],[Event/bin]]), " ", FiringRate13[[#This Row],[Event/bin]]/BinSize_sec)</f>
        <v xml:space="preserve"> </v>
      </c>
      <c r="K198" s="22" t="str">
        <f>IF(ISBLANK(FiringRate13[[#This Row],[Conc events/bin]]), " ", FiringRate13[[#This Row],[Conc events/bin]]/BinSize_sec)</f>
        <v xml:space="preserve"> </v>
      </c>
      <c r="M198" s="2"/>
      <c r="N198" s="2"/>
      <c r="O198" s="2"/>
      <c r="P198" s="2"/>
      <c r="W198" s="18" t="str">
        <f t="shared" si="36"/>
        <v>&gt; Spont Length</v>
      </c>
      <c r="X198" s="18" t="str">
        <f t="shared" si="37"/>
        <v>&gt; Spont Length</v>
      </c>
      <c r="Y198" s="19" t="str">
        <f t="shared" si="38"/>
        <v>&gt; Spont Length</v>
      </c>
      <c r="Z198" s="19" t="str">
        <f t="shared" si="39"/>
        <v>&gt; Spont Length</v>
      </c>
      <c r="AA198" s="21"/>
      <c r="AB198" s="25" t="str">
        <f>IF(ISNUMBER(Cluster15[[#This Row],[Bin Start (min)]]), AB197+1, Cluster15[[#This Row],[Bin Start (min)]])</f>
        <v>&gt; Spont Length</v>
      </c>
      <c r="AC198" s="25" t="str">
        <f>IF(ISNUMBER(Cluster15[[#This Row],[Bin End (min)]]), AC197+1, Cluster15[[#This Row],[Bin End (min)]])</f>
        <v>&gt; Spont Length</v>
      </c>
      <c r="AD198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8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8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8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BV198"/>
    </row>
    <row r="199" spans="2:74" x14ac:dyDescent="0.2">
      <c r="B199" s="1" t="str">
        <f t="shared" si="30"/>
        <v>Greater than Total Length</v>
      </c>
      <c r="C199" s="1" t="str">
        <f t="shared" si="31"/>
        <v>Greater than Total Length</v>
      </c>
      <c r="D199" s="18" t="str">
        <f t="shared" si="32"/>
        <v>Greater than Total Length</v>
      </c>
      <c r="E199" s="18" t="str">
        <f t="shared" si="33"/>
        <v>Greater than Total Length</v>
      </c>
      <c r="F199" s="19" t="str">
        <f t="shared" si="34"/>
        <v>Greater than Total Length</v>
      </c>
      <c r="G199" s="19" t="str">
        <f t="shared" si="35"/>
        <v>Greater than Total Length</v>
      </c>
      <c r="H199" s="20"/>
      <c r="I199" s="21"/>
      <c r="J199" s="1" t="str">
        <f>IF(ISBLANK(FiringRate13[[#This Row],[Event/bin]]), " ", FiringRate13[[#This Row],[Event/bin]]/BinSize_sec)</f>
        <v xml:space="preserve"> </v>
      </c>
      <c r="K199" s="22" t="str">
        <f>IF(ISBLANK(FiringRate13[[#This Row],[Conc events/bin]]), " ", FiringRate13[[#This Row],[Conc events/bin]]/BinSize_sec)</f>
        <v xml:space="preserve"> </v>
      </c>
      <c r="M199" s="2"/>
      <c r="N199" s="2"/>
      <c r="O199" s="2"/>
      <c r="P199" s="2"/>
      <c r="W199" s="18" t="str">
        <f t="shared" si="36"/>
        <v>&gt; Spont Length</v>
      </c>
      <c r="X199" s="18" t="str">
        <f t="shared" si="37"/>
        <v>&gt; Spont Length</v>
      </c>
      <c r="Y199" s="19" t="str">
        <f t="shared" si="38"/>
        <v>&gt; Spont Length</v>
      </c>
      <c r="Z199" s="19" t="str">
        <f t="shared" si="39"/>
        <v>&gt; Spont Length</v>
      </c>
      <c r="AA199" s="21"/>
      <c r="AB199" s="25" t="str">
        <f>IF(ISNUMBER(Cluster15[[#This Row],[Bin Start (min)]]), AB198+1, Cluster15[[#This Row],[Bin Start (min)]])</f>
        <v>&gt; Spont Length</v>
      </c>
      <c r="AC199" s="25" t="str">
        <f>IF(ISNUMBER(Cluster15[[#This Row],[Bin End (min)]]), AC198+1, Cluster15[[#This Row],[Bin End (min)]])</f>
        <v>&gt; Spont Length</v>
      </c>
      <c r="AD199" s="1" t="str">
        <f>IF(ISNUMBER(Cluster15[[#This Row],[Bin_end]]), _xlfn.XLOOKUP(Cluster15[[#This Row],[Bin_end]], ClusterCalc_2x2SD16[Bin_end], ClusterCalc_2x2SD16[Peak or Nadir], "fill ClusterCalc Table",1), "no bin")</f>
        <v>no bin</v>
      </c>
      <c r="AE199" s="1" t="str">
        <f>IF(ISNUMBER(Cluster15[[#This Row],[Bin_end]]), _xlfn.XLOOKUP(Cluster15[[#This Row],[Bin_end]], ClusterCalc_3x3SD18[Bin_end], ClusterCalc_3x3SD18[Peak or Nadir], "fill ClusterCalc Table",1), "no bin")</f>
        <v>no bin</v>
      </c>
      <c r="AF199" s="1" t="str">
        <f>IF(ISNUMBER(Cluster15[[#This Row],[Bin_end]]), _xlfn.XLOOKUP(Cluster15[[#This Row],[Bin_end]], ClusterCalc_2x2SE20[Bin_end], ClusterCalc_2x2SE20[Peak or Nadir], "fill ClusterCalc Table",1), "no bin")</f>
        <v>no bin</v>
      </c>
      <c r="AG199" s="1" t="str">
        <f>IF(ISNUMBER(Cluster15[[#This Row],[Bin_end]]), _xlfn.XLOOKUP(Cluster15[[#This Row],[Bin_end]], ClusterCalc_3x3SE22[Bin_end], ClusterCalc_3x3SE22[Peak or Nadir], "fill ClusterCalc Table",1), "no bin")</f>
        <v>no bin</v>
      </c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BV199"/>
    </row>
    <row r="200" spans="2:74" x14ac:dyDescent="0.2">
      <c r="B200" s="1" t="str">
        <f t="shared" si="30"/>
        <v>Greater than Total Length</v>
      </c>
      <c r="C200" s="1" t="str">
        <f t="shared" si="31"/>
        <v>Greater than Total Length</v>
      </c>
      <c r="D200" s="18" t="str">
        <f t="shared" si="32"/>
        <v>Greater than Total Length</v>
      </c>
      <c r="E200" s="18" t="str">
        <f t="shared" si="33"/>
        <v>Greater than Total Length</v>
      </c>
      <c r="F200" s="19" t="str">
        <f t="shared" si="34"/>
        <v>Greater than Total Length</v>
      </c>
      <c r="G200" s="19" t="str">
        <f t="shared" si="35"/>
        <v>Greater than Total Length</v>
      </c>
      <c r="H200" s="20"/>
      <c r="I200" s="21"/>
      <c r="J200" s="1" t="str">
        <f>IF(ISBLANK(FiringRate13[[#This Row],[Event/bin]]), " ", FiringRate13[[#This Row],[Event/bin]]/BinSize_sec)</f>
        <v xml:space="preserve"> </v>
      </c>
      <c r="K200" s="22" t="str">
        <f>IF(ISBLANK(FiringRate13[[#This Row],[Conc events/bin]]), " ", FiringRate13[[#This Row],[Conc events/bin]]/BinSize_sec)</f>
        <v xml:space="preserve"> </v>
      </c>
      <c r="M200" s="2"/>
      <c r="N200" s="2"/>
      <c r="O200" s="2"/>
      <c r="P200" s="2"/>
      <c r="W200" s="18" t="str">
        <f t="shared" si="36"/>
        <v>&gt; Spont Length</v>
      </c>
      <c r="X200" s="18" t="str">
        <f t="shared" si="37"/>
        <v>&gt; Spont Length</v>
      </c>
      <c r="Y200" s="19" t="str">
        <f t="shared" si="38"/>
        <v>&gt; Spont Length</v>
      </c>
      <c r="Z200" s="19" t="str">
        <f t="shared" si="39"/>
        <v>&gt; Spont Length</v>
      </c>
      <c r="AA200" s="21"/>
      <c r="AB200" s="25" t="str">
        <f>IF(ISNUMBER(Cluster15[[#This Row],[Bin Start (min)]]), AB199+1, Cluster15[[#This Row],[Bin Start (min)]])</f>
        <v>&gt; Spont Length</v>
      </c>
      <c r="AC200" s="25" t="str">
        <f>IF(ISNUMBER(Cluster15[[#This Row],[Bin End (min)]]), AC199+1, Cluster15[[#This Row],[Bin End (min)]])</f>
        <v>&gt; Spont Length</v>
      </c>
      <c r="AD200" s="1" t="str">
        <f>IF(ISNUMBER(Cluster15[[#This Row],[Bin_end]]), _xlfn.XLOOKUP(Cluster15[[#This Row],[Bin_end]], ClusterCalc_2x2SD16[Bin_end], ClusterCalc_2x2SD16[Peak or Nadir], "fill ClusterCalc Table",1), "no bin")</f>
        <v>no bin</v>
      </c>
      <c r="AE200" s="1" t="str">
        <f>IF(ISNUMBER(Cluster15[[#This Row],[Bin_end]]), _xlfn.XLOOKUP(Cluster15[[#This Row],[Bin_end]], ClusterCalc_3x3SD18[Bin_end], ClusterCalc_3x3SD18[Peak or Nadir], "fill ClusterCalc Table",1), "no bin")</f>
        <v>no bin</v>
      </c>
      <c r="AF200" s="1" t="str">
        <f>IF(ISNUMBER(Cluster15[[#This Row],[Bin_end]]), _xlfn.XLOOKUP(Cluster15[[#This Row],[Bin_end]], ClusterCalc_2x2SE20[Bin_end], ClusterCalc_2x2SE20[Peak or Nadir], "fill ClusterCalc Table",1), "no bin")</f>
        <v>no bin</v>
      </c>
      <c r="AG200" s="1" t="str">
        <f>IF(ISNUMBER(Cluster15[[#This Row],[Bin_end]]), _xlfn.XLOOKUP(Cluster15[[#This Row],[Bin_end]], ClusterCalc_3x3SE22[Bin_end], ClusterCalc_3x3SE22[Peak or Nadir], "fill ClusterCalc Table",1), "no bin")</f>
        <v>no bin</v>
      </c>
      <c r="BV200"/>
    </row>
    <row r="201" spans="2:74" x14ac:dyDescent="0.2">
      <c r="B201" s="1" t="str">
        <f t="shared" si="30"/>
        <v>Greater than Total Length</v>
      </c>
      <c r="C201" s="1" t="str">
        <f t="shared" si="31"/>
        <v>Greater than Total Length</v>
      </c>
      <c r="D201" s="18" t="str">
        <f t="shared" si="32"/>
        <v>Greater than Total Length</v>
      </c>
      <c r="E201" s="18" t="str">
        <f t="shared" si="33"/>
        <v>Greater than Total Length</v>
      </c>
      <c r="F201" s="19" t="str">
        <f t="shared" si="34"/>
        <v>Greater than Total Length</v>
      </c>
      <c r="G201" s="19" t="str">
        <f t="shared" si="35"/>
        <v>Greater than Total Length</v>
      </c>
      <c r="H201" s="20"/>
      <c r="I201" s="21"/>
      <c r="J201" s="1" t="str">
        <f>IF(ISBLANK(FiringRate13[[#This Row],[Event/bin]]), " ", FiringRate13[[#This Row],[Event/bin]]/BinSize_sec)</f>
        <v xml:space="preserve"> </v>
      </c>
      <c r="K201" s="22" t="str">
        <f>IF(ISBLANK(FiringRate13[[#This Row],[Conc events/bin]]), " ", FiringRate13[[#This Row],[Conc events/bin]]/BinSize_sec)</f>
        <v xml:space="preserve"> </v>
      </c>
      <c r="M201" s="2"/>
      <c r="N201" s="2"/>
      <c r="O201" s="2"/>
      <c r="P201" s="2"/>
      <c r="W201" s="18" t="str">
        <f t="shared" si="36"/>
        <v>&gt; Spont Length</v>
      </c>
      <c r="X201" s="18" t="str">
        <f t="shared" si="37"/>
        <v>&gt; Spont Length</v>
      </c>
      <c r="Y201" s="19" t="str">
        <f t="shared" si="38"/>
        <v>&gt; Spont Length</v>
      </c>
      <c r="Z201" s="19" t="str">
        <f t="shared" si="39"/>
        <v>&gt; Spont Length</v>
      </c>
      <c r="AA201" s="21"/>
      <c r="AB201" s="25" t="str">
        <f>IF(ISNUMBER(Cluster15[[#This Row],[Bin Start (min)]]), AB200+1, Cluster15[[#This Row],[Bin Start (min)]])</f>
        <v>&gt; Spont Length</v>
      </c>
      <c r="AC201" s="25" t="str">
        <f>IF(ISNUMBER(Cluster15[[#This Row],[Bin End (min)]]), AC200+1, Cluster15[[#This Row],[Bin End (min)]])</f>
        <v>&gt; Spont Length</v>
      </c>
      <c r="AD201" s="1" t="str">
        <f>IF(ISNUMBER(Cluster15[[#This Row],[Bin_end]]), _xlfn.XLOOKUP(Cluster15[[#This Row],[Bin_end]], ClusterCalc_2x2SD16[Bin_end], ClusterCalc_2x2SD16[Peak or Nadir], "fill ClusterCalc Table",1), "no bin")</f>
        <v>no bin</v>
      </c>
      <c r="AE201" s="1" t="str">
        <f>IF(ISNUMBER(Cluster15[[#This Row],[Bin_end]]), _xlfn.XLOOKUP(Cluster15[[#This Row],[Bin_end]], ClusterCalc_3x3SD18[Bin_end], ClusterCalc_3x3SD18[Peak or Nadir], "fill ClusterCalc Table",1), "no bin")</f>
        <v>no bin</v>
      </c>
      <c r="AF201" s="1" t="str">
        <f>IF(ISNUMBER(Cluster15[[#This Row],[Bin_end]]), _xlfn.XLOOKUP(Cluster15[[#This Row],[Bin_end]], ClusterCalc_2x2SE20[Bin_end], ClusterCalc_2x2SE20[Peak or Nadir], "fill ClusterCalc Table",1), "no bin")</f>
        <v>no bin</v>
      </c>
      <c r="AG201" s="1" t="str">
        <f>IF(ISNUMBER(Cluster15[[#This Row],[Bin_end]]), _xlfn.XLOOKUP(Cluster15[[#This Row],[Bin_end]], ClusterCalc_3x3SE22[Bin_end], ClusterCalc_3x3SE22[Peak or Nadir], "fill ClusterCalc Table",1), "no bin")</f>
        <v>no bin</v>
      </c>
      <c r="BV201" t="s">
        <v>231</v>
      </c>
    </row>
    <row r="202" spans="2:74" x14ac:dyDescent="0.2">
      <c r="B202" s="1" t="str">
        <f t="shared" si="30"/>
        <v>Greater than Total Length</v>
      </c>
      <c r="C202" s="1" t="str">
        <f t="shared" si="31"/>
        <v>Greater than Total Length</v>
      </c>
      <c r="D202" s="18" t="str">
        <f t="shared" si="32"/>
        <v>Greater than Total Length</v>
      </c>
      <c r="E202" s="18" t="str">
        <f t="shared" si="33"/>
        <v>Greater than Total Length</v>
      </c>
      <c r="F202" s="19" t="str">
        <f t="shared" si="34"/>
        <v>Greater than Total Length</v>
      </c>
      <c r="G202" s="19" t="str">
        <f t="shared" si="35"/>
        <v>Greater than Total Length</v>
      </c>
      <c r="H202" s="20"/>
      <c r="I202" s="21"/>
      <c r="J202" s="1" t="str">
        <f>IF(ISBLANK(FiringRate13[[#This Row],[Event/bin]]), " ", FiringRate13[[#This Row],[Event/bin]]/BinSize_sec)</f>
        <v xml:space="preserve"> </v>
      </c>
      <c r="K202" s="22" t="str">
        <f>IF(ISBLANK(FiringRate13[[#This Row],[Conc events/bin]]), " ", FiringRate13[[#This Row],[Conc events/bin]]/BinSize_sec)</f>
        <v xml:space="preserve"> </v>
      </c>
      <c r="M202" s="2"/>
      <c r="N202" s="2"/>
      <c r="O202" s="2"/>
      <c r="P202" s="2"/>
      <c r="BV202"/>
    </row>
    <row r="203" spans="2:74" x14ac:dyDescent="0.2">
      <c r="B203" s="1" t="str">
        <f t="shared" si="30"/>
        <v>Greater than Total Length</v>
      </c>
      <c r="C203" s="1" t="str">
        <f t="shared" si="31"/>
        <v>Greater than Total Length</v>
      </c>
      <c r="D203" s="18" t="str">
        <f t="shared" si="32"/>
        <v>Greater than Total Length</v>
      </c>
      <c r="E203" s="18" t="str">
        <f t="shared" si="33"/>
        <v>Greater than Total Length</v>
      </c>
      <c r="F203" s="19" t="str">
        <f t="shared" si="34"/>
        <v>Greater than Total Length</v>
      </c>
      <c r="G203" s="19" t="str">
        <f t="shared" si="35"/>
        <v>Greater than Total Length</v>
      </c>
      <c r="H203" s="20"/>
      <c r="I203" s="21"/>
      <c r="J203" s="1" t="str">
        <f>IF(ISBLANK(FiringRate13[[#This Row],[Event/bin]]), " ", FiringRate13[[#This Row],[Event/bin]]/BinSize_sec)</f>
        <v xml:space="preserve"> </v>
      </c>
      <c r="K203" s="22" t="str">
        <f>IF(ISBLANK(FiringRate13[[#This Row],[Conc events/bin]]), " ", FiringRate13[[#This Row],[Conc events/bin]]/BinSize_sec)</f>
        <v xml:space="preserve"> </v>
      </c>
      <c r="M203" s="2"/>
      <c r="N203" s="2"/>
      <c r="O203" s="2"/>
      <c r="P203" s="2"/>
      <c r="BV203"/>
    </row>
    <row r="204" spans="2:74" x14ac:dyDescent="0.2">
      <c r="B204" s="1" t="str">
        <f t="shared" si="30"/>
        <v>Greater than Total Length</v>
      </c>
      <c r="C204" s="1" t="str">
        <f t="shared" si="31"/>
        <v>Greater than Total Length</v>
      </c>
      <c r="D204" s="18" t="str">
        <f t="shared" si="32"/>
        <v>Greater than Total Length</v>
      </c>
      <c r="E204" s="18" t="str">
        <f t="shared" si="33"/>
        <v>Greater than Total Length</v>
      </c>
      <c r="F204" s="19" t="str">
        <f t="shared" si="34"/>
        <v>Greater than Total Length</v>
      </c>
      <c r="G204" s="19" t="str">
        <f t="shared" si="35"/>
        <v>Greater than Total Length</v>
      </c>
      <c r="H204" s="20"/>
      <c r="I204" s="21"/>
      <c r="J204" s="1" t="str">
        <f>IF(ISBLANK(FiringRate13[[#This Row],[Event/bin]]), " ", FiringRate13[[#This Row],[Event/bin]]/BinSize_sec)</f>
        <v xml:space="preserve"> </v>
      </c>
      <c r="K204" s="22" t="str">
        <f>IF(ISBLANK(FiringRate13[[#This Row],[Conc events/bin]]), " ", FiringRate13[[#This Row],[Conc events/bin]]/BinSize_sec)</f>
        <v xml:space="preserve"> </v>
      </c>
      <c r="M204" s="2"/>
      <c r="N204" s="2"/>
      <c r="O204" s="2"/>
      <c r="P204" s="2"/>
      <c r="AO204" s="42"/>
      <c r="AU204" s="42"/>
      <c r="AV204" s="42"/>
      <c r="AW204" s="42"/>
      <c r="AX204" s="42"/>
      <c r="AY204" s="42"/>
      <c r="BV204"/>
    </row>
    <row r="205" spans="2:74" x14ac:dyDescent="0.2">
      <c r="B205" s="1" t="str">
        <f t="shared" si="30"/>
        <v>Greater than Total Length</v>
      </c>
      <c r="C205" s="1" t="str">
        <f t="shared" si="31"/>
        <v>Greater than Total Length</v>
      </c>
      <c r="D205" s="18" t="str">
        <f t="shared" si="32"/>
        <v>Greater than Total Length</v>
      </c>
      <c r="E205" s="18" t="str">
        <f t="shared" si="33"/>
        <v>Greater than Total Length</v>
      </c>
      <c r="F205" s="19" t="str">
        <f t="shared" si="34"/>
        <v>Greater than Total Length</v>
      </c>
      <c r="G205" s="19" t="str">
        <f t="shared" si="35"/>
        <v>Greater than Total Length</v>
      </c>
      <c r="H205" s="20"/>
      <c r="I205" s="21"/>
      <c r="J205" s="1" t="str">
        <f>IF(ISBLANK(FiringRate13[[#This Row],[Event/bin]]), " ", FiringRate13[[#This Row],[Event/bin]]/BinSize_sec)</f>
        <v xml:space="preserve"> </v>
      </c>
      <c r="K205" s="22" t="str">
        <f>IF(ISBLANK(FiringRate13[[#This Row],[Conc events/bin]]), " ", FiringRate13[[#This Row],[Conc events/bin]]/BinSize_sec)</f>
        <v xml:space="preserve"> </v>
      </c>
      <c r="M205" s="2"/>
      <c r="N205" s="2"/>
      <c r="O205" s="2"/>
      <c r="P205" s="2"/>
      <c r="AO205" s="42"/>
      <c r="AU205" s="42"/>
      <c r="AV205" s="42"/>
      <c r="AW205" s="42"/>
      <c r="AX205" s="42"/>
      <c r="AY205" s="42"/>
      <c r="BV205"/>
    </row>
    <row r="206" spans="2:74" x14ac:dyDescent="0.2">
      <c r="B206" s="1" t="str">
        <f t="shared" si="30"/>
        <v>Greater than Total Length</v>
      </c>
      <c r="C206" s="1" t="str">
        <f t="shared" si="31"/>
        <v>Greater than Total Length</v>
      </c>
      <c r="D206" s="18" t="str">
        <f t="shared" si="32"/>
        <v>Greater than Total Length</v>
      </c>
      <c r="E206" s="18" t="str">
        <f t="shared" si="33"/>
        <v>Greater than Total Length</v>
      </c>
      <c r="F206" s="19" t="str">
        <f t="shared" si="34"/>
        <v>Greater than Total Length</v>
      </c>
      <c r="G206" s="19" t="str">
        <f t="shared" si="35"/>
        <v>Greater than Total Length</v>
      </c>
      <c r="H206" s="20"/>
      <c r="I206" s="21"/>
      <c r="J206" s="1" t="str">
        <f>IF(ISBLANK(FiringRate13[[#This Row],[Event/bin]]), " ", FiringRate13[[#This Row],[Event/bin]]/BinSize_sec)</f>
        <v xml:space="preserve"> </v>
      </c>
      <c r="K206" s="22" t="str">
        <f>IF(ISBLANK(FiringRate13[[#This Row],[Conc events/bin]]), " ", FiringRate13[[#This Row],[Conc events/bin]]/BinSize_sec)</f>
        <v xml:space="preserve"> </v>
      </c>
      <c r="M206" s="2"/>
      <c r="N206" s="2"/>
      <c r="O206" s="2"/>
      <c r="P206" s="2"/>
      <c r="AO206" s="42"/>
      <c r="AU206" s="42"/>
      <c r="AV206" s="42"/>
      <c r="AW206" s="42"/>
      <c r="AX206" s="42"/>
      <c r="AY206" s="42"/>
      <c r="BV206"/>
    </row>
    <row r="207" spans="2:74" x14ac:dyDescent="0.2">
      <c r="B207" s="1" t="str">
        <f t="shared" si="30"/>
        <v>Greater than Total Length</v>
      </c>
      <c r="C207" s="1" t="str">
        <f t="shared" si="31"/>
        <v>Greater than Total Length</v>
      </c>
      <c r="D207" s="18" t="str">
        <f t="shared" si="32"/>
        <v>Greater than Total Length</v>
      </c>
      <c r="E207" s="18" t="str">
        <f t="shared" si="33"/>
        <v>Greater than Total Length</v>
      </c>
      <c r="F207" s="19" t="str">
        <f t="shared" si="34"/>
        <v>Greater than Total Length</v>
      </c>
      <c r="G207" s="19" t="str">
        <f t="shared" si="35"/>
        <v>Greater than Total Length</v>
      </c>
      <c r="H207" s="20"/>
      <c r="I207" s="21"/>
      <c r="J207" s="1" t="str">
        <f>IF(ISBLANK(FiringRate13[[#This Row],[Event/bin]]), " ", FiringRate13[[#This Row],[Event/bin]]/BinSize_sec)</f>
        <v xml:space="preserve"> </v>
      </c>
      <c r="K207" s="22" t="str">
        <f>IF(ISBLANK(FiringRate13[[#This Row],[Conc events/bin]]), " ", FiringRate13[[#This Row],[Conc events/bin]]/BinSize_sec)</f>
        <v xml:space="preserve"> </v>
      </c>
      <c r="M207" s="2"/>
      <c r="N207" s="2"/>
      <c r="O207" s="2"/>
      <c r="P207" s="2"/>
      <c r="AO207" s="42"/>
      <c r="AU207" s="42"/>
      <c r="AV207" s="42"/>
      <c r="AW207" s="42"/>
      <c r="AX207" s="42"/>
      <c r="AY207" s="42"/>
      <c r="BV207"/>
    </row>
    <row r="208" spans="2:74" x14ac:dyDescent="0.2">
      <c r="B208" s="1" t="str">
        <f t="shared" si="30"/>
        <v>Greater than Total Length</v>
      </c>
      <c r="C208" s="1" t="str">
        <f t="shared" si="31"/>
        <v>Greater than Total Length</v>
      </c>
      <c r="D208" s="18" t="str">
        <f t="shared" si="32"/>
        <v>Greater than Total Length</v>
      </c>
      <c r="E208" s="18" t="str">
        <f t="shared" si="33"/>
        <v>Greater than Total Length</v>
      </c>
      <c r="F208" s="19" t="str">
        <f t="shared" si="34"/>
        <v>Greater than Total Length</v>
      </c>
      <c r="G208" s="19" t="str">
        <f t="shared" si="35"/>
        <v>Greater than Total Length</v>
      </c>
      <c r="H208" s="20"/>
      <c r="I208" s="21"/>
      <c r="J208" s="1" t="str">
        <f>IF(ISBLANK(FiringRate13[[#This Row],[Event/bin]]), " ", FiringRate13[[#This Row],[Event/bin]]/BinSize_sec)</f>
        <v xml:space="preserve"> </v>
      </c>
      <c r="K208" s="22" t="str">
        <f>IF(ISBLANK(FiringRate13[[#This Row],[Conc events/bin]]), " ", FiringRate13[[#This Row],[Conc events/bin]]/BinSize_sec)</f>
        <v xml:space="preserve"> </v>
      </c>
      <c r="M208" s="2"/>
      <c r="N208" s="2"/>
      <c r="O208" s="2"/>
      <c r="P208" s="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BV208"/>
    </row>
    <row r="209" spans="2:74" x14ac:dyDescent="0.2">
      <c r="B209" s="1" t="str">
        <f t="shared" ref="B209:B240" si="40">IF(E208&lt;TotalLength_min, IF(ISNONTEXT(B208), IF(C209&gt;C208, B208, IF(B208&lt;LastSeries, B208+1)), B208), "Greater than Total Length")</f>
        <v>Greater than Total Length</v>
      </c>
      <c r="C209" s="1" t="str">
        <f t="shared" ref="C209:C240" si="41">IF(E208&lt;TotalLength_min, IF(ISNONTEXT(C208), IF(C208&lt;(BinsPerSeries-1),C208+1,0), C208), "Greater than Total Length")</f>
        <v>Greater than Total Length</v>
      </c>
      <c r="D209" s="18" t="str">
        <f t="shared" ref="D209:D240" si="42">IF(BinSize_sec &gt; 0, IF(ISNONTEXT(F208), IF(F208 + BinSize_sec &lt; TotalLength_sec, F209/60, "Greater than Total Length"), F208), "No bin size")</f>
        <v>Greater than Total Length</v>
      </c>
      <c r="E209" s="18" t="str">
        <f t="shared" ref="E209:E240" si="43">IF(BinSize_sec &gt; 0, IF(ISNONTEXT(G208), IF(G208 + BinSize_sec &gt; TotalLength_sec, "Greater than Total Length", G209/60), G208), "No bin size")</f>
        <v>Greater than Total Length</v>
      </c>
      <c r="F209" s="19" t="str">
        <f t="shared" ref="F209:F240" si="44">IF(BinSize_sec &gt; 0, IF(ISNONTEXT(F208), IF(F208 + BinSize_sec &lt; TotalLength_sec, F208 + BinSize_sec, "Greater than Total Length"), F208), "No bin size")</f>
        <v>Greater than Total Length</v>
      </c>
      <c r="G209" s="19" t="str">
        <f t="shared" ref="G209:G240" si="45">IF(BinSize_sec &gt; 0, IF(ISNONTEXT(G208), IF(G208 + BinSize_sec &gt; TotalLength_sec, "Greater than Total Length", G208 + BinSize_sec), G208), "No bin size")</f>
        <v>Greater than Total Length</v>
      </c>
      <c r="H209" s="20"/>
      <c r="I209" s="21"/>
      <c r="J209" s="1" t="str">
        <f>IF(ISBLANK(FiringRate13[[#This Row],[Event/bin]]), " ", FiringRate13[[#This Row],[Event/bin]]/BinSize_sec)</f>
        <v xml:space="preserve"> </v>
      </c>
      <c r="K209" s="22" t="str">
        <f>IF(ISBLANK(FiringRate13[[#This Row],[Conc events/bin]]), " ", FiringRate13[[#This Row],[Conc events/bin]]/BinSize_sec)</f>
        <v xml:space="preserve"> </v>
      </c>
      <c r="M209" s="2"/>
      <c r="N209" s="2"/>
      <c r="O209" s="2"/>
      <c r="P209" s="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BV209"/>
    </row>
    <row r="210" spans="2:74" x14ac:dyDescent="0.2">
      <c r="B210" s="1" t="str">
        <f t="shared" si="40"/>
        <v>Greater than Total Length</v>
      </c>
      <c r="C210" s="1" t="str">
        <f t="shared" si="41"/>
        <v>Greater than Total Length</v>
      </c>
      <c r="D210" s="18" t="str">
        <f t="shared" si="42"/>
        <v>Greater than Total Length</v>
      </c>
      <c r="E210" s="18" t="str">
        <f t="shared" si="43"/>
        <v>Greater than Total Length</v>
      </c>
      <c r="F210" s="19" t="str">
        <f t="shared" si="44"/>
        <v>Greater than Total Length</v>
      </c>
      <c r="G210" s="19" t="str">
        <f t="shared" si="45"/>
        <v>Greater than Total Length</v>
      </c>
      <c r="H210" s="20"/>
      <c r="I210" s="21"/>
      <c r="J210" s="1" t="str">
        <f>IF(ISBLANK(FiringRate13[[#This Row],[Event/bin]]), " ", FiringRate13[[#This Row],[Event/bin]]/BinSize_sec)</f>
        <v xml:space="preserve"> </v>
      </c>
      <c r="K210" s="22" t="str">
        <f>IF(ISBLANK(FiringRate13[[#This Row],[Conc events/bin]]), " ", FiringRate13[[#This Row],[Conc events/bin]]/BinSize_sec)</f>
        <v xml:space="preserve"> </v>
      </c>
      <c r="M210" s="2"/>
      <c r="N210" s="2"/>
      <c r="O210" s="2"/>
      <c r="P210" s="2"/>
      <c r="AO210" s="42"/>
      <c r="AP210" s="46"/>
      <c r="AQ210" s="46"/>
      <c r="AR210" s="46"/>
      <c r="AS210" s="46"/>
      <c r="AT210" s="46"/>
      <c r="AU210" s="46"/>
      <c r="AV210" s="46"/>
      <c r="AW210" s="46"/>
      <c r="AX210" s="46"/>
      <c r="AY210" s="42"/>
      <c r="BV210"/>
    </row>
    <row r="211" spans="2:74" x14ac:dyDescent="0.2">
      <c r="B211" s="1" t="str">
        <f t="shared" si="40"/>
        <v>Greater than Total Length</v>
      </c>
      <c r="C211" s="1" t="str">
        <f t="shared" si="41"/>
        <v>Greater than Total Length</v>
      </c>
      <c r="D211" s="18" t="str">
        <f t="shared" si="42"/>
        <v>Greater than Total Length</v>
      </c>
      <c r="E211" s="18" t="str">
        <f t="shared" si="43"/>
        <v>Greater than Total Length</v>
      </c>
      <c r="F211" s="19" t="str">
        <f t="shared" si="44"/>
        <v>Greater than Total Length</v>
      </c>
      <c r="G211" s="19" t="str">
        <f t="shared" si="45"/>
        <v>Greater than Total Length</v>
      </c>
      <c r="H211" s="20"/>
      <c r="I211" s="21"/>
      <c r="J211" s="1" t="str">
        <f>IF(ISBLANK(FiringRate13[[#This Row],[Event/bin]]), " ", FiringRate13[[#This Row],[Event/bin]]/BinSize_sec)</f>
        <v xml:space="preserve"> </v>
      </c>
      <c r="K211" s="22" t="str">
        <f>IF(ISBLANK(FiringRate13[[#This Row],[Conc events/bin]]), " ", FiringRate13[[#This Row],[Conc events/bin]]/BinSize_sec)</f>
        <v xml:space="preserve"> </v>
      </c>
      <c r="M211" s="2"/>
      <c r="N211" s="2"/>
      <c r="O211" s="2"/>
      <c r="P211" s="2"/>
      <c r="AO211" s="42"/>
      <c r="BV211"/>
    </row>
    <row r="212" spans="2:74" x14ac:dyDescent="0.2">
      <c r="B212" s="1" t="str">
        <f t="shared" si="40"/>
        <v>Greater than Total Length</v>
      </c>
      <c r="C212" s="1" t="str">
        <f t="shared" si="41"/>
        <v>Greater than Total Length</v>
      </c>
      <c r="D212" s="18" t="str">
        <f t="shared" si="42"/>
        <v>Greater than Total Length</v>
      </c>
      <c r="E212" s="18" t="str">
        <f t="shared" si="43"/>
        <v>Greater than Total Length</v>
      </c>
      <c r="F212" s="19" t="str">
        <f t="shared" si="44"/>
        <v>Greater than Total Length</v>
      </c>
      <c r="G212" s="19" t="str">
        <f t="shared" si="45"/>
        <v>Greater than Total Length</v>
      </c>
      <c r="H212" s="20"/>
      <c r="I212" s="21"/>
      <c r="J212" s="1" t="str">
        <f>IF(ISBLANK(FiringRate13[[#This Row],[Event/bin]]), " ", FiringRate13[[#This Row],[Event/bin]]/BinSize_sec)</f>
        <v xml:space="preserve"> </v>
      </c>
      <c r="K212" s="22" t="str">
        <f>IF(ISBLANK(FiringRate13[[#This Row],[Conc events/bin]]), " ", FiringRate13[[#This Row],[Conc events/bin]]/BinSize_sec)</f>
        <v xml:space="preserve"> </v>
      </c>
      <c r="M212" s="2"/>
      <c r="N212" s="2"/>
      <c r="O212" s="2"/>
      <c r="P212" s="2"/>
      <c r="AO212" s="42"/>
      <c r="BV212"/>
    </row>
    <row r="213" spans="2:74" x14ac:dyDescent="0.2">
      <c r="B213" s="1" t="str">
        <f t="shared" si="40"/>
        <v>Greater than Total Length</v>
      </c>
      <c r="C213" s="1" t="str">
        <f t="shared" si="41"/>
        <v>Greater than Total Length</v>
      </c>
      <c r="D213" s="18" t="str">
        <f t="shared" si="42"/>
        <v>Greater than Total Length</v>
      </c>
      <c r="E213" s="18" t="str">
        <f t="shared" si="43"/>
        <v>Greater than Total Length</v>
      </c>
      <c r="F213" s="19" t="str">
        <f t="shared" si="44"/>
        <v>Greater than Total Length</v>
      </c>
      <c r="G213" s="19" t="str">
        <f t="shared" si="45"/>
        <v>Greater than Total Length</v>
      </c>
      <c r="H213" s="20"/>
      <c r="I213" s="21"/>
      <c r="J213" s="1" t="str">
        <f>IF(ISBLANK(FiringRate13[[#This Row],[Event/bin]]), " ", FiringRate13[[#This Row],[Event/bin]]/BinSize_sec)</f>
        <v xml:space="preserve"> </v>
      </c>
      <c r="K213" s="22" t="str">
        <f>IF(ISBLANK(FiringRate13[[#This Row],[Conc events/bin]]), " ", FiringRate13[[#This Row],[Conc events/bin]]/BinSize_sec)</f>
        <v xml:space="preserve"> </v>
      </c>
      <c r="M213" s="2"/>
      <c r="N213" s="2"/>
      <c r="O213" s="2"/>
      <c r="P213" s="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BV213"/>
    </row>
    <row r="214" spans="2:74" x14ac:dyDescent="0.2">
      <c r="B214" s="1" t="str">
        <f t="shared" si="40"/>
        <v>Greater than Total Length</v>
      </c>
      <c r="C214" s="1" t="str">
        <f t="shared" si="41"/>
        <v>Greater than Total Length</v>
      </c>
      <c r="D214" s="18" t="str">
        <f t="shared" si="42"/>
        <v>Greater than Total Length</v>
      </c>
      <c r="E214" s="18" t="str">
        <f t="shared" si="43"/>
        <v>Greater than Total Length</v>
      </c>
      <c r="F214" s="19" t="str">
        <f t="shared" si="44"/>
        <v>Greater than Total Length</v>
      </c>
      <c r="G214" s="19" t="str">
        <f t="shared" si="45"/>
        <v>Greater than Total Length</v>
      </c>
      <c r="H214" s="20"/>
      <c r="I214" s="21"/>
      <c r="J214" s="1" t="str">
        <f>IF(ISBLANK(FiringRate13[[#This Row],[Event/bin]]), " ", FiringRate13[[#This Row],[Event/bin]]/BinSize_sec)</f>
        <v xml:space="preserve"> </v>
      </c>
      <c r="K214" s="22" t="str">
        <f>IF(ISBLANK(FiringRate13[[#This Row],[Conc events/bin]]), " ", FiringRate13[[#This Row],[Conc events/bin]]/BinSize_sec)</f>
        <v xml:space="preserve"> </v>
      </c>
      <c r="M214" s="2"/>
      <c r="N214" s="2"/>
      <c r="O214" s="2"/>
      <c r="P214" s="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BV214"/>
    </row>
    <row r="215" spans="2:74" x14ac:dyDescent="0.2">
      <c r="B215" s="1" t="str">
        <f t="shared" si="40"/>
        <v>Greater than Total Length</v>
      </c>
      <c r="C215" s="1" t="str">
        <f t="shared" si="41"/>
        <v>Greater than Total Length</v>
      </c>
      <c r="D215" s="18" t="str">
        <f t="shared" si="42"/>
        <v>Greater than Total Length</v>
      </c>
      <c r="E215" s="18" t="str">
        <f t="shared" si="43"/>
        <v>Greater than Total Length</v>
      </c>
      <c r="F215" s="19" t="str">
        <f t="shared" si="44"/>
        <v>Greater than Total Length</v>
      </c>
      <c r="G215" s="19" t="str">
        <f t="shared" si="45"/>
        <v>Greater than Total Length</v>
      </c>
      <c r="H215" s="20"/>
      <c r="I215" s="21"/>
      <c r="J215" s="1" t="str">
        <f>IF(ISBLANK(FiringRate13[[#This Row],[Event/bin]]), " ", FiringRate13[[#This Row],[Event/bin]]/BinSize_sec)</f>
        <v xml:space="preserve"> </v>
      </c>
      <c r="K215" s="22" t="str">
        <f>IF(ISBLANK(FiringRate13[[#This Row],[Conc events/bin]]), " ", FiringRate13[[#This Row],[Conc events/bin]]/BinSize_sec)</f>
        <v xml:space="preserve"> </v>
      </c>
      <c r="M215" s="2"/>
      <c r="N215" s="2"/>
      <c r="O215" s="2"/>
      <c r="P215" s="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BV215"/>
    </row>
    <row r="216" spans="2:74" x14ac:dyDescent="0.2">
      <c r="B216" s="1" t="str">
        <f t="shared" si="40"/>
        <v>Greater than Total Length</v>
      </c>
      <c r="C216" s="1" t="str">
        <f t="shared" si="41"/>
        <v>Greater than Total Length</v>
      </c>
      <c r="D216" s="18" t="str">
        <f t="shared" si="42"/>
        <v>Greater than Total Length</v>
      </c>
      <c r="E216" s="18" t="str">
        <f t="shared" si="43"/>
        <v>Greater than Total Length</v>
      </c>
      <c r="F216" s="19" t="str">
        <f t="shared" si="44"/>
        <v>Greater than Total Length</v>
      </c>
      <c r="G216" s="19" t="str">
        <f t="shared" si="45"/>
        <v>Greater than Total Length</v>
      </c>
      <c r="H216" s="20"/>
      <c r="I216" s="21"/>
      <c r="J216" s="1" t="str">
        <f>IF(ISBLANK(FiringRate13[[#This Row],[Event/bin]]), " ", FiringRate13[[#This Row],[Event/bin]]/BinSize_sec)</f>
        <v xml:space="preserve"> </v>
      </c>
      <c r="K216" s="22" t="str">
        <f>IF(ISBLANK(FiringRate13[[#This Row],[Conc events/bin]]), " ", FiringRate13[[#This Row],[Conc events/bin]]/BinSize_sec)</f>
        <v xml:space="preserve"> </v>
      </c>
      <c r="M216" s="2"/>
      <c r="N216" s="2"/>
      <c r="O216" s="2"/>
      <c r="P216" s="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BV216"/>
    </row>
    <row r="217" spans="2:74" x14ac:dyDescent="0.2">
      <c r="B217" s="1" t="str">
        <f t="shared" si="40"/>
        <v>Greater than Total Length</v>
      </c>
      <c r="C217" s="1" t="str">
        <f t="shared" si="41"/>
        <v>Greater than Total Length</v>
      </c>
      <c r="D217" s="18" t="str">
        <f t="shared" si="42"/>
        <v>Greater than Total Length</v>
      </c>
      <c r="E217" s="18" t="str">
        <f t="shared" si="43"/>
        <v>Greater than Total Length</v>
      </c>
      <c r="F217" s="19" t="str">
        <f t="shared" si="44"/>
        <v>Greater than Total Length</v>
      </c>
      <c r="G217" s="19" t="str">
        <f t="shared" si="45"/>
        <v>Greater than Total Length</v>
      </c>
      <c r="H217" s="20"/>
      <c r="I217" s="21"/>
      <c r="J217" s="1" t="str">
        <f>IF(ISBLANK(FiringRate13[[#This Row],[Event/bin]]), " ", FiringRate13[[#This Row],[Event/bin]]/BinSize_sec)</f>
        <v xml:space="preserve"> </v>
      </c>
      <c r="K217" s="22" t="str">
        <f>IF(ISBLANK(FiringRate13[[#This Row],[Conc events/bin]]), " ", FiringRate13[[#This Row],[Conc events/bin]]/BinSize_sec)</f>
        <v xml:space="preserve"> </v>
      </c>
      <c r="M217" s="2"/>
      <c r="N217" s="2"/>
      <c r="O217" s="2"/>
      <c r="P217" s="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BV217"/>
    </row>
    <row r="218" spans="2:74" x14ac:dyDescent="0.2">
      <c r="B218" s="1" t="str">
        <f t="shared" si="40"/>
        <v>Greater than Total Length</v>
      </c>
      <c r="C218" s="1" t="str">
        <f t="shared" si="41"/>
        <v>Greater than Total Length</v>
      </c>
      <c r="D218" s="18" t="str">
        <f t="shared" si="42"/>
        <v>Greater than Total Length</v>
      </c>
      <c r="E218" s="18" t="str">
        <f t="shared" si="43"/>
        <v>Greater than Total Length</v>
      </c>
      <c r="F218" s="19" t="str">
        <f t="shared" si="44"/>
        <v>Greater than Total Length</v>
      </c>
      <c r="G218" s="19" t="str">
        <f t="shared" si="45"/>
        <v>Greater than Total Length</v>
      </c>
      <c r="H218" s="20"/>
      <c r="I218" s="21"/>
      <c r="J218" s="1" t="str">
        <f>IF(ISBLANK(FiringRate13[[#This Row],[Event/bin]]), " ", FiringRate13[[#This Row],[Event/bin]]/BinSize_sec)</f>
        <v xml:space="preserve"> </v>
      </c>
      <c r="K218" s="22" t="str">
        <f>IF(ISBLANK(FiringRate13[[#This Row],[Conc events/bin]]), " ", FiringRate13[[#This Row],[Conc events/bin]]/BinSize_sec)</f>
        <v xml:space="preserve"> </v>
      </c>
      <c r="M218" s="2"/>
      <c r="N218" s="2"/>
      <c r="O218" s="2"/>
      <c r="P218" s="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BV218"/>
    </row>
    <row r="219" spans="2:74" x14ac:dyDescent="0.2">
      <c r="B219" s="1" t="str">
        <f t="shared" si="40"/>
        <v>Greater than Total Length</v>
      </c>
      <c r="C219" s="1" t="str">
        <f t="shared" si="41"/>
        <v>Greater than Total Length</v>
      </c>
      <c r="D219" s="18" t="str">
        <f t="shared" si="42"/>
        <v>Greater than Total Length</v>
      </c>
      <c r="E219" s="18" t="str">
        <f t="shared" si="43"/>
        <v>Greater than Total Length</v>
      </c>
      <c r="F219" s="19" t="str">
        <f t="shared" si="44"/>
        <v>Greater than Total Length</v>
      </c>
      <c r="G219" s="19" t="str">
        <f t="shared" si="45"/>
        <v>Greater than Total Length</v>
      </c>
      <c r="H219" s="20"/>
      <c r="I219" s="21"/>
      <c r="J219" s="1" t="str">
        <f>IF(ISBLANK(FiringRate13[[#This Row],[Event/bin]]), " ", FiringRate13[[#This Row],[Event/bin]]/BinSize_sec)</f>
        <v xml:space="preserve"> </v>
      </c>
      <c r="K219" s="22" t="str">
        <f>IF(ISBLANK(FiringRate13[[#This Row],[Conc events/bin]]), " ", FiringRate13[[#This Row],[Conc events/bin]]/BinSize_sec)</f>
        <v xml:space="preserve"> </v>
      </c>
      <c r="M219" s="2"/>
      <c r="N219" s="2"/>
      <c r="O219" s="2"/>
      <c r="P219" s="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BV219"/>
    </row>
    <row r="220" spans="2:74" x14ac:dyDescent="0.2">
      <c r="B220" s="1" t="str">
        <f t="shared" si="40"/>
        <v>Greater than Total Length</v>
      </c>
      <c r="C220" s="1" t="str">
        <f t="shared" si="41"/>
        <v>Greater than Total Length</v>
      </c>
      <c r="D220" s="18" t="str">
        <f t="shared" si="42"/>
        <v>Greater than Total Length</v>
      </c>
      <c r="E220" s="18" t="str">
        <f t="shared" si="43"/>
        <v>Greater than Total Length</v>
      </c>
      <c r="F220" s="19" t="str">
        <f t="shared" si="44"/>
        <v>Greater than Total Length</v>
      </c>
      <c r="G220" s="19" t="str">
        <f t="shared" si="45"/>
        <v>Greater than Total Length</v>
      </c>
      <c r="H220" s="20"/>
      <c r="I220" s="21"/>
      <c r="J220" s="1" t="str">
        <f>IF(ISBLANK(FiringRate13[[#This Row],[Event/bin]]), " ", FiringRate13[[#This Row],[Event/bin]]/BinSize_sec)</f>
        <v xml:space="preserve"> </v>
      </c>
      <c r="K220" s="22" t="str">
        <f>IF(ISBLANK(FiringRate13[[#This Row],[Conc events/bin]]), " ", FiringRate13[[#This Row],[Conc events/bin]]/BinSize_sec)</f>
        <v xml:space="preserve"> </v>
      </c>
      <c r="M220" s="2"/>
      <c r="N220" s="2"/>
      <c r="O220" s="2"/>
      <c r="P220" s="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BV220"/>
    </row>
    <row r="221" spans="2:74" x14ac:dyDescent="0.2">
      <c r="B221" s="1" t="str">
        <f t="shared" si="40"/>
        <v>Greater than Total Length</v>
      </c>
      <c r="C221" s="1" t="str">
        <f t="shared" si="41"/>
        <v>Greater than Total Length</v>
      </c>
      <c r="D221" s="18" t="str">
        <f t="shared" si="42"/>
        <v>Greater than Total Length</v>
      </c>
      <c r="E221" s="18" t="str">
        <f t="shared" si="43"/>
        <v>Greater than Total Length</v>
      </c>
      <c r="F221" s="19" t="str">
        <f t="shared" si="44"/>
        <v>Greater than Total Length</v>
      </c>
      <c r="G221" s="19" t="str">
        <f t="shared" si="45"/>
        <v>Greater than Total Length</v>
      </c>
      <c r="H221" s="20"/>
      <c r="I221" s="21"/>
      <c r="J221" s="1" t="str">
        <f>IF(ISBLANK(FiringRate13[[#This Row],[Event/bin]]), " ", FiringRate13[[#This Row],[Event/bin]]/BinSize_sec)</f>
        <v xml:space="preserve"> </v>
      </c>
      <c r="K221" s="22" t="str">
        <f>IF(ISBLANK(FiringRate13[[#This Row],[Conc events/bin]]), " ", FiringRate13[[#This Row],[Conc events/bin]]/BinSize_sec)</f>
        <v xml:space="preserve"> </v>
      </c>
      <c r="M221" s="2"/>
      <c r="N221" s="2"/>
      <c r="O221" s="2"/>
      <c r="P221" s="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BV221"/>
    </row>
    <row r="222" spans="2:74" x14ac:dyDescent="0.2">
      <c r="B222" s="1" t="str">
        <f t="shared" si="40"/>
        <v>Greater than Total Length</v>
      </c>
      <c r="C222" s="1" t="str">
        <f t="shared" si="41"/>
        <v>Greater than Total Length</v>
      </c>
      <c r="D222" s="18" t="str">
        <f t="shared" si="42"/>
        <v>Greater than Total Length</v>
      </c>
      <c r="E222" s="18" t="str">
        <f t="shared" si="43"/>
        <v>Greater than Total Length</v>
      </c>
      <c r="F222" s="19" t="str">
        <f t="shared" si="44"/>
        <v>Greater than Total Length</v>
      </c>
      <c r="G222" s="19" t="str">
        <f t="shared" si="45"/>
        <v>Greater than Total Length</v>
      </c>
      <c r="H222" s="20"/>
      <c r="I222" s="21"/>
      <c r="J222" s="1" t="str">
        <f>IF(ISBLANK(FiringRate13[[#This Row],[Event/bin]]), " ", FiringRate13[[#This Row],[Event/bin]]/BinSize_sec)</f>
        <v xml:space="preserve"> </v>
      </c>
      <c r="K222" s="22" t="str">
        <f>IF(ISBLANK(FiringRate13[[#This Row],[Conc events/bin]]), " ", FiringRate13[[#This Row],[Conc events/bin]]/BinSize_sec)</f>
        <v xml:space="preserve"> </v>
      </c>
      <c r="M222" s="2"/>
      <c r="N222" s="2"/>
      <c r="O222" s="2"/>
      <c r="P222" s="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BV222"/>
    </row>
    <row r="223" spans="2:74" x14ac:dyDescent="0.2">
      <c r="B223" s="1" t="str">
        <f t="shared" si="40"/>
        <v>Greater than Total Length</v>
      </c>
      <c r="C223" s="1" t="str">
        <f t="shared" si="41"/>
        <v>Greater than Total Length</v>
      </c>
      <c r="D223" s="18" t="str">
        <f t="shared" si="42"/>
        <v>Greater than Total Length</v>
      </c>
      <c r="E223" s="18" t="str">
        <f t="shared" si="43"/>
        <v>Greater than Total Length</v>
      </c>
      <c r="F223" s="19" t="str">
        <f t="shared" si="44"/>
        <v>Greater than Total Length</v>
      </c>
      <c r="G223" s="19" t="str">
        <f t="shared" si="45"/>
        <v>Greater than Total Length</v>
      </c>
      <c r="H223" s="20"/>
      <c r="I223" s="21"/>
      <c r="J223" s="1" t="str">
        <f>IF(ISBLANK(FiringRate13[[#This Row],[Event/bin]]), " ", FiringRate13[[#This Row],[Event/bin]]/BinSize_sec)</f>
        <v xml:space="preserve"> </v>
      </c>
      <c r="K223" s="22" t="str">
        <f>IF(ISBLANK(FiringRate13[[#This Row],[Conc events/bin]]), " ", FiringRate13[[#This Row],[Conc events/bin]]/BinSize_sec)</f>
        <v xml:space="preserve"> </v>
      </c>
      <c r="M223" s="2"/>
      <c r="N223" s="2"/>
      <c r="O223" s="2"/>
      <c r="P223" s="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BV223"/>
    </row>
    <row r="224" spans="2:74" x14ac:dyDescent="0.2">
      <c r="B224" s="1" t="str">
        <f t="shared" si="40"/>
        <v>Greater than Total Length</v>
      </c>
      <c r="C224" s="1" t="str">
        <f t="shared" si="41"/>
        <v>Greater than Total Length</v>
      </c>
      <c r="D224" s="18" t="str">
        <f t="shared" si="42"/>
        <v>Greater than Total Length</v>
      </c>
      <c r="E224" s="18" t="str">
        <f t="shared" si="43"/>
        <v>Greater than Total Length</v>
      </c>
      <c r="F224" s="19" t="str">
        <f t="shared" si="44"/>
        <v>Greater than Total Length</v>
      </c>
      <c r="G224" s="19" t="str">
        <f t="shared" si="45"/>
        <v>Greater than Total Length</v>
      </c>
      <c r="H224" s="20"/>
      <c r="I224" s="21"/>
      <c r="J224" s="1" t="str">
        <f>IF(ISBLANK(FiringRate13[[#This Row],[Event/bin]]), " ", FiringRate13[[#This Row],[Event/bin]]/BinSize_sec)</f>
        <v xml:space="preserve"> </v>
      </c>
      <c r="K224" s="22" t="str">
        <f>IF(ISBLANK(FiringRate13[[#This Row],[Conc events/bin]]), " ", FiringRate13[[#This Row],[Conc events/bin]]/BinSize_sec)</f>
        <v xml:space="preserve"> </v>
      </c>
      <c r="M224" s="2"/>
      <c r="N224" s="2"/>
      <c r="O224" s="2"/>
      <c r="P224" s="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BV224"/>
    </row>
    <row r="225" spans="2:74" x14ac:dyDescent="0.2">
      <c r="B225" s="1" t="str">
        <f t="shared" si="40"/>
        <v>Greater than Total Length</v>
      </c>
      <c r="C225" s="1" t="str">
        <f t="shared" si="41"/>
        <v>Greater than Total Length</v>
      </c>
      <c r="D225" s="18" t="str">
        <f t="shared" si="42"/>
        <v>Greater than Total Length</v>
      </c>
      <c r="E225" s="18" t="str">
        <f t="shared" si="43"/>
        <v>Greater than Total Length</v>
      </c>
      <c r="F225" s="19" t="str">
        <f t="shared" si="44"/>
        <v>Greater than Total Length</v>
      </c>
      <c r="G225" s="19" t="str">
        <f t="shared" si="45"/>
        <v>Greater than Total Length</v>
      </c>
      <c r="H225" s="20"/>
      <c r="I225" s="21"/>
      <c r="J225" s="1" t="str">
        <f>IF(ISBLANK(FiringRate13[[#This Row],[Event/bin]]), " ", FiringRate13[[#This Row],[Event/bin]]/BinSize_sec)</f>
        <v xml:space="preserve"> </v>
      </c>
      <c r="K225" s="22" t="str">
        <f>IF(ISBLANK(FiringRate13[[#This Row],[Conc events/bin]]), " ", FiringRate13[[#This Row],[Conc events/bin]]/BinSize_sec)</f>
        <v xml:space="preserve"> </v>
      </c>
      <c r="M225" s="2"/>
      <c r="N225" s="2"/>
      <c r="O225" s="2"/>
      <c r="P225" s="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BV225"/>
    </row>
    <row r="226" spans="2:74" x14ac:dyDescent="0.2">
      <c r="B226" s="1" t="str">
        <f t="shared" si="40"/>
        <v>Greater than Total Length</v>
      </c>
      <c r="C226" s="1" t="str">
        <f t="shared" si="41"/>
        <v>Greater than Total Length</v>
      </c>
      <c r="D226" s="18" t="str">
        <f t="shared" si="42"/>
        <v>Greater than Total Length</v>
      </c>
      <c r="E226" s="18" t="str">
        <f t="shared" si="43"/>
        <v>Greater than Total Length</v>
      </c>
      <c r="F226" s="19" t="str">
        <f t="shared" si="44"/>
        <v>Greater than Total Length</v>
      </c>
      <c r="G226" s="19" t="str">
        <f t="shared" si="45"/>
        <v>Greater than Total Length</v>
      </c>
      <c r="H226" s="20"/>
      <c r="I226" s="21"/>
      <c r="J226" s="1" t="str">
        <f>IF(ISBLANK(FiringRate13[[#This Row],[Event/bin]]), " ", FiringRate13[[#This Row],[Event/bin]]/BinSize_sec)</f>
        <v xml:space="preserve"> </v>
      </c>
      <c r="K226" s="22" t="str">
        <f>IF(ISBLANK(FiringRate13[[#This Row],[Conc events/bin]]), " ", FiringRate13[[#This Row],[Conc events/bin]]/BinSize_sec)</f>
        <v xml:space="preserve"> </v>
      </c>
      <c r="M226" s="2"/>
      <c r="N226" s="2"/>
      <c r="O226" s="2"/>
      <c r="P226" s="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BV226"/>
    </row>
    <row r="227" spans="2:74" x14ac:dyDescent="0.2">
      <c r="B227" s="1" t="str">
        <f t="shared" si="40"/>
        <v>Greater than Total Length</v>
      </c>
      <c r="C227" s="1" t="str">
        <f t="shared" si="41"/>
        <v>Greater than Total Length</v>
      </c>
      <c r="D227" s="18" t="str">
        <f t="shared" si="42"/>
        <v>Greater than Total Length</v>
      </c>
      <c r="E227" s="18" t="str">
        <f t="shared" si="43"/>
        <v>Greater than Total Length</v>
      </c>
      <c r="F227" s="19" t="str">
        <f t="shared" si="44"/>
        <v>Greater than Total Length</v>
      </c>
      <c r="G227" s="19" t="str">
        <f t="shared" si="45"/>
        <v>Greater than Total Length</v>
      </c>
      <c r="H227" s="20"/>
      <c r="I227" s="21"/>
      <c r="J227" s="1" t="str">
        <f>IF(ISBLANK(FiringRate13[[#This Row],[Event/bin]]), " ", FiringRate13[[#This Row],[Event/bin]]/BinSize_sec)</f>
        <v xml:space="preserve"> </v>
      </c>
      <c r="K227" s="22" t="str">
        <f>IF(ISBLANK(FiringRate13[[#This Row],[Conc events/bin]]), " ", FiringRate13[[#This Row],[Conc events/bin]]/BinSize_sec)</f>
        <v xml:space="preserve"> </v>
      </c>
      <c r="M227" s="2"/>
      <c r="N227" s="2"/>
      <c r="O227" s="2"/>
      <c r="P227" s="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BV227"/>
    </row>
    <row r="228" spans="2:74" x14ac:dyDescent="0.2">
      <c r="B228" s="1" t="str">
        <f t="shared" si="40"/>
        <v>Greater than Total Length</v>
      </c>
      <c r="C228" s="1" t="str">
        <f t="shared" si="41"/>
        <v>Greater than Total Length</v>
      </c>
      <c r="D228" s="18" t="str">
        <f t="shared" si="42"/>
        <v>Greater than Total Length</v>
      </c>
      <c r="E228" s="18" t="str">
        <f t="shared" si="43"/>
        <v>Greater than Total Length</v>
      </c>
      <c r="F228" s="19" t="str">
        <f t="shared" si="44"/>
        <v>Greater than Total Length</v>
      </c>
      <c r="G228" s="19" t="str">
        <f t="shared" si="45"/>
        <v>Greater than Total Length</v>
      </c>
      <c r="H228" s="20"/>
      <c r="I228" s="21"/>
      <c r="J228" s="1" t="str">
        <f>IF(ISBLANK(FiringRate13[[#This Row],[Event/bin]]), " ", FiringRate13[[#This Row],[Event/bin]]/BinSize_sec)</f>
        <v xml:space="preserve"> </v>
      </c>
      <c r="K228" s="22" t="str">
        <f>IF(ISBLANK(FiringRate13[[#This Row],[Conc events/bin]]), " ", FiringRate13[[#This Row],[Conc events/bin]]/BinSize_sec)</f>
        <v xml:space="preserve"> </v>
      </c>
      <c r="M228" s="2"/>
      <c r="N228" s="2"/>
      <c r="O228" s="2"/>
      <c r="P228" s="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BV228"/>
    </row>
    <row r="229" spans="2:74" x14ac:dyDescent="0.2">
      <c r="B229" s="1" t="str">
        <f t="shared" si="40"/>
        <v>Greater than Total Length</v>
      </c>
      <c r="C229" s="1" t="str">
        <f t="shared" si="41"/>
        <v>Greater than Total Length</v>
      </c>
      <c r="D229" s="18" t="str">
        <f t="shared" si="42"/>
        <v>Greater than Total Length</v>
      </c>
      <c r="E229" s="18" t="str">
        <f t="shared" si="43"/>
        <v>Greater than Total Length</v>
      </c>
      <c r="F229" s="19" t="str">
        <f t="shared" si="44"/>
        <v>Greater than Total Length</v>
      </c>
      <c r="G229" s="19" t="str">
        <f t="shared" si="45"/>
        <v>Greater than Total Length</v>
      </c>
      <c r="H229" s="20"/>
      <c r="I229" s="21"/>
      <c r="J229" s="1" t="str">
        <f>IF(ISBLANK(FiringRate13[[#This Row],[Event/bin]]), " ", FiringRate13[[#This Row],[Event/bin]]/BinSize_sec)</f>
        <v xml:space="preserve"> </v>
      </c>
      <c r="K229" s="22" t="str">
        <f>IF(ISBLANK(FiringRate13[[#This Row],[Conc events/bin]]), " ", FiringRate13[[#This Row],[Conc events/bin]]/BinSize_sec)</f>
        <v xml:space="preserve"> </v>
      </c>
      <c r="M229" s="2"/>
      <c r="N229" s="2"/>
      <c r="O229" s="2"/>
      <c r="P229" s="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BV229"/>
    </row>
    <row r="230" spans="2:74" x14ac:dyDescent="0.2">
      <c r="B230" s="1" t="str">
        <f t="shared" si="40"/>
        <v>Greater than Total Length</v>
      </c>
      <c r="C230" s="1" t="str">
        <f t="shared" si="41"/>
        <v>Greater than Total Length</v>
      </c>
      <c r="D230" s="18" t="str">
        <f t="shared" si="42"/>
        <v>Greater than Total Length</v>
      </c>
      <c r="E230" s="18" t="str">
        <f t="shared" si="43"/>
        <v>Greater than Total Length</v>
      </c>
      <c r="F230" s="19" t="str">
        <f t="shared" si="44"/>
        <v>Greater than Total Length</v>
      </c>
      <c r="G230" s="19" t="str">
        <f t="shared" si="45"/>
        <v>Greater than Total Length</v>
      </c>
      <c r="H230" s="20"/>
      <c r="I230" s="21"/>
      <c r="J230" s="1" t="str">
        <f>IF(ISBLANK(FiringRate13[[#This Row],[Event/bin]]), " ", FiringRate13[[#This Row],[Event/bin]]/BinSize_sec)</f>
        <v xml:space="preserve"> </v>
      </c>
      <c r="K230" s="22" t="str">
        <f>IF(ISBLANK(FiringRate13[[#This Row],[Conc events/bin]]), " ", FiringRate13[[#This Row],[Conc events/bin]]/BinSize_sec)</f>
        <v xml:space="preserve"> </v>
      </c>
      <c r="M230" s="2"/>
      <c r="N230" s="2"/>
      <c r="O230" s="2"/>
      <c r="P230" s="2"/>
      <c r="BV230"/>
    </row>
    <row r="231" spans="2:74" x14ac:dyDescent="0.2">
      <c r="B231" s="1" t="str">
        <f t="shared" si="40"/>
        <v>Greater than Total Length</v>
      </c>
      <c r="C231" s="1" t="str">
        <f t="shared" si="41"/>
        <v>Greater than Total Length</v>
      </c>
      <c r="D231" s="18" t="str">
        <f t="shared" si="42"/>
        <v>Greater than Total Length</v>
      </c>
      <c r="E231" s="18" t="str">
        <f t="shared" si="43"/>
        <v>Greater than Total Length</v>
      </c>
      <c r="F231" s="19" t="str">
        <f t="shared" si="44"/>
        <v>Greater than Total Length</v>
      </c>
      <c r="G231" s="19" t="str">
        <f t="shared" si="45"/>
        <v>Greater than Total Length</v>
      </c>
      <c r="H231" s="20"/>
      <c r="I231" s="21"/>
      <c r="J231" s="1" t="str">
        <f>IF(ISBLANK(FiringRate13[[#This Row],[Event/bin]]), " ", FiringRate13[[#This Row],[Event/bin]]/BinSize_sec)</f>
        <v xml:space="preserve"> </v>
      </c>
      <c r="K231" s="22" t="str">
        <f>IF(ISBLANK(FiringRate13[[#This Row],[Conc events/bin]]), " ", FiringRate13[[#This Row],[Conc events/bin]]/BinSize_sec)</f>
        <v xml:space="preserve"> </v>
      </c>
      <c r="M231" s="2"/>
      <c r="N231" s="2"/>
      <c r="O231" s="2"/>
      <c r="P231" s="2"/>
      <c r="BV231"/>
    </row>
    <row r="232" spans="2:74" x14ac:dyDescent="0.2">
      <c r="B232" s="1" t="str">
        <f t="shared" si="40"/>
        <v>Greater than Total Length</v>
      </c>
      <c r="C232" s="1" t="str">
        <f t="shared" si="41"/>
        <v>Greater than Total Length</v>
      </c>
      <c r="D232" s="18" t="str">
        <f t="shared" si="42"/>
        <v>Greater than Total Length</v>
      </c>
      <c r="E232" s="18" t="str">
        <f t="shared" si="43"/>
        <v>Greater than Total Length</v>
      </c>
      <c r="F232" s="19" t="str">
        <f t="shared" si="44"/>
        <v>Greater than Total Length</v>
      </c>
      <c r="G232" s="19" t="str">
        <f t="shared" si="45"/>
        <v>Greater than Total Length</v>
      </c>
      <c r="H232" s="20"/>
      <c r="I232" s="21"/>
      <c r="J232" s="1" t="str">
        <f>IF(ISBLANK(FiringRate13[[#This Row],[Event/bin]]), " ", FiringRate13[[#This Row],[Event/bin]]/BinSize_sec)</f>
        <v xml:space="preserve"> </v>
      </c>
      <c r="K232" s="22" t="str">
        <f>IF(ISBLANK(FiringRate13[[#This Row],[Conc events/bin]]), " ", FiringRate13[[#This Row],[Conc events/bin]]/BinSize_sec)</f>
        <v xml:space="preserve"> </v>
      </c>
      <c r="M232" s="2"/>
      <c r="N232" s="2"/>
      <c r="O232" s="2"/>
      <c r="P232" s="2"/>
      <c r="BV232"/>
    </row>
    <row r="233" spans="2:74" x14ac:dyDescent="0.2">
      <c r="B233" s="1" t="str">
        <f t="shared" si="40"/>
        <v>Greater than Total Length</v>
      </c>
      <c r="C233" s="1" t="str">
        <f t="shared" si="41"/>
        <v>Greater than Total Length</v>
      </c>
      <c r="D233" s="18" t="str">
        <f t="shared" si="42"/>
        <v>Greater than Total Length</v>
      </c>
      <c r="E233" s="18" t="str">
        <f t="shared" si="43"/>
        <v>Greater than Total Length</v>
      </c>
      <c r="F233" s="19" t="str">
        <f t="shared" si="44"/>
        <v>Greater than Total Length</v>
      </c>
      <c r="G233" s="19" t="str">
        <f t="shared" si="45"/>
        <v>Greater than Total Length</v>
      </c>
      <c r="H233" s="20"/>
      <c r="I233" s="21"/>
      <c r="J233" s="1" t="str">
        <f>IF(ISBLANK(FiringRate13[[#This Row],[Event/bin]]), " ", FiringRate13[[#This Row],[Event/bin]]/BinSize_sec)</f>
        <v xml:space="preserve"> </v>
      </c>
      <c r="K233" s="22" t="str">
        <f>IF(ISBLANK(FiringRate13[[#This Row],[Conc events/bin]]), " ", FiringRate13[[#This Row],[Conc events/bin]]/BinSize_sec)</f>
        <v xml:space="preserve"> </v>
      </c>
      <c r="M233" s="2"/>
      <c r="N233" s="2"/>
      <c r="O233" s="2"/>
      <c r="P233" s="2"/>
      <c r="BV233"/>
    </row>
    <row r="234" spans="2:74" x14ac:dyDescent="0.2">
      <c r="B234" s="1" t="str">
        <f t="shared" si="40"/>
        <v>Greater than Total Length</v>
      </c>
      <c r="C234" s="1" t="str">
        <f t="shared" si="41"/>
        <v>Greater than Total Length</v>
      </c>
      <c r="D234" s="18" t="str">
        <f t="shared" si="42"/>
        <v>Greater than Total Length</v>
      </c>
      <c r="E234" s="18" t="str">
        <f t="shared" si="43"/>
        <v>Greater than Total Length</v>
      </c>
      <c r="F234" s="19" t="str">
        <f t="shared" si="44"/>
        <v>Greater than Total Length</v>
      </c>
      <c r="G234" s="19" t="str">
        <f t="shared" si="45"/>
        <v>Greater than Total Length</v>
      </c>
      <c r="H234" s="20"/>
      <c r="I234" s="21"/>
      <c r="J234" s="1" t="str">
        <f>IF(ISBLANK(FiringRate13[[#This Row],[Event/bin]]), " ", FiringRate13[[#This Row],[Event/bin]]/BinSize_sec)</f>
        <v xml:space="preserve"> </v>
      </c>
      <c r="K234" s="22" t="str">
        <f>IF(ISBLANK(FiringRate13[[#This Row],[Conc events/bin]]), " ", FiringRate13[[#This Row],[Conc events/bin]]/BinSize_sec)</f>
        <v xml:space="preserve"> </v>
      </c>
      <c r="M234" s="2"/>
      <c r="N234" s="2"/>
      <c r="O234" s="2"/>
      <c r="P234" s="2"/>
      <c r="BV234"/>
    </row>
    <row r="235" spans="2:74" x14ac:dyDescent="0.2">
      <c r="B235" s="1" t="str">
        <f t="shared" si="40"/>
        <v>Greater than Total Length</v>
      </c>
      <c r="C235" s="1" t="str">
        <f t="shared" si="41"/>
        <v>Greater than Total Length</v>
      </c>
      <c r="D235" s="18" t="str">
        <f t="shared" si="42"/>
        <v>Greater than Total Length</v>
      </c>
      <c r="E235" s="18" t="str">
        <f t="shared" si="43"/>
        <v>Greater than Total Length</v>
      </c>
      <c r="F235" s="19" t="str">
        <f t="shared" si="44"/>
        <v>Greater than Total Length</v>
      </c>
      <c r="G235" s="19" t="str">
        <f t="shared" si="45"/>
        <v>Greater than Total Length</v>
      </c>
      <c r="H235" s="20"/>
      <c r="I235" s="21"/>
      <c r="J235" s="1" t="str">
        <f>IF(ISBLANK(FiringRate13[[#This Row],[Event/bin]]), " ", FiringRate13[[#This Row],[Event/bin]]/BinSize_sec)</f>
        <v xml:space="preserve"> </v>
      </c>
      <c r="K235" s="22" t="str">
        <f>IF(ISBLANK(FiringRate13[[#This Row],[Conc events/bin]]), " ", FiringRate13[[#This Row],[Conc events/bin]]/BinSize_sec)</f>
        <v xml:space="preserve"> </v>
      </c>
      <c r="M235" s="2"/>
      <c r="N235" s="2"/>
      <c r="O235" s="2"/>
      <c r="P235" s="2"/>
      <c r="BV235"/>
    </row>
    <row r="236" spans="2:74" x14ac:dyDescent="0.2">
      <c r="B236" s="1" t="str">
        <f t="shared" si="40"/>
        <v>Greater than Total Length</v>
      </c>
      <c r="C236" s="1" t="str">
        <f t="shared" si="41"/>
        <v>Greater than Total Length</v>
      </c>
      <c r="D236" s="18" t="str">
        <f t="shared" si="42"/>
        <v>Greater than Total Length</v>
      </c>
      <c r="E236" s="18" t="str">
        <f t="shared" si="43"/>
        <v>Greater than Total Length</v>
      </c>
      <c r="F236" s="19" t="str">
        <f t="shared" si="44"/>
        <v>Greater than Total Length</v>
      </c>
      <c r="G236" s="19" t="str">
        <f t="shared" si="45"/>
        <v>Greater than Total Length</v>
      </c>
      <c r="H236" s="20"/>
      <c r="I236" s="21"/>
      <c r="J236" s="1" t="str">
        <f>IF(ISBLANK(FiringRate13[[#This Row],[Event/bin]]), " ", FiringRate13[[#This Row],[Event/bin]]/BinSize_sec)</f>
        <v xml:space="preserve"> </v>
      </c>
      <c r="K236" s="22" t="str">
        <f>IF(ISBLANK(FiringRate13[[#This Row],[Conc events/bin]]), " ", FiringRate13[[#This Row],[Conc events/bin]]/BinSize_sec)</f>
        <v xml:space="preserve"> </v>
      </c>
      <c r="M236" s="2"/>
      <c r="N236" s="2"/>
      <c r="O236" s="2"/>
      <c r="P236" s="2"/>
      <c r="BV236"/>
    </row>
    <row r="237" spans="2:74" x14ac:dyDescent="0.2">
      <c r="B237" s="1" t="str">
        <f t="shared" si="40"/>
        <v>Greater than Total Length</v>
      </c>
      <c r="C237" s="1" t="str">
        <f t="shared" si="41"/>
        <v>Greater than Total Length</v>
      </c>
      <c r="D237" s="18" t="str">
        <f t="shared" si="42"/>
        <v>Greater than Total Length</v>
      </c>
      <c r="E237" s="18" t="str">
        <f t="shared" si="43"/>
        <v>Greater than Total Length</v>
      </c>
      <c r="F237" s="19" t="str">
        <f t="shared" si="44"/>
        <v>Greater than Total Length</v>
      </c>
      <c r="G237" s="19" t="str">
        <f t="shared" si="45"/>
        <v>Greater than Total Length</v>
      </c>
      <c r="H237" s="20"/>
      <c r="I237" s="21"/>
      <c r="J237" s="1" t="str">
        <f>IF(ISBLANK(FiringRate13[[#This Row],[Event/bin]]), " ", FiringRate13[[#This Row],[Event/bin]]/BinSize_sec)</f>
        <v xml:space="preserve"> </v>
      </c>
      <c r="K237" s="22" t="str">
        <f>IF(ISBLANK(FiringRate13[[#This Row],[Conc events/bin]]), " ", FiringRate13[[#This Row],[Conc events/bin]]/BinSize_sec)</f>
        <v xml:space="preserve"> </v>
      </c>
      <c r="M237" s="2"/>
      <c r="N237" s="2"/>
      <c r="O237" s="2"/>
      <c r="P237" s="2"/>
      <c r="BV237"/>
    </row>
    <row r="238" spans="2:74" x14ac:dyDescent="0.2">
      <c r="B238" s="1" t="str">
        <f t="shared" si="40"/>
        <v>Greater than Total Length</v>
      </c>
      <c r="C238" s="1" t="str">
        <f t="shared" si="41"/>
        <v>Greater than Total Length</v>
      </c>
      <c r="D238" s="18" t="str">
        <f t="shared" si="42"/>
        <v>Greater than Total Length</v>
      </c>
      <c r="E238" s="18" t="str">
        <f t="shared" si="43"/>
        <v>Greater than Total Length</v>
      </c>
      <c r="F238" s="19" t="str">
        <f t="shared" si="44"/>
        <v>Greater than Total Length</v>
      </c>
      <c r="G238" s="19" t="str">
        <f t="shared" si="45"/>
        <v>Greater than Total Length</v>
      </c>
      <c r="H238" s="20"/>
      <c r="I238" s="21"/>
      <c r="J238" s="1" t="str">
        <f>IF(ISBLANK(FiringRate13[[#This Row],[Event/bin]]), " ", FiringRate13[[#This Row],[Event/bin]]/BinSize_sec)</f>
        <v xml:space="preserve"> </v>
      </c>
      <c r="K238" s="22" t="str">
        <f>IF(ISBLANK(FiringRate13[[#This Row],[Conc events/bin]]), " ", FiringRate13[[#This Row],[Conc events/bin]]/BinSize_sec)</f>
        <v xml:space="preserve"> </v>
      </c>
      <c r="M238" s="2"/>
      <c r="N238" s="2"/>
      <c r="O238" s="2"/>
      <c r="P238" s="2"/>
      <c r="BV238"/>
    </row>
    <row r="239" spans="2:74" x14ac:dyDescent="0.2">
      <c r="B239" s="1" t="str">
        <f t="shared" si="40"/>
        <v>Greater than Total Length</v>
      </c>
      <c r="C239" s="1" t="str">
        <f t="shared" si="41"/>
        <v>Greater than Total Length</v>
      </c>
      <c r="D239" s="18" t="str">
        <f t="shared" si="42"/>
        <v>Greater than Total Length</v>
      </c>
      <c r="E239" s="18" t="str">
        <f t="shared" si="43"/>
        <v>Greater than Total Length</v>
      </c>
      <c r="F239" s="19" t="str">
        <f t="shared" si="44"/>
        <v>Greater than Total Length</v>
      </c>
      <c r="G239" s="19" t="str">
        <f t="shared" si="45"/>
        <v>Greater than Total Length</v>
      </c>
      <c r="H239" s="20"/>
      <c r="I239" s="21"/>
      <c r="J239" s="1" t="str">
        <f>IF(ISBLANK(FiringRate13[[#This Row],[Event/bin]]), " ", FiringRate13[[#This Row],[Event/bin]]/BinSize_sec)</f>
        <v xml:space="preserve"> </v>
      </c>
      <c r="K239" s="22" t="str">
        <f>IF(ISBLANK(FiringRate13[[#This Row],[Conc events/bin]]), " ", FiringRate13[[#This Row],[Conc events/bin]]/BinSize_sec)</f>
        <v xml:space="preserve"> </v>
      </c>
      <c r="M239" s="2"/>
      <c r="N239" s="2"/>
      <c r="O239" s="2"/>
      <c r="P239" s="2"/>
      <c r="BV239"/>
    </row>
    <row r="240" spans="2:74" x14ac:dyDescent="0.2">
      <c r="B240" s="1" t="str">
        <f t="shared" si="40"/>
        <v>Greater than Total Length</v>
      </c>
      <c r="C240" s="1" t="str">
        <f t="shared" si="41"/>
        <v>Greater than Total Length</v>
      </c>
      <c r="D240" s="18" t="str">
        <f t="shared" si="42"/>
        <v>Greater than Total Length</v>
      </c>
      <c r="E240" s="18" t="str">
        <f t="shared" si="43"/>
        <v>Greater than Total Length</v>
      </c>
      <c r="F240" s="19" t="str">
        <f t="shared" si="44"/>
        <v>Greater than Total Length</v>
      </c>
      <c r="G240" s="19" t="str">
        <f t="shared" si="45"/>
        <v>Greater than Total Length</v>
      </c>
      <c r="H240" s="20"/>
      <c r="I240" s="21"/>
      <c r="J240" s="1" t="str">
        <f>IF(ISBLANK(FiringRate13[[#This Row],[Event/bin]]), " ", FiringRate13[[#This Row],[Event/bin]]/BinSize_sec)</f>
        <v xml:space="preserve"> </v>
      </c>
      <c r="K240" s="22" t="str">
        <f>IF(ISBLANK(FiringRate13[[#This Row],[Conc events/bin]]), " ", FiringRate13[[#This Row],[Conc events/bin]]/BinSize_sec)</f>
        <v xml:space="preserve"> </v>
      </c>
      <c r="M240" s="2"/>
      <c r="N240" s="2"/>
      <c r="O240" s="2"/>
      <c r="P240" s="2"/>
      <c r="BV240"/>
    </row>
    <row r="241" spans="2:74" x14ac:dyDescent="0.2">
      <c r="B241" s="1" t="str">
        <f t="shared" ref="B241:B272" si="46">IF(E240&lt;TotalLength_min, IF(ISNONTEXT(B240), IF(C241&gt;C240, B240, IF(B240&lt;LastSeries, B240+1)), B240), "Greater than Total Length")</f>
        <v>Greater than Total Length</v>
      </c>
      <c r="C241" s="1" t="str">
        <f t="shared" ref="C241:C272" si="47">IF(E240&lt;TotalLength_min, IF(ISNONTEXT(C240), IF(C240&lt;(BinsPerSeries-1),C240+1,0), C240), "Greater than Total Length")</f>
        <v>Greater than Total Length</v>
      </c>
      <c r="D241" s="18" t="str">
        <f t="shared" ref="D241:D272" si="48">IF(BinSize_sec &gt; 0, IF(ISNONTEXT(F240), IF(F240 + BinSize_sec &lt; TotalLength_sec, F241/60, "Greater than Total Length"), F240), "No bin size")</f>
        <v>Greater than Total Length</v>
      </c>
      <c r="E241" s="18" t="str">
        <f t="shared" ref="E241:E272" si="49">IF(BinSize_sec &gt; 0, IF(ISNONTEXT(G240), IF(G240 + BinSize_sec &gt; TotalLength_sec, "Greater than Total Length", G241/60), G240), "No bin size")</f>
        <v>Greater than Total Length</v>
      </c>
      <c r="F241" s="19" t="str">
        <f t="shared" ref="F241:F272" si="50">IF(BinSize_sec &gt; 0, IF(ISNONTEXT(F240), IF(F240 + BinSize_sec &lt; TotalLength_sec, F240 + BinSize_sec, "Greater than Total Length"), F240), "No bin size")</f>
        <v>Greater than Total Length</v>
      </c>
      <c r="G241" s="19" t="str">
        <f t="shared" ref="G241:G272" si="51">IF(BinSize_sec &gt; 0, IF(ISNONTEXT(G240), IF(G240 + BinSize_sec &gt; TotalLength_sec, "Greater than Total Length", G240 + BinSize_sec), G240), "No bin size")</f>
        <v>Greater than Total Length</v>
      </c>
      <c r="H241" s="20"/>
      <c r="I241" s="21"/>
      <c r="J241" s="1" t="str">
        <f>IF(ISBLANK(FiringRate13[[#This Row],[Event/bin]]), " ", FiringRate13[[#This Row],[Event/bin]]/BinSize_sec)</f>
        <v xml:space="preserve"> </v>
      </c>
      <c r="K241" s="22" t="str">
        <f>IF(ISBLANK(FiringRate13[[#This Row],[Conc events/bin]]), " ", FiringRate13[[#This Row],[Conc events/bin]]/BinSize_sec)</f>
        <v xml:space="preserve"> </v>
      </c>
      <c r="M241" s="2"/>
      <c r="N241" s="2"/>
      <c r="O241" s="2"/>
      <c r="P241" s="2"/>
      <c r="BV241"/>
    </row>
    <row r="242" spans="2:74" x14ac:dyDescent="0.2">
      <c r="B242" s="1" t="str">
        <f t="shared" si="46"/>
        <v>Greater than Total Length</v>
      </c>
      <c r="C242" s="1" t="str">
        <f t="shared" si="47"/>
        <v>Greater than Total Length</v>
      </c>
      <c r="D242" s="18" t="str">
        <f t="shared" si="48"/>
        <v>Greater than Total Length</v>
      </c>
      <c r="E242" s="18" t="str">
        <f t="shared" si="49"/>
        <v>Greater than Total Length</v>
      </c>
      <c r="F242" s="19" t="str">
        <f t="shared" si="50"/>
        <v>Greater than Total Length</v>
      </c>
      <c r="G242" s="19" t="str">
        <f t="shared" si="51"/>
        <v>Greater than Total Length</v>
      </c>
      <c r="H242" s="20"/>
      <c r="I242" s="21"/>
      <c r="J242" s="1" t="str">
        <f>IF(ISBLANK(FiringRate13[[#This Row],[Event/bin]]), " ", FiringRate13[[#This Row],[Event/bin]]/BinSize_sec)</f>
        <v xml:space="preserve"> </v>
      </c>
      <c r="K242" s="22" t="str">
        <f>IF(ISBLANK(FiringRate13[[#This Row],[Conc events/bin]]), " ", FiringRate13[[#This Row],[Conc events/bin]]/BinSize_sec)</f>
        <v xml:space="preserve"> </v>
      </c>
      <c r="M242" s="2"/>
      <c r="N242" s="2"/>
      <c r="O242" s="2"/>
      <c r="P242" s="2"/>
      <c r="BV242"/>
    </row>
    <row r="243" spans="2:74" x14ac:dyDescent="0.2">
      <c r="B243" s="1" t="str">
        <f t="shared" si="46"/>
        <v>Greater than Total Length</v>
      </c>
      <c r="C243" s="1" t="str">
        <f t="shared" si="47"/>
        <v>Greater than Total Length</v>
      </c>
      <c r="D243" s="18" t="str">
        <f t="shared" si="48"/>
        <v>Greater than Total Length</v>
      </c>
      <c r="E243" s="18" t="str">
        <f t="shared" si="49"/>
        <v>Greater than Total Length</v>
      </c>
      <c r="F243" s="19" t="str">
        <f t="shared" si="50"/>
        <v>Greater than Total Length</v>
      </c>
      <c r="G243" s="19" t="str">
        <f t="shared" si="51"/>
        <v>Greater than Total Length</v>
      </c>
      <c r="H243" s="20"/>
      <c r="I243" s="21"/>
      <c r="J243" s="1" t="str">
        <f>IF(ISBLANK(FiringRate13[[#This Row],[Event/bin]]), " ", FiringRate13[[#This Row],[Event/bin]]/BinSize_sec)</f>
        <v xml:space="preserve"> </v>
      </c>
      <c r="K243" s="22" t="str">
        <f>IF(ISBLANK(FiringRate13[[#This Row],[Conc events/bin]]), " ", FiringRate13[[#This Row],[Conc events/bin]]/BinSize_sec)</f>
        <v xml:space="preserve"> </v>
      </c>
      <c r="M243" s="2"/>
      <c r="N243" s="2"/>
      <c r="O243" s="2"/>
      <c r="P243" s="2"/>
      <c r="BV243"/>
    </row>
    <row r="244" spans="2:74" x14ac:dyDescent="0.2">
      <c r="B244" s="1" t="str">
        <f t="shared" si="46"/>
        <v>Greater than Total Length</v>
      </c>
      <c r="C244" s="1" t="str">
        <f t="shared" si="47"/>
        <v>Greater than Total Length</v>
      </c>
      <c r="D244" s="18" t="str">
        <f t="shared" si="48"/>
        <v>Greater than Total Length</v>
      </c>
      <c r="E244" s="18" t="str">
        <f t="shared" si="49"/>
        <v>Greater than Total Length</v>
      </c>
      <c r="F244" s="19" t="str">
        <f t="shared" si="50"/>
        <v>Greater than Total Length</v>
      </c>
      <c r="G244" s="19" t="str">
        <f t="shared" si="51"/>
        <v>Greater than Total Length</v>
      </c>
      <c r="H244" s="20"/>
      <c r="I244" s="21"/>
      <c r="J244" s="1" t="str">
        <f>IF(ISBLANK(FiringRate13[[#This Row],[Event/bin]]), " ", FiringRate13[[#This Row],[Event/bin]]/BinSize_sec)</f>
        <v xml:space="preserve"> </v>
      </c>
      <c r="K244" s="22" t="str">
        <f>IF(ISBLANK(FiringRate13[[#This Row],[Conc events/bin]]), " ", FiringRate13[[#This Row],[Conc events/bin]]/BinSize_sec)</f>
        <v xml:space="preserve"> </v>
      </c>
      <c r="M244" s="2"/>
      <c r="N244" s="2"/>
      <c r="O244" s="2"/>
      <c r="P244" s="2"/>
      <c r="BV244"/>
    </row>
    <row r="245" spans="2:74" x14ac:dyDescent="0.2">
      <c r="B245" s="1" t="str">
        <f t="shared" si="46"/>
        <v>Greater than Total Length</v>
      </c>
      <c r="C245" s="1" t="str">
        <f t="shared" si="47"/>
        <v>Greater than Total Length</v>
      </c>
      <c r="D245" s="18" t="str">
        <f t="shared" si="48"/>
        <v>Greater than Total Length</v>
      </c>
      <c r="E245" s="18" t="str">
        <f t="shared" si="49"/>
        <v>Greater than Total Length</v>
      </c>
      <c r="F245" s="19" t="str">
        <f t="shared" si="50"/>
        <v>Greater than Total Length</v>
      </c>
      <c r="G245" s="19" t="str">
        <f t="shared" si="51"/>
        <v>Greater than Total Length</v>
      </c>
      <c r="H245" s="20"/>
      <c r="I245" s="21"/>
      <c r="J245" s="1" t="str">
        <f>IF(ISBLANK(FiringRate13[[#This Row],[Event/bin]]), " ", FiringRate13[[#This Row],[Event/bin]]/BinSize_sec)</f>
        <v xml:space="preserve"> </v>
      </c>
      <c r="K245" s="22" t="str">
        <f>IF(ISBLANK(FiringRate13[[#This Row],[Conc events/bin]]), " ", FiringRate13[[#This Row],[Conc events/bin]]/BinSize_sec)</f>
        <v xml:space="preserve"> </v>
      </c>
      <c r="M245" s="2"/>
      <c r="N245" s="2"/>
      <c r="O245" s="2"/>
      <c r="P245" s="2"/>
      <c r="BV245"/>
    </row>
    <row r="246" spans="2:74" x14ac:dyDescent="0.2">
      <c r="B246" s="1" t="str">
        <f t="shared" si="46"/>
        <v>Greater than Total Length</v>
      </c>
      <c r="C246" s="1" t="str">
        <f t="shared" si="47"/>
        <v>Greater than Total Length</v>
      </c>
      <c r="D246" s="18" t="str">
        <f t="shared" si="48"/>
        <v>Greater than Total Length</v>
      </c>
      <c r="E246" s="18" t="str">
        <f t="shared" si="49"/>
        <v>Greater than Total Length</v>
      </c>
      <c r="F246" s="19" t="str">
        <f t="shared" si="50"/>
        <v>Greater than Total Length</v>
      </c>
      <c r="G246" s="19" t="str">
        <f t="shared" si="51"/>
        <v>Greater than Total Length</v>
      </c>
      <c r="H246" s="20"/>
      <c r="I246" s="21"/>
      <c r="J246" s="1" t="str">
        <f>IF(ISBLANK(FiringRate13[[#This Row],[Event/bin]]), " ", FiringRate13[[#This Row],[Event/bin]]/BinSize_sec)</f>
        <v xml:space="preserve"> </v>
      </c>
      <c r="K246" s="22" t="str">
        <f>IF(ISBLANK(FiringRate13[[#This Row],[Conc events/bin]]), " ", FiringRate13[[#This Row],[Conc events/bin]]/BinSize_sec)</f>
        <v xml:space="preserve"> </v>
      </c>
      <c r="M246" s="2"/>
      <c r="N246" s="2"/>
      <c r="O246" s="2"/>
      <c r="P246" s="2"/>
      <c r="BV246"/>
    </row>
    <row r="247" spans="2:74" x14ac:dyDescent="0.2">
      <c r="B247" s="1" t="str">
        <f t="shared" si="46"/>
        <v>Greater than Total Length</v>
      </c>
      <c r="C247" s="1" t="str">
        <f t="shared" si="47"/>
        <v>Greater than Total Length</v>
      </c>
      <c r="D247" s="18" t="str">
        <f t="shared" si="48"/>
        <v>Greater than Total Length</v>
      </c>
      <c r="E247" s="18" t="str">
        <f t="shared" si="49"/>
        <v>Greater than Total Length</v>
      </c>
      <c r="F247" s="19" t="str">
        <f t="shared" si="50"/>
        <v>Greater than Total Length</v>
      </c>
      <c r="G247" s="19" t="str">
        <f t="shared" si="51"/>
        <v>Greater than Total Length</v>
      </c>
      <c r="H247" s="20"/>
      <c r="I247" s="21"/>
      <c r="J247" s="1" t="str">
        <f>IF(ISBLANK(FiringRate13[[#This Row],[Event/bin]]), " ", FiringRate13[[#This Row],[Event/bin]]/BinSize_sec)</f>
        <v xml:space="preserve"> </v>
      </c>
      <c r="K247" s="22" t="str">
        <f>IF(ISBLANK(FiringRate13[[#This Row],[Conc events/bin]]), " ", FiringRate13[[#This Row],[Conc events/bin]]/BinSize_sec)</f>
        <v xml:space="preserve"> </v>
      </c>
      <c r="M247" s="2"/>
      <c r="N247" s="2"/>
      <c r="O247" s="2"/>
      <c r="P247" s="2"/>
      <c r="BV247" t="s">
        <v>232</v>
      </c>
    </row>
    <row r="248" spans="2:74" x14ac:dyDescent="0.2">
      <c r="B248" s="1" t="str">
        <f t="shared" si="46"/>
        <v>Greater than Total Length</v>
      </c>
      <c r="C248" s="1" t="str">
        <f t="shared" si="47"/>
        <v>Greater than Total Length</v>
      </c>
      <c r="D248" s="18" t="str">
        <f t="shared" si="48"/>
        <v>Greater than Total Length</v>
      </c>
      <c r="E248" s="18" t="str">
        <f t="shared" si="49"/>
        <v>Greater than Total Length</v>
      </c>
      <c r="F248" s="19" t="str">
        <f t="shared" si="50"/>
        <v>Greater than Total Length</v>
      </c>
      <c r="G248" s="19" t="str">
        <f t="shared" si="51"/>
        <v>Greater than Total Length</v>
      </c>
      <c r="H248" s="20"/>
      <c r="I248" s="21"/>
      <c r="J248" s="1" t="str">
        <f>IF(ISBLANK(FiringRate13[[#This Row],[Event/bin]]), " ", FiringRate13[[#This Row],[Event/bin]]/BinSize_sec)</f>
        <v xml:space="preserve"> </v>
      </c>
      <c r="K248" s="22" t="str">
        <f>IF(ISBLANK(FiringRate13[[#This Row],[Conc events/bin]]), " ", FiringRate13[[#This Row],[Conc events/bin]]/BinSize_sec)</f>
        <v xml:space="preserve"> </v>
      </c>
      <c r="M248" s="2"/>
      <c r="N248" s="2"/>
      <c r="O248" s="2"/>
      <c r="P248" s="2"/>
      <c r="BV248"/>
    </row>
    <row r="249" spans="2:74" x14ac:dyDescent="0.2">
      <c r="B249" s="1" t="str">
        <f t="shared" si="46"/>
        <v>Greater than Total Length</v>
      </c>
      <c r="C249" s="1" t="str">
        <f t="shared" si="47"/>
        <v>Greater than Total Length</v>
      </c>
      <c r="D249" s="18" t="str">
        <f t="shared" si="48"/>
        <v>Greater than Total Length</v>
      </c>
      <c r="E249" s="18" t="str">
        <f t="shared" si="49"/>
        <v>Greater than Total Length</v>
      </c>
      <c r="F249" s="19" t="str">
        <f t="shared" si="50"/>
        <v>Greater than Total Length</v>
      </c>
      <c r="G249" s="19" t="str">
        <f t="shared" si="51"/>
        <v>Greater than Total Length</v>
      </c>
      <c r="H249" s="20"/>
      <c r="I249" s="21"/>
      <c r="J249" s="1" t="str">
        <f>IF(ISBLANK(FiringRate13[[#This Row],[Event/bin]]), " ", FiringRate13[[#This Row],[Event/bin]]/BinSize_sec)</f>
        <v xml:space="preserve"> </v>
      </c>
      <c r="K249" s="22" t="str">
        <f>IF(ISBLANK(FiringRate13[[#This Row],[Conc events/bin]]), " ", FiringRate13[[#This Row],[Conc events/bin]]/BinSize_sec)</f>
        <v xml:space="preserve"> </v>
      </c>
      <c r="M249" s="2"/>
      <c r="N249" s="2"/>
      <c r="O249" s="2"/>
      <c r="P249" s="2"/>
      <c r="BV249"/>
    </row>
    <row r="250" spans="2:74" x14ac:dyDescent="0.2">
      <c r="B250" s="1" t="str">
        <f t="shared" si="46"/>
        <v>Greater than Total Length</v>
      </c>
      <c r="C250" s="1" t="str">
        <f t="shared" si="47"/>
        <v>Greater than Total Length</v>
      </c>
      <c r="D250" s="18" t="str">
        <f t="shared" si="48"/>
        <v>Greater than Total Length</v>
      </c>
      <c r="E250" s="18" t="str">
        <f t="shared" si="49"/>
        <v>Greater than Total Length</v>
      </c>
      <c r="F250" s="19" t="str">
        <f t="shared" si="50"/>
        <v>Greater than Total Length</v>
      </c>
      <c r="G250" s="19" t="str">
        <f t="shared" si="51"/>
        <v>Greater than Total Length</v>
      </c>
      <c r="H250" s="20"/>
      <c r="I250" s="21"/>
      <c r="J250" s="1" t="str">
        <f>IF(ISBLANK(FiringRate13[[#This Row],[Event/bin]]), " ", FiringRate13[[#This Row],[Event/bin]]/BinSize_sec)</f>
        <v xml:space="preserve"> </v>
      </c>
      <c r="K250" s="22" t="str">
        <f>IF(ISBLANK(FiringRate13[[#This Row],[Conc events/bin]]), " ", FiringRate13[[#This Row],[Conc events/bin]]/BinSize_sec)</f>
        <v xml:space="preserve"> </v>
      </c>
      <c r="M250" s="2"/>
      <c r="N250" s="2"/>
      <c r="O250" s="2"/>
      <c r="P250" s="2"/>
      <c r="BV250"/>
    </row>
    <row r="251" spans="2:74" x14ac:dyDescent="0.2">
      <c r="B251" s="1" t="str">
        <f t="shared" si="46"/>
        <v>Greater than Total Length</v>
      </c>
      <c r="C251" s="1" t="str">
        <f t="shared" si="47"/>
        <v>Greater than Total Length</v>
      </c>
      <c r="D251" s="18" t="str">
        <f t="shared" si="48"/>
        <v>Greater than Total Length</v>
      </c>
      <c r="E251" s="18" t="str">
        <f t="shared" si="49"/>
        <v>Greater than Total Length</v>
      </c>
      <c r="F251" s="19" t="str">
        <f t="shared" si="50"/>
        <v>Greater than Total Length</v>
      </c>
      <c r="G251" s="19" t="str">
        <f t="shared" si="51"/>
        <v>Greater than Total Length</v>
      </c>
      <c r="H251" s="20"/>
      <c r="I251" s="21"/>
      <c r="J251" s="1" t="str">
        <f>IF(ISBLANK(FiringRate13[[#This Row],[Event/bin]]), " ", FiringRate13[[#This Row],[Event/bin]]/BinSize_sec)</f>
        <v xml:space="preserve"> </v>
      </c>
      <c r="K251" s="22" t="str">
        <f>IF(ISBLANK(FiringRate13[[#This Row],[Conc events/bin]]), " ", FiringRate13[[#This Row],[Conc events/bin]]/BinSize_sec)</f>
        <v xml:space="preserve"> </v>
      </c>
      <c r="M251" s="2"/>
      <c r="N251" s="2"/>
      <c r="O251" s="2"/>
      <c r="P251" s="2"/>
      <c r="BV251"/>
    </row>
    <row r="252" spans="2:74" x14ac:dyDescent="0.2">
      <c r="B252" s="1" t="str">
        <f t="shared" si="46"/>
        <v>Greater than Total Length</v>
      </c>
      <c r="C252" s="1" t="str">
        <f t="shared" si="47"/>
        <v>Greater than Total Length</v>
      </c>
      <c r="D252" s="18" t="str">
        <f t="shared" si="48"/>
        <v>Greater than Total Length</v>
      </c>
      <c r="E252" s="18" t="str">
        <f t="shared" si="49"/>
        <v>Greater than Total Length</v>
      </c>
      <c r="F252" s="19" t="str">
        <f t="shared" si="50"/>
        <v>Greater than Total Length</v>
      </c>
      <c r="G252" s="19" t="str">
        <f t="shared" si="51"/>
        <v>Greater than Total Length</v>
      </c>
      <c r="H252" s="20"/>
      <c r="I252" s="21"/>
      <c r="J252" s="1" t="str">
        <f>IF(ISBLANK(FiringRate13[[#This Row],[Event/bin]]), " ", FiringRate13[[#This Row],[Event/bin]]/BinSize_sec)</f>
        <v xml:space="preserve"> </v>
      </c>
      <c r="K252" s="22" t="str">
        <f>IF(ISBLANK(FiringRate13[[#This Row],[Conc events/bin]]), " ", FiringRate13[[#This Row],[Conc events/bin]]/BinSize_sec)</f>
        <v xml:space="preserve"> </v>
      </c>
      <c r="M252" s="2"/>
      <c r="N252" s="2"/>
      <c r="O252" s="2"/>
      <c r="P252" s="2"/>
      <c r="BV252"/>
    </row>
    <row r="253" spans="2:74" x14ac:dyDescent="0.2">
      <c r="B253" s="1" t="str">
        <f t="shared" si="46"/>
        <v>Greater than Total Length</v>
      </c>
      <c r="C253" s="1" t="str">
        <f t="shared" si="47"/>
        <v>Greater than Total Length</v>
      </c>
      <c r="D253" s="18" t="str">
        <f t="shared" si="48"/>
        <v>Greater than Total Length</v>
      </c>
      <c r="E253" s="18" t="str">
        <f t="shared" si="49"/>
        <v>Greater than Total Length</v>
      </c>
      <c r="F253" s="19" t="str">
        <f t="shared" si="50"/>
        <v>Greater than Total Length</v>
      </c>
      <c r="G253" s="19" t="str">
        <f t="shared" si="51"/>
        <v>Greater than Total Length</v>
      </c>
      <c r="H253" s="20"/>
      <c r="I253" s="21"/>
      <c r="J253" s="1" t="str">
        <f>IF(ISBLANK(FiringRate13[[#This Row],[Event/bin]]), " ", FiringRate13[[#This Row],[Event/bin]]/BinSize_sec)</f>
        <v xml:space="preserve"> </v>
      </c>
      <c r="K253" s="22" t="str">
        <f>IF(ISBLANK(FiringRate13[[#This Row],[Conc events/bin]]), " ", FiringRate13[[#This Row],[Conc events/bin]]/BinSize_sec)</f>
        <v xml:space="preserve"> </v>
      </c>
      <c r="M253" s="2"/>
      <c r="N253" s="2"/>
      <c r="O253" s="2"/>
      <c r="P253" s="2"/>
      <c r="BV253"/>
    </row>
    <row r="254" spans="2:74" x14ac:dyDescent="0.2">
      <c r="B254" s="1" t="str">
        <f t="shared" si="46"/>
        <v>Greater than Total Length</v>
      </c>
      <c r="C254" s="1" t="str">
        <f t="shared" si="47"/>
        <v>Greater than Total Length</v>
      </c>
      <c r="D254" s="18" t="str">
        <f t="shared" si="48"/>
        <v>Greater than Total Length</v>
      </c>
      <c r="E254" s="18" t="str">
        <f t="shared" si="49"/>
        <v>Greater than Total Length</v>
      </c>
      <c r="F254" s="19" t="str">
        <f t="shared" si="50"/>
        <v>Greater than Total Length</v>
      </c>
      <c r="G254" s="19" t="str">
        <f t="shared" si="51"/>
        <v>Greater than Total Length</v>
      </c>
      <c r="H254" s="20"/>
      <c r="I254" s="21"/>
      <c r="J254" s="1" t="str">
        <f>IF(ISBLANK(FiringRate13[[#This Row],[Event/bin]]), " ", FiringRate13[[#This Row],[Event/bin]]/BinSize_sec)</f>
        <v xml:space="preserve"> </v>
      </c>
      <c r="K254" s="22" t="str">
        <f>IF(ISBLANK(FiringRate13[[#This Row],[Conc events/bin]]), " ", FiringRate13[[#This Row],[Conc events/bin]]/BinSize_sec)</f>
        <v xml:space="preserve"> </v>
      </c>
      <c r="M254" s="2"/>
      <c r="N254" s="2"/>
      <c r="O254" s="2"/>
      <c r="P254" s="2"/>
      <c r="BV254"/>
    </row>
    <row r="255" spans="2:74" x14ac:dyDescent="0.2">
      <c r="B255" s="1" t="str">
        <f t="shared" si="46"/>
        <v>Greater than Total Length</v>
      </c>
      <c r="C255" s="1" t="str">
        <f t="shared" si="47"/>
        <v>Greater than Total Length</v>
      </c>
      <c r="D255" s="18" t="str">
        <f t="shared" si="48"/>
        <v>Greater than Total Length</v>
      </c>
      <c r="E255" s="18" t="str">
        <f t="shared" si="49"/>
        <v>Greater than Total Length</v>
      </c>
      <c r="F255" s="19" t="str">
        <f t="shared" si="50"/>
        <v>Greater than Total Length</v>
      </c>
      <c r="G255" s="19" t="str">
        <f t="shared" si="51"/>
        <v>Greater than Total Length</v>
      </c>
      <c r="H255" s="20"/>
      <c r="I255" s="21"/>
      <c r="J255" s="1" t="str">
        <f>IF(ISBLANK(FiringRate13[[#This Row],[Event/bin]]), " ", FiringRate13[[#This Row],[Event/bin]]/BinSize_sec)</f>
        <v xml:space="preserve"> </v>
      </c>
      <c r="K255" s="22" t="str">
        <f>IF(ISBLANK(FiringRate13[[#This Row],[Conc events/bin]]), " ", FiringRate13[[#This Row],[Conc events/bin]]/BinSize_sec)</f>
        <v xml:space="preserve"> </v>
      </c>
      <c r="M255" s="2"/>
      <c r="N255" s="2"/>
      <c r="O255" s="2"/>
      <c r="P255" s="2"/>
      <c r="BV255"/>
    </row>
    <row r="256" spans="2:74" x14ac:dyDescent="0.2">
      <c r="B256" s="1" t="str">
        <f t="shared" si="46"/>
        <v>Greater than Total Length</v>
      </c>
      <c r="C256" s="1" t="str">
        <f t="shared" si="47"/>
        <v>Greater than Total Length</v>
      </c>
      <c r="D256" s="18" t="str">
        <f t="shared" si="48"/>
        <v>Greater than Total Length</v>
      </c>
      <c r="E256" s="18" t="str">
        <f t="shared" si="49"/>
        <v>Greater than Total Length</v>
      </c>
      <c r="F256" s="19" t="str">
        <f t="shared" si="50"/>
        <v>Greater than Total Length</v>
      </c>
      <c r="G256" s="19" t="str">
        <f t="shared" si="51"/>
        <v>Greater than Total Length</v>
      </c>
      <c r="H256" s="20"/>
      <c r="I256" s="21"/>
      <c r="J256" s="1" t="str">
        <f>IF(ISBLANK(FiringRate13[[#This Row],[Event/bin]]), " ", FiringRate13[[#This Row],[Event/bin]]/BinSize_sec)</f>
        <v xml:space="preserve"> </v>
      </c>
      <c r="K256" s="22" t="str">
        <f>IF(ISBLANK(FiringRate13[[#This Row],[Conc events/bin]]), " ", FiringRate13[[#This Row],[Conc events/bin]]/BinSize_sec)</f>
        <v xml:space="preserve"> </v>
      </c>
      <c r="M256" s="2"/>
      <c r="N256" s="2"/>
      <c r="O256" s="2"/>
      <c r="P256" s="2"/>
      <c r="BV256"/>
    </row>
    <row r="257" spans="2:16" x14ac:dyDescent="0.2">
      <c r="B257" s="1" t="str">
        <f t="shared" si="46"/>
        <v>Greater than Total Length</v>
      </c>
      <c r="C257" s="1" t="str">
        <f t="shared" si="47"/>
        <v>Greater than Total Length</v>
      </c>
      <c r="D257" s="18" t="str">
        <f t="shared" si="48"/>
        <v>Greater than Total Length</v>
      </c>
      <c r="E257" s="18" t="str">
        <f t="shared" si="49"/>
        <v>Greater than Total Length</v>
      </c>
      <c r="F257" s="19" t="str">
        <f t="shared" si="50"/>
        <v>Greater than Total Length</v>
      </c>
      <c r="G257" s="19" t="str">
        <f t="shared" si="51"/>
        <v>Greater than Total Length</v>
      </c>
      <c r="H257" s="20"/>
      <c r="I257" s="21"/>
      <c r="J257" s="1" t="str">
        <f>IF(ISBLANK(FiringRate13[[#This Row],[Event/bin]]), " ", FiringRate13[[#This Row],[Event/bin]]/BinSize_sec)</f>
        <v xml:space="preserve"> </v>
      </c>
      <c r="K257" s="22" t="str">
        <f>IF(ISBLANK(FiringRate13[[#This Row],[Conc events/bin]]), " ", FiringRate13[[#This Row],[Conc events/bin]]/BinSize_sec)</f>
        <v xml:space="preserve"> </v>
      </c>
      <c r="M257" s="2"/>
      <c r="N257" s="2"/>
      <c r="O257" s="2"/>
      <c r="P257" s="2"/>
    </row>
    <row r="258" spans="2:16" x14ac:dyDescent="0.2">
      <c r="B258" s="1" t="str">
        <f t="shared" si="46"/>
        <v>Greater than Total Length</v>
      </c>
      <c r="C258" s="1" t="str">
        <f t="shared" si="47"/>
        <v>Greater than Total Length</v>
      </c>
      <c r="D258" s="18" t="str">
        <f t="shared" si="48"/>
        <v>Greater than Total Length</v>
      </c>
      <c r="E258" s="18" t="str">
        <f t="shared" si="49"/>
        <v>Greater than Total Length</v>
      </c>
      <c r="F258" s="19" t="str">
        <f t="shared" si="50"/>
        <v>Greater than Total Length</v>
      </c>
      <c r="G258" s="19" t="str">
        <f t="shared" si="51"/>
        <v>Greater than Total Length</v>
      </c>
      <c r="H258" s="20"/>
      <c r="I258" s="21"/>
      <c r="J258" s="1" t="str">
        <f>IF(ISBLANK(FiringRate13[[#This Row],[Event/bin]]), " ", FiringRate13[[#This Row],[Event/bin]]/BinSize_sec)</f>
        <v xml:space="preserve"> </v>
      </c>
      <c r="K258" s="22" t="str">
        <f>IF(ISBLANK(FiringRate13[[#This Row],[Conc events/bin]]), " ", FiringRate13[[#This Row],[Conc events/bin]]/BinSize_sec)</f>
        <v xml:space="preserve"> </v>
      </c>
      <c r="M258" s="2"/>
      <c r="N258" s="2"/>
      <c r="O258" s="2"/>
      <c r="P258" s="2"/>
    </row>
    <row r="259" spans="2:16" x14ac:dyDescent="0.2">
      <c r="B259" s="1" t="str">
        <f t="shared" si="46"/>
        <v>Greater than Total Length</v>
      </c>
      <c r="C259" s="1" t="str">
        <f t="shared" si="47"/>
        <v>Greater than Total Length</v>
      </c>
      <c r="D259" s="18" t="str">
        <f t="shared" si="48"/>
        <v>Greater than Total Length</v>
      </c>
      <c r="E259" s="18" t="str">
        <f t="shared" si="49"/>
        <v>Greater than Total Length</v>
      </c>
      <c r="F259" s="19" t="str">
        <f t="shared" si="50"/>
        <v>Greater than Total Length</v>
      </c>
      <c r="G259" s="19" t="str">
        <f t="shared" si="51"/>
        <v>Greater than Total Length</v>
      </c>
      <c r="H259" s="20"/>
      <c r="I259" s="21"/>
      <c r="J259" s="1" t="str">
        <f>IF(ISBLANK(FiringRate13[[#This Row],[Event/bin]]), " ", FiringRate13[[#This Row],[Event/bin]]/BinSize_sec)</f>
        <v xml:space="preserve"> </v>
      </c>
      <c r="K259" s="22" t="str">
        <f>IF(ISBLANK(FiringRate13[[#This Row],[Conc events/bin]]), " ", FiringRate13[[#This Row],[Conc events/bin]]/BinSize_sec)</f>
        <v xml:space="preserve"> </v>
      </c>
      <c r="M259" s="2"/>
      <c r="N259" s="2"/>
      <c r="O259" s="2"/>
      <c r="P259" s="2"/>
    </row>
    <row r="260" spans="2:16" x14ac:dyDescent="0.2">
      <c r="B260" s="1" t="str">
        <f t="shared" si="46"/>
        <v>Greater than Total Length</v>
      </c>
      <c r="C260" s="1" t="str">
        <f t="shared" si="47"/>
        <v>Greater than Total Length</v>
      </c>
      <c r="D260" s="18" t="str">
        <f t="shared" si="48"/>
        <v>Greater than Total Length</v>
      </c>
      <c r="E260" s="18" t="str">
        <f t="shared" si="49"/>
        <v>Greater than Total Length</v>
      </c>
      <c r="F260" s="19" t="str">
        <f t="shared" si="50"/>
        <v>Greater than Total Length</v>
      </c>
      <c r="G260" s="19" t="str">
        <f t="shared" si="51"/>
        <v>Greater than Total Length</v>
      </c>
      <c r="H260" s="20"/>
      <c r="I260" s="21"/>
      <c r="J260" s="1" t="str">
        <f>IF(ISBLANK(FiringRate13[[#This Row],[Event/bin]]), " ", FiringRate13[[#This Row],[Event/bin]]/BinSize_sec)</f>
        <v xml:space="preserve"> </v>
      </c>
      <c r="K260" s="22" t="str">
        <f>IF(ISBLANK(FiringRate13[[#This Row],[Conc events/bin]]), " ", FiringRate13[[#This Row],[Conc events/bin]]/BinSize_sec)</f>
        <v xml:space="preserve"> </v>
      </c>
      <c r="M260" s="2"/>
      <c r="N260" s="2"/>
      <c r="O260" s="2"/>
      <c r="P260" s="2"/>
    </row>
    <row r="261" spans="2:16" x14ac:dyDescent="0.2">
      <c r="B261" s="1" t="str">
        <f t="shared" si="46"/>
        <v>Greater than Total Length</v>
      </c>
      <c r="C261" s="1" t="str">
        <f t="shared" si="47"/>
        <v>Greater than Total Length</v>
      </c>
      <c r="D261" s="18" t="str">
        <f t="shared" si="48"/>
        <v>Greater than Total Length</v>
      </c>
      <c r="E261" s="18" t="str">
        <f t="shared" si="49"/>
        <v>Greater than Total Length</v>
      </c>
      <c r="F261" s="19" t="str">
        <f t="shared" si="50"/>
        <v>Greater than Total Length</v>
      </c>
      <c r="G261" s="19" t="str">
        <f t="shared" si="51"/>
        <v>Greater than Total Length</v>
      </c>
      <c r="H261" s="20"/>
      <c r="I261" s="21"/>
      <c r="J261" s="1" t="str">
        <f>IF(ISBLANK(FiringRate13[[#This Row],[Event/bin]]), " ", FiringRate13[[#This Row],[Event/bin]]/BinSize_sec)</f>
        <v xml:space="preserve"> </v>
      </c>
      <c r="K261" s="22" t="str">
        <f>IF(ISBLANK(FiringRate13[[#This Row],[Conc events/bin]]), " ", FiringRate13[[#This Row],[Conc events/bin]]/BinSize_sec)</f>
        <v xml:space="preserve"> </v>
      </c>
      <c r="M261" s="2"/>
      <c r="N261" s="2"/>
      <c r="O261" s="2"/>
      <c r="P261" s="2"/>
    </row>
    <row r="262" spans="2:16" x14ac:dyDescent="0.2">
      <c r="B262" s="1" t="str">
        <f t="shared" si="46"/>
        <v>Greater than Total Length</v>
      </c>
      <c r="C262" s="1" t="str">
        <f t="shared" si="47"/>
        <v>Greater than Total Length</v>
      </c>
      <c r="D262" s="18" t="str">
        <f t="shared" si="48"/>
        <v>Greater than Total Length</v>
      </c>
      <c r="E262" s="18" t="str">
        <f t="shared" si="49"/>
        <v>Greater than Total Length</v>
      </c>
      <c r="F262" s="19" t="str">
        <f t="shared" si="50"/>
        <v>Greater than Total Length</v>
      </c>
      <c r="G262" s="19" t="str">
        <f t="shared" si="51"/>
        <v>Greater than Total Length</v>
      </c>
      <c r="H262" s="20"/>
      <c r="I262" s="21"/>
      <c r="J262" s="1" t="str">
        <f>IF(ISBLANK(FiringRate13[[#This Row],[Event/bin]]), " ", FiringRate13[[#This Row],[Event/bin]]/BinSize_sec)</f>
        <v xml:space="preserve"> </v>
      </c>
      <c r="K262" s="22" t="str">
        <f>IF(ISBLANK(FiringRate13[[#This Row],[Conc events/bin]]), " ", FiringRate13[[#This Row],[Conc events/bin]]/BinSize_sec)</f>
        <v xml:space="preserve"> </v>
      </c>
      <c r="M262" s="2"/>
      <c r="N262" s="2"/>
      <c r="O262" s="2"/>
      <c r="P262" s="2"/>
    </row>
    <row r="263" spans="2:16" x14ac:dyDescent="0.2">
      <c r="B263" s="1" t="str">
        <f t="shared" si="46"/>
        <v>Greater than Total Length</v>
      </c>
      <c r="C263" s="1" t="str">
        <f t="shared" si="47"/>
        <v>Greater than Total Length</v>
      </c>
      <c r="D263" s="18" t="str">
        <f t="shared" si="48"/>
        <v>Greater than Total Length</v>
      </c>
      <c r="E263" s="18" t="str">
        <f t="shared" si="49"/>
        <v>Greater than Total Length</v>
      </c>
      <c r="F263" s="19" t="str">
        <f t="shared" si="50"/>
        <v>Greater than Total Length</v>
      </c>
      <c r="G263" s="19" t="str">
        <f t="shared" si="51"/>
        <v>Greater than Total Length</v>
      </c>
      <c r="H263" s="20"/>
      <c r="I263" s="21"/>
      <c r="J263" s="1" t="str">
        <f>IF(ISBLANK(FiringRate13[[#This Row],[Event/bin]]), " ", FiringRate13[[#This Row],[Event/bin]]/BinSize_sec)</f>
        <v xml:space="preserve"> </v>
      </c>
      <c r="K263" s="22" t="str">
        <f>IF(ISBLANK(FiringRate13[[#This Row],[Conc events/bin]]), " ", FiringRate13[[#This Row],[Conc events/bin]]/BinSize_sec)</f>
        <v xml:space="preserve"> </v>
      </c>
      <c r="M263" s="2"/>
      <c r="N263" s="2"/>
      <c r="O263" s="2"/>
      <c r="P263" s="2"/>
    </row>
    <row r="264" spans="2:16" x14ac:dyDescent="0.2">
      <c r="B264" s="1" t="str">
        <f t="shared" si="46"/>
        <v>Greater than Total Length</v>
      </c>
      <c r="C264" s="1" t="str">
        <f t="shared" si="47"/>
        <v>Greater than Total Length</v>
      </c>
      <c r="D264" s="18" t="str">
        <f t="shared" si="48"/>
        <v>Greater than Total Length</v>
      </c>
      <c r="E264" s="18" t="str">
        <f t="shared" si="49"/>
        <v>Greater than Total Length</v>
      </c>
      <c r="F264" s="19" t="str">
        <f t="shared" si="50"/>
        <v>Greater than Total Length</v>
      </c>
      <c r="G264" s="19" t="str">
        <f t="shared" si="51"/>
        <v>Greater than Total Length</v>
      </c>
      <c r="H264" s="20"/>
      <c r="I264" s="21"/>
      <c r="J264" s="1" t="str">
        <f>IF(ISBLANK(FiringRate13[[#This Row],[Event/bin]]), " ", FiringRate13[[#This Row],[Event/bin]]/BinSize_sec)</f>
        <v xml:space="preserve"> </v>
      </c>
      <c r="K264" s="22" t="str">
        <f>IF(ISBLANK(FiringRate13[[#This Row],[Conc events/bin]]), " ", FiringRate13[[#This Row],[Conc events/bin]]/BinSize_sec)</f>
        <v xml:space="preserve"> </v>
      </c>
      <c r="M264" s="2"/>
      <c r="N264" s="2"/>
      <c r="O264" s="2"/>
      <c r="P264" s="2"/>
    </row>
    <row r="265" spans="2:16" x14ac:dyDescent="0.2">
      <c r="B265" s="1" t="str">
        <f t="shared" si="46"/>
        <v>Greater than Total Length</v>
      </c>
      <c r="C265" s="1" t="str">
        <f t="shared" si="47"/>
        <v>Greater than Total Length</v>
      </c>
      <c r="D265" s="18" t="str">
        <f t="shared" si="48"/>
        <v>Greater than Total Length</v>
      </c>
      <c r="E265" s="18" t="str">
        <f t="shared" si="49"/>
        <v>Greater than Total Length</v>
      </c>
      <c r="F265" s="19" t="str">
        <f t="shared" si="50"/>
        <v>Greater than Total Length</v>
      </c>
      <c r="G265" s="19" t="str">
        <f t="shared" si="51"/>
        <v>Greater than Total Length</v>
      </c>
      <c r="H265" s="20"/>
      <c r="I265" s="21"/>
      <c r="J265" s="1" t="str">
        <f>IF(ISBLANK(FiringRate13[[#This Row],[Event/bin]]), " ", FiringRate13[[#This Row],[Event/bin]]/BinSize_sec)</f>
        <v xml:space="preserve"> </v>
      </c>
      <c r="K265" s="22" t="str">
        <f>IF(ISBLANK(FiringRate13[[#This Row],[Conc events/bin]]), " ", FiringRate13[[#This Row],[Conc events/bin]]/BinSize_sec)</f>
        <v xml:space="preserve"> </v>
      </c>
      <c r="M265" s="2"/>
      <c r="N265" s="2"/>
      <c r="O265" s="2"/>
      <c r="P265" s="2"/>
    </row>
    <row r="266" spans="2:16" x14ac:dyDescent="0.2">
      <c r="B266" s="1" t="str">
        <f t="shared" si="46"/>
        <v>Greater than Total Length</v>
      </c>
      <c r="C266" s="1" t="str">
        <f t="shared" si="47"/>
        <v>Greater than Total Length</v>
      </c>
      <c r="D266" s="18" t="str">
        <f t="shared" si="48"/>
        <v>Greater than Total Length</v>
      </c>
      <c r="E266" s="18" t="str">
        <f t="shared" si="49"/>
        <v>Greater than Total Length</v>
      </c>
      <c r="F266" s="19" t="str">
        <f t="shared" si="50"/>
        <v>Greater than Total Length</v>
      </c>
      <c r="G266" s="19" t="str">
        <f t="shared" si="51"/>
        <v>Greater than Total Length</v>
      </c>
      <c r="H266" s="20"/>
      <c r="I266" s="21"/>
      <c r="J266" s="1" t="str">
        <f>IF(ISBLANK(FiringRate13[[#This Row],[Event/bin]]), " ", FiringRate13[[#This Row],[Event/bin]]/BinSize_sec)</f>
        <v xml:space="preserve"> </v>
      </c>
      <c r="K266" s="22" t="str">
        <f>IF(ISBLANK(FiringRate13[[#This Row],[Conc events/bin]]), " ", FiringRate13[[#This Row],[Conc events/bin]]/BinSize_sec)</f>
        <v xml:space="preserve"> </v>
      </c>
      <c r="M266" s="2"/>
      <c r="N266" s="2"/>
      <c r="O266" s="2"/>
      <c r="P266" s="2"/>
    </row>
    <row r="267" spans="2:16" x14ac:dyDescent="0.2">
      <c r="B267" s="1" t="str">
        <f t="shared" si="46"/>
        <v>Greater than Total Length</v>
      </c>
      <c r="C267" s="1" t="str">
        <f t="shared" si="47"/>
        <v>Greater than Total Length</v>
      </c>
      <c r="D267" s="18" t="str">
        <f t="shared" si="48"/>
        <v>Greater than Total Length</v>
      </c>
      <c r="E267" s="18" t="str">
        <f t="shared" si="49"/>
        <v>Greater than Total Length</v>
      </c>
      <c r="F267" s="19" t="str">
        <f t="shared" si="50"/>
        <v>Greater than Total Length</v>
      </c>
      <c r="G267" s="19" t="str">
        <f t="shared" si="51"/>
        <v>Greater than Total Length</v>
      </c>
      <c r="H267" s="20"/>
      <c r="I267" s="21"/>
      <c r="J267" s="1" t="str">
        <f>IF(ISBLANK(FiringRate13[[#This Row],[Event/bin]]), " ", FiringRate13[[#This Row],[Event/bin]]/BinSize_sec)</f>
        <v xml:space="preserve"> </v>
      </c>
      <c r="K267" s="22" t="str">
        <f>IF(ISBLANK(FiringRate13[[#This Row],[Conc events/bin]]), " ", FiringRate13[[#This Row],[Conc events/bin]]/BinSize_sec)</f>
        <v xml:space="preserve"> </v>
      </c>
      <c r="M267" s="2"/>
      <c r="N267" s="2"/>
      <c r="O267" s="2"/>
      <c r="P267" s="2"/>
    </row>
    <row r="268" spans="2:16" x14ac:dyDescent="0.2">
      <c r="B268" s="1" t="str">
        <f t="shared" si="46"/>
        <v>Greater than Total Length</v>
      </c>
      <c r="C268" s="1" t="str">
        <f t="shared" si="47"/>
        <v>Greater than Total Length</v>
      </c>
      <c r="D268" s="18" t="str">
        <f t="shared" si="48"/>
        <v>Greater than Total Length</v>
      </c>
      <c r="E268" s="18" t="str">
        <f t="shared" si="49"/>
        <v>Greater than Total Length</v>
      </c>
      <c r="F268" s="19" t="str">
        <f t="shared" si="50"/>
        <v>Greater than Total Length</v>
      </c>
      <c r="G268" s="19" t="str">
        <f t="shared" si="51"/>
        <v>Greater than Total Length</v>
      </c>
      <c r="H268" s="20"/>
      <c r="I268" s="21"/>
      <c r="J268" s="1" t="str">
        <f>IF(ISBLANK(FiringRate13[[#This Row],[Event/bin]]), " ", FiringRate13[[#This Row],[Event/bin]]/BinSize_sec)</f>
        <v xml:space="preserve"> </v>
      </c>
      <c r="K268" s="22" t="str">
        <f>IF(ISBLANK(FiringRate13[[#This Row],[Conc events/bin]]), " ", FiringRate13[[#This Row],[Conc events/bin]]/BinSize_sec)</f>
        <v xml:space="preserve"> </v>
      </c>
      <c r="M268" s="2"/>
      <c r="N268" s="2"/>
      <c r="O268" s="2"/>
      <c r="P268" s="2"/>
    </row>
    <row r="269" spans="2:16" x14ac:dyDescent="0.2">
      <c r="B269" s="1" t="str">
        <f t="shared" si="46"/>
        <v>Greater than Total Length</v>
      </c>
      <c r="C269" s="1" t="str">
        <f t="shared" si="47"/>
        <v>Greater than Total Length</v>
      </c>
      <c r="D269" s="18" t="str">
        <f t="shared" si="48"/>
        <v>Greater than Total Length</v>
      </c>
      <c r="E269" s="18" t="str">
        <f t="shared" si="49"/>
        <v>Greater than Total Length</v>
      </c>
      <c r="F269" s="19" t="str">
        <f t="shared" si="50"/>
        <v>Greater than Total Length</v>
      </c>
      <c r="G269" s="19" t="str">
        <f t="shared" si="51"/>
        <v>Greater than Total Length</v>
      </c>
      <c r="H269" s="20"/>
      <c r="I269" s="21"/>
      <c r="J269" s="1" t="str">
        <f>IF(ISBLANK(FiringRate13[[#This Row],[Event/bin]]), " ", FiringRate13[[#This Row],[Event/bin]]/BinSize_sec)</f>
        <v xml:space="preserve"> </v>
      </c>
      <c r="K269" s="22" t="str">
        <f>IF(ISBLANK(FiringRate13[[#This Row],[Conc events/bin]]), " ", FiringRate13[[#This Row],[Conc events/bin]]/BinSize_sec)</f>
        <v xml:space="preserve"> </v>
      </c>
      <c r="M269" s="2"/>
      <c r="N269" s="2"/>
      <c r="O269" s="2"/>
      <c r="P269" s="2"/>
    </row>
    <row r="270" spans="2:16" x14ac:dyDescent="0.2">
      <c r="B270" s="1" t="str">
        <f t="shared" si="46"/>
        <v>Greater than Total Length</v>
      </c>
      <c r="C270" s="1" t="str">
        <f t="shared" si="47"/>
        <v>Greater than Total Length</v>
      </c>
      <c r="D270" s="18" t="str">
        <f t="shared" si="48"/>
        <v>Greater than Total Length</v>
      </c>
      <c r="E270" s="18" t="str">
        <f t="shared" si="49"/>
        <v>Greater than Total Length</v>
      </c>
      <c r="F270" s="19" t="str">
        <f t="shared" si="50"/>
        <v>Greater than Total Length</v>
      </c>
      <c r="G270" s="19" t="str">
        <f t="shared" si="51"/>
        <v>Greater than Total Length</v>
      </c>
      <c r="H270" s="20"/>
      <c r="I270" s="21"/>
      <c r="J270" s="1" t="str">
        <f>IF(ISBLANK(FiringRate13[[#This Row],[Event/bin]]), " ", FiringRate13[[#This Row],[Event/bin]]/BinSize_sec)</f>
        <v xml:space="preserve"> </v>
      </c>
      <c r="K270" s="22" t="str">
        <f>IF(ISBLANK(FiringRate13[[#This Row],[Conc events/bin]]), " ", FiringRate13[[#This Row],[Conc events/bin]]/BinSize_sec)</f>
        <v xml:space="preserve"> </v>
      </c>
      <c r="M270" s="2"/>
      <c r="N270" s="2"/>
      <c r="O270" s="2"/>
      <c r="P270" s="2"/>
    </row>
    <row r="271" spans="2:16" x14ac:dyDescent="0.2">
      <c r="B271" s="1" t="str">
        <f t="shared" si="46"/>
        <v>Greater than Total Length</v>
      </c>
      <c r="C271" s="1" t="str">
        <f t="shared" si="47"/>
        <v>Greater than Total Length</v>
      </c>
      <c r="D271" s="18" t="str">
        <f t="shared" si="48"/>
        <v>Greater than Total Length</v>
      </c>
      <c r="E271" s="18" t="str">
        <f t="shared" si="49"/>
        <v>Greater than Total Length</v>
      </c>
      <c r="F271" s="19" t="str">
        <f t="shared" si="50"/>
        <v>Greater than Total Length</v>
      </c>
      <c r="G271" s="19" t="str">
        <f t="shared" si="51"/>
        <v>Greater than Total Length</v>
      </c>
      <c r="H271" s="20"/>
      <c r="I271" s="21"/>
      <c r="J271" s="1" t="str">
        <f>IF(ISBLANK(FiringRate13[[#This Row],[Event/bin]]), " ", FiringRate13[[#This Row],[Event/bin]]/BinSize_sec)</f>
        <v xml:space="preserve"> </v>
      </c>
      <c r="K271" s="22" t="str">
        <f>IF(ISBLANK(FiringRate13[[#This Row],[Conc events/bin]]), " ", FiringRate13[[#This Row],[Conc events/bin]]/BinSize_sec)</f>
        <v xml:space="preserve"> </v>
      </c>
      <c r="M271" s="2"/>
      <c r="N271" s="2"/>
      <c r="O271" s="2"/>
      <c r="P271" s="2"/>
    </row>
    <row r="272" spans="2:16" x14ac:dyDescent="0.2">
      <c r="B272" s="1" t="str">
        <f t="shared" si="46"/>
        <v>Greater than Total Length</v>
      </c>
      <c r="C272" s="1" t="str">
        <f t="shared" si="47"/>
        <v>Greater than Total Length</v>
      </c>
      <c r="D272" s="18" t="str">
        <f t="shared" si="48"/>
        <v>Greater than Total Length</v>
      </c>
      <c r="E272" s="18" t="str">
        <f t="shared" si="49"/>
        <v>Greater than Total Length</v>
      </c>
      <c r="F272" s="19" t="str">
        <f t="shared" si="50"/>
        <v>Greater than Total Length</v>
      </c>
      <c r="G272" s="19" t="str">
        <f t="shared" si="51"/>
        <v>Greater than Total Length</v>
      </c>
      <c r="H272" s="20"/>
      <c r="I272" s="21"/>
      <c r="J272" s="1" t="str">
        <f>IF(ISBLANK(FiringRate13[[#This Row],[Event/bin]]), " ", FiringRate13[[#This Row],[Event/bin]]/BinSize_sec)</f>
        <v xml:space="preserve"> </v>
      </c>
      <c r="K272" s="22" t="str">
        <f>IF(ISBLANK(FiringRate13[[#This Row],[Conc events/bin]]), " ", FiringRate13[[#This Row],[Conc events/bin]]/BinSize_sec)</f>
        <v xml:space="preserve"> </v>
      </c>
      <c r="M272" s="2"/>
      <c r="N272" s="2"/>
      <c r="O272" s="2"/>
      <c r="P272" s="2"/>
    </row>
    <row r="273" spans="2:16" x14ac:dyDescent="0.2">
      <c r="B273" s="1" t="str">
        <f t="shared" ref="B273:B291" si="52">IF(E272&lt;TotalLength_min, IF(ISNONTEXT(B272), IF(C273&gt;C272, B272, IF(B272&lt;LastSeries, B272+1)), B272), "Greater than Total Length")</f>
        <v>Greater than Total Length</v>
      </c>
      <c r="C273" s="1" t="str">
        <f t="shared" ref="C273:C291" si="53">IF(E272&lt;TotalLength_min, IF(ISNONTEXT(C272), IF(C272&lt;(BinsPerSeries-1),C272+1,0), C272), "Greater than Total Length")</f>
        <v>Greater than Total Length</v>
      </c>
      <c r="D273" s="18" t="str">
        <f t="shared" ref="D273:D291" si="54">IF(BinSize_sec &gt; 0, IF(ISNONTEXT(F272), IF(F272 + BinSize_sec &lt; TotalLength_sec, F273/60, "Greater than Total Length"), F272), "No bin size")</f>
        <v>Greater than Total Length</v>
      </c>
      <c r="E273" s="18" t="str">
        <f t="shared" ref="E273:E291" si="55">IF(BinSize_sec &gt; 0, IF(ISNONTEXT(G272), IF(G272 + BinSize_sec &gt; TotalLength_sec, "Greater than Total Length", G273/60), G272), "No bin size")</f>
        <v>Greater than Total Length</v>
      </c>
      <c r="F273" s="19" t="str">
        <f t="shared" ref="F273:F291" si="56">IF(BinSize_sec &gt; 0, IF(ISNONTEXT(F272), IF(F272 + BinSize_sec &lt; TotalLength_sec, F272 + BinSize_sec, "Greater than Total Length"), F272), "No bin size")</f>
        <v>Greater than Total Length</v>
      </c>
      <c r="G273" s="19" t="str">
        <f t="shared" ref="G273:G291" si="57">IF(BinSize_sec &gt; 0, IF(ISNONTEXT(G272), IF(G272 + BinSize_sec &gt; TotalLength_sec, "Greater than Total Length", G272 + BinSize_sec), G272), "No bin size")</f>
        <v>Greater than Total Length</v>
      </c>
      <c r="H273" s="20"/>
      <c r="I273" s="21"/>
      <c r="J273" s="1" t="str">
        <f>IF(ISBLANK(FiringRate13[[#This Row],[Event/bin]]), " ", FiringRate13[[#This Row],[Event/bin]]/BinSize_sec)</f>
        <v xml:space="preserve"> </v>
      </c>
      <c r="K273" s="22" t="str">
        <f>IF(ISBLANK(FiringRate13[[#This Row],[Conc events/bin]]), " ", FiringRate13[[#This Row],[Conc events/bin]]/BinSize_sec)</f>
        <v xml:space="preserve"> </v>
      </c>
      <c r="M273" s="2"/>
      <c r="N273" s="2"/>
      <c r="O273" s="2"/>
      <c r="P273" s="2"/>
    </row>
    <row r="274" spans="2:16" x14ac:dyDescent="0.2">
      <c r="B274" s="1" t="str">
        <f t="shared" si="52"/>
        <v>Greater than Total Length</v>
      </c>
      <c r="C274" s="1" t="str">
        <f t="shared" si="53"/>
        <v>Greater than Total Length</v>
      </c>
      <c r="D274" s="18" t="str">
        <f t="shared" si="54"/>
        <v>Greater than Total Length</v>
      </c>
      <c r="E274" s="18" t="str">
        <f t="shared" si="55"/>
        <v>Greater than Total Length</v>
      </c>
      <c r="F274" s="19" t="str">
        <f t="shared" si="56"/>
        <v>Greater than Total Length</v>
      </c>
      <c r="G274" s="19" t="str">
        <f t="shared" si="57"/>
        <v>Greater than Total Length</v>
      </c>
      <c r="H274" s="20"/>
      <c r="I274" s="21"/>
      <c r="J274" s="1" t="str">
        <f>IF(ISBLANK(FiringRate13[[#This Row],[Event/bin]]), " ", FiringRate13[[#This Row],[Event/bin]]/BinSize_sec)</f>
        <v xml:space="preserve"> </v>
      </c>
      <c r="K274" s="22" t="str">
        <f>IF(ISBLANK(FiringRate13[[#This Row],[Conc events/bin]]), " ", FiringRate13[[#This Row],[Conc events/bin]]/BinSize_sec)</f>
        <v xml:space="preserve"> </v>
      </c>
      <c r="M274" s="2"/>
      <c r="N274" s="2"/>
      <c r="O274" s="2"/>
      <c r="P274" s="2"/>
    </row>
    <row r="275" spans="2:16" x14ac:dyDescent="0.2">
      <c r="B275" s="1" t="str">
        <f t="shared" si="52"/>
        <v>Greater than Total Length</v>
      </c>
      <c r="C275" s="1" t="str">
        <f t="shared" si="53"/>
        <v>Greater than Total Length</v>
      </c>
      <c r="D275" s="18" t="str">
        <f t="shared" si="54"/>
        <v>Greater than Total Length</v>
      </c>
      <c r="E275" s="18" t="str">
        <f t="shared" si="55"/>
        <v>Greater than Total Length</v>
      </c>
      <c r="F275" s="19" t="str">
        <f t="shared" si="56"/>
        <v>Greater than Total Length</v>
      </c>
      <c r="G275" s="19" t="str">
        <f t="shared" si="57"/>
        <v>Greater than Total Length</v>
      </c>
      <c r="H275" s="20"/>
      <c r="I275" s="21"/>
      <c r="J275" s="1" t="str">
        <f>IF(ISBLANK(FiringRate13[[#This Row],[Event/bin]]), " ", FiringRate13[[#This Row],[Event/bin]]/BinSize_sec)</f>
        <v xml:space="preserve"> </v>
      </c>
      <c r="K275" s="22" t="str">
        <f>IF(ISBLANK(FiringRate13[[#This Row],[Conc events/bin]]), " ", FiringRate13[[#This Row],[Conc events/bin]]/BinSize_sec)</f>
        <v xml:space="preserve"> </v>
      </c>
      <c r="M275" s="2"/>
      <c r="N275" s="2"/>
      <c r="O275" s="2"/>
      <c r="P275" s="2"/>
    </row>
    <row r="276" spans="2:16" x14ac:dyDescent="0.2">
      <c r="B276" s="1" t="str">
        <f t="shared" si="52"/>
        <v>Greater than Total Length</v>
      </c>
      <c r="C276" s="1" t="str">
        <f t="shared" si="53"/>
        <v>Greater than Total Length</v>
      </c>
      <c r="D276" s="18" t="str">
        <f t="shared" si="54"/>
        <v>Greater than Total Length</v>
      </c>
      <c r="E276" s="18" t="str">
        <f t="shared" si="55"/>
        <v>Greater than Total Length</v>
      </c>
      <c r="F276" s="19" t="str">
        <f t="shared" si="56"/>
        <v>Greater than Total Length</v>
      </c>
      <c r="G276" s="19" t="str">
        <f t="shared" si="57"/>
        <v>Greater than Total Length</v>
      </c>
      <c r="H276" s="20"/>
      <c r="I276" s="21"/>
      <c r="J276" s="1" t="str">
        <f>IF(ISBLANK(FiringRate13[[#This Row],[Event/bin]]), " ", FiringRate13[[#This Row],[Event/bin]]/BinSize_sec)</f>
        <v xml:space="preserve"> </v>
      </c>
      <c r="K276" s="22" t="str">
        <f>IF(ISBLANK(FiringRate13[[#This Row],[Conc events/bin]]), " ", FiringRate13[[#This Row],[Conc events/bin]]/BinSize_sec)</f>
        <v xml:space="preserve"> </v>
      </c>
      <c r="M276" s="2"/>
      <c r="N276" s="2"/>
      <c r="O276" s="2"/>
      <c r="P276" s="2"/>
    </row>
    <row r="277" spans="2:16" x14ac:dyDescent="0.2">
      <c r="B277" s="1" t="str">
        <f t="shared" si="52"/>
        <v>Greater than Total Length</v>
      </c>
      <c r="C277" s="1" t="str">
        <f t="shared" si="53"/>
        <v>Greater than Total Length</v>
      </c>
      <c r="D277" s="18" t="str">
        <f t="shared" si="54"/>
        <v>Greater than Total Length</v>
      </c>
      <c r="E277" s="18" t="str">
        <f t="shared" si="55"/>
        <v>Greater than Total Length</v>
      </c>
      <c r="F277" s="19" t="str">
        <f t="shared" si="56"/>
        <v>Greater than Total Length</v>
      </c>
      <c r="G277" s="19" t="str">
        <f t="shared" si="57"/>
        <v>Greater than Total Length</v>
      </c>
      <c r="H277" s="20"/>
      <c r="I277" s="21"/>
      <c r="J277" s="1" t="str">
        <f>IF(ISBLANK(FiringRate13[[#This Row],[Event/bin]]), " ", FiringRate13[[#This Row],[Event/bin]]/BinSize_sec)</f>
        <v xml:space="preserve"> </v>
      </c>
      <c r="K277" s="22" t="str">
        <f>IF(ISBLANK(FiringRate13[[#This Row],[Conc events/bin]]), " ", FiringRate13[[#This Row],[Conc events/bin]]/BinSize_sec)</f>
        <v xml:space="preserve"> </v>
      </c>
      <c r="M277" s="2"/>
      <c r="N277" s="2"/>
      <c r="O277" s="2"/>
      <c r="P277" s="2"/>
    </row>
    <row r="278" spans="2:16" x14ac:dyDescent="0.2">
      <c r="B278" s="1" t="str">
        <f t="shared" si="52"/>
        <v>Greater than Total Length</v>
      </c>
      <c r="C278" s="1" t="str">
        <f t="shared" si="53"/>
        <v>Greater than Total Length</v>
      </c>
      <c r="D278" s="18" t="str">
        <f t="shared" si="54"/>
        <v>Greater than Total Length</v>
      </c>
      <c r="E278" s="18" t="str">
        <f t="shared" si="55"/>
        <v>Greater than Total Length</v>
      </c>
      <c r="F278" s="19" t="str">
        <f t="shared" si="56"/>
        <v>Greater than Total Length</v>
      </c>
      <c r="G278" s="19" t="str">
        <f t="shared" si="57"/>
        <v>Greater than Total Length</v>
      </c>
      <c r="H278" s="20"/>
      <c r="I278" s="21"/>
      <c r="J278" s="1" t="str">
        <f>IF(ISBLANK(FiringRate13[[#This Row],[Event/bin]]), " ", FiringRate13[[#This Row],[Event/bin]]/BinSize_sec)</f>
        <v xml:space="preserve"> </v>
      </c>
      <c r="K278" s="22" t="str">
        <f>IF(ISBLANK(FiringRate13[[#This Row],[Conc events/bin]]), " ", FiringRate13[[#This Row],[Conc events/bin]]/BinSize_sec)</f>
        <v xml:space="preserve"> </v>
      </c>
      <c r="M278" s="2"/>
      <c r="N278" s="2"/>
      <c r="O278" s="2"/>
      <c r="P278" s="2"/>
    </row>
    <row r="279" spans="2:16" x14ac:dyDescent="0.2">
      <c r="B279" s="1" t="str">
        <f t="shared" si="52"/>
        <v>Greater than Total Length</v>
      </c>
      <c r="C279" s="1" t="str">
        <f t="shared" si="53"/>
        <v>Greater than Total Length</v>
      </c>
      <c r="D279" s="18" t="str">
        <f t="shared" si="54"/>
        <v>Greater than Total Length</v>
      </c>
      <c r="E279" s="18" t="str">
        <f t="shared" si="55"/>
        <v>Greater than Total Length</v>
      </c>
      <c r="F279" s="19" t="str">
        <f t="shared" si="56"/>
        <v>Greater than Total Length</v>
      </c>
      <c r="G279" s="19" t="str">
        <f t="shared" si="57"/>
        <v>Greater than Total Length</v>
      </c>
      <c r="H279" s="20"/>
      <c r="I279" s="21"/>
      <c r="J279" s="1" t="str">
        <f>IF(ISBLANK(FiringRate13[[#This Row],[Event/bin]]), " ", FiringRate13[[#This Row],[Event/bin]]/BinSize_sec)</f>
        <v xml:space="preserve"> </v>
      </c>
      <c r="K279" s="22" t="str">
        <f>IF(ISBLANK(FiringRate13[[#This Row],[Conc events/bin]]), " ", FiringRate13[[#This Row],[Conc events/bin]]/BinSize_sec)</f>
        <v xml:space="preserve"> </v>
      </c>
      <c r="M279" s="2"/>
      <c r="N279" s="2"/>
      <c r="O279" s="2"/>
      <c r="P279" s="2"/>
    </row>
    <row r="280" spans="2:16" x14ac:dyDescent="0.2">
      <c r="B280" s="1" t="str">
        <f t="shared" si="52"/>
        <v>Greater than Total Length</v>
      </c>
      <c r="C280" s="1" t="str">
        <f t="shared" si="53"/>
        <v>Greater than Total Length</v>
      </c>
      <c r="D280" s="18" t="str">
        <f t="shared" si="54"/>
        <v>Greater than Total Length</v>
      </c>
      <c r="E280" s="18" t="str">
        <f t="shared" si="55"/>
        <v>Greater than Total Length</v>
      </c>
      <c r="F280" s="19" t="str">
        <f t="shared" si="56"/>
        <v>Greater than Total Length</v>
      </c>
      <c r="G280" s="19" t="str">
        <f t="shared" si="57"/>
        <v>Greater than Total Length</v>
      </c>
      <c r="H280" s="20"/>
      <c r="I280" s="21"/>
      <c r="J280" s="1" t="str">
        <f>IF(ISBLANK(FiringRate13[[#This Row],[Event/bin]]), " ", FiringRate13[[#This Row],[Event/bin]]/BinSize_sec)</f>
        <v xml:space="preserve"> </v>
      </c>
      <c r="K280" s="22" t="str">
        <f>IF(ISBLANK(FiringRate13[[#This Row],[Conc events/bin]]), " ", FiringRate13[[#This Row],[Conc events/bin]]/BinSize_sec)</f>
        <v xml:space="preserve"> </v>
      </c>
      <c r="M280" s="2"/>
      <c r="N280" s="2"/>
      <c r="O280" s="2"/>
      <c r="P280" s="2"/>
    </row>
    <row r="281" spans="2:16" x14ac:dyDescent="0.2">
      <c r="B281" s="1" t="str">
        <f t="shared" si="52"/>
        <v>Greater than Total Length</v>
      </c>
      <c r="C281" s="1" t="str">
        <f t="shared" si="53"/>
        <v>Greater than Total Length</v>
      </c>
      <c r="D281" s="18" t="str">
        <f t="shared" si="54"/>
        <v>Greater than Total Length</v>
      </c>
      <c r="E281" s="18" t="str">
        <f t="shared" si="55"/>
        <v>Greater than Total Length</v>
      </c>
      <c r="F281" s="19" t="str">
        <f t="shared" si="56"/>
        <v>Greater than Total Length</v>
      </c>
      <c r="G281" s="19" t="str">
        <f t="shared" si="57"/>
        <v>Greater than Total Length</v>
      </c>
      <c r="H281" s="20"/>
      <c r="I281" s="21"/>
      <c r="J281" s="1" t="str">
        <f>IF(ISBLANK(FiringRate13[[#This Row],[Event/bin]]), " ", FiringRate13[[#This Row],[Event/bin]]/BinSize_sec)</f>
        <v xml:space="preserve"> </v>
      </c>
      <c r="K281" s="22" t="str">
        <f>IF(ISBLANK(FiringRate13[[#This Row],[Conc events/bin]]), " ", FiringRate13[[#This Row],[Conc events/bin]]/BinSize_sec)</f>
        <v xml:space="preserve"> </v>
      </c>
      <c r="M281" s="2"/>
      <c r="N281" s="2"/>
      <c r="O281" s="2"/>
      <c r="P281" s="2"/>
    </row>
    <row r="282" spans="2:16" x14ac:dyDescent="0.2">
      <c r="B282" s="1" t="str">
        <f t="shared" si="52"/>
        <v>Greater than Total Length</v>
      </c>
      <c r="C282" s="1" t="str">
        <f t="shared" si="53"/>
        <v>Greater than Total Length</v>
      </c>
      <c r="D282" s="18" t="str">
        <f t="shared" si="54"/>
        <v>Greater than Total Length</v>
      </c>
      <c r="E282" s="18" t="str">
        <f t="shared" si="55"/>
        <v>Greater than Total Length</v>
      </c>
      <c r="F282" s="19" t="str">
        <f t="shared" si="56"/>
        <v>Greater than Total Length</v>
      </c>
      <c r="G282" s="19" t="str">
        <f t="shared" si="57"/>
        <v>Greater than Total Length</v>
      </c>
      <c r="H282" s="20"/>
      <c r="I282" s="21"/>
      <c r="J282" s="1" t="str">
        <f>IF(ISBLANK(FiringRate13[[#This Row],[Event/bin]]), " ", FiringRate13[[#This Row],[Event/bin]]/BinSize_sec)</f>
        <v xml:space="preserve"> </v>
      </c>
      <c r="K282" s="22" t="str">
        <f>IF(ISBLANK(FiringRate13[[#This Row],[Conc events/bin]]), " ", FiringRate13[[#This Row],[Conc events/bin]]/BinSize_sec)</f>
        <v xml:space="preserve"> </v>
      </c>
      <c r="M282" s="2"/>
      <c r="N282" s="2"/>
      <c r="O282" s="2"/>
      <c r="P282" s="2"/>
    </row>
    <row r="283" spans="2:16" x14ac:dyDescent="0.2">
      <c r="B283" s="1" t="str">
        <f t="shared" si="52"/>
        <v>Greater than Total Length</v>
      </c>
      <c r="C283" s="1" t="str">
        <f t="shared" si="53"/>
        <v>Greater than Total Length</v>
      </c>
      <c r="D283" s="18" t="str">
        <f t="shared" si="54"/>
        <v>Greater than Total Length</v>
      </c>
      <c r="E283" s="18" t="str">
        <f t="shared" si="55"/>
        <v>Greater than Total Length</v>
      </c>
      <c r="F283" s="19" t="str">
        <f t="shared" si="56"/>
        <v>Greater than Total Length</v>
      </c>
      <c r="G283" s="19" t="str">
        <f t="shared" si="57"/>
        <v>Greater than Total Length</v>
      </c>
      <c r="H283" s="20"/>
      <c r="I283" s="21"/>
      <c r="J283" s="1" t="str">
        <f>IF(ISBLANK(FiringRate13[[#This Row],[Event/bin]]), " ", FiringRate13[[#This Row],[Event/bin]]/BinSize_sec)</f>
        <v xml:space="preserve"> </v>
      </c>
      <c r="K283" s="22" t="str">
        <f>IF(ISBLANK(FiringRate13[[#This Row],[Conc events/bin]]), " ", FiringRate13[[#This Row],[Conc events/bin]]/BinSize_sec)</f>
        <v xml:space="preserve"> </v>
      </c>
      <c r="M283" s="2"/>
      <c r="N283" s="2"/>
      <c r="O283" s="2"/>
      <c r="P283" s="2"/>
    </row>
    <row r="284" spans="2:16" x14ac:dyDescent="0.2">
      <c r="B284" s="1" t="str">
        <f t="shared" si="52"/>
        <v>Greater than Total Length</v>
      </c>
      <c r="C284" s="1" t="str">
        <f t="shared" si="53"/>
        <v>Greater than Total Length</v>
      </c>
      <c r="D284" s="18" t="str">
        <f t="shared" si="54"/>
        <v>Greater than Total Length</v>
      </c>
      <c r="E284" s="18" t="str">
        <f t="shared" si="55"/>
        <v>Greater than Total Length</v>
      </c>
      <c r="F284" s="19" t="str">
        <f t="shared" si="56"/>
        <v>Greater than Total Length</v>
      </c>
      <c r="G284" s="19" t="str">
        <f t="shared" si="57"/>
        <v>Greater than Total Length</v>
      </c>
      <c r="H284" s="20"/>
      <c r="I284" s="21"/>
      <c r="J284" s="1" t="str">
        <f>IF(ISBLANK(FiringRate13[[#This Row],[Event/bin]]), " ", FiringRate13[[#This Row],[Event/bin]]/BinSize_sec)</f>
        <v xml:space="preserve"> </v>
      </c>
      <c r="K284" s="22" t="str">
        <f>IF(ISBLANK(FiringRate13[[#This Row],[Conc events/bin]]), " ", FiringRate13[[#This Row],[Conc events/bin]]/BinSize_sec)</f>
        <v xml:space="preserve"> </v>
      </c>
      <c r="M284" s="2"/>
      <c r="N284" s="2"/>
      <c r="O284" s="2"/>
      <c r="P284" s="2"/>
    </row>
    <row r="285" spans="2:16" x14ac:dyDescent="0.2">
      <c r="B285" s="1" t="str">
        <f t="shared" si="52"/>
        <v>Greater than Total Length</v>
      </c>
      <c r="C285" s="1" t="str">
        <f t="shared" si="53"/>
        <v>Greater than Total Length</v>
      </c>
      <c r="D285" s="18" t="str">
        <f t="shared" si="54"/>
        <v>Greater than Total Length</v>
      </c>
      <c r="E285" s="18" t="str">
        <f t="shared" si="55"/>
        <v>Greater than Total Length</v>
      </c>
      <c r="F285" s="19" t="str">
        <f t="shared" si="56"/>
        <v>Greater than Total Length</v>
      </c>
      <c r="G285" s="19" t="str">
        <f t="shared" si="57"/>
        <v>Greater than Total Length</v>
      </c>
      <c r="H285" s="20"/>
      <c r="I285" s="21"/>
      <c r="J285" s="1" t="str">
        <f>IF(ISBLANK(FiringRate13[[#This Row],[Event/bin]]), " ", FiringRate13[[#This Row],[Event/bin]]/BinSize_sec)</f>
        <v xml:space="preserve"> </v>
      </c>
      <c r="K285" s="22" t="str">
        <f>IF(ISBLANK(FiringRate13[[#This Row],[Conc events/bin]]), " ", FiringRate13[[#This Row],[Conc events/bin]]/BinSize_sec)</f>
        <v xml:space="preserve"> </v>
      </c>
      <c r="M285" s="2"/>
      <c r="N285" s="2"/>
      <c r="O285" s="2"/>
      <c r="P285" s="2"/>
    </row>
    <row r="286" spans="2:16" x14ac:dyDescent="0.2">
      <c r="B286" s="1" t="str">
        <f t="shared" si="52"/>
        <v>Greater than Total Length</v>
      </c>
      <c r="C286" s="1" t="str">
        <f t="shared" si="53"/>
        <v>Greater than Total Length</v>
      </c>
      <c r="D286" s="18" t="str">
        <f t="shared" si="54"/>
        <v>Greater than Total Length</v>
      </c>
      <c r="E286" s="18" t="str">
        <f t="shared" si="55"/>
        <v>Greater than Total Length</v>
      </c>
      <c r="F286" s="19" t="str">
        <f t="shared" si="56"/>
        <v>Greater than Total Length</v>
      </c>
      <c r="G286" s="19" t="str">
        <f t="shared" si="57"/>
        <v>Greater than Total Length</v>
      </c>
      <c r="H286" s="20"/>
      <c r="I286" s="21"/>
      <c r="J286" s="1" t="str">
        <f>IF(ISBLANK(FiringRate13[[#This Row],[Event/bin]]), " ", FiringRate13[[#This Row],[Event/bin]]/BinSize_sec)</f>
        <v xml:space="preserve"> </v>
      </c>
      <c r="K286" s="22" t="str">
        <f>IF(ISBLANK(FiringRate13[[#This Row],[Conc events/bin]]), " ", FiringRate13[[#This Row],[Conc events/bin]]/BinSize_sec)</f>
        <v xml:space="preserve"> </v>
      </c>
      <c r="M286" s="2"/>
      <c r="N286" s="2"/>
      <c r="O286" s="2"/>
      <c r="P286" s="2"/>
    </row>
    <row r="287" spans="2:16" x14ac:dyDescent="0.2">
      <c r="B287" s="1" t="str">
        <f t="shared" si="52"/>
        <v>Greater than Total Length</v>
      </c>
      <c r="C287" s="1" t="str">
        <f t="shared" si="53"/>
        <v>Greater than Total Length</v>
      </c>
      <c r="D287" s="18" t="str">
        <f t="shared" si="54"/>
        <v>Greater than Total Length</v>
      </c>
      <c r="E287" s="18" t="str">
        <f t="shared" si="55"/>
        <v>Greater than Total Length</v>
      </c>
      <c r="F287" s="19" t="str">
        <f t="shared" si="56"/>
        <v>Greater than Total Length</v>
      </c>
      <c r="G287" s="19" t="str">
        <f t="shared" si="57"/>
        <v>Greater than Total Length</v>
      </c>
      <c r="H287" s="20"/>
      <c r="I287" s="21"/>
      <c r="J287" s="1" t="str">
        <f>IF(ISBLANK(FiringRate13[[#This Row],[Event/bin]]), " ", FiringRate13[[#This Row],[Event/bin]]/BinSize_sec)</f>
        <v xml:space="preserve"> </v>
      </c>
      <c r="K287" s="22" t="str">
        <f>IF(ISBLANK(FiringRate13[[#This Row],[Conc events/bin]]), " ", FiringRate13[[#This Row],[Conc events/bin]]/BinSize_sec)</f>
        <v xml:space="preserve"> </v>
      </c>
      <c r="M287" s="2"/>
      <c r="N287" s="2"/>
      <c r="O287" s="2"/>
      <c r="P287" s="2"/>
    </row>
    <row r="288" spans="2:16" x14ac:dyDescent="0.2">
      <c r="B288" s="1" t="str">
        <f t="shared" si="52"/>
        <v>Greater than Total Length</v>
      </c>
      <c r="C288" s="1" t="str">
        <f t="shared" si="53"/>
        <v>Greater than Total Length</v>
      </c>
      <c r="D288" s="18" t="str">
        <f t="shared" si="54"/>
        <v>Greater than Total Length</v>
      </c>
      <c r="E288" s="18" t="str">
        <f t="shared" si="55"/>
        <v>Greater than Total Length</v>
      </c>
      <c r="F288" s="19" t="str">
        <f t="shared" si="56"/>
        <v>Greater than Total Length</v>
      </c>
      <c r="G288" s="19" t="str">
        <f t="shared" si="57"/>
        <v>Greater than Total Length</v>
      </c>
      <c r="H288" s="20"/>
      <c r="I288" s="21"/>
      <c r="J288" s="1" t="str">
        <f>IF(ISBLANK(FiringRate13[[#This Row],[Event/bin]]), " ", FiringRate13[[#This Row],[Event/bin]]/BinSize_sec)</f>
        <v xml:space="preserve"> </v>
      </c>
      <c r="K288" s="22" t="str">
        <f>IF(ISBLANK(FiringRate13[[#This Row],[Conc events/bin]]), " ", FiringRate13[[#This Row],[Conc events/bin]]/BinSize_sec)</f>
        <v xml:space="preserve"> </v>
      </c>
      <c r="M288" s="2"/>
      <c r="N288" s="2"/>
      <c r="O288" s="2"/>
      <c r="P288" s="2"/>
    </row>
    <row r="289" spans="2:16" x14ac:dyDescent="0.2">
      <c r="B289" s="1" t="str">
        <f t="shared" si="52"/>
        <v>Greater than Total Length</v>
      </c>
      <c r="C289" s="1" t="str">
        <f t="shared" si="53"/>
        <v>Greater than Total Length</v>
      </c>
      <c r="D289" s="18" t="str">
        <f t="shared" si="54"/>
        <v>Greater than Total Length</v>
      </c>
      <c r="E289" s="18" t="str">
        <f t="shared" si="55"/>
        <v>Greater than Total Length</v>
      </c>
      <c r="F289" s="19" t="str">
        <f t="shared" si="56"/>
        <v>Greater than Total Length</v>
      </c>
      <c r="G289" s="19" t="str">
        <f t="shared" si="57"/>
        <v>Greater than Total Length</v>
      </c>
      <c r="H289" s="20"/>
      <c r="I289" s="21"/>
      <c r="J289" s="1" t="str">
        <f>IF(ISBLANK(FiringRate13[[#This Row],[Event/bin]]), " ", FiringRate13[[#This Row],[Event/bin]]/BinSize_sec)</f>
        <v xml:space="preserve"> </v>
      </c>
      <c r="K289" s="22" t="str">
        <f>IF(ISBLANK(FiringRate13[[#This Row],[Conc events/bin]]), " ", FiringRate13[[#This Row],[Conc events/bin]]/BinSize_sec)</f>
        <v xml:space="preserve"> </v>
      </c>
      <c r="M289" s="2"/>
      <c r="N289" s="2"/>
      <c r="O289" s="2"/>
      <c r="P289" s="2"/>
    </row>
    <row r="290" spans="2:16" x14ac:dyDescent="0.2">
      <c r="B290" s="1" t="str">
        <f t="shared" si="52"/>
        <v>Greater than Total Length</v>
      </c>
      <c r="C290" s="1" t="str">
        <f t="shared" si="53"/>
        <v>Greater than Total Length</v>
      </c>
      <c r="D290" s="18" t="str">
        <f t="shared" si="54"/>
        <v>Greater than Total Length</v>
      </c>
      <c r="E290" s="18" t="str">
        <f t="shared" si="55"/>
        <v>Greater than Total Length</v>
      </c>
      <c r="F290" s="19" t="str">
        <f t="shared" si="56"/>
        <v>Greater than Total Length</v>
      </c>
      <c r="G290" s="19" t="str">
        <f t="shared" si="57"/>
        <v>Greater than Total Length</v>
      </c>
      <c r="H290" s="20"/>
      <c r="I290" s="21"/>
      <c r="J290" s="1" t="str">
        <f>IF(ISBLANK(FiringRate13[[#This Row],[Event/bin]]), " ", FiringRate13[[#This Row],[Event/bin]]/BinSize_sec)</f>
        <v xml:space="preserve"> </v>
      </c>
      <c r="K290" s="22" t="str">
        <f>IF(ISBLANK(FiringRate13[[#This Row],[Conc events/bin]]), " ", FiringRate13[[#This Row],[Conc events/bin]]/BinSize_sec)</f>
        <v xml:space="preserve"> </v>
      </c>
      <c r="M290" s="2"/>
      <c r="N290" s="2"/>
      <c r="O290" s="2"/>
      <c r="P290" s="2"/>
    </row>
    <row r="291" spans="2:16" x14ac:dyDescent="0.2">
      <c r="B291" s="1" t="str">
        <f t="shared" si="52"/>
        <v>Greater than Total Length</v>
      </c>
      <c r="C291" s="1" t="str">
        <f t="shared" si="53"/>
        <v>Greater than Total Length</v>
      </c>
      <c r="D291" s="18" t="str">
        <f t="shared" si="54"/>
        <v>Greater than Total Length</v>
      </c>
      <c r="E291" s="18" t="str">
        <f t="shared" si="55"/>
        <v>Greater than Total Length</v>
      </c>
      <c r="F291" s="19" t="str">
        <f t="shared" si="56"/>
        <v>Greater than Total Length</v>
      </c>
      <c r="G291" s="19" t="str">
        <f t="shared" si="57"/>
        <v>Greater than Total Length</v>
      </c>
      <c r="H291" s="20"/>
      <c r="I291" s="21"/>
      <c r="J291" s="1" t="str">
        <f>IF(ISBLANK(FiringRate13[[#This Row],[Event/bin]]), " ", FiringRate13[[#This Row],[Event/bin]]/BinSize_sec)</f>
        <v xml:space="preserve"> </v>
      </c>
      <c r="K291" s="22" t="str">
        <f>IF(ISBLANK(FiringRate13[[#This Row],[Conc events/bin]]), " ", FiringRate13[[#This Row],[Conc events/bin]]/BinSize_sec)</f>
        <v xml:space="preserve"> </v>
      </c>
      <c r="M291" s="2"/>
      <c r="N291" s="2"/>
      <c r="O291" s="2"/>
      <c r="P291" s="2"/>
    </row>
    <row r="292" spans="2:16" x14ac:dyDescent="0.2">
      <c r="J292" s="2"/>
      <c r="K292" s="2"/>
      <c r="L292" s="2"/>
      <c r="M292" s="2"/>
      <c r="N292" s="2"/>
      <c r="O292" s="2"/>
      <c r="P292" s="2"/>
    </row>
  </sheetData>
  <mergeCells count="16">
    <mergeCell ref="BP1:BY1"/>
    <mergeCell ref="B110:H110"/>
    <mergeCell ref="W110:AC110"/>
    <mergeCell ref="N123:Q125"/>
    <mergeCell ref="Z1:AC1"/>
    <mergeCell ref="AD1:AG1"/>
    <mergeCell ref="AH1:AK1"/>
    <mergeCell ref="AL1:AN1"/>
    <mergeCell ref="AR1:BA1"/>
    <mergeCell ref="BD1:BM1"/>
    <mergeCell ref="B1:E1"/>
    <mergeCell ref="F1:I1"/>
    <mergeCell ref="J1:M1"/>
    <mergeCell ref="N1:Q1"/>
    <mergeCell ref="R1:U1"/>
    <mergeCell ref="V1:Y1"/>
  </mergeCells>
  <conditionalFormatting sqref="I111:I291">
    <cfRule type="top10" dxfId="118" priority="16" rank="1"/>
  </conditionalFormatting>
  <conditionalFormatting sqref="AD112:AG201">
    <cfRule type="containsText" dxfId="117" priority="14" operator="containsText" text="Peak">
      <formula>NOT(ISERROR(SEARCH("Peak",AD112)))</formula>
    </cfRule>
    <cfRule type="containsText" dxfId="116" priority="15" operator="containsText" text="Nadir">
      <formula>NOT(ISERROR(SEARCH("Nadir",AD112)))</formula>
    </cfRule>
  </conditionalFormatting>
  <conditionalFormatting sqref="AA111:AA201">
    <cfRule type="top10" dxfId="115" priority="17" rank="1"/>
  </conditionalFormatting>
  <conditionalFormatting sqref="AD3:AL102">
    <cfRule type="top10" dxfId="114" priority="13" rank="1"/>
  </conditionalFormatting>
  <conditionalFormatting sqref="AM121:AM136">
    <cfRule type="cellIs" dxfId="113" priority="8" operator="equal">
      <formula>2</formula>
    </cfRule>
  </conditionalFormatting>
  <conditionalFormatting sqref="AT121:AT136">
    <cfRule type="cellIs" dxfId="112" priority="7" operator="equal">
      <formula>2</formula>
    </cfRule>
  </conditionalFormatting>
  <conditionalFormatting sqref="AI121:AJ136 AM121:AN136">
    <cfRule type="expression" dxfId="111" priority="11">
      <formula>$AJ121="Nadir"</formula>
    </cfRule>
    <cfRule type="expression" dxfId="110" priority="12">
      <formula>$AJ121 = "Peak"</formula>
    </cfRule>
  </conditionalFormatting>
  <conditionalFormatting sqref="AP121:AQ136 AT121:AU136">
    <cfRule type="expression" dxfId="109" priority="9">
      <formula>$AQ121 = "Nadir"</formula>
    </cfRule>
    <cfRule type="expression" dxfId="108" priority="10">
      <formula>$AQ121 = "Peak"</formula>
    </cfRule>
  </conditionalFormatting>
  <conditionalFormatting sqref="BA121:BA136">
    <cfRule type="cellIs" dxfId="107" priority="4" operator="equal">
      <formula>2</formula>
    </cfRule>
  </conditionalFormatting>
  <conditionalFormatting sqref="AW121:AX136 BA121:BB136">
    <cfRule type="expression" dxfId="106" priority="5">
      <formula>$AX121 = "Nadir"</formula>
    </cfRule>
    <cfRule type="expression" dxfId="105" priority="6">
      <formula>$AX121 = "Peak"</formula>
    </cfRule>
  </conditionalFormatting>
  <conditionalFormatting sqref="BH121:BH136">
    <cfRule type="cellIs" dxfId="104" priority="1" operator="equal">
      <formula>2</formula>
    </cfRule>
  </conditionalFormatting>
  <conditionalFormatting sqref="BD121:BE136 BH121:BI136">
    <cfRule type="expression" dxfId="103" priority="2">
      <formula>$BE121 = "Nadir"</formula>
    </cfRule>
    <cfRule type="expression" dxfId="102" priority="3">
      <formula>$BE121 = "Peak"</formula>
    </cfRule>
  </conditionalFormatting>
  <dataValidations count="4">
    <dataValidation type="list" allowBlank="1" showInputMessage="1" showErrorMessage="1" sqref="T116" xr:uid="{3721079B-D0D4-476E-8BEE-1C77F6E03DD5}">
      <formula1>TrueFalse</formula1>
    </dataValidation>
    <dataValidation type="custom" errorStyle="warning" allowBlank="1" showInputMessage="1" showErrorMessage="1" errorTitle="Enter Multiple of 2" error="This allows for appropriate comparison with cluster analysis" promptTitle="Enter Multiple of 2" prompt="This allows for appropriate comparison with cluster analysis" sqref="P116" xr:uid="{5E0EE17C-89CE-4A45-9747-0659CA95488A}">
      <formula1>MOD(P116, 2) = 0</formula1>
    </dataValidation>
    <dataValidation type="custom" errorStyle="warning" allowBlank="1" showInputMessage="1" showErrorMessage="1" errorTitle="Enter Multiple of 2" promptTitle="Enter Multiple of 2" prompt="This allows for appropriate comparison with cluster analysis" sqref="O116" xr:uid="{4D012092-79E3-4ABA-AF59-56FC8913E9D3}">
      <formula1>MOD(O116,2) = 0</formula1>
    </dataValidation>
    <dataValidation type="custom" errorStyle="warning" allowBlank="1" showInputMessage="1" showErrorMessage="1" errorTitle="Enter Multiple of Bin Size" promptTitle="Enter Multiple of Bin Size" prompt="Enter a multiple of bin size - keep in mind sec to min calculation" sqref="O117:P119" xr:uid="{9DE23E43-A999-49BD-8544-ACDE3D198C86}">
      <formula1>MOD(O117, BinSize_sec/60) = 0</formula1>
    </dataValidation>
  </dataValidations>
  <pageMargins left="0.7" right="0.7" top="0.75" bottom="0.75" header="0.3" footer="0.3"/>
  <pageSetup orientation="portrait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F1CDC-B843-4267-BE04-743921147C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208</vt:i4>
      </vt:variant>
    </vt:vector>
  </HeadingPairs>
  <TitlesOfParts>
    <vt:vector size="214" baseType="lpstr">
      <vt:lpstr>CombinedData</vt:lpstr>
      <vt:lpstr>FiringData</vt:lpstr>
      <vt:lpstr>ForReviewOrRejected</vt:lpstr>
      <vt:lpstr>SelectingBurstWindow</vt:lpstr>
      <vt:lpstr>CopyMe</vt:lpstr>
      <vt:lpstr>Test20190322d</vt:lpstr>
      <vt:lpstr>CopyMe!Analysis_2x2SD</vt:lpstr>
      <vt:lpstr>Test20190322d!Analysis_2x2SD</vt:lpstr>
      <vt:lpstr>CopyMe!Analysis_2x2SE</vt:lpstr>
      <vt:lpstr>Test20190322d!Analysis_2x2SE</vt:lpstr>
      <vt:lpstr>CopyMe!Analysis_3x3SD</vt:lpstr>
      <vt:lpstr>Test20190322d!Analysis_3x3SD</vt:lpstr>
      <vt:lpstr>CopyMe!Analysis_3x3SE</vt:lpstr>
      <vt:lpstr>Test20190322d!Analysis_3x3SE</vt:lpstr>
      <vt:lpstr>AvgBurstWindow</vt:lpstr>
      <vt:lpstr>CopyMe!BinSize_sec</vt:lpstr>
      <vt:lpstr>Test20190322d!BinSize_sec</vt:lpstr>
      <vt:lpstr>CopyMe!BinsPerSeries</vt:lpstr>
      <vt:lpstr>Test20190322d!BinsPerSeries</vt:lpstr>
      <vt:lpstr>CopyMe!BurstFreq_senktide</vt:lpstr>
      <vt:lpstr>Test20190322d!BurstFreq_senktide</vt:lpstr>
      <vt:lpstr>CopyMe!BurstFreq_spont</vt:lpstr>
      <vt:lpstr>Test20190322d!BurstFreq_spont</vt:lpstr>
      <vt:lpstr>CopyMe!BurstFreq_spont_BW1</vt:lpstr>
      <vt:lpstr>CopyMe!BurstFreq_spont_BW2</vt:lpstr>
      <vt:lpstr>CopyMe!BurstFreq_temp2</vt:lpstr>
      <vt:lpstr>Test20190322d!BurstFreq_temp2</vt:lpstr>
      <vt:lpstr>CopyMe!BurstNum_senktide</vt:lpstr>
      <vt:lpstr>Test20190322d!BurstNum_senktide</vt:lpstr>
      <vt:lpstr>CopyMe!BurstNum_spont</vt:lpstr>
      <vt:lpstr>Test20190322d!BurstNum_spont</vt:lpstr>
      <vt:lpstr>CopyMe!BurstNum_spont_BW1</vt:lpstr>
      <vt:lpstr>CopyMe!BurstNum_spont_BW2</vt:lpstr>
      <vt:lpstr>CopyMe!BurstNum_temp2</vt:lpstr>
      <vt:lpstr>Test20190322d!BurstNum_temp2</vt:lpstr>
      <vt:lpstr>CopyMe!BurstsPerHour_senktide</vt:lpstr>
      <vt:lpstr>Test20190322d!BurstsPerHour_senktide</vt:lpstr>
      <vt:lpstr>CopyMe!BurstsPerHour_spont</vt:lpstr>
      <vt:lpstr>Test20190322d!BurstsPerHour_spont</vt:lpstr>
      <vt:lpstr>CopyMe!BurstsPerHour_spont_BW1</vt:lpstr>
      <vt:lpstr>CopyMe!BurstsPerHour_spont_BW2</vt:lpstr>
      <vt:lpstr>CopyMe!BurstsPerHour_temp2</vt:lpstr>
      <vt:lpstr>Test20190322d!BurstsPerHour_temp2</vt:lpstr>
      <vt:lpstr>CopyMe!ClusterBinSize_sec</vt:lpstr>
      <vt:lpstr>Test20190322d!ClusterBinSize_sec</vt:lpstr>
      <vt:lpstr>CopyMe!EndTime_spont</vt:lpstr>
      <vt:lpstr>Test20190322d!EndTime_spont</vt:lpstr>
      <vt:lpstr>CopyMe!FirstSeries</vt:lpstr>
      <vt:lpstr>Test20190322d!FirstSeries</vt:lpstr>
      <vt:lpstr>CopyMe!InterBurst_senktide</vt:lpstr>
      <vt:lpstr>Test20190322d!InterBurst_senktide</vt:lpstr>
      <vt:lpstr>CopyMe!InterBurst_spont</vt:lpstr>
      <vt:lpstr>Test20190322d!InterBurst_spont</vt:lpstr>
      <vt:lpstr>CopyMe!InterBurst_spont_BW1</vt:lpstr>
      <vt:lpstr>CopyMe!InterBurst_spont_BW2</vt:lpstr>
      <vt:lpstr>CopyMe!InterBurst_temp2</vt:lpstr>
      <vt:lpstr>Test20190322d!InterBurst_temp2</vt:lpstr>
      <vt:lpstr>CopyMe!IntraBurst_senktide</vt:lpstr>
      <vt:lpstr>Test20190322d!IntraBurst_senktide</vt:lpstr>
      <vt:lpstr>CopyMe!IntraBurst_spont</vt:lpstr>
      <vt:lpstr>Test20190322d!IntraBurst_spont</vt:lpstr>
      <vt:lpstr>CopyMe!IntraBurst_spont_BW1</vt:lpstr>
      <vt:lpstr>CopyMe!IntraBurst_spont_BW2</vt:lpstr>
      <vt:lpstr>CopyMe!IntraBurst_temp2</vt:lpstr>
      <vt:lpstr>Test20190322d!IntraBurst_temp2</vt:lpstr>
      <vt:lpstr>CopyMe!LastSeries</vt:lpstr>
      <vt:lpstr>Test20190322d!LastSeries</vt:lpstr>
      <vt:lpstr>CopyMe!MaxBurstWindow_senktide</vt:lpstr>
      <vt:lpstr>Test20190322d!MaxBurstWindow_senktide</vt:lpstr>
      <vt:lpstr>CopyMe!MaxBurstWindow_spont</vt:lpstr>
      <vt:lpstr>Test20190322d!MaxBurstWindow_spont</vt:lpstr>
      <vt:lpstr>CopyMe!MaxBurstWindow_spont_BW1</vt:lpstr>
      <vt:lpstr>CopyMe!MaxBurstWindow_spont_BW2</vt:lpstr>
      <vt:lpstr>CopyMe!MaxBurstWindow_temp2</vt:lpstr>
      <vt:lpstr>Test20190322d!MaxBurstWindow_temp2</vt:lpstr>
      <vt:lpstr>CopyMe!Mbd_senktide</vt:lpstr>
      <vt:lpstr>Test20190322d!Mbd_senktide</vt:lpstr>
      <vt:lpstr>CopyMe!Mbd_spont</vt:lpstr>
      <vt:lpstr>Test20190322d!Mbd_spont</vt:lpstr>
      <vt:lpstr>CopyMe!Mbd_spont_BW1</vt:lpstr>
      <vt:lpstr>CopyMe!Mbd_spont_BW2</vt:lpstr>
      <vt:lpstr>CopyMe!Mbd_temp2</vt:lpstr>
      <vt:lpstr>Test20190322d!Mbd_temp2</vt:lpstr>
      <vt:lpstr>CopyMe!meanNadirDur_2x2SD</vt:lpstr>
      <vt:lpstr>Test20190322d!meanNadirDur_2x2SD</vt:lpstr>
      <vt:lpstr>CopyMe!meanNadirDur_2x2SE</vt:lpstr>
      <vt:lpstr>Test20190322d!meanNadirDur_2x2SE</vt:lpstr>
      <vt:lpstr>CopyMe!meanNadirDur_3x3SD</vt:lpstr>
      <vt:lpstr>Test20190322d!meanNadirDur_3x3SD</vt:lpstr>
      <vt:lpstr>CopyMe!meanNadirDur_3x3SE</vt:lpstr>
      <vt:lpstr>Test20190322d!meanNadirDur_3x3SE</vt:lpstr>
      <vt:lpstr>CopyMe!meanNadirFiring_2x2SD</vt:lpstr>
      <vt:lpstr>Test20190322d!meanNadirFiring_2x2SD</vt:lpstr>
      <vt:lpstr>CopyMe!meanNadirFiring_2x2SE</vt:lpstr>
      <vt:lpstr>Test20190322d!meanNadirFiring_2x2SE</vt:lpstr>
      <vt:lpstr>CopyMe!meanNadirFiring_3x3SD</vt:lpstr>
      <vt:lpstr>Test20190322d!meanNadirFiring_3x3SD</vt:lpstr>
      <vt:lpstr>CopyMe!meanNadirFiring_3x3SE</vt:lpstr>
      <vt:lpstr>Test20190322d!meanNadirFiring_3x3SE</vt:lpstr>
      <vt:lpstr>CopyMe!meanPeakDur_2x2SD</vt:lpstr>
      <vt:lpstr>Test20190322d!meanPeakDur_2x2SD</vt:lpstr>
      <vt:lpstr>CopyMe!meanPeakDur_2x2SE</vt:lpstr>
      <vt:lpstr>Test20190322d!meanPeakDur_2x2SE</vt:lpstr>
      <vt:lpstr>CopyMe!meanPeakDur_3x3SD</vt:lpstr>
      <vt:lpstr>Test20190322d!meanPeakDur_3x3SD</vt:lpstr>
      <vt:lpstr>CopyMe!meanPeakDur_3x3SE</vt:lpstr>
      <vt:lpstr>Test20190322d!meanPeakDur_3x3SE</vt:lpstr>
      <vt:lpstr>CopyMe!meanPeakFiring_2x2SD</vt:lpstr>
      <vt:lpstr>Test20190322d!meanPeakFiring_2x2SD</vt:lpstr>
      <vt:lpstr>CopyMe!meanPeakFiring_2x2SE</vt:lpstr>
      <vt:lpstr>Test20190322d!meanPeakFiring_2x2SE</vt:lpstr>
      <vt:lpstr>CopyMe!meanPeakFiring_3x3SD</vt:lpstr>
      <vt:lpstr>Test20190322d!meanPeakFiring_3x3SD</vt:lpstr>
      <vt:lpstr>CopyMe!meanPeakFiring_3x3SE</vt:lpstr>
      <vt:lpstr>Test20190322d!meanPeakFiring_3x3SE</vt:lpstr>
      <vt:lpstr>ForReviewOrRejected!minFiringRate</vt:lpstr>
      <vt:lpstr>minFiringRate</vt:lpstr>
      <vt:lpstr>CopyMe!numNadirs_2x2SD</vt:lpstr>
      <vt:lpstr>Test20190322d!numNadirs_2x2SD</vt:lpstr>
      <vt:lpstr>CopyMe!numNadirs_2x2SE</vt:lpstr>
      <vt:lpstr>Test20190322d!numNadirs_2x2SE</vt:lpstr>
      <vt:lpstr>CopyMe!numNadirs_3x3SD</vt:lpstr>
      <vt:lpstr>Test20190322d!numNadirs_3x3SD</vt:lpstr>
      <vt:lpstr>CopyMe!numNadirs_3x3SE</vt:lpstr>
      <vt:lpstr>Test20190322d!numNadirs_3x3SE</vt:lpstr>
      <vt:lpstr>CopyMe!numPeaks_2x2SD</vt:lpstr>
      <vt:lpstr>Test20190322d!numPeaks_2x2SD</vt:lpstr>
      <vt:lpstr>CopyMe!numPeaks_2x2SE</vt:lpstr>
      <vt:lpstr>Test20190322d!numPeaks_2x2SE</vt:lpstr>
      <vt:lpstr>CopyMe!numPeaks_3x3SD</vt:lpstr>
      <vt:lpstr>Test20190322d!numPeaks_3x3SD</vt:lpstr>
      <vt:lpstr>CopyMe!numPeaks_3x3SE</vt:lpstr>
      <vt:lpstr>Test20190322d!numPeaks_3x3SE</vt:lpstr>
      <vt:lpstr>SelectedBW_1</vt:lpstr>
      <vt:lpstr>SelectedBW_2</vt:lpstr>
      <vt:lpstr>CopyMe!Senktide_analysis</vt:lpstr>
      <vt:lpstr>Test20190322d!Senktide_analysis</vt:lpstr>
      <vt:lpstr>CopyMe!Senktide_length</vt:lpstr>
      <vt:lpstr>Test20190322d!Senktide_length</vt:lpstr>
      <vt:lpstr>CopyMe!SenktideFiring</vt:lpstr>
      <vt:lpstr>Test20190322d!SenktideFiring</vt:lpstr>
      <vt:lpstr>CopyMe!SeriesLength_min</vt:lpstr>
      <vt:lpstr>Test20190322d!SeriesLength_min</vt:lpstr>
      <vt:lpstr>CopyMe!SingleSpikeFreq_senktide</vt:lpstr>
      <vt:lpstr>Test20190322d!SingleSpikeFreq_senktide</vt:lpstr>
      <vt:lpstr>CopyMe!SingleSpikeFreq_spont</vt:lpstr>
      <vt:lpstr>Test20190322d!SingleSpikeFreq_spont</vt:lpstr>
      <vt:lpstr>CopyMe!SingleSpikeFreq_spont_BW1</vt:lpstr>
      <vt:lpstr>CopyMe!SingleSpikeFreq_spont_BW2</vt:lpstr>
      <vt:lpstr>CopyMe!SingleSpikeFreq_temp2</vt:lpstr>
      <vt:lpstr>Test20190322d!SingleSpikeFreq_temp2</vt:lpstr>
      <vt:lpstr>CopyMe!SingleSpikeNum_senktide</vt:lpstr>
      <vt:lpstr>Test20190322d!SingleSpikeNum_senktide</vt:lpstr>
      <vt:lpstr>CopyMe!SingleSpikeNum_spont</vt:lpstr>
      <vt:lpstr>Test20190322d!SingleSpikeNum_spont</vt:lpstr>
      <vt:lpstr>CopyMe!SingleSpikeNum_spont_BW1</vt:lpstr>
      <vt:lpstr>CopyMe!SingleSpikeNum_spont_BW2</vt:lpstr>
      <vt:lpstr>CopyMe!SingleSpikeNum_temp1</vt:lpstr>
      <vt:lpstr>Test20190322d!SingleSpikeNum_temp1</vt:lpstr>
      <vt:lpstr>CopyMe!SingleSpikeNum_temp2</vt:lpstr>
      <vt:lpstr>Test20190322d!SingleSpikeNum_temp2</vt:lpstr>
      <vt:lpstr>CopyMe!SpikesPerBurst_senktide</vt:lpstr>
      <vt:lpstr>Test20190322d!SpikesPerBurst_senktide</vt:lpstr>
      <vt:lpstr>CopyMe!SpikesPerBurst_spont</vt:lpstr>
      <vt:lpstr>Test20190322d!SpikesPerBurst_spont</vt:lpstr>
      <vt:lpstr>CopyMe!SpikesPerBurst_spont_BW1</vt:lpstr>
      <vt:lpstr>CopyMe!SpikesPerBurst_spont_BW2</vt:lpstr>
      <vt:lpstr>CopyMe!SpikesPerBurst_temp2</vt:lpstr>
      <vt:lpstr>Test20190322d!SpikesPerBurst_temp2</vt:lpstr>
      <vt:lpstr>CopyMe!SpontAvgFiring</vt:lpstr>
      <vt:lpstr>Test20190322d!SpontAvgFiring</vt:lpstr>
      <vt:lpstr>CopyMe!SpontLength_min</vt:lpstr>
      <vt:lpstr>Test20190322d!SpontLength_min</vt:lpstr>
      <vt:lpstr>CopyMe!StartTime_spont</vt:lpstr>
      <vt:lpstr>Test20190322d!StartTime_spont</vt:lpstr>
      <vt:lpstr>CopyMe!Temp2_length</vt:lpstr>
      <vt:lpstr>Test20190322d!Temp2_length</vt:lpstr>
      <vt:lpstr>CopyMe!Temp2Firing</vt:lpstr>
      <vt:lpstr>Test20190322d!Temp2Firing</vt:lpstr>
      <vt:lpstr>CopyMe!Temp3_length</vt:lpstr>
      <vt:lpstr>Test20190322d!Temp3_length</vt:lpstr>
      <vt:lpstr>CopyMe!Temp3Firing</vt:lpstr>
      <vt:lpstr>Test20190322d!Temp3Firing</vt:lpstr>
      <vt:lpstr>CopyMe!TotalFreq_senktide</vt:lpstr>
      <vt:lpstr>Test20190322d!TotalFreq_senktide</vt:lpstr>
      <vt:lpstr>CopyMe!TotalFreq_spont</vt:lpstr>
      <vt:lpstr>Test20190322d!TotalFreq_spont</vt:lpstr>
      <vt:lpstr>TotalFreq_spont_BW1</vt:lpstr>
      <vt:lpstr>CopyMe!TotalFreq_spont_BW2</vt:lpstr>
      <vt:lpstr>CopyMe!TotalFreq_temp2</vt:lpstr>
      <vt:lpstr>Test20190322d!TotalFreq_temp2</vt:lpstr>
      <vt:lpstr>CopyMe!TotalLength_min</vt:lpstr>
      <vt:lpstr>Test20190322d!TotalLength_min</vt:lpstr>
      <vt:lpstr>CopyMe!TotalLength_sec</vt:lpstr>
      <vt:lpstr>Test20190322d!TotalLength_sec</vt:lpstr>
      <vt:lpstr>CopyMe!totalNadirDur_2x2SD</vt:lpstr>
      <vt:lpstr>Test20190322d!totalNadirDur_2x2SD</vt:lpstr>
      <vt:lpstr>CopyMe!totalNadirDur_2x2SE</vt:lpstr>
      <vt:lpstr>Test20190322d!totalNadirDur_2x2SE</vt:lpstr>
      <vt:lpstr>CopyMe!totalNadirDur_3x3SD</vt:lpstr>
      <vt:lpstr>Test20190322d!totalNadirDur_3x3SD</vt:lpstr>
      <vt:lpstr>CopyMe!totalNadirDur_3x3SE</vt:lpstr>
      <vt:lpstr>Test20190322d!totalNadirDur_3x3SE</vt:lpstr>
      <vt:lpstr>CopyMe!totalPeakDur_2x2SD</vt:lpstr>
      <vt:lpstr>Test20190322d!totalPeakDur_2x2SD</vt:lpstr>
      <vt:lpstr>CopyMe!totalPeakDur_2x2SE</vt:lpstr>
      <vt:lpstr>Test20190322d!totalPeakDur_2x2SE</vt:lpstr>
      <vt:lpstr>CopyMe!totalPeakDur_3x3SD</vt:lpstr>
      <vt:lpstr>Test20190322d!totalPeakDur_3x3SD</vt:lpstr>
      <vt:lpstr>CopyMe!totalPeakDur_3x3SE</vt:lpstr>
      <vt:lpstr>Test20190322d!totalPeakDur_3x3SE</vt:lpstr>
      <vt:lpstr>CopyMe!TrueFalse</vt:lpstr>
      <vt:lpstr>Test20190322d!TrueFalse</vt:lpstr>
      <vt:lpstr>TrueFalse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Gibson</dc:creator>
  <cp:lastModifiedBy>Amanda Gibson</cp:lastModifiedBy>
  <dcterms:created xsi:type="dcterms:W3CDTF">2020-10-09T00:26:08Z</dcterms:created>
  <dcterms:modified xsi:type="dcterms:W3CDTF">2021-01-01T16:38:34Z</dcterms:modified>
</cp:coreProperties>
</file>