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NGE 420 Production Engineering\Project 3\Submit\"/>
    </mc:Choice>
  </mc:AlternateContent>
  <bookViews>
    <workbookView xWindow="0" yWindow="0" windowWidth="28800" windowHeight="11835" activeTab="2"/>
  </bookViews>
  <sheets>
    <sheet name="PJ2 Mine" sheetId="1" r:id="rId1"/>
    <sheet name="Natural Flow" sheetId="3" r:id="rId2"/>
    <sheet name="Sheet2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2"/>
  <c r="H70" i="3"/>
  <c r="H62" i="3"/>
  <c r="H60" i="3"/>
  <c r="H55" i="3"/>
  <c r="H54" i="3"/>
  <c r="H52" i="3"/>
  <c r="G57" i="3" s="1"/>
  <c r="H44" i="3"/>
  <c r="H24" i="3"/>
  <c r="H28" i="3" s="1"/>
  <c r="H23" i="3"/>
  <c r="H53" i="3" s="1"/>
  <c r="H22" i="3"/>
  <c r="H21" i="3"/>
  <c r="H19" i="3"/>
  <c r="H20" i="3" s="1"/>
  <c r="H42" i="3" s="1"/>
  <c r="H18" i="3"/>
  <c r="H17" i="3"/>
  <c r="H16" i="3"/>
  <c r="H15" i="3"/>
  <c r="H14" i="3"/>
  <c r="C12" i="3"/>
  <c r="H12" i="3" s="1"/>
  <c r="H11" i="3"/>
  <c r="H35" i="3" s="1"/>
  <c r="H10" i="3"/>
  <c r="H41" i="3" s="1"/>
  <c r="H9" i="3"/>
  <c r="H8" i="3"/>
  <c r="H59" i="3" s="1"/>
  <c r="H61" i="3" s="1"/>
  <c r="G63" i="3" s="1"/>
  <c r="H65" i="3" l="1"/>
  <c r="H13" i="3"/>
  <c r="H25" i="3"/>
  <c r="H27" i="3"/>
  <c r="H38" i="3" s="1"/>
  <c r="H45" i="3"/>
  <c r="G56" i="3"/>
  <c r="H26" i="3"/>
  <c r="H30" i="3" s="1"/>
  <c r="H47" i="3" l="1"/>
  <c r="H48" i="3" s="1"/>
  <c r="H66" i="3" s="1"/>
  <c r="H31" i="3"/>
  <c r="H39" i="3"/>
  <c r="H34" i="3"/>
  <c r="H36" i="3" s="1"/>
  <c r="H67" i="3"/>
  <c r="H69" i="3" l="1"/>
  <c r="H68" i="3"/>
  <c r="G71" i="3" s="1"/>
  <c r="H49" i="3"/>
  <c r="C5" i="2" l="1"/>
  <c r="C2" i="2"/>
  <c r="H30" i="1"/>
  <c r="C19" i="1"/>
  <c r="C18" i="1"/>
  <c r="C16" i="1"/>
  <c r="C11" i="1"/>
  <c r="C4" i="2" s="1"/>
  <c r="C10" i="1"/>
  <c r="H15" i="1" s="1"/>
  <c r="C9" i="1"/>
  <c r="H9" i="1" s="1"/>
  <c r="H18" i="1" l="1"/>
  <c r="H19" i="1" s="1"/>
  <c r="G20" i="1" s="1"/>
  <c r="H22" i="1"/>
  <c r="H23" i="1" s="1"/>
  <c r="H10" i="1"/>
  <c r="H11" i="1" s="1"/>
  <c r="H13" i="1"/>
  <c r="H14" i="1" s="1"/>
  <c r="H37" i="1" l="1"/>
  <c r="H12" i="1"/>
  <c r="H38" i="1"/>
  <c r="H34" i="1"/>
  <c r="H35" i="1"/>
  <c r="H24" i="1"/>
  <c r="H32" i="1" s="1"/>
  <c r="H36" i="1" s="1"/>
  <c r="G42" i="1" s="1"/>
  <c r="G43" i="1" l="1"/>
  <c r="H39" i="1"/>
  <c r="G41" i="1" s="1"/>
</calcChain>
</file>

<file path=xl/sharedStrings.xml><?xml version="1.0" encoding="utf-8"?>
<sst xmlns="http://schemas.openxmlformats.org/spreadsheetml/2006/main" count="300" uniqueCount="190">
  <si>
    <t>Beam Pump Design</t>
  </si>
  <si>
    <t>PNGE 420 - Jake Westling - Project 2</t>
  </si>
  <si>
    <t>Parameters Needed:</t>
  </si>
  <si>
    <t>Calculations:</t>
  </si>
  <si>
    <t>PD</t>
  </si>
  <si>
    <t>STB/D</t>
  </si>
  <si>
    <t>Calculate Non-Dimensional Variables</t>
  </si>
  <si>
    <t>H</t>
  </si>
  <si>
    <t>ft</t>
  </si>
  <si>
    <r>
      <t>F</t>
    </r>
    <r>
      <rPr>
        <vertAlign val="subscript"/>
        <sz val="11"/>
        <color theme="1"/>
        <rFont val="Calibri"/>
        <family val="2"/>
        <scheme val="minor"/>
      </rPr>
      <t>o</t>
    </r>
  </si>
  <si>
    <t>lb</t>
  </si>
  <si>
    <t>L</t>
  </si>
  <si>
    <r>
      <t>1/k</t>
    </r>
    <r>
      <rPr>
        <vertAlign val="subscript"/>
        <sz val="11"/>
        <color theme="1"/>
        <rFont val="Calibri"/>
        <family val="2"/>
        <scheme val="minor"/>
      </rPr>
      <t>r</t>
    </r>
  </si>
  <si>
    <t>in/lb</t>
  </si>
  <si>
    <t>Tubing Size</t>
  </si>
  <si>
    <t>in</t>
  </si>
  <si>
    <r>
      <t>Sk</t>
    </r>
    <r>
      <rPr>
        <vertAlign val="subscript"/>
        <sz val="11"/>
        <color theme="1"/>
        <rFont val="Calibri"/>
        <family val="2"/>
        <scheme val="minor"/>
      </rPr>
      <t>r</t>
    </r>
  </si>
  <si>
    <t>Anchored?</t>
  </si>
  <si>
    <t>No</t>
  </si>
  <si>
    <r>
      <t>F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/Sk</t>
    </r>
    <r>
      <rPr>
        <vertAlign val="subscript"/>
        <sz val="11"/>
        <color theme="1"/>
        <rFont val="Calibri"/>
        <family val="2"/>
        <scheme val="minor"/>
      </rPr>
      <t>r</t>
    </r>
  </si>
  <si>
    <t>D</t>
  </si>
  <si>
    <r>
      <t>N/N</t>
    </r>
    <r>
      <rPr>
        <vertAlign val="subscript"/>
        <sz val="11"/>
        <color theme="1"/>
        <rFont val="Calibri"/>
        <family val="2"/>
        <scheme val="minor"/>
      </rPr>
      <t>o</t>
    </r>
  </si>
  <si>
    <t>G</t>
  </si>
  <si>
    <r>
      <t>N/N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'</t>
    </r>
  </si>
  <si>
    <t>N</t>
  </si>
  <si>
    <t>spm</t>
  </si>
  <si>
    <r>
      <t>1/k</t>
    </r>
    <r>
      <rPr>
        <vertAlign val="subscript"/>
        <sz val="11"/>
        <color theme="1"/>
        <rFont val="Calibri"/>
        <family val="2"/>
        <scheme val="minor"/>
      </rPr>
      <t>t</t>
    </r>
  </si>
  <si>
    <t>S</t>
  </si>
  <si>
    <r>
      <t>Solve for S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and PD</t>
    </r>
  </si>
  <si>
    <t>Sucker Rods</t>
  </si>
  <si>
    <t>#65</t>
  </si>
  <si>
    <r>
      <t>S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/S</t>
    </r>
  </si>
  <si>
    <t>Fig 4.1</t>
  </si>
  <si>
    <r>
      <t>S</t>
    </r>
    <r>
      <rPr>
        <vertAlign val="subscript"/>
        <sz val="11"/>
        <color theme="1"/>
        <rFont val="Calibri"/>
        <family val="2"/>
        <scheme val="minor"/>
      </rPr>
      <t>p</t>
    </r>
  </si>
  <si>
    <t>Record Factors from Tables 1 &amp; 2</t>
  </si>
  <si>
    <t>CHECK:</t>
  </si>
  <si>
    <r>
      <t>W</t>
    </r>
    <r>
      <rPr>
        <vertAlign val="subscript"/>
        <sz val="11"/>
        <color theme="1"/>
        <rFont val="Calibri"/>
        <family val="2"/>
        <scheme val="minor"/>
      </rPr>
      <t>r</t>
    </r>
  </si>
  <si>
    <t>lb/ft</t>
  </si>
  <si>
    <t>T4.1 col3</t>
  </si>
  <si>
    <t>Determine Non-Dimensional Parameters</t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</si>
  <si>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</si>
  <si>
    <t>in/lb-ft</t>
  </si>
  <si>
    <t>T4.1 col4</t>
  </si>
  <si>
    <t>W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</si>
  <si>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</si>
  <si>
    <t>T4.1 col5</t>
  </si>
  <si>
    <r>
      <t>W</t>
    </r>
    <r>
      <rPr>
        <vertAlign val="subscript"/>
        <sz val="11"/>
        <color theme="1"/>
        <rFont val="Calibri"/>
        <family val="2"/>
        <scheme val="minor"/>
      </rPr>
      <t>rf</t>
    </r>
  </si>
  <si>
    <t>not anchored only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</si>
  <si>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</si>
  <si>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T4.2 col5</t>
  </si>
  <si>
    <r>
      <t>W</t>
    </r>
    <r>
      <rPr>
        <vertAlign val="subscript"/>
        <sz val="11"/>
        <color theme="1"/>
        <rFont val="Calibri"/>
        <family val="2"/>
        <scheme val="minor"/>
      </rPr>
      <t>rf</t>
    </r>
    <r>
      <rPr>
        <sz val="11"/>
        <color theme="1"/>
        <rFont val="Calibri"/>
        <family val="2"/>
        <scheme val="minor"/>
      </rPr>
      <t>/Sk</t>
    </r>
    <r>
      <rPr>
        <vertAlign val="subscript"/>
        <sz val="11"/>
        <color theme="1"/>
        <rFont val="Calibri"/>
        <family val="2"/>
        <scheme val="minor"/>
      </rPr>
      <t>r</t>
    </r>
  </si>
  <si>
    <t>Sucker Rod Grade</t>
  </si>
  <si>
    <t>Record Non-Dimensional Factors</t>
  </si>
  <si>
    <t>Fig 4.2-4.6</t>
  </si>
  <si>
    <t>Grade</t>
  </si>
  <si>
    <t>K</t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</si>
  <si>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/Sk</t>
    </r>
    <r>
      <rPr>
        <vertAlign val="subscript"/>
        <sz val="11"/>
        <color theme="1"/>
        <rFont val="Calibri"/>
        <family val="2"/>
        <scheme val="minor"/>
      </rPr>
      <t>r</t>
    </r>
  </si>
  <si>
    <t>Minimum Tensile Strength</t>
  </si>
  <si>
    <t>psi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</si>
  <si>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/Sk</t>
    </r>
    <r>
      <rPr>
        <vertAlign val="subscript"/>
        <sz val="11"/>
        <color theme="1"/>
        <rFont val="Calibri"/>
        <family val="2"/>
        <scheme val="minor"/>
      </rPr>
      <t>r</t>
    </r>
  </si>
  <si>
    <t>Designation</t>
  </si>
  <si>
    <r>
      <t>2T/S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kr</t>
    </r>
  </si>
  <si>
    <t>Max Torque</t>
  </si>
  <si>
    <t>lb-in</t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</si>
  <si>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/Sk</t>
    </r>
    <r>
      <rPr>
        <vertAlign val="subscript"/>
        <sz val="11"/>
        <color theme="1"/>
        <rFont val="Calibri"/>
        <family val="2"/>
        <scheme val="minor"/>
      </rPr>
      <t>r</t>
    </r>
  </si>
  <si>
    <t>Rod Load Rating</t>
  </si>
  <si>
    <t>%Chart Value</t>
  </si>
  <si>
    <t>to frac</t>
  </si>
  <si>
    <t>Stroke Length</t>
  </si>
  <si>
    <t>Adjustments for Peak Torque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</si>
  <si>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</si>
  <si>
    <t>Solve for Operating Characteristics</t>
  </si>
  <si>
    <t>PPRL</t>
  </si>
  <si>
    <t>MPRL</t>
  </si>
  <si>
    <t>PT</t>
  </si>
  <si>
    <t>PRHP</t>
  </si>
  <si>
    <t>CBE</t>
  </si>
  <si>
    <r>
      <t>PPRL/A</t>
    </r>
    <r>
      <rPr>
        <vertAlign val="subscript"/>
        <sz val="11"/>
        <color theme="1"/>
        <rFont val="Calibri"/>
        <family val="2"/>
        <scheme val="minor"/>
      </rPr>
      <t>r</t>
    </r>
  </si>
  <si>
    <t>Polished rod</t>
  </si>
  <si>
    <t>Peak Torque</t>
  </si>
  <si>
    <t>qo</t>
  </si>
  <si>
    <t>qg</t>
  </si>
  <si>
    <t>d</t>
  </si>
  <si>
    <t>z</t>
  </si>
  <si>
    <t>p1</t>
  </si>
  <si>
    <t>theta</t>
  </si>
  <si>
    <t>T</t>
  </si>
  <si>
    <t>oil API</t>
  </si>
  <si>
    <t>gas grav</t>
  </si>
  <si>
    <t>GOR</t>
  </si>
  <si>
    <t>Natural Flow</t>
  </si>
  <si>
    <t>PNGE 420 - Jake Westling - Project 1</t>
  </si>
  <si>
    <t>Initial Conditions:</t>
  </si>
  <si>
    <r>
      <t>A</t>
    </r>
    <r>
      <rPr>
        <vertAlign val="subscript"/>
        <sz val="11"/>
        <color theme="1"/>
        <rFont val="Calibri"/>
        <family val="2"/>
        <scheme val="minor"/>
      </rPr>
      <t>o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</si>
  <si>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</si>
  <si>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Wellbore:</t>
  </si>
  <si>
    <r>
      <t>A</t>
    </r>
    <r>
      <rPr>
        <vertAlign val="subscript"/>
        <sz val="11"/>
        <color theme="1"/>
        <rFont val="Calibri"/>
        <family val="2"/>
        <scheme val="minor"/>
      </rPr>
      <t>i</t>
    </r>
  </si>
  <si>
    <r>
      <t>(OD)</t>
    </r>
    <r>
      <rPr>
        <vertAlign val="subscript"/>
        <sz val="11"/>
        <color theme="1"/>
        <rFont val="Calibri"/>
        <family val="2"/>
        <scheme val="minor"/>
      </rPr>
      <t>csg</t>
    </r>
  </si>
  <si>
    <r>
      <t>A</t>
    </r>
    <r>
      <rPr>
        <vertAlign val="subscript"/>
        <sz val="11"/>
        <color theme="1"/>
        <rFont val="Calibri"/>
        <family val="2"/>
        <scheme val="minor"/>
      </rPr>
      <t>s</t>
    </r>
  </si>
  <si>
    <r>
      <t>W</t>
    </r>
    <r>
      <rPr>
        <vertAlign val="subscript"/>
        <sz val="11"/>
        <color theme="1"/>
        <rFont val="Calibri"/>
        <family val="2"/>
        <scheme val="minor"/>
      </rPr>
      <t>csg</t>
    </r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</si>
  <si>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</si>
  <si>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(OD)</t>
    </r>
    <r>
      <rPr>
        <vertAlign val="subscript"/>
        <sz val="11"/>
        <color theme="1"/>
        <rFont val="Calibri"/>
        <family val="2"/>
        <scheme val="minor"/>
      </rPr>
      <t>tbg</t>
    </r>
  </si>
  <si>
    <t>I</t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</si>
  <si>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</si>
  <si>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scheme val="minor"/>
      </rPr>
      <t>tbg</t>
    </r>
  </si>
  <si>
    <t>R</t>
  </si>
  <si>
    <r>
      <t>Grade</t>
    </r>
    <r>
      <rPr>
        <vertAlign val="subscript"/>
        <sz val="11"/>
        <color theme="1"/>
        <rFont val="Calibri"/>
        <family val="2"/>
        <scheme val="minor"/>
      </rPr>
      <t>tbg</t>
    </r>
  </si>
  <si>
    <t>N-80</t>
  </si>
  <si>
    <t>r</t>
  </si>
  <si>
    <r>
      <t>Strength</t>
    </r>
    <r>
      <rPr>
        <vertAlign val="subscript"/>
        <sz val="11"/>
        <color theme="1"/>
        <rFont val="Calibri"/>
        <family val="2"/>
        <scheme val="minor"/>
      </rPr>
      <t>tbg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</si>
  <si>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</si>
  <si>
    <t>lb/in</t>
  </si>
  <si>
    <r>
      <t>w</t>
    </r>
    <r>
      <rPr>
        <vertAlign val="subscript"/>
        <sz val="11"/>
        <color theme="1"/>
        <rFont val="Calibri"/>
        <family val="2"/>
        <scheme val="minor"/>
      </rPr>
      <t>o</t>
    </r>
  </si>
  <si>
    <r>
      <t>(ID)</t>
    </r>
    <r>
      <rPr>
        <vertAlign val="subscript"/>
        <sz val="11"/>
        <color theme="1"/>
        <rFont val="Calibri"/>
        <family val="2"/>
        <scheme val="minor"/>
      </rPr>
      <t>packer</t>
    </r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</si>
  <si>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</si>
  <si>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t>Fluids:</t>
  </si>
  <si>
    <r>
      <t>T</t>
    </r>
    <r>
      <rPr>
        <vertAlign val="subscript"/>
        <sz val="11"/>
        <color theme="1"/>
        <rFont val="Calibri"/>
        <family val="2"/>
        <scheme val="minor"/>
      </rPr>
      <t>tbg_initial_avg</t>
    </r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</si>
  <si>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</si>
  <si>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r>
      <t>ρ</t>
    </r>
    <r>
      <rPr>
        <vertAlign val="subscript"/>
        <sz val="11"/>
        <color theme="1"/>
        <rFont val="Calibri"/>
        <family val="2"/>
        <scheme val="minor"/>
      </rPr>
      <t>tbg_initial</t>
    </r>
  </si>
  <si>
    <t>ppg</t>
  </si>
  <si>
    <r>
      <t>T</t>
    </r>
    <r>
      <rPr>
        <vertAlign val="subscript"/>
        <sz val="11"/>
        <color theme="1"/>
        <rFont val="Calibri"/>
        <family val="2"/>
        <scheme val="minor"/>
      </rPr>
      <t>tb_final_avg</t>
    </r>
  </si>
  <si>
    <r>
      <t>ρ</t>
    </r>
    <r>
      <rPr>
        <vertAlign val="subscript"/>
        <sz val="11"/>
        <color theme="1"/>
        <rFont val="Calibri"/>
        <family val="2"/>
        <scheme val="minor"/>
      </rPr>
      <t>csg_initial</t>
    </r>
  </si>
  <si>
    <t>ΔT</t>
  </si>
  <si>
    <t>Temperatures:</t>
  </si>
  <si>
    <r>
      <t>P</t>
    </r>
    <r>
      <rPr>
        <vertAlign val="subscript"/>
        <sz val="11"/>
        <color theme="1"/>
        <rFont val="Calibri"/>
        <family val="2"/>
        <scheme val="minor"/>
      </rPr>
      <t>i_initial</t>
    </r>
  </si>
  <si>
    <r>
      <t>T</t>
    </r>
    <r>
      <rPr>
        <vertAlign val="subscript"/>
        <sz val="11"/>
        <color theme="1"/>
        <rFont val="Calibri"/>
        <family val="2"/>
        <scheme val="minor"/>
      </rPr>
      <t>wh_initial</t>
    </r>
  </si>
  <si>
    <r>
      <t>P</t>
    </r>
    <r>
      <rPr>
        <vertAlign val="subscript"/>
        <sz val="11"/>
        <color theme="1"/>
        <rFont val="Calibri"/>
        <family val="2"/>
        <scheme val="minor"/>
      </rPr>
      <t>o_initial</t>
    </r>
  </si>
  <si>
    <r>
      <t>T</t>
    </r>
    <r>
      <rPr>
        <vertAlign val="subscript"/>
        <sz val="11"/>
        <color theme="1"/>
        <rFont val="Calibri"/>
        <family val="2"/>
        <scheme val="minor"/>
      </rPr>
      <t>bh_initial</t>
    </r>
  </si>
  <si>
    <r>
      <t>P</t>
    </r>
    <r>
      <rPr>
        <vertAlign val="subscript"/>
        <sz val="11"/>
        <color theme="1"/>
        <rFont val="Calibri"/>
        <family val="2"/>
        <scheme val="minor"/>
      </rPr>
      <t>i_final</t>
    </r>
  </si>
  <si>
    <t>Pressures:</t>
  </si>
  <si>
    <r>
      <t>P</t>
    </r>
    <r>
      <rPr>
        <vertAlign val="subscript"/>
        <sz val="11"/>
        <color theme="1"/>
        <rFont val="Calibri"/>
        <family val="2"/>
        <scheme val="minor"/>
      </rPr>
      <t>o_final</t>
    </r>
  </si>
  <si>
    <r>
      <t>P</t>
    </r>
    <r>
      <rPr>
        <vertAlign val="subscript"/>
        <sz val="11"/>
        <color theme="1"/>
        <rFont val="Calibri"/>
        <family val="2"/>
        <scheme val="minor"/>
      </rPr>
      <t>tbg_initial</t>
    </r>
  </si>
  <si>
    <r>
      <t>ΔP</t>
    </r>
    <r>
      <rPr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</si>
  <si>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vertAlign val="subscript"/>
        <sz val="11"/>
        <color theme="1"/>
        <rFont val="Calibri"/>
        <family val="2"/>
        <scheme val="minor"/>
      </rPr>
      <t>csg_initial</t>
    </r>
  </si>
  <si>
    <r>
      <t>ΔP</t>
    </r>
    <r>
      <rPr>
        <vertAlign val="subscript"/>
        <sz val="11"/>
        <color theme="1"/>
        <rFont val="Calibri"/>
        <family val="2"/>
        <scheme val="minor"/>
      </rPr>
      <t>o</t>
    </r>
  </si>
  <si>
    <r>
      <t>ΔP</t>
    </r>
    <r>
      <rPr>
        <vertAlign val="subscript"/>
        <sz val="11"/>
        <color theme="1"/>
        <rFont val="Calibri"/>
        <family val="2"/>
        <scheme val="minor"/>
      </rPr>
      <t>ia</t>
    </r>
  </si>
  <si>
    <t>Final Conditions:</t>
  </si>
  <si>
    <r>
      <t>ΔP</t>
    </r>
    <r>
      <rPr>
        <vertAlign val="subscript"/>
        <sz val="11"/>
        <color theme="1"/>
        <rFont val="Calibri"/>
        <family val="2"/>
        <scheme val="minor"/>
      </rPr>
      <t>oa</t>
    </r>
  </si>
  <si>
    <t>Piston Effect</t>
  </si>
  <si>
    <r>
      <t>F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</si>
  <si>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</si>
  <si>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ΔL</t>
    </r>
    <r>
      <rPr>
        <vertAlign val="subscript"/>
        <sz val="11"/>
        <color theme="1"/>
        <rFont val="Calibri"/>
        <family val="2"/>
        <scheme val="minor"/>
      </rPr>
      <t>1</t>
    </r>
  </si>
  <si>
    <r>
      <t>ρ</t>
    </r>
    <r>
      <rPr>
        <vertAlign val="subscript"/>
        <sz val="11"/>
        <color theme="1"/>
        <rFont val="Calibri"/>
        <family val="2"/>
        <scheme val="minor"/>
      </rPr>
      <t>tbg_final</t>
    </r>
  </si>
  <si>
    <t>Buckling Effect</t>
  </si>
  <si>
    <r>
      <t>ρ</t>
    </r>
    <r>
      <rPr>
        <vertAlign val="subscript"/>
        <sz val="11"/>
        <color theme="1"/>
        <rFont val="Calibri"/>
        <family val="2"/>
        <scheme val="minor"/>
      </rPr>
      <t>csg_final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</si>
  <si>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</si>
  <si>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ΔL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</si>
  <si>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wh_final</t>
    </r>
  </si>
  <si>
    <t>n</t>
  </si>
  <si>
    <r>
      <t>T</t>
    </r>
    <r>
      <rPr>
        <vertAlign val="subscript"/>
        <sz val="11"/>
        <color theme="1"/>
        <rFont val="Calibri"/>
        <family val="2"/>
        <scheme val="minor"/>
      </rPr>
      <t>bh_final</t>
    </r>
  </si>
  <si>
    <t>Ballooning Effect</t>
  </si>
  <si>
    <r>
      <t>P</t>
    </r>
    <r>
      <rPr>
        <vertAlign val="subscript"/>
        <sz val="11"/>
        <color theme="1"/>
        <rFont val="Calibri"/>
        <family val="2"/>
        <scheme val="minor"/>
      </rPr>
      <t>tbg_final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</si>
  <si>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</si>
  <si>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scheme val="minor"/>
      </rPr>
      <t>csg_final</t>
    </r>
  </si>
  <si>
    <r>
      <t>ΔL</t>
    </r>
    <r>
      <rPr>
        <vertAlign val="subscript"/>
        <sz val="11"/>
        <color theme="1"/>
        <rFont val="Calibri"/>
        <family val="2"/>
        <scheme val="minor"/>
      </rPr>
      <t>3</t>
    </r>
  </si>
  <si>
    <t>Temperature Effect</t>
  </si>
  <si>
    <t>For Hardware:</t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</si>
  <si>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</si>
  <si>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t>Casing:</t>
  </si>
  <si>
    <r>
      <t>ΔL</t>
    </r>
    <r>
      <rPr>
        <vertAlign val="subscript"/>
        <sz val="11"/>
        <color theme="1"/>
        <rFont val="Calibri"/>
        <family val="2"/>
        <scheme val="minor"/>
      </rPr>
      <t>4</t>
    </r>
  </si>
  <si>
    <r>
      <t>(ID)</t>
    </r>
    <r>
      <rPr>
        <vertAlign val="subscript"/>
        <sz val="11"/>
        <color theme="1"/>
        <rFont val="Calibri"/>
        <family val="2"/>
        <scheme val="minor"/>
      </rPr>
      <t>csg</t>
    </r>
  </si>
  <si>
    <t>Mechanically Applied Effect</t>
  </si>
  <si>
    <t>Tubing:</t>
  </si>
  <si>
    <r>
      <t>ΔL</t>
    </r>
    <r>
      <rPr>
        <vertAlign val="subscript"/>
        <sz val="11"/>
        <color theme="1"/>
        <rFont val="Calibri"/>
        <family val="2"/>
        <scheme val="minor"/>
      </rPr>
      <t>s</t>
    </r>
  </si>
  <si>
    <r>
      <t>(ID)</t>
    </r>
    <r>
      <rPr>
        <vertAlign val="subscript"/>
        <sz val="11"/>
        <color theme="1"/>
        <rFont val="Calibri"/>
        <family val="2"/>
        <scheme val="minor"/>
      </rPr>
      <t>tbg</t>
    </r>
  </si>
  <si>
    <t>Total Forces and Length Changes</t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</si>
  <si>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</si>
  <si>
    <r>
      <t>Collapse</t>
    </r>
    <r>
      <rPr>
        <vertAlign val="subscript"/>
        <sz val="11"/>
        <color theme="1"/>
        <rFont val="Calibri"/>
        <family val="2"/>
        <scheme val="minor"/>
      </rPr>
      <t>tbg</t>
    </r>
  </si>
  <si>
    <r>
      <t>Burst</t>
    </r>
    <r>
      <rPr>
        <vertAlign val="subscript"/>
        <sz val="11"/>
        <color theme="1"/>
        <rFont val="Calibri"/>
        <family val="2"/>
        <scheme val="minor"/>
      </rPr>
      <t>tbg</t>
    </r>
  </si>
  <si>
    <r>
      <t>ΔL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</si>
  <si>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Tension</t>
    </r>
    <r>
      <rPr>
        <vertAlign val="subscript"/>
        <sz val="11"/>
        <color theme="1"/>
        <rFont val="Calibri"/>
        <family val="2"/>
        <scheme val="minor"/>
      </rPr>
      <t>tbg</t>
    </r>
  </si>
  <si>
    <t>Burst or Collapse Forces</t>
  </si>
  <si>
    <t>At final conditions:</t>
  </si>
  <si>
    <r>
      <t>P</t>
    </r>
    <r>
      <rPr>
        <vertAlign val="subscript"/>
        <sz val="11"/>
        <color theme="1"/>
        <rFont val="Calibri"/>
        <family val="2"/>
        <scheme val="minor"/>
      </rPr>
      <t>R_top</t>
    </r>
  </si>
  <si>
    <r>
      <t>P</t>
    </r>
    <r>
      <rPr>
        <vertAlign val="subscript"/>
        <sz val="11"/>
        <color theme="1"/>
        <rFont val="Calibri"/>
        <family val="2"/>
        <scheme val="minor"/>
      </rPr>
      <t>R_bottom</t>
    </r>
  </si>
  <si>
    <r>
      <t>Burst</t>
    </r>
    <r>
      <rPr>
        <vertAlign val="subscript"/>
        <sz val="11"/>
        <color theme="1"/>
        <rFont val="Calibri"/>
        <family val="2"/>
        <scheme val="minor"/>
      </rPr>
      <t>max_allowable</t>
    </r>
  </si>
  <si>
    <r>
      <t>Collapse</t>
    </r>
    <r>
      <rPr>
        <vertAlign val="subscript"/>
        <sz val="11"/>
        <color theme="1"/>
        <rFont val="Calibri"/>
        <family val="2"/>
        <scheme val="minor"/>
      </rPr>
      <t>max_allowable</t>
    </r>
  </si>
  <si>
    <t>Tension Force at Top Joint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</si>
  <si>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</si>
  <si>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(W</t>
    </r>
    <r>
      <rPr>
        <vertAlign val="subscript"/>
        <sz val="11"/>
        <color theme="1"/>
        <rFont val="Calibri"/>
        <family val="2"/>
        <scheme val="minor"/>
      </rPr>
      <t>tbg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air</t>
    </r>
  </si>
  <si>
    <r>
      <t>F</t>
    </r>
    <r>
      <rPr>
        <vertAlign val="subscript"/>
        <sz val="11"/>
        <color theme="1"/>
        <rFont val="Calibri"/>
        <family val="2"/>
        <scheme val="minor"/>
      </rPr>
      <t>TJ</t>
    </r>
  </si>
  <si>
    <r>
      <t>Tension</t>
    </r>
    <r>
      <rPr>
        <vertAlign val="subscript"/>
        <sz val="11"/>
        <color theme="1"/>
        <rFont val="Calibri"/>
        <family val="2"/>
        <scheme val="minor"/>
      </rPr>
      <t>max_allowable</t>
    </r>
  </si>
  <si>
    <t>Stress: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</si>
  <si>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</si>
  <si>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</si>
  <si>
    <r>
      <t>σ</t>
    </r>
    <r>
      <rPr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</si>
  <si>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</si>
  <si>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</si>
  <si>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Strength</t>
    </r>
    <r>
      <rPr>
        <vertAlign val="subscript"/>
        <sz val="11"/>
        <color theme="1"/>
        <rFont val="Calibri"/>
        <family val="2"/>
        <scheme val="minor"/>
      </rPr>
      <t>_max_allowable</t>
    </r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</si>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</sst>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13" xfId="0" applyFont="1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0" fontId="0" fillId="0" borderId="17" xfId="0" applyBorder="1"/>
    <xf numFmtId="0" fontId="0" fillId="3" borderId="13" xfId="0" applyFill="1" applyBorder="1"/>
    <xf numFmtId="164" fontId="0" fillId="0" borderId="13" xfId="0" applyNumberFormat="1" applyBorder="1"/>
    <xf numFmtId="1" fontId="0" fillId="0" borderId="13" xfId="0" applyNumberFormat="1" applyBorder="1"/>
    <xf numFmtId="165" fontId="0" fillId="0" borderId="13" xfId="0" applyNumberFormat="1" applyBorder="1"/>
    <xf numFmtId="0" fontId="0" fillId="3" borderId="13" xfId="0" applyFill="1" applyBorder="1" applyAlignment="1">
      <alignment horizontal="right"/>
    </xf>
    <xf numFmtId="10" fontId="0" fillId="3" borderId="12" xfId="0" applyNumberFormat="1" applyFill="1" applyBorder="1"/>
    <xf numFmtId="166" fontId="0" fillId="0" borderId="13" xfId="0" applyNumberFormat="1" applyBorder="1"/>
    <xf numFmtId="0" fontId="1" fillId="2" borderId="21" xfId="0" applyFont="1" applyFill="1" applyBorder="1"/>
    <xf numFmtId="11" fontId="0" fillId="3" borderId="13" xfId="0" applyNumberFormat="1" applyFill="1" applyBorder="1"/>
    <xf numFmtId="165" fontId="6" fillId="0" borderId="13" xfId="0" applyNumberFormat="1" applyFont="1" applyBorder="1"/>
    <xf numFmtId="0" fontId="0" fillId="0" borderId="25" xfId="0" applyBorder="1"/>
    <xf numFmtId="165" fontId="6" fillId="0" borderId="26" xfId="0" applyNumberFormat="1" applyFont="1" applyBorder="1"/>
    <xf numFmtId="0" fontId="0" fillId="0" borderId="27" xfId="0" applyBorder="1"/>
    <xf numFmtId="2" fontId="6" fillId="0" borderId="13" xfId="0" applyNumberFormat="1" applyFont="1" applyBorder="1"/>
    <xf numFmtId="0" fontId="0" fillId="3" borderId="13" xfId="0" applyFont="1" applyFill="1" applyBorder="1" applyAlignment="1"/>
    <xf numFmtId="0" fontId="0" fillId="3" borderId="0" xfId="0" applyFill="1" applyBorder="1"/>
    <xf numFmtId="1" fontId="0" fillId="0" borderId="26" xfId="0" applyNumberFormat="1" applyBorder="1"/>
    <xf numFmtId="166" fontId="0" fillId="0" borderId="26" xfId="0" applyNumberFormat="1" applyBorder="1"/>
    <xf numFmtId="0" fontId="1" fillId="2" borderId="18" xfId="0" applyFont="1" applyFill="1" applyBorder="1"/>
    <xf numFmtId="166" fontId="0" fillId="3" borderId="0" xfId="0" applyNumberFormat="1" applyFill="1" applyBorder="1"/>
    <xf numFmtId="1" fontId="0" fillId="3" borderId="0" xfId="0" applyNumberFormat="1" applyFill="1" applyBorder="1"/>
    <xf numFmtId="0" fontId="1" fillId="3" borderId="0" xfId="0" applyFont="1" applyFill="1" applyBorder="1"/>
    <xf numFmtId="165" fontId="0" fillId="0" borderId="16" xfId="0" applyNumberFormat="1" applyBorder="1"/>
    <xf numFmtId="0" fontId="0" fillId="0" borderId="26" xfId="0" applyBorder="1"/>
    <xf numFmtId="0" fontId="0" fillId="0" borderId="16" xfId="0" applyBorder="1"/>
    <xf numFmtId="0" fontId="0" fillId="0" borderId="13" xfId="0" applyBorder="1"/>
    <xf numFmtId="0" fontId="0" fillId="0" borderId="36" xfId="0" applyBorder="1"/>
    <xf numFmtId="0" fontId="0" fillId="3" borderId="37" xfId="0" applyFill="1" applyBorder="1"/>
    <xf numFmtId="0" fontId="0" fillId="0" borderId="38" xfId="0" applyBorder="1"/>
    <xf numFmtId="0" fontId="0" fillId="2" borderId="21" xfId="0" applyFill="1" applyBorder="1"/>
    <xf numFmtId="0" fontId="8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6" fontId="5" fillId="0" borderId="22" xfId="0" applyNumberFormat="1" applyFont="1" applyBorder="1" applyAlignment="1">
      <alignment horizontal="center"/>
    </xf>
    <xf numFmtId="166" fontId="5" fillId="0" borderId="23" xfId="0" applyNumberFormat="1" applyFont="1" applyBorder="1" applyAlignment="1">
      <alignment horizontal="center"/>
    </xf>
    <xf numFmtId="166" fontId="5" fillId="0" borderId="2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6</xdr:row>
      <xdr:rowOff>161925</xdr:rowOff>
    </xdr:from>
    <xdr:to>
      <xdr:col>21</xdr:col>
      <xdr:colOff>323057</xdr:colOff>
      <xdr:row>24</xdr:row>
      <xdr:rowOff>66181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1343025"/>
          <a:ext cx="6342857" cy="3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GE%20420%20Production%20Engineering/Project%203/420F2015PJ2_WESTLING_Jake_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Flow"/>
      <sheetName val="Final Results"/>
      <sheetName val=" PJ2 Example"/>
      <sheetName val="PJ2 Mine"/>
      <sheetName val="Misc Equations"/>
    </sheetNames>
    <sheetDataSet>
      <sheetData sheetId="0">
        <row r="12">
          <cell r="C12">
            <v>2.875</v>
          </cell>
        </row>
        <row r="16">
          <cell r="C16">
            <v>10038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A10" zoomScaleNormal="100" workbookViewId="0">
      <selection activeCell="E8" sqref="E8"/>
    </sheetView>
  </sheetViews>
  <sheetFormatPr defaultRowHeight="15" x14ac:dyDescent="0.25"/>
  <cols>
    <col min="1" max="1" width="9.140625" customWidth="1"/>
    <col min="2" max="2" width="23.85546875" customWidth="1"/>
    <col min="3" max="3" width="12.140625" customWidth="1"/>
    <col min="6" max="6" width="13.85546875" customWidth="1"/>
    <col min="7" max="7" width="20.42578125" customWidth="1"/>
    <col min="8" max="8" width="9.5703125" bestFit="1" customWidth="1"/>
  </cols>
  <sheetData>
    <row r="1" spans="1:25" ht="15.75" thickBot="1" x14ac:dyDescent="0.3"/>
    <row r="2" spans="1:25" x14ac:dyDescent="0.25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</row>
    <row r="3" spans="1:25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60"/>
    </row>
    <row r="4" spans="1:25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</row>
    <row r="5" spans="1:25" ht="15.75" thickBot="1" x14ac:dyDescent="0.3">
      <c r="J5" s="64" t="s">
        <v>1</v>
      </c>
      <c r="K5" s="65"/>
      <c r="L5" s="65"/>
      <c r="M5" s="66"/>
    </row>
    <row r="6" spans="1:25" ht="15.75" thickBot="1" x14ac:dyDescent="0.3"/>
    <row r="7" spans="1:25" ht="15.75" thickBot="1" x14ac:dyDescent="0.3">
      <c r="A7" s="1"/>
      <c r="B7" s="41" t="s">
        <v>2</v>
      </c>
      <c r="C7" s="42"/>
      <c r="D7" s="43"/>
      <c r="G7" s="41" t="s">
        <v>3</v>
      </c>
      <c r="H7" s="42"/>
      <c r="I7" s="43"/>
    </row>
    <row r="8" spans="1:25" ht="15.75" thickBot="1" x14ac:dyDescent="0.3">
      <c r="B8" s="2" t="s">
        <v>4</v>
      </c>
      <c r="C8" s="3">
        <v>250</v>
      </c>
      <c r="D8" s="4" t="s">
        <v>5</v>
      </c>
      <c r="G8" s="41" t="s">
        <v>6</v>
      </c>
      <c r="H8" s="42"/>
      <c r="I8" s="43"/>
    </row>
    <row r="9" spans="1:25" ht="18" x14ac:dyDescent="0.35">
      <c r="A9" s="1"/>
      <c r="B9" s="2" t="s">
        <v>7</v>
      </c>
      <c r="C9" s="3">
        <f>'[1]Natural Flow'!C16/2</f>
        <v>5019</v>
      </c>
      <c r="D9" s="4" t="s">
        <v>8</v>
      </c>
      <c r="G9" s="5" t="s">
        <v>9</v>
      </c>
      <c r="H9" s="6">
        <f>0.34*$C$14*$C$13^2*$C$9</f>
        <v>4778.0879999999997</v>
      </c>
      <c r="I9" s="7" t="s">
        <v>10</v>
      </c>
    </row>
    <row r="10" spans="1:25" ht="18" x14ac:dyDescent="0.35">
      <c r="A10" s="1"/>
      <c r="B10" s="2" t="s">
        <v>11</v>
      </c>
      <c r="C10" s="8">
        <f>'[1]Natural Flow'!C16</f>
        <v>10038</v>
      </c>
      <c r="D10" s="4" t="s">
        <v>8</v>
      </c>
      <c r="G10" s="2" t="s">
        <v>12</v>
      </c>
      <c r="H10" s="9">
        <f>C22*C10</f>
        <v>1.0740659999999999E-2</v>
      </c>
      <c r="I10" s="4" t="s">
        <v>13</v>
      </c>
    </row>
    <row r="11" spans="1:25" ht="18" x14ac:dyDescent="0.35">
      <c r="A11" s="1"/>
      <c r="B11" s="2" t="s">
        <v>14</v>
      </c>
      <c r="C11" s="8">
        <f>'[1]Natural Flow'!C12</f>
        <v>2.875</v>
      </c>
      <c r="D11" s="4" t="s">
        <v>15</v>
      </c>
      <c r="G11" s="2" t="s">
        <v>16</v>
      </c>
      <c r="H11" s="10">
        <f>$C$16/$H$10</f>
        <v>11172.497779466068</v>
      </c>
      <c r="I11" s="4" t="s">
        <v>10</v>
      </c>
    </row>
    <row r="12" spans="1:25" ht="18.75" customHeight="1" x14ac:dyDescent="0.35">
      <c r="A12" s="1"/>
      <c r="B12" s="2" t="s">
        <v>17</v>
      </c>
      <c r="C12" s="8" t="s">
        <v>18</v>
      </c>
      <c r="D12" s="4"/>
      <c r="G12" s="2" t="s">
        <v>19</v>
      </c>
      <c r="H12" s="11">
        <f>$H$9/$H$11</f>
        <v>0.42766515548399991</v>
      </c>
      <c r="I12" s="4"/>
    </row>
    <row r="13" spans="1:25" ht="18" x14ac:dyDescent="0.35">
      <c r="A13" s="1"/>
      <c r="B13" s="2" t="s">
        <v>20</v>
      </c>
      <c r="C13" s="12">
        <v>2</v>
      </c>
      <c r="D13" s="4" t="s">
        <v>15</v>
      </c>
      <c r="G13" s="2" t="s">
        <v>21</v>
      </c>
      <c r="H13" s="11">
        <f>C15*C10/245000</f>
        <v>0.2868</v>
      </c>
      <c r="I13" s="4"/>
    </row>
    <row r="14" spans="1:25" ht="18" customHeight="1" x14ac:dyDescent="0.35">
      <c r="A14" s="1"/>
      <c r="B14" s="2" t="s">
        <v>22</v>
      </c>
      <c r="C14" s="8">
        <v>0.7</v>
      </c>
      <c r="D14" s="4"/>
      <c r="G14" s="2" t="s">
        <v>23</v>
      </c>
      <c r="H14" s="11">
        <f>H13/C23</f>
        <v>0.25745062836624771</v>
      </c>
      <c r="I14" s="4"/>
    </row>
    <row r="15" spans="1:25" ht="18.75" thickBot="1" x14ac:dyDescent="0.4">
      <c r="A15" s="1"/>
      <c r="B15" s="2" t="s">
        <v>24</v>
      </c>
      <c r="C15" s="8">
        <v>7</v>
      </c>
      <c r="D15" s="4" t="s">
        <v>25</v>
      </c>
      <c r="G15" s="2" t="s">
        <v>26</v>
      </c>
      <c r="H15" s="9">
        <f>C24*C10</f>
        <v>2.2183979999999999E-3</v>
      </c>
      <c r="I15" s="4" t="s">
        <v>13</v>
      </c>
    </row>
    <row r="16" spans="1:25" ht="18.75" thickBot="1" x14ac:dyDescent="0.4">
      <c r="A16" s="1"/>
      <c r="B16" s="2" t="s">
        <v>27</v>
      </c>
      <c r="C16" s="8">
        <f>C31</f>
        <v>120</v>
      </c>
      <c r="D16" s="4" t="s">
        <v>15</v>
      </c>
      <c r="G16" s="52" t="s">
        <v>28</v>
      </c>
      <c r="H16" s="53"/>
      <c r="I16" s="54"/>
    </row>
    <row r="17" spans="1:11" ht="18" x14ac:dyDescent="0.35">
      <c r="A17" s="1"/>
      <c r="B17" s="2" t="s">
        <v>29</v>
      </c>
      <c r="C17" s="8" t="s">
        <v>30</v>
      </c>
      <c r="D17" s="4"/>
      <c r="G17" s="2" t="s">
        <v>31</v>
      </c>
      <c r="H17" s="11">
        <v>0.86</v>
      </c>
      <c r="I17" s="4"/>
      <c r="J17" t="s">
        <v>32</v>
      </c>
    </row>
    <row r="18" spans="1:11" ht="18" x14ac:dyDescent="0.35">
      <c r="A18" s="1"/>
      <c r="B18" s="13">
        <v>0.48</v>
      </c>
      <c r="C18" s="8">
        <f>5/8</f>
        <v>0.625</v>
      </c>
      <c r="D18" s="4" t="s">
        <v>15</v>
      </c>
      <c r="G18" s="2" t="s">
        <v>33</v>
      </c>
      <c r="H18" s="14">
        <f>H17*C16-H9*H15</f>
        <v>92.600299136976005</v>
      </c>
      <c r="I18" s="4" t="s">
        <v>15</v>
      </c>
    </row>
    <row r="19" spans="1:11" ht="15.75" thickBot="1" x14ac:dyDescent="0.3">
      <c r="A19" s="1"/>
      <c r="B19" s="13">
        <v>0.52</v>
      </c>
      <c r="C19" s="8">
        <f>3/4</f>
        <v>0.75</v>
      </c>
      <c r="D19" s="4" t="s">
        <v>15</v>
      </c>
      <c r="G19" s="2" t="s">
        <v>4</v>
      </c>
      <c r="H19" s="10">
        <f>0.1166*H18*C15*C13^2</f>
        <v>302.32145662239924</v>
      </c>
      <c r="I19" s="4" t="s">
        <v>5</v>
      </c>
    </row>
    <row r="20" spans="1:11" ht="15.75" thickBot="1" x14ac:dyDescent="0.3">
      <c r="B20" s="52" t="s">
        <v>34</v>
      </c>
      <c r="C20" s="53"/>
      <c r="D20" s="54"/>
      <c r="F20" s="15" t="s">
        <v>35</v>
      </c>
      <c r="G20" s="67" t="str">
        <f>IF(H19&gt;=C8,"Pump Displacement is sufficient.","Increase S or N.")</f>
        <v>Pump Displacement is sufficient.</v>
      </c>
      <c r="H20" s="68"/>
      <c r="I20" s="69"/>
    </row>
    <row r="21" spans="1:11" ht="18.75" thickBot="1" x14ac:dyDescent="0.4">
      <c r="A21" s="1"/>
      <c r="B21" s="2" t="s">
        <v>36</v>
      </c>
      <c r="C21" s="8">
        <v>1.3939999999999999</v>
      </c>
      <c r="D21" s="4" t="s">
        <v>37</v>
      </c>
      <c r="E21" t="s">
        <v>38</v>
      </c>
      <c r="G21" s="52" t="s">
        <v>39</v>
      </c>
      <c r="H21" s="53"/>
      <c r="I21" s="54"/>
    </row>
    <row r="22" spans="1:11" ht="18" x14ac:dyDescent="0.35">
      <c r="A22" s="1"/>
      <c r="B22" s="2" t="s">
        <v>40</v>
      </c>
      <c r="C22" s="16">
        <v>1.0699999999999999E-6</v>
      </c>
      <c r="D22" s="4" t="s">
        <v>41</v>
      </c>
      <c r="E22" t="s">
        <v>42</v>
      </c>
      <c r="G22" s="2" t="s">
        <v>43</v>
      </c>
      <c r="H22" s="10">
        <f>C21*C10</f>
        <v>13992.972</v>
      </c>
      <c r="I22" s="4" t="s">
        <v>10</v>
      </c>
    </row>
    <row r="23" spans="1:11" ht="18" x14ac:dyDescent="0.35">
      <c r="A23" s="1"/>
      <c r="B23" s="2" t="s">
        <v>44</v>
      </c>
      <c r="C23" s="8">
        <v>1.1140000000000001</v>
      </c>
      <c r="D23" s="4"/>
      <c r="E23" t="s">
        <v>45</v>
      </c>
      <c r="G23" s="2" t="s">
        <v>46</v>
      </c>
      <c r="H23" s="10">
        <f>H22*(1-0.128*C14)</f>
        <v>12739.201708799999</v>
      </c>
      <c r="I23" s="4" t="s">
        <v>10</v>
      </c>
    </row>
    <row r="24" spans="1:11" ht="18.75" thickBot="1" x14ac:dyDescent="0.4">
      <c r="A24" s="1" t="s">
        <v>47</v>
      </c>
      <c r="B24" s="2" t="s">
        <v>48</v>
      </c>
      <c r="C24" s="16">
        <v>2.2100000000000001E-7</v>
      </c>
      <c r="D24" s="4" t="s">
        <v>41</v>
      </c>
      <c r="E24" t="s">
        <v>49</v>
      </c>
      <c r="G24" s="2" t="s">
        <v>50</v>
      </c>
      <c r="H24" s="11">
        <f>H23/H11</f>
        <v>1.1402286185469981</v>
      </c>
      <c r="I24" s="4"/>
    </row>
    <row r="25" spans="1:11" ht="15.75" thickBot="1" x14ac:dyDescent="0.3">
      <c r="B25" s="52" t="s">
        <v>51</v>
      </c>
      <c r="C25" s="53"/>
      <c r="D25" s="54"/>
      <c r="G25" s="52" t="s">
        <v>52</v>
      </c>
      <c r="H25" s="53"/>
      <c r="I25" s="54"/>
      <c r="J25" t="s">
        <v>53</v>
      </c>
    </row>
    <row r="26" spans="1:11" ht="18" x14ac:dyDescent="0.35">
      <c r="B26" s="2" t="s">
        <v>54</v>
      </c>
      <c r="C26" s="8" t="s">
        <v>55</v>
      </c>
      <c r="D26" s="4"/>
      <c r="G26" s="2" t="s">
        <v>56</v>
      </c>
      <c r="H26" s="17">
        <v>0.6179</v>
      </c>
      <c r="I26" s="4"/>
      <c r="J26">
        <v>4.2</v>
      </c>
    </row>
    <row r="27" spans="1:11" ht="18.75" thickBot="1" x14ac:dyDescent="0.4">
      <c r="A27" s="1"/>
      <c r="B27" s="2" t="s">
        <v>57</v>
      </c>
      <c r="C27" s="16">
        <v>85000</v>
      </c>
      <c r="D27" s="4" t="s">
        <v>58</v>
      </c>
      <c r="G27" s="2" t="s">
        <v>59</v>
      </c>
      <c r="H27" s="17">
        <v>0.18740000000000001</v>
      </c>
      <c r="I27" s="4"/>
      <c r="J27">
        <v>4.3</v>
      </c>
    </row>
    <row r="28" spans="1:11" ht="18" thickBot="1" x14ac:dyDescent="0.3">
      <c r="A28" s="1"/>
      <c r="B28" s="52" t="s">
        <v>60</v>
      </c>
      <c r="C28" s="53"/>
      <c r="D28" s="54"/>
      <c r="G28" s="18" t="s">
        <v>61</v>
      </c>
      <c r="H28" s="19">
        <v>0.36520000000000002</v>
      </c>
      <c r="I28" s="20"/>
      <c r="J28">
        <v>4.4000000000000004</v>
      </c>
    </row>
    <row r="29" spans="1:11" ht="18" x14ac:dyDescent="0.35">
      <c r="A29" s="1"/>
      <c r="B29" s="2" t="s">
        <v>62</v>
      </c>
      <c r="C29" s="16">
        <v>456000</v>
      </c>
      <c r="D29" s="4" t="s">
        <v>63</v>
      </c>
      <c r="G29" s="2" t="s">
        <v>64</v>
      </c>
      <c r="H29" s="21">
        <v>0.33</v>
      </c>
      <c r="I29" s="4"/>
      <c r="J29">
        <v>4.5</v>
      </c>
    </row>
    <row r="30" spans="1:11" ht="15.75" thickBot="1" x14ac:dyDescent="0.3">
      <c r="A30" s="1"/>
      <c r="B30" s="8" t="s">
        <v>65</v>
      </c>
      <c r="C30" s="8">
        <v>30500</v>
      </c>
      <c r="D30" s="8" t="s">
        <v>10</v>
      </c>
      <c r="G30" s="2" t="s">
        <v>66</v>
      </c>
      <c r="H30" s="17">
        <f>-1.75/2/100</f>
        <v>-8.7500000000000008E-3</v>
      </c>
      <c r="I30" s="4"/>
      <c r="J30">
        <v>4.5999999999999996</v>
      </c>
      <c r="K30" t="s">
        <v>67</v>
      </c>
    </row>
    <row r="31" spans="1:11" ht="15.75" thickBot="1" x14ac:dyDescent="0.3">
      <c r="A31" s="1"/>
      <c r="B31" s="22" t="s">
        <v>68</v>
      </c>
      <c r="C31" s="22">
        <v>120</v>
      </c>
      <c r="D31" s="22" t="s">
        <v>15</v>
      </c>
      <c r="G31" s="41" t="s">
        <v>69</v>
      </c>
      <c r="H31" s="42"/>
      <c r="I31" s="43"/>
    </row>
    <row r="32" spans="1:11" ht="18.75" thickBot="1" x14ac:dyDescent="0.4">
      <c r="A32" s="1"/>
      <c r="B32" s="23"/>
      <c r="C32" s="23"/>
      <c r="D32" s="23"/>
      <c r="G32" s="2" t="s">
        <v>70</v>
      </c>
      <c r="H32" s="17">
        <f>1+H30*(H24-0.3)/0.1</f>
        <v>0.9264799958771377</v>
      </c>
      <c r="I32" s="4"/>
    </row>
    <row r="33" spans="1:10" ht="15.75" thickBot="1" x14ac:dyDescent="0.3">
      <c r="A33" s="1"/>
      <c r="B33" s="23"/>
      <c r="C33" s="23"/>
      <c r="D33" s="23"/>
      <c r="F33" s="44"/>
      <c r="G33" s="41" t="s">
        <v>71</v>
      </c>
      <c r="H33" s="42"/>
      <c r="I33" s="43"/>
    </row>
    <row r="34" spans="1:10" x14ac:dyDescent="0.25">
      <c r="A34" s="1"/>
      <c r="B34" s="40"/>
      <c r="C34" s="40"/>
      <c r="D34" s="40"/>
      <c r="F34" s="44"/>
      <c r="G34" s="2" t="s">
        <v>72</v>
      </c>
      <c r="H34" s="10">
        <f>H23+H26*H11</f>
        <v>19642.688086732083</v>
      </c>
      <c r="I34" s="4" t="s">
        <v>10</v>
      </c>
    </row>
    <row r="35" spans="1:10" x14ac:dyDescent="0.25">
      <c r="A35" s="1"/>
      <c r="B35" s="23"/>
      <c r="C35" s="23"/>
      <c r="D35" s="23"/>
      <c r="F35" s="44"/>
      <c r="G35" s="2" t="s">
        <v>73</v>
      </c>
      <c r="H35" s="10">
        <f>H23-H27*H11</f>
        <v>10645.475624928058</v>
      </c>
      <c r="I35" s="4" t="s">
        <v>10</v>
      </c>
    </row>
    <row r="36" spans="1:10" x14ac:dyDescent="0.25">
      <c r="A36" s="1"/>
      <c r="B36" s="23"/>
      <c r="C36" s="23"/>
      <c r="D36" s="23"/>
      <c r="F36" s="44"/>
      <c r="G36" s="18" t="s">
        <v>74</v>
      </c>
      <c r="H36" s="24">
        <f>H28*H11*C16/2*H32</f>
        <v>226813.20890514934</v>
      </c>
      <c r="I36" s="20" t="s">
        <v>63</v>
      </c>
    </row>
    <row r="37" spans="1:10" x14ac:dyDescent="0.25">
      <c r="A37" s="1"/>
      <c r="B37" s="40"/>
      <c r="C37" s="40"/>
      <c r="D37" s="40"/>
      <c r="F37" s="44"/>
      <c r="G37" s="18" t="s">
        <v>75</v>
      </c>
      <c r="H37" s="25">
        <f>H29*H11*C16*C15*0.00000253</f>
        <v>7.8354514527040253</v>
      </c>
      <c r="I37" s="20"/>
    </row>
    <row r="38" spans="1:10" x14ac:dyDescent="0.25">
      <c r="A38" s="1"/>
      <c r="B38" s="23"/>
      <c r="C38" s="23"/>
      <c r="D38" s="23"/>
      <c r="F38" s="44"/>
      <c r="G38" s="5" t="s">
        <v>76</v>
      </c>
      <c r="H38" s="6">
        <f>1.06*(H23+H9/2)</f>
        <v>16035.940451328001</v>
      </c>
      <c r="I38" s="7" t="s">
        <v>10</v>
      </c>
    </row>
    <row r="39" spans="1:10" ht="18" x14ac:dyDescent="0.35">
      <c r="A39" s="1"/>
      <c r="B39" s="23"/>
      <c r="C39" s="23"/>
      <c r="D39" s="23"/>
      <c r="F39" s="44"/>
      <c r="G39" s="2" t="s">
        <v>77</v>
      </c>
      <c r="H39" s="10">
        <f>H34/C18</f>
        <v>31428.300938771332</v>
      </c>
      <c r="I39" s="4" t="s">
        <v>58</v>
      </c>
    </row>
    <row r="40" spans="1:10" ht="15.75" thickBot="1" x14ac:dyDescent="0.3">
      <c r="A40" s="1"/>
      <c r="B40" s="46"/>
      <c r="C40" s="46"/>
      <c r="D40" s="46"/>
      <c r="F40" s="45"/>
      <c r="G40" s="18"/>
      <c r="H40" s="24"/>
      <c r="I40" s="20"/>
    </row>
    <row r="41" spans="1:10" ht="15.75" thickBot="1" x14ac:dyDescent="0.3">
      <c r="A41" s="1"/>
      <c r="B41" s="38"/>
      <c r="C41" s="38"/>
      <c r="D41" s="38"/>
      <c r="F41" s="15" t="s">
        <v>35</v>
      </c>
      <c r="G41" s="47" t="str">
        <f>IF(C27*0.8&gt;=H39,"Sucker Rod Grade is sufficient.","Need higher Sucker Rod Grade.")</f>
        <v>Sucker Rod Grade is sufficient.</v>
      </c>
      <c r="H41" s="48"/>
      <c r="I41" s="49"/>
      <c r="J41" t="s">
        <v>78</v>
      </c>
    </row>
    <row r="42" spans="1:10" ht="15.75" thickBot="1" x14ac:dyDescent="0.3">
      <c r="A42" s="1"/>
      <c r="B42" s="40"/>
      <c r="C42" s="40"/>
      <c r="D42" s="40"/>
      <c r="F42" s="26" t="s">
        <v>35</v>
      </c>
      <c r="G42" s="50" t="str">
        <f>IF(C29*0.8&gt;=H36,"Pump Torque is sufficient.","Need higher max torque.")</f>
        <v>Pump Torque is sufficient.</v>
      </c>
      <c r="H42" s="48"/>
      <c r="I42" s="51"/>
      <c r="J42" t="s">
        <v>79</v>
      </c>
    </row>
    <row r="43" spans="1:10" ht="15.75" thickBot="1" x14ac:dyDescent="0.3">
      <c r="A43" s="1"/>
      <c r="B43" s="23"/>
      <c r="C43" s="23"/>
      <c r="D43" s="23"/>
      <c r="F43" s="26" t="s">
        <v>35</v>
      </c>
      <c r="G43" s="50" t="str">
        <f>IF(C30*0.8&gt;=H34,"Rod Load Rating is sufficient.","Need higher rod load rating.")</f>
        <v>Rod Load Rating is sufficient.</v>
      </c>
      <c r="H43" s="48"/>
      <c r="I43" s="51"/>
    </row>
    <row r="44" spans="1:10" x14ac:dyDescent="0.25">
      <c r="A44" s="1"/>
      <c r="B44" s="40"/>
      <c r="C44" s="40"/>
      <c r="D44" s="40"/>
      <c r="F44" s="23"/>
      <c r="G44" s="23"/>
      <c r="H44" s="23"/>
      <c r="I44" s="23"/>
    </row>
    <row r="45" spans="1:10" x14ac:dyDescent="0.25">
      <c r="A45" s="1"/>
      <c r="B45" s="23"/>
      <c r="C45" s="23"/>
      <c r="D45" s="23"/>
      <c r="F45" s="23"/>
      <c r="G45" s="23"/>
      <c r="H45" s="27"/>
      <c r="I45" s="23"/>
    </row>
    <row r="46" spans="1:10" x14ac:dyDescent="0.25">
      <c r="A46" s="1"/>
      <c r="B46" s="23"/>
      <c r="C46" s="23"/>
      <c r="D46" s="23"/>
      <c r="F46" s="23"/>
      <c r="G46" s="38"/>
      <c r="H46" s="38"/>
      <c r="I46" s="38"/>
    </row>
    <row r="47" spans="1:10" x14ac:dyDescent="0.25">
      <c r="A47" s="1"/>
      <c r="B47" s="23"/>
      <c r="C47" s="23"/>
      <c r="D47" s="23"/>
      <c r="F47" s="23"/>
      <c r="G47" s="23"/>
      <c r="H47" s="28"/>
      <c r="I47" s="23"/>
    </row>
    <row r="48" spans="1:10" x14ac:dyDescent="0.25">
      <c r="A48" s="1"/>
      <c r="B48" s="23"/>
      <c r="C48" s="23"/>
      <c r="D48" s="23"/>
      <c r="F48" s="23"/>
      <c r="G48" s="23"/>
      <c r="H48" s="23"/>
      <c r="I48" s="23"/>
    </row>
    <row r="49" spans="1:9" x14ac:dyDescent="0.25">
      <c r="A49" s="1"/>
      <c r="B49" s="23"/>
      <c r="C49" s="23"/>
      <c r="D49" s="23"/>
      <c r="F49" s="23"/>
      <c r="G49" s="23"/>
      <c r="H49" s="27"/>
      <c r="I49" s="23"/>
    </row>
    <row r="50" spans="1:9" x14ac:dyDescent="0.25">
      <c r="A50" s="1"/>
      <c r="B50" s="23"/>
      <c r="C50" s="23"/>
      <c r="D50" s="23"/>
      <c r="F50" s="23"/>
      <c r="G50" s="38"/>
      <c r="H50" s="38"/>
      <c r="I50" s="38"/>
    </row>
    <row r="51" spans="1:9" x14ac:dyDescent="0.25">
      <c r="A51" s="1"/>
      <c r="F51" s="23"/>
      <c r="G51" s="23"/>
      <c r="H51" s="23"/>
      <c r="I51" s="23"/>
    </row>
    <row r="52" spans="1:9" x14ac:dyDescent="0.25">
      <c r="A52" s="1"/>
      <c r="F52" s="23"/>
      <c r="G52" s="23"/>
      <c r="H52" s="23"/>
      <c r="I52" s="23"/>
    </row>
    <row r="53" spans="1:9" x14ac:dyDescent="0.25">
      <c r="A53" s="1"/>
      <c r="F53" s="23"/>
      <c r="G53" s="23"/>
      <c r="H53" s="28"/>
      <c r="I53" s="23"/>
    </row>
    <row r="54" spans="1:9" x14ac:dyDescent="0.25">
      <c r="A54" s="1"/>
      <c r="F54" s="23"/>
      <c r="G54" s="23"/>
      <c r="H54" s="23"/>
      <c r="I54" s="23"/>
    </row>
    <row r="55" spans="1:9" x14ac:dyDescent="0.25">
      <c r="A55" s="1"/>
      <c r="F55" s="23"/>
      <c r="G55" s="23"/>
      <c r="H55" s="23"/>
      <c r="I55" s="23"/>
    </row>
    <row r="56" spans="1:9" x14ac:dyDescent="0.25">
      <c r="A56" s="1"/>
      <c r="F56" s="29"/>
      <c r="G56" s="39"/>
      <c r="H56" s="39"/>
      <c r="I56" s="39"/>
    </row>
    <row r="57" spans="1:9" x14ac:dyDescent="0.25">
      <c r="A57" s="1"/>
      <c r="F57" s="29"/>
      <c r="G57" s="39"/>
      <c r="H57" s="39"/>
      <c r="I57" s="39"/>
    </row>
    <row r="58" spans="1:9" x14ac:dyDescent="0.25">
      <c r="A58" s="1"/>
      <c r="F58" s="23"/>
      <c r="G58" s="38"/>
      <c r="H58" s="38"/>
      <c r="I58" s="38"/>
    </row>
    <row r="59" spans="1:9" x14ac:dyDescent="0.25">
      <c r="A59" s="1"/>
      <c r="F59" s="23"/>
      <c r="G59" s="23"/>
      <c r="H59" s="28"/>
      <c r="I59" s="23"/>
    </row>
    <row r="60" spans="1:9" x14ac:dyDescent="0.25">
      <c r="A60" s="1"/>
      <c r="F60" s="23"/>
      <c r="G60" s="23"/>
      <c r="H60" s="23"/>
      <c r="I60" s="23"/>
    </row>
    <row r="61" spans="1:9" x14ac:dyDescent="0.25">
      <c r="A61" s="1"/>
      <c r="F61" s="23"/>
      <c r="G61" s="23"/>
      <c r="H61" s="28"/>
      <c r="I61" s="23"/>
    </row>
    <row r="62" spans="1:9" x14ac:dyDescent="0.25">
      <c r="A62" s="1"/>
      <c r="F62" s="23"/>
      <c r="G62" s="23"/>
      <c r="H62" s="28"/>
      <c r="I62" s="23"/>
    </row>
    <row r="63" spans="1:9" x14ac:dyDescent="0.25">
      <c r="A63" s="1"/>
      <c r="F63" s="29"/>
      <c r="G63" s="39"/>
      <c r="H63" s="39"/>
      <c r="I63" s="39"/>
    </row>
    <row r="64" spans="1:9" x14ac:dyDescent="0.25">
      <c r="A64" s="1"/>
      <c r="F64" s="23"/>
      <c r="G64" s="38"/>
      <c r="H64" s="38"/>
      <c r="I64" s="38"/>
    </row>
    <row r="65" spans="1:9" x14ac:dyDescent="0.25">
      <c r="A65" s="1"/>
      <c r="F65" s="23"/>
      <c r="G65" s="23"/>
      <c r="H65" s="28"/>
      <c r="I65" s="23"/>
    </row>
    <row r="66" spans="1:9" x14ac:dyDescent="0.25">
      <c r="A66" s="1"/>
      <c r="F66" s="23"/>
      <c r="G66" s="23"/>
      <c r="H66" s="28"/>
      <c r="I66" s="23"/>
    </row>
    <row r="67" spans="1:9" x14ac:dyDescent="0.25">
      <c r="A67" s="1"/>
      <c r="F67" s="23"/>
      <c r="G67" s="23"/>
      <c r="H67" s="28"/>
      <c r="I67" s="23"/>
    </row>
    <row r="68" spans="1:9" x14ac:dyDescent="0.25">
      <c r="A68" s="1"/>
      <c r="F68" s="23"/>
      <c r="G68" s="23"/>
      <c r="H68" s="28"/>
      <c r="I68" s="23"/>
    </row>
    <row r="69" spans="1:9" x14ac:dyDescent="0.25">
      <c r="F69" s="23"/>
      <c r="G69" s="23"/>
      <c r="H69" s="28"/>
      <c r="I69" s="23"/>
    </row>
    <row r="70" spans="1:9" x14ac:dyDescent="0.25">
      <c r="F70" s="23"/>
      <c r="G70" s="23"/>
      <c r="H70" s="23"/>
      <c r="I70" s="23"/>
    </row>
    <row r="71" spans="1:9" x14ac:dyDescent="0.25">
      <c r="F71" s="23"/>
      <c r="G71" s="39"/>
      <c r="H71" s="39"/>
      <c r="I71" s="39"/>
    </row>
  </sheetData>
  <mergeCells count="32">
    <mergeCell ref="B28:D28"/>
    <mergeCell ref="B2:Y4"/>
    <mergeCell ref="J5:M5"/>
    <mergeCell ref="B7:D7"/>
    <mergeCell ref="G7:I7"/>
    <mergeCell ref="G8:I8"/>
    <mergeCell ref="G16:I16"/>
    <mergeCell ref="B20:D20"/>
    <mergeCell ref="G20:I20"/>
    <mergeCell ref="G21:I21"/>
    <mergeCell ref="B25:D25"/>
    <mergeCell ref="G25:I25"/>
    <mergeCell ref="B44:D44"/>
    <mergeCell ref="G31:I31"/>
    <mergeCell ref="F33:F40"/>
    <mergeCell ref="G33:I33"/>
    <mergeCell ref="B34:D34"/>
    <mergeCell ref="B37:D37"/>
    <mergeCell ref="B40:D40"/>
    <mergeCell ref="B41:D41"/>
    <mergeCell ref="G41:I41"/>
    <mergeCell ref="B42:D42"/>
    <mergeCell ref="G42:I42"/>
    <mergeCell ref="G43:I43"/>
    <mergeCell ref="G64:I64"/>
    <mergeCell ref="G71:I71"/>
    <mergeCell ref="G46:I46"/>
    <mergeCell ref="G50:I50"/>
    <mergeCell ref="G56:I56"/>
    <mergeCell ref="G57:I57"/>
    <mergeCell ref="G58:I58"/>
    <mergeCell ref="G63:I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A4" zoomScaleNormal="100" workbookViewId="0"/>
  </sheetViews>
  <sheetFormatPr defaultRowHeight="15" x14ac:dyDescent="0.25"/>
  <cols>
    <col min="1" max="1" width="9.140625" customWidth="1"/>
    <col min="2" max="2" width="23.85546875" customWidth="1"/>
    <col min="3" max="3" width="12.140625" customWidth="1"/>
    <col min="6" max="6" width="13.85546875" customWidth="1"/>
    <col min="7" max="7" width="20.42578125" customWidth="1"/>
  </cols>
  <sheetData>
    <row r="1" spans="1:25" ht="15.75" thickBot="1" x14ac:dyDescent="0.3"/>
    <row r="2" spans="1:25" x14ac:dyDescent="0.25">
      <c r="B2" s="55" t="s">
        <v>90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</row>
    <row r="3" spans="1:25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60"/>
    </row>
    <row r="4" spans="1:25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3"/>
    </row>
    <row r="5" spans="1:25" ht="15.75" thickBot="1" x14ac:dyDescent="0.3">
      <c r="J5" s="64" t="s">
        <v>91</v>
      </c>
      <c r="K5" s="65"/>
      <c r="L5" s="65"/>
      <c r="M5" s="66"/>
    </row>
    <row r="6" spans="1:25" ht="15.75" thickBot="1" x14ac:dyDescent="0.3"/>
    <row r="7" spans="1:25" ht="15.75" thickBot="1" x14ac:dyDescent="0.3">
      <c r="A7" s="1"/>
      <c r="B7" s="41" t="s">
        <v>2</v>
      </c>
      <c r="C7" s="42"/>
      <c r="D7" s="43"/>
      <c r="G7" s="41" t="s">
        <v>3</v>
      </c>
      <c r="H7" s="42"/>
      <c r="I7" s="43"/>
    </row>
    <row r="8" spans="1:25" ht="19.5" thickBot="1" x14ac:dyDescent="0.4">
      <c r="A8" s="1"/>
      <c r="B8" s="84" t="s">
        <v>92</v>
      </c>
      <c r="C8" s="85"/>
      <c r="D8" s="86"/>
      <c r="G8" s="5" t="s">
        <v>93</v>
      </c>
      <c r="H8" s="30">
        <f>PI()/4*C12^2</f>
        <v>6.4918066943320332</v>
      </c>
      <c r="I8" s="7" t="s">
        <v>94</v>
      </c>
    </row>
    <row r="9" spans="1:25" ht="18.75" x14ac:dyDescent="0.35">
      <c r="A9" s="1"/>
      <c r="B9" s="78" t="s">
        <v>95</v>
      </c>
      <c r="C9" s="79"/>
      <c r="D9" s="80"/>
      <c r="G9" s="2" t="s">
        <v>96</v>
      </c>
      <c r="H9" s="11">
        <f>PI()/4*C46^2</f>
        <v>4.0079504450684134</v>
      </c>
      <c r="I9" s="4" t="s">
        <v>94</v>
      </c>
    </row>
    <row r="10" spans="1:25" ht="18.75" x14ac:dyDescent="0.35">
      <c r="A10" s="1"/>
      <c r="B10" s="2" t="s">
        <v>97</v>
      </c>
      <c r="C10" s="3">
        <v>5.5</v>
      </c>
      <c r="D10" s="4" t="s">
        <v>15</v>
      </c>
      <c r="G10" s="2" t="s">
        <v>98</v>
      </c>
      <c r="H10" s="11">
        <f>PI()/4*C12^2-PI()/4*C46^2</f>
        <v>2.4838562492636198</v>
      </c>
      <c r="I10" s="4" t="s">
        <v>94</v>
      </c>
    </row>
    <row r="11" spans="1:25" ht="18.75" x14ac:dyDescent="0.35">
      <c r="A11" s="1"/>
      <c r="B11" s="2" t="s">
        <v>99</v>
      </c>
      <c r="C11" s="8">
        <v>35</v>
      </c>
      <c r="D11" s="4" t="s">
        <v>37</v>
      </c>
      <c r="G11" s="2" t="s">
        <v>100</v>
      </c>
      <c r="H11" s="11">
        <f>PI()/4*C17^2</f>
        <v>4.908738521234052</v>
      </c>
      <c r="I11" s="4" t="s">
        <v>94</v>
      </c>
    </row>
    <row r="12" spans="1:25" ht="18.75" x14ac:dyDescent="0.35">
      <c r="A12" s="1"/>
      <c r="B12" s="2" t="s">
        <v>101</v>
      </c>
      <c r="C12" s="8">
        <f>2+7/8</f>
        <v>2.875</v>
      </c>
      <c r="D12" s="4" t="s">
        <v>15</v>
      </c>
      <c r="G12" s="2" t="s">
        <v>102</v>
      </c>
      <c r="H12" s="11">
        <f>PI()/64*(C12^4-C46^4)</f>
        <v>2.0753714964167531</v>
      </c>
      <c r="I12" s="4" t="s">
        <v>103</v>
      </c>
    </row>
    <row r="13" spans="1:25" ht="18" x14ac:dyDescent="0.35">
      <c r="A13" s="1"/>
      <c r="B13" s="2" t="s">
        <v>104</v>
      </c>
      <c r="C13" s="8">
        <v>8.6</v>
      </c>
      <c r="D13" s="4" t="s">
        <v>37</v>
      </c>
      <c r="G13" s="2" t="s">
        <v>105</v>
      </c>
      <c r="H13" s="11">
        <f>C12/C46</f>
        <v>1.2726870296591413</v>
      </c>
      <c r="I13" s="4"/>
    </row>
    <row r="14" spans="1:25" ht="18" x14ac:dyDescent="0.35">
      <c r="A14" s="1"/>
      <c r="B14" s="2" t="s">
        <v>106</v>
      </c>
      <c r="C14" s="12" t="s">
        <v>107</v>
      </c>
      <c r="D14" s="4"/>
      <c r="G14" s="2" t="s">
        <v>108</v>
      </c>
      <c r="H14" s="11">
        <f>(C43-C45)/2</f>
        <v>0.66250000000000009</v>
      </c>
      <c r="I14" s="4" t="s">
        <v>15</v>
      </c>
    </row>
    <row r="15" spans="1:25" ht="18" x14ac:dyDescent="0.35">
      <c r="A15" s="1"/>
      <c r="B15" s="2" t="s">
        <v>109</v>
      </c>
      <c r="C15" s="8">
        <v>80000</v>
      </c>
      <c r="D15" s="4" t="s">
        <v>58</v>
      </c>
      <c r="G15" s="2" t="s">
        <v>110</v>
      </c>
      <c r="H15" s="11">
        <f>0.0034*C46^2*C32</f>
        <v>0.29495808179999999</v>
      </c>
      <c r="I15" s="4" t="s">
        <v>111</v>
      </c>
    </row>
    <row r="16" spans="1:25" ht="18" x14ac:dyDescent="0.35">
      <c r="A16" s="1"/>
      <c r="B16" s="2" t="s">
        <v>20</v>
      </c>
      <c r="C16" s="8">
        <v>10038</v>
      </c>
      <c r="D16" s="4" t="s">
        <v>8</v>
      </c>
      <c r="G16" s="2" t="s">
        <v>112</v>
      </c>
      <c r="H16" s="11">
        <f>0.0034*C45^2*C33</f>
        <v>0.41030562500000001</v>
      </c>
      <c r="I16" s="4" t="s">
        <v>111</v>
      </c>
    </row>
    <row r="17" spans="1:9" ht="18" x14ac:dyDescent="0.35">
      <c r="A17" s="1"/>
      <c r="B17" s="2" t="s">
        <v>113</v>
      </c>
      <c r="C17" s="8">
        <v>2.5</v>
      </c>
      <c r="D17" s="4" t="s">
        <v>15</v>
      </c>
      <c r="G17" s="2" t="s">
        <v>114</v>
      </c>
      <c r="H17" s="11">
        <f>C13/12</f>
        <v>0.71666666666666667</v>
      </c>
      <c r="I17" s="4" t="s">
        <v>111</v>
      </c>
    </row>
    <row r="18" spans="1:9" ht="18.75" x14ac:dyDescent="0.35">
      <c r="A18" s="1"/>
      <c r="B18" s="75" t="s">
        <v>115</v>
      </c>
      <c r="C18" s="76"/>
      <c r="D18" s="77"/>
      <c r="G18" s="2" t="s">
        <v>116</v>
      </c>
      <c r="H18" s="10">
        <f>(C22+C23)/2</f>
        <v>215</v>
      </c>
      <c r="I18" s="4" t="s">
        <v>117</v>
      </c>
    </row>
    <row r="19" spans="1:9" ht="18.75" x14ac:dyDescent="0.35">
      <c r="A19" s="1"/>
      <c r="B19" s="2" t="s">
        <v>118</v>
      </c>
      <c r="C19" s="8">
        <v>14.6</v>
      </c>
      <c r="D19" s="4" t="s">
        <v>119</v>
      </c>
      <c r="G19" s="2" t="s">
        <v>120</v>
      </c>
      <c r="H19" s="10">
        <f>(C35+C36)/2</f>
        <v>65</v>
      </c>
      <c r="I19" s="4" t="s">
        <v>117</v>
      </c>
    </row>
    <row r="20" spans="1:9" ht="18.75" x14ac:dyDescent="0.35">
      <c r="A20" s="1"/>
      <c r="B20" s="2" t="s">
        <v>121</v>
      </c>
      <c r="C20" s="8">
        <v>14.6</v>
      </c>
      <c r="D20" s="4" t="s">
        <v>119</v>
      </c>
      <c r="G20" s="2" t="s">
        <v>122</v>
      </c>
      <c r="H20" s="10">
        <f>H19-H18</f>
        <v>-150</v>
      </c>
      <c r="I20" s="4" t="s">
        <v>117</v>
      </c>
    </row>
    <row r="21" spans="1:9" ht="18" x14ac:dyDescent="0.35">
      <c r="A21" s="1"/>
      <c r="B21" s="75" t="s">
        <v>123</v>
      </c>
      <c r="C21" s="76"/>
      <c r="D21" s="77"/>
      <c r="G21" s="2" t="s">
        <v>124</v>
      </c>
      <c r="H21" s="10">
        <f>C25+0.052*C19*C16</f>
        <v>7620.8495999999996</v>
      </c>
      <c r="I21" s="4" t="s">
        <v>58</v>
      </c>
    </row>
    <row r="22" spans="1:9" ht="18.75" x14ac:dyDescent="0.35">
      <c r="A22" s="1"/>
      <c r="B22" s="2" t="s">
        <v>125</v>
      </c>
      <c r="C22" s="8">
        <v>80</v>
      </c>
      <c r="D22" s="4" t="s">
        <v>117</v>
      </c>
      <c r="G22" s="2" t="s">
        <v>126</v>
      </c>
      <c r="H22" s="10">
        <f>C26+0.052*C20*C16</f>
        <v>7620.8495999999996</v>
      </c>
      <c r="I22" s="4" t="s">
        <v>58</v>
      </c>
    </row>
    <row r="23" spans="1:9" ht="18.75" x14ac:dyDescent="0.35">
      <c r="A23" s="1"/>
      <c r="B23" s="2" t="s">
        <v>127</v>
      </c>
      <c r="C23" s="8">
        <v>350</v>
      </c>
      <c r="D23" s="4" t="s">
        <v>117</v>
      </c>
      <c r="G23" s="2" t="s">
        <v>128</v>
      </c>
      <c r="H23" s="10">
        <f>C38+0.052*C32*C16</f>
        <v>16873.592000000001</v>
      </c>
      <c r="I23" s="4" t="s">
        <v>58</v>
      </c>
    </row>
    <row r="24" spans="1:9" ht="18" x14ac:dyDescent="0.35">
      <c r="A24" s="1"/>
      <c r="B24" s="75" t="s">
        <v>129</v>
      </c>
      <c r="C24" s="76"/>
      <c r="D24" s="77"/>
      <c r="G24" s="2" t="s">
        <v>130</v>
      </c>
      <c r="H24" s="10">
        <f>C39+0.052*C33*C16</f>
        <v>9620.8495999999996</v>
      </c>
      <c r="I24" s="4" t="s">
        <v>58</v>
      </c>
    </row>
    <row r="25" spans="1:9" ht="18" x14ac:dyDescent="0.35">
      <c r="A25" s="1"/>
      <c r="B25" s="2" t="s">
        <v>131</v>
      </c>
      <c r="C25" s="8">
        <v>0</v>
      </c>
      <c r="D25" s="4" t="s">
        <v>58</v>
      </c>
      <c r="G25" s="2" t="s">
        <v>132</v>
      </c>
      <c r="H25" s="10">
        <f>H23-H21</f>
        <v>9252.742400000001</v>
      </c>
      <c r="I25" s="4" t="s">
        <v>58</v>
      </c>
    </row>
    <row r="26" spans="1:9" ht="18" x14ac:dyDescent="0.35">
      <c r="A26" s="1"/>
      <c r="B26" s="2" t="s">
        <v>133</v>
      </c>
      <c r="C26" s="8">
        <v>0</v>
      </c>
      <c r="D26" s="4" t="s">
        <v>58</v>
      </c>
      <c r="G26" s="2" t="s">
        <v>134</v>
      </c>
      <c r="H26" s="10">
        <f>H24-H22</f>
        <v>2000</v>
      </c>
      <c r="I26" s="4" t="s">
        <v>58</v>
      </c>
    </row>
    <row r="27" spans="1:9" ht="18.75" thickBot="1" x14ac:dyDescent="0.4">
      <c r="A27" s="1"/>
      <c r="B27" s="81"/>
      <c r="C27" s="82"/>
      <c r="D27" s="83"/>
      <c r="G27" s="2" t="s">
        <v>135</v>
      </c>
      <c r="H27" s="10">
        <f>(H23+C38)/2-(H21+C25)/2</f>
        <v>8626.3712000000014</v>
      </c>
      <c r="I27" s="4" t="s">
        <v>58</v>
      </c>
    </row>
    <row r="28" spans="1:9" ht="18.75" thickBot="1" x14ac:dyDescent="0.4">
      <c r="A28" s="1"/>
      <c r="B28" s="84" t="s">
        <v>136</v>
      </c>
      <c r="C28" s="85"/>
      <c r="D28" s="86"/>
      <c r="G28" s="18" t="s">
        <v>137</v>
      </c>
      <c r="H28" s="31">
        <f>(H24+C39)/2-(H22+C26)/2</f>
        <v>2000</v>
      </c>
      <c r="I28" s="20" t="s">
        <v>58</v>
      </c>
    </row>
    <row r="29" spans="1:9" ht="15.75" thickBot="1" x14ac:dyDescent="0.3">
      <c r="A29" s="1"/>
      <c r="B29" s="78" t="s">
        <v>95</v>
      </c>
      <c r="C29" s="79"/>
      <c r="D29" s="80"/>
      <c r="G29" s="70" t="s">
        <v>138</v>
      </c>
      <c r="H29" s="71"/>
      <c r="I29" s="72"/>
    </row>
    <row r="30" spans="1:9" ht="18" x14ac:dyDescent="0.35">
      <c r="A30" s="1"/>
      <c r="B30" s="2" t="s">
        <v>139</v>
      </c>
      <c r="C30" s="8">
        <v>18000</v>
      </c>
      <c r="D30" s="4" t="s">
        <v>10</v>
      </c>
      <c r="G30" s="5" t="s">
        <v>140</v>
      </c>
      <c r="H30" s="6">
        <f>(H11-H8)*H26-(H11-H9)*H25</f>
        <v>-11500.896371948198</v>
      </c>
      <c r="I30" s="7" t="s">
        <v>10</v>
      </c>
    </row>
    <row r="31" spans="1:9" ht="18.75" thickBot="1" x14ac:dyDescent="0.4">
      <c r="A31" s="1"/>
      <c r="B31" s="75" t="s">
        <v>115</v>
      </c>
      <c r="C31" s="76"/>
      <c r="D31" s="77"/>
      <c r="G31" s="18" t="s">
        <v>141</v>
      </c>
      <c r="H31" s="25">
        <f>12*C16*H30/30000000/H10</f>
        <v>-18.591413704531714</v>
      </c>
      <c r="I31" s="20" t="s">
        <v>15</v>
      </c>
    </row>
    <row r="32" spans="1:9" ht="18.75" thickBot="1" x14ac:dyDescent="0.4">
      <c r="A32" s="1"/>
      <c r="B32" s="2" t="s">
        <v>142</v>
      </c>
      <c r="C32" s="8">
        <v>17</v>
      </c>
      <c r="D32" s="4" t="s">
        <v>119</v>
      </c>
      <c r="G32" s="70" t="s">
        <v>143</v>
      </c>
      <c r="H32" s="71"/>
      <c r="I32" s="72"/>
    </row>
    <row r="33" spans="1:9" ht="18" x14ac:dyDescent="0.35">
      <c r="A33" s="1"/>
      <c r="B33" s="2" t="s">
        <v>144</v>
      </c>
      <c r="C33" s="8">
        <v>14.6</v>
      </c>
      <c r="D33" s="4" t="s">
        <v>119</v>
      </c>
      <c r="G33" s="5" t="s">
        <v>145</v>
      </c>
      <c r="H33" s="32">
        <v>0</v>
      </c>
      <c r="I33" s="7" t="s">
        <v>10</v>
      </c>
    </row>
    <row r="34" spans="1:9" ht="18" x14ac:dyDescent="0.35">
      <c r="A34" s="1"/>
      <c r="B34" s="75" t="s">
        <v>123</v>
      </c>
      <c r="C34" s="76"/>
      <c r="D34" s="77"/>
      <c r="G34" s="2" t="s">
        <v>146</v>
      </c>
      <c r="H34" s="14">
        <f>H14^2*H11^2*(H25-H26)^2/(-8*30000000*H12*(H17+H15-H16))</f>
        <v>-1.8573936767994241</v>
      </c>
      <c r="I34" s="4" t="s">
        <v>15</v>
      </c>
    </row>
    <row r="35" spans="1:9" ht="18.75" x14ac:dyDescent="0.35">
      <c r="A35" s="1"/>
      <c r="B35" s="2" t="s">
        <v>147</v>
      </c>
      <c r="C35" s="8">
        <v>65</v>
      </c>
      <c r="D35" s="4" t="s">
        <v>117</v>
      </c>
      <c r="G35" s="2" t="s">
        <v>148</v>
      </c>
      <c r="H35" s="10">
        <f>H11*(H23-H24)/(H17+H15-H16)/12</f>
        <v>4933.8494062602704</v>
      </c>
      <c r="I35" s="4" t="s">
        <v>8</v>
      </c>
    </row>
    <row r="36" spans="1:9" ht="19.5" thickBot="1" x14ac:dyDescent="0.4">
      <c r="A36" s="1"/>
      <c r="B36" s="2" t="s">
        <v>149</v>
      </c>
      <c r="C36" s="8">
        <v>65</v>
      </c>
      <c r="D36" s="4" t="s">
        <v>117</v>
      </c>
      <c r="G36" s="18" t="s">
        <v>146</v>
      </c>
      <c r="H36" s="25">
        <f>IF(H35&gt;C16,H34*C16/H35*(2-C16/H35),H34)</f>
        <v>-1.8573936767994241</v>
      </c>
      <c r="I36" s="20" t="s">
        <v>15</v>
      </c>
    </row>
    <row r="37" spans="1:9" ht="15.75" thickBot="1" x14ac:dyDescent="0.3">
      <c r="A37" s="1"/>
      <c r="B37" s="75" t="s">
        <v>129</v>
      </c>
      <c r="C37" s="76"/>
      <c r="D37" s="77"/>
      <c r="G37" s="70" t="s">
        <v>150</v>
      </c>
      <c r="H37" s="71"/>
      <c r="I37" s="72"/>
    </row>
    <row r="38" spans="1:9" ht="18" x14ac:dyDescent="0.35">
      <c r="A38" s="1"/>
      <c r="B38" s="2" t="s">
        <v>151</v>
      </c>
      <c r="C38" s="8">
        <v>8000</v>
      </c>
      <c r="D38" s="4" t="s">
        <v>58</v>
      </c>
      <c r="G38" s="5" t="s">
        <v>152</v>
      </c>
      <c r="H38" s="6">
        <f>0.6*(H28*H8-H27*H9)</f>
        <v>-12954.27294102077</v>
      </c>
      <c r="I38" s="7" t="s">
        <v>10</v>
      </c>
    </row>
    <row r="39" spans="1:9" ht="18.75" thickBot="1" x14ac:dyDescent="0.4">
      <c r="A39" s="1"/>
      <c r="B39" s="2" t="s">
        <v>153</v>
      </c>
      <c r="C39" s="8">
        <v>2000</v>
      </c>
      <c r="D39" s="4" t="s">
        <v>58</v>
      </c>
      <c r="G39" s="18" t="s">
        <v>154</v>
      </c>
      <c r="H39" s="25">
        <f>(0.2*C16*12/10000000)*((H13^2*H28-H27)/(H13^2-1))</f>
        <v>-20.940824062667474</v>
      </c>
      <c r="I39" s="20" t="s">
        <v>15</v>
      </c>
    </row>
    <row r="40" spans="1:9" ht="15.75" thickBot="1" x14ac:dyDescent="0.3">
      <c r="A40" s="1"/>
      <c r="B40" s="81"/>
      <c r="C40" s="82"/>
      <c r="D40" s="83"/>
      <c r="G40" s="70" t="s">
        <v>155</v>
      </c>
      <c r="H40" s="71"/>
      <c r="I40" s="72"/>
    </row>
    <row r="41" spans="1:9" ht="18.75" thickBot="1" x14ac:dyDescent="0.4">
      <c r="A41" s="1"/>
      <c r="B41" s="84" t="s">
        <v>156</v>
      </c>
      <c r="C41" s="85"/>
      <c r="D41" s="86"/>
      <c r="G41" s="5" t="s">
        <v>157</v>
      </c>
      <c r="H41" s="32">
        <f>207*H10*H20</f>
        <v>-77123.736539635385</v>
      </c>
      <c r="I41" s="7" t="s">
        <v>10</v>
      </c>
    </row>
    <row r="42" spans="1:9" ht="18.75" thickBot="1" x14ac:dyDescent="0.4">
      <c r="A42" s="1"/>
      <c r="B42" s="78" t="s">
        <v>158</v>
      </c>
      <c r="C42" s="79"/>
      <c r="D42" s="80"/>
      <c r="G42" s="18" t="s">
        <v>159</v>
      </c>
      <c r="H42" s="25">
        <f>C16*12*0.0000069*H20</f>
        <v>-124.67196</v>
      </c>
      <c r="I42" s="20" t="s">
        <v>15</v>
      </c>
    </row>
    <row r="43" spans="1:9" ht="18.75" thickBot="1" x14ac:dyDescent="0.4">
      <c r="A43" s="1"/>
      <c r="B43" s="2" t="s">
        <v>160</v>
      </c>
      <c r="C43" s="8">
        <v>4.2</v>
      </c>
      <c r="D43" s="4" t="s">
        <v>15</v>
      </c>
      <c r="G43" s="70" t="s">
        <v>161</v>
      </c>
      <c r="H43" s="71"/>
      <c r="I43" s="72"/>
    </row>
    <row r="44" spans="1:9" ht="18" x14ac:dyDescent="0.35">
      <c r="A44" s="1"/>
      <c r="B44" s="75" t="s">
        <v>162</v>
      </c>
      <c r="C44" s="76"/>
      <c r="D44" s="77"/>
      <c r="G44" s="5" t="s">
        <v>139</v>
      </c>
      <c r="H44" s="32">
        <f>C30</f>
        <v>18000</v>
      </c>
      <c r="I44" s="7" t="s">
        <v>10</v>
      </c>
    </row>
    <row r="45" spans="1:9" ht="18.75" thickBot="1" x14ac:dyDescent="0.4">
      <c r="A45" s="1"/>
      <c r="B45" s="2" t="s">
        <v>101</v>
      </c>
      <c r="C45" s="8">
        <v>2.875</v>
      </c>
      <c r="D45" s="4" t="s">
        <v>15</v>
      </c>
      <c r="G45" s="18" t="s">
        <v>163</v>
      </c>
      <c r="H45" s="25">
        <f>12*C16*H44/30000000/H10+H14^2*H44^2/(8*30000000*H12*(H17+H15-H16))</f>
        <v>29.572129452815357</v>
      </c>
      <c r="I45" s="20" t="s">
        <v>15</v>
      </c>
    </row>
    <row r="46" spans="1:9" ht="18.75" thickBot="1" x14ac:dyDescent="0.4">
      <c r="A46" s="1"/>
      <c r="B46" s="2" t="s">
        <v>164</v>
      </c>
      <c r="C46" s="8">
        <v>2.2589999999999999</v>
      </c>
      <c r="D46" s="4" t="s">
        <v>15</v>
      </c>
      <c r="G46" s="70" t="s">
        <v>165</v>
      </c>
      <c r="H46" s="71"/>
      <c r="I46" s="72"/>
    </row>
    <row r="47" spans="1:9" ht="18" x14ac:dyDescent="0.35">
      <c r="A47" s="1"/>
      <c r="B47" s="2" t="s">
        <v>109</v>
      </c>
      <c r="C47" s="8">
        <v>80000</v>
      </c>
      <c r="D47" s="4" t="s">
        <v>58</v>
      </c>
      <c r="G47" s="5" t="s">
        <v>166</v>
      </c>
      <c r="H47" s="6">
        <f>H30+H38+H41+H44</f>
        <v>-83578.905852604352</v>
      </c>
      <c r="I47" s="7" t="s">
        <v>10</v>
      </c>
    </row>
    <row r="48" spans="1:9" ht="18" x14ac:dyDescent="0.35">
      <c r="A48" s="1"/>
      <c r="B48" s="2" t="s">
        <v>167</v>
      </c>
      <c r="C48" s="8">
        <v>12920</v>
      </c>
      <c r="D48" s="4" t="s">
        <v>58</v>
      </c>
      <c r="G48" s="2" t="s">
        <v>166</v>
      </c>
      <c r="H48" s="33">
        <f>IF(H47&lt;=0,0,H47)</f>
        <v>0</v>
      </c>
      <c r="I48" s="4" t="s">
        <v>10</v>
      </c>
    </row>
    <row r="49" spans="1:9" ht="18.75" thickBot="1" x14ac:dyDescent="0.4">
      <c r="A49" s="1"/>
      <c r="B49" s="2" t="s">
        <v>168</v>
      </c>
      <c r="C49" s="8">
        <v>15000</v>
      </c>
      <c r="D49" s="4" t="s">
        <v>58</v>
      </c>
      <c r="G49" s="18" t="s">
        <v>169</v>
      </c>
      <c r="H49" s="25">
        <f>(H31+H34+H39+H42+H45)/12</f>
        <v>-11.374121832598606</v>
      </c>
      <c r="I49" s="20" t="s">
        <v>8</v>
      </c>
    </row>
    <row r="50" spans="1:9" ht="18.75" thickBot="1" x14ac:dyDescent="0.4">
      <c r="A50" s="1"/>
      <c r="B50" s="34" t="s">
        <v>170</v>
      </c>
      <c r="C50" s="35">
        <v>159310</v>
      </c>
      <c r="D50" s="36" t="s">
        <v>10</v>
      </c>
      <c r="G50" s="70" t="s">
        <v>171</v>
      </c>
      <c r="H50" s="71"/>
      <c r="I50" s="72"/>
    </row>
    <row r="51" spans="1:9" x14ac:dyDescent="0.25">
      <c r="A51" s="1"/>
      <c r="G51" s="5" t="s">
        <v>172</v>
      </c>
      <c r="H51" s="32"/>
      <c r="I51" s="7"/>
    </row>
    <row r="52" spans="1:9" ht="18" x14ac:dyDescent="0.35">
      <c r="A52" s="1"/>
      <c r="G52" s="2" t="s">
        <v>173</v>
      </c>
      <c r="H52" s="33">
        <f>C38-C39</f>
        <v>6000</v>
      </c>
      <c r="I52" s="4" t="s">
        <v>58</v>
      </c>
    </row>
    <row r="53" spans="1:9" ht="18" x14ac:dyDescent="0.35">
      <c r="A53" s="1"/>
      <c r="G53" s="2" t="s">
        <v>174</v>
      </c>
      <c r="H53" s="10">
        <f>H23-H24</f>
        <v>7252.742400000001</v>
      </c>
      <c r="I53" s="4" t="s">
        <v>58</v>
      </c>
    </row>
    <row r="54" spans="1:9" ht="18" x14ac:dyDescent="0.35">
      <c r="A54" s="1"/>
      <c r="G54" s="2" t="s">
        <v>175</v>
      </c>
      <c r="H54" s="33">
        <f>C49*0.8</f>
        <v>12000</v>
      </c>
      <c r="I54" s="4" t="s">
        <v>58</v>
      </c>
    </row>
    <row r="55" spans="1:9" ht="18.75" thickBot="1" x14ac:dyDescent="0.4">
      <c r="A55" s="1"/>
      <c r="G55" s="2" t="s">
        <v>176</v>
      </c>
      <c r="H55" s="33">
        <f>C48*0.8</f>
        <v>10336</v>
      </c>
      <c r="I55" s="4" t="s">
        <v>58</v>
      </c>
    </row>
    <row r="56" spans="1:9" ht="15.75" thickBot="1" x14ac:dyDescent="0.3">
      <c r="A56" s="1"/>
      <c r="F56" s="15" t="s">
        <v>35</v>
      </c>
      <c r="G56" s="68" t="str">
        <f>IF(OR(H52&gt;=0,H53&gt;=0),IF(AND(H54&gt;H53,H54&gt;H52),"Burst is good.","Need higher burst."),"No burst forces shown. (Good)")</f>
        <v>Burst is good.</v>
      </c>
      <c r="H56" s="68"/>
      <c r="I56" s="69"/>
    </row>
    <row r="57" spans="1:9" ht="15.75" thickBot="1" x14ac:dyDescent="0.3">
      <c r="A57" s="1"/>
      <c r="F57" s="15" t="s">
        <v>35</v>
      </c>
      <c r="G57" s="73" t="str">
        <f>IF(OR(H52&lt;0,H53&lt;0),IF(AND(H55&gt;-H52,H55&gt;-H53),"Collapse is good.","Need higher collapse."),"No collapse forces shown. (Good)")</f>
        <v>No collapse forces shown. (Good)</v>
      </c>
      <c r="H57" s="73"/>
      <c r="I57" s="74"/>
    </row>
    <row r="58" spans="1:9" ht="15.75" thickBot="1" x14ac:dyDescent="0.3">
      <c r="A58" s="1"/>
      <c r="G58" s="70" t="s">
        <v>177</v>
      </c>
      <c r="H58" s="71"/>
      <c r="I58" s="72"/>
    </row>
    <row r="59" spans="1:9" ht="18" x14ac:dyDescent="0.35">
      <c r="A59" s="1"/>
      <c r="G59" s="5" t="s">
        <v>178</v>
      </c>
      <c r="H59" s="6">
        <f>H24*(H11-H8)-H23*(H11-H9)</f>
        <v>-30429.991275606353</v>
      </c>
      <c r="I59" s="7" t="s">
        <v>10</v>
      </c>
    </row>
    <row r="60" spans="1:9" ht="18" x14ac:dyDescent="0.35">
      <c r="A60" s="1"/>
      <c r="G60" s="2" t="s">
        <v>179</v>
      </c>
      <c r="H60" s="33">
        <f>C16*C13</f>
        <v>86326.8</v>
      </c>
      <c r="I60" s="4" t="s">
        <v>10</v>
      </c>
    </row>
    <row r="61" spans="1:9" ht="18" x14ac:dyDescent="0.35">
      <c r="A61" s="1"/>
      <c r="G61" s="2" t="s">
        <v>180</v>
      </c>
      <c r="H61" s="10">
        <f>H60+H59-0</f>
        <v>55896.808724393646</v>
      </c>
      <c r="I61" s="4" t="s">
        <v>10</v>
      </c>
    </row>
    <row r="62" spans="1:9" ht="18.75" thickBot="1" x14ac:dyDescent="0.4">
      <c r="A62" s="1"/>
      <c r="G62" s="2" t="s">
        <v>181</v>
      </c>
      <c r="H62" s="10">
        <f>IF((C50-100000)&gt;C50*0.8,C50-100000,C50*0.8)</f>
        <v>127448</v>
      </c>
      <c r="I62" s="4" t="s">
        <v>10</v>
      </c>
    </row>
    <row r="63" spans="1:9" ht="15.75" thickBot="1" x14ac:dyDescent="0.3">
      <c r="A63" s="1"/>
      <c r="F63" s="15" t="s">
        <v>35</v>
      </c>
      <c r="G63" s="73" t="str">
        <f>IF(H62&gt;H61,"Tension is good.", "Need higher tension.")</f>
        <v>Tension is good.</v>
      </c>
      <c r="H63" s="73"/>
      <c r="I63" s="74"/>
    </row>
    <row r="64" spans="1:9" ht="15.75" thickBot="1" x14ac:dyDescent="0.3">
      <c r="A64" s="1"/>
      <c r="G64" s="70" t="s">
        <v>182</v>
      </c>
      <c r="H64" s="71"/>
      <c r="I64" s="72"/>
    </row>
    <row r="65" spans="1:9" ht="18" x14ac:dyDescent="0.35">
      <c r="A65" s="1"/>
      <c r="G65" s="5" t="s">
        <v>183</v>
      </c>
      <c r="H65" s="6">
        <f>H44/H10+C45*H14*H44/(4*H12)</f>
        <v>11376.70438317455</v>
      </c>
      <c r="I65" s="7" t="s">
        <v>58</v>
      </c>
    </row>
    <row r="66" spans="1:9" ht="18" x14ac:dyDescent="0.35">
      <c r="A66" s="1"/>
      <c r="G66" s="2" t="s">
        <v>184</v>
      </c>
      <c r="H66" s="10">
        <f>(H48-H59)/H10</f>
        <v>12251.108044045555</v>
      </c>
      <c r="I66" s="4" t="s">
        <v>58</v>
      </c>
    </row>
    <row r="67" spans="1:9" ht="18" x14ac:dyDescent="0.35">
      <c r="A67" s="1"/>
      <c r="G67" s="2" t="s">
        <v>185</v>
      </c>
      <c r="H67" s="10">
        <f>C45*H14/4/H12*((H11*(H25-H26))+H48)</f>
        <v>8168.4573142908321</v>
      </c>
      <c r="I67" s="4" t="s">
        <v>58</v>
      </c>
    </row>
    <row r="68" spans="1:9" ht="18" x14ac:dyDescent="0.35">
      <c r="A68" s="1"/>
      <c r="G68" s="2" t="s">
        <v>186</v>
      </c>
      <c r="H68" s="10">
        <f>IF(H67&gt;=0,SQRT(3*((H13^2*(H23-H24))/(H13^2-1))^2+((H23-H13^2*H24)/(H13^2-1)+H66+H67/H13)^2),SQRT(3*((H13^2*(H23-H24))/(H13^2-1))^2+((H23-H13^2*H24)/(H13^2-1)+H66-H67/H13)^2))</f>
        <v>38840.579514434874</v>
      </c>
      <c r="I68" s="4" t="s">
        <v>58</v>
      </c>
    </row>
    <row r="69" spans="1:9" ht="18" x14ac:dyDescent="0.35">
      <c r="G69" s="2" t="s">
        <v>187</v>
      </c>
      <c r="H69" s="10">
        <f>IF(H67&gt;=0,SQRT(3*(((H23-H24))/(H13^2-1))^2+((H23-H13^2*H24)/(H13^2-1)+H66+H67)^2),SQRT(3*(((H23-H24))/(H13^2-1))^2+((H23-H13^2*H24)/(H13^2-1)+H66-H67)^2))</f>
        <v>30285.487213745149</v>
      </c>
      <c r="I69" s="4" t="s">
        <v>58</v>
      </c>
    </row>
    <row r="70" spans="1:9" ht="18.75" thickBot="1" x14ac:dyDescent="0.4">
      <c r="G70" s="2" t="s">
        <v>188</v>
      </c>
      <c r="H70" s="33">
        <f>C47*0.8</f>
        <v>64000</v>
      </c>
      <c r="I70" s="4" t="s">
        <v>58</v>
      </c>
    </row>
    <row r="71" spans="1:9" ht="15.75" thickBot="1" x14ac:dyDescent="0.3">
      <c r="F71" s="37" t="s">
        <v>35</v>
      </c>
      <c r="G71" s="73" t="str">
        <f>IF(AND(H70&gt;H65,H70&gt;H68,H70&gt;H69),"Strength is good.","Need higher strength.")</f>
        <v>Strength is good.</v>
      </c>
      <c r="H71" s="73"/>
      <c r="I71" s="74"/>
    </row>
  </sheetData>
  <mergeCells count="32">
    <mergeCell ref="B9:D9"/>
    <mergeCell ref="B2:Y4"/>
    <mergeCell ref="J5:M5"/>
    <mergeCell ref="B7:D7"/>
    <mergeCell ref="G7:I7"/>
    <mergeCell ref="B8:D8"/>
    <mergeCell ref="B18:D18"/>
    <mergeCell ref="B21:D21"/>
    <mergeCell ref="B24:D24"/>
    <mergeCell ref="B27:D27"/>
    <mergeCell ref="B28:D28"/>
    <mergeCell ref="B44:D44"/>
    <mergeCell ref="G29:I29"/>
    <mergeCell ref="B31:D31"/>
    <mergeCell ref="G32:I32"/>
    <mergeCell ref="B34:D34"/>
    <mergeCell ref="B37:D37"/>
    <mergeCell ref="G37:I37"/>
    <mergeCell ref="B29:D29"/>
    <mergeCell ref="B40:D40"/>
    <mergeCell ref="G40:I40"/>
    <mergeCell ref="B41:D41"/>
    <mergeCell ref="B42:D42"/>
    <mergeCell ref="G43:I43"/>
    <mergeCell ref="G64:I64"/>
    <mergeCell ref="G71:I71"/>
    <mergeCell ref="G46:I46"/>
    <mergeCell ref="G50:I50"/>
    <mergeCell ref="G56:I56"/>
    <mergeCell ref="G57:I57"/>
    <mergeCell ref="G58:I58"/>
    <mergeCell ref="G63:I6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E21" sqref="E21"/>
    </sheetView>
  </sheetViews>
  <sheetFormatPr defaultRowHeight="15" x14ac:dyDescent="0.25"/>
  <sheetData>
    <row r="1" spans="2:3" x14ac:dyDescent="0.25">
      <c r="B1" s="87" t="s">
        <v>189</v>
      </c>
      <c r="C1" s="87"/>
    </row>
    <row r="2" spans="2:3" x14ac:dyDescent="0.25">
      <c r="B2" s="33" t="s">
        <v>80</v>
      </c>
      <c r="C2" s="33">
        <f>'PJ2 Mine'!C8</f>
        <v>250</v>
      </c>
    </row>
    <row r="3" spans="2:3" x14ac:dyDescent="0.25">
      <c r="B3" s="33" t="s">
        <v>81</v>
      </c>
      <c r="C3" s="88">
        <v>1230000</v>
      </c>
    </row>
    <row r="4" spans="2:3" x14ac:dyDescent="0.25">
      <c r="B4" s="33" t="s">
        <v>82</v>
      </c>
      <c r="C4" s="33">
        <f>'PJ2 Mine'!C11</f>
        <v>2.875</v>
      </c>
    </row>
    <row r="5" spans="2:3" x14ac:dyDescent="0.25">
      <c r="B5" s="33" t="s">
        <v>83</v>
      </c>
      <c r="C5" s="33">
        <f>'PJ2 Mine'!C10/5280</f>
        <v>1.9011363636363636</v>
      </c>
    </row>
    <row r="6" spans="2:3" x14ac:dyDescent="0.25">
      <c r="B6" s="33" t="s">
        <v>84</v>
      </c>
      <c r="C6" s="33">
        <f>'Natural Flow'!C38</f>
        <v>8000</v>
      </c>
    </row>
    <row r="7" spans="2:3" x14ac:dyDescent="0.25">
      <c r="B7" s="33" t="s">
        <v>85</v>
      </c>
      <c r="C7" s="33">
        <v>90</v>
      </c>
    </row>
    <row r="8" spans="2:3" x14ac:dyDescent="0.25">
      <c r="B8" s="33" t="s">
        <v>86</v>
      </c>
      <c r="C8" s="33">
        <f>'Natural Flow'!C22</f>
        <v>80</v>
      </c>
    </row>
    <row r="9" spans="2:3" x14ac:dyDescent="0.25">
      <c r="B9" s="33" t="s">
        <v>87</v>
      </c>
      <c r="C9" s="33">
        <v>32</v>
      </c>
    </row>
    <row r="10" spans="2:3" x14ac:dyDescent="0.25">
      <c r="B10" s="33" t="s">
        <v>88</v>
      </c>
      <c r="C10" s="33">
        <v>0.65</v>
      </c>
    </row>
    <row r="11" spans="2:3" x14ac:dyDescent="0.25">
      <c r="B11" s="33" t="s">
        <v>89</v>
      </c>
      <c r="C11" s="33">
        <v>150</v>
      </c>
    </row>
    <row r="12" spans="2:3" x14ac:dyDescent="0.25">
      <c r="C12">
        <v>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PJ2 Mine</vt:lpstr>
      <vt:lpstr>Natural Flow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user</cp:lastModifiedBy>
  <dcterms:created xsi:type="dcterms:W3CDTF">2015-11-30T22:09:08Z</dcterms:created>
  <dcterms:modified xsi:type="dcterms:W3CDTF">2015-12-03T18:16:26Z</dcterms:modified>
</cp:coreProperties>
</file>