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edr\Documents\M3\"/>
    </mc:Choice>
  </mc:AlternateContent>
  <xr:revisionPtr revIDLastSave="0" documentId="13_ncr:1_{5D746754-E537-4D14-90B2-6FDED6B4F3FB}" xr6:coauthVersionLast="47" xr6:coauthVersionMax="47" xr10:uidLastSave="{00000000-0000-0000-0000-000000000000}"/>
  <bookViews>
    <workbookView xWindow="-108" yWindow="-108" windowWidth="23256" windowHeight="13896" xr2:uid="{9A297429-0850-49BD-B4EF-715ACC752A73}"/>
  </bookViews>
  <sheets>
    <sheet name="analysis" sheetId="1" r:id="rId1"/>
    <sheet name="que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K17" i="1"/>
  <c r="L17" i="1"/>
  <c r="M17" i="1"/>
  <c r="N17" i="1"/>
  <c r="D17" i="1"/>
  <c r="C17" i="1"/>
  <c r="N42" i="1"/>
  <c r="M43" i="1"/>
  <c r="L44" i="1"/>
  <c r="K45" i="1"/>
  <c r="L45" i="1" s="1"/>
  <c r="M45" i="1" s="1"/>
  <c r="N45" i="1" s="1"/>
  <c r="J46" i="1"/>
  <c r="I47" i="1"/>
  <c r="H48" i="1"/>
  <c r="I48" i="1"/>
  <c r="J48" i="1" s="1"/>
  <c r="K48" i="1" s="1"/>
  <c r="L48" i="1" s="1"/>
  <c r="M48" i="1" s="1"/>
  <c r="N48" i="1" s="1"/>
  <c r="G49" i="1"/>
  <c r="H49" i="1" s="1"/>
  <c r="I49" i="1" s="1"/>
  <c r="J49" i="1" s="1"/>
  <c r="K49" i="1" s="1"/>
  <c r="L49" i="1" s="1"/>
  <c r="M49" i="1" s="1"/>
  <c r="N49" i="1" s="1"/>
  <c r="F50" i="1"/>
  <c r="E51" i="1"/>
  <c r="F51" i="1"/>
  <c r="G51" i="1" s="1"/>
  <c r="H51" i="1" s="1"/>
  <c r="I51" i="1" s="1"/>
  <c r="J51" i="1" s="1"/>
  <c r="K51" i="1" s="1"/>
  <c r="L51" i="1" s="1"/>
  <c r="M51" i="1" s="1"/>
  <c r="N51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D53" i="1"/>
  <c r="N43" i="1"/>
  <c r="N44" i="1"/>
  <c r="M44" i="1"/>
  <c r="K46" i="1"/>
  <c r="L46" i="1" s="1"/>
  <c r="M46" i="1" s="1"/>
  <c r="N46" i="1" s="1"/>
  <c r="J47" i="1"/>
  <c r="K47" i="1" s="1"/>
  <c r="L47" i="1" s="1"/>
  <c r="M47" i="1" s="1"/>
  <c r="N47" i="1" s="1"/>
  <c r="H50" i="1"/>
  <c r="I50" i="1" s="1"/>
  <c r="J50" i="1" s="1"/>
  <c r="K50" i="1" s="1"/>
  <c r="L50" i="1" s="1"/>
  <c r="M50" i="1" s="1"/>
  <c r="N50" i="1" s="1"/>
  <c r="G50" i="1"/>
  <c r="N53" i="1"/>
  <c r="M53" i="1"/>
  <c r="L53" i="1"/>
  <c r="K53" i="1"/>
  <c r="J53" i="1"/>
  <c r="I53" i="1"/>
  <c r="H53" i="1"/>
  <c r="G53" i="1"/>
  <c r="E53" i="1"/>
  <c r="N35" i="1"/>
  <c r="C53" i="1"/>
  <c r="N21" i="1"/>
  <c r="M21" i="1"/>
  <c r="M22" i="1"/>
  <c r="L21" i="1"/>
  <c r="L22" i="1"/>
  <c r="L23" i="1"/>
  <c r="K21" i="1"/>
  <c r="K22" i="1"/>
  <c r="K23" i="1"/>
  <c r="K24" i="1"/>
  <c r="J21" i="1"/>
  <c r="J22" i="1"/>
  <c r="J23" i="1"/>
  <c r="J24" i="1"/>
  <c r="J25" i="1"/>
  <c r="I26" i="1"/>
  <c r="H27" i="1"/>
  <c r="H22" i="1"/>
  <c r="I22" i="1" s="1"/>
  <c r="H23" i="1"/>
  <c r="H24" i="1"/>
  <c r="H25" i="1"/>
  <c r="H26" i="1"/>
  <c r="H21" i="1"/>
  <c r="I21" i="1"/>
  <c r="I23" i="1"/>
  <c r="I24" i="1"/>
  <c r="I25" i="1"/>
  <c r="G21" i="1"/>
  <c r="G22" i="1"/>
  <c r="G23" i="1"/>
  <c r="G24" i="1"/>
  <c r="G25" i="1"/>
  <c r="G26" i="1"/>
  <c r="G27" i="1"/>
  <c r="G28" i="1"/>
  <c r="E21" i="1"/>
  <c r="F21" i="1" s="1"/>
  <c r="E22" i="1"/>
  <c r="F22" i="1" s="1"/>
  <c r="E23" i="1"/>
  <c r="E24" i="1"/>
  <c r="E25" i="1"/>
  <c r="E26" i="1"/>
  <c r="E27" i="1"/>
  <c r="E28" i="1"/>
  <c r="E29" i="1"/>
  <c r="E30" i="1"/>
  <c r="F23" i="1"/>
  <c r="F24" i="1"/>
  <c r="F25" i="1"/>
  <c r="F26" i="1"/>
  <c r="F27" i="1"/>
  <c r="F28" i="1"/>
  <c r="F29" i="1"/>
  <c r="D21" i="1"/>
  <c r="D22" i="1"/>
  <c r="D23" i="1"/>
  <c r="D24" i="1"/>
  <c r="D25" i="1"/>
  <c r="D26" i="1"/>
  <c r="D27" i="1"/>
  <c r="D28" i="1"/>
  <c r="D29" i="1"/>
  <c r="D30" i="1"/>
  <c r="D31" i="1"/>
  <c r="C23" i="1"/>
  <c r="C22" i="1"/>
  <c r="C21" i="1"/>
  <c r="C24" i="1"/>
  <c r="C25" i="1"/>
  <c r="C26" i="1"/>
  <c r="C27" i="1"/>
  <c r="C28" i="1"/>
  <c r="C29" i="1"/>
  <c r="C30" i="1"/>
  <c r="C31" i="1"/>
  <c r="C32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34" i="1"/>
  <c r="N54" i="1" l="1"/>
  <c r="N34" i="1"/>
  <c r="C34" i="1"/>
  <c r="C35" i="1" s="1"/>
  <c r="L34" i="1" l="1"/>
  <c r="H34" i="1"/>
  <c r="M34" i="1"/>
  <c r="E34" i="1"/>
  <c r="K34" i="1"/>
  <c r="J34" i="1"/>
  <c r="D34" i="1"/>
  <c r="D35" i="1" s="1"/>
  <c r="I34" i="1"/>
  <c r="L35" i="1" l="1"/>
  <c r="F34" i="1"/>
  <c r="F35" i="1" s="1"/>
  <c r="G34" i="1"/>
  <c r="M35" i="1"/>
  <c r="I35" i="1"/>
  <c r="K35" i="1"/>
  <c r="J35" i="1"/>
  <c r="E35" i="1"/>
  <c r="G35" i="1" l="1"/>
  <c r="H35" i="1"/>
  <c r="F53" i="1" l="1"/>
</calcChain>
</file>

<file path=xl/sharedStrings.xml><?xml version="1.0" encoding="utf-8"?>
<sst xmlns="http://schemas.openxmlformats.org/spreadsheetml/2006/main" count="116" uniqueCount="95">
  <si>
    <t>cohort_week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</si>
  <si>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</si>
  <si>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</si>
  <si>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</si>
  <si>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</si>
  <si>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</si>
  <si>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</si>
  <si>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</si>
  <si>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</si>
  <si>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</si>
  <si>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</si>
  <si>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</si>
  <si>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</si>
  <si>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</si>
  <si>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Weekly Average Revenue by Cohorts (USD)</t>
  </si>
  <si>
    <t>cum_week_0</t>
  </si>
  <si>
    <t>cum_week_1</t>
  </si>
  <si>
    <t>cum_week_2</t>
  </si>
  <si>
    <t>cum_week_3</t>
  </si>
  <si>
    <t>cum_week_4</t>
  </si>
  <si>
    <t>cum_week_5</t>
  </si>
  <si>
    <t>cum_week_6</t>
  </si>
  <si>
    <t>cum_week_7</t>
  </si>
  <si>
    <t>cum_week_8</t>
  </si>
  <si>
    <t>cum_week_9</t>
  </si>
  <si>
    <t>cum_week_10</t>
  </si>
  <si>
    <t>cum_week_11</t>
  </si>
  <si>
    <t>cum_week_12</t>
  </si>
  <si>
    <t>Cumulative Revenue by Cohorts (USD)</t>
  </si>
  <si>
    <t>Average</t>
  </si>
  <si>
    <t>Cumulative growth %</t>
  </si>
  <si>
    <t>Revenue Prediction by Cohorts (USD)</t>
  </si>
  <si>
    <t>difference</t>
  </si>
  <si>
    <t>WITH --Here I am forming my cohort groups as a first registration week</t>
  </si>
  <si>
    <t xml:space="preserve">  cohorts AS (</t>
  </si>
  <si>
    <t xml:space="preserve">    SELECT</t>
  </si>
  <si>
    <t xml:space="preserve">    DISTINCT user_pseudo_id, --making sure I am not duplicating data</t>
  </si>
  <si>
    <t xml:space="preserve">    DATE_TRUNC(</t>
  </si>
  <si>
    <t xml:space="preserve">      MIN( -- here I am tacking the first time there was an event in the web </t>
  </si>
  <si>
    <t xml:space="preserve">        DATE(</t>
  </si>
  <si>
    <t xml:space="preserve">          CONCAT( --making the table format to be a DATE string</t>
  </si>
  <si>
    <t xml:space="preserve">            SUBSTR(event_date, 1, 4), '-', --extracting year</t>
  </si>
  <si>
    <t xml:space="preserve">            SUBSTR(event_date, 5, 2), '-', --extracting month</t>
  </si>
  <si>
    <t xml:space="preserve">            SUBSTR(event_date, 7, 2) -- extracting day</t>
  </si>
  <si>
    <t xml:space="preserve">          )</t>
  </si>
  <si>
    <t xml:space="preserve">        )</t>
  </si>
  <si>
    <t xml:space="preserve">      ),</t>
  </si>
  <si>
    <t xml:space="preserve">      WEEK</t>
  </si>
  <si>
    <t xml:space="preserve">    ) AS start_week</t>
  </si>
  <si>
    <t xml:space="preserve">  FROM `turing_data_analytics.raw_events`</t>
  </si>
  <si>
    <t xml:space="preserve">  GROUP BY user_pseudo_id</t>
  </si>
  <si>
    <t>),</t>
  </si>
  <si>
    <t>orders AS (</t>
  </si>
  <si>
    <t xml:space="preserve">  SELECT</t>
  </si>
  <si>
    <t xml:space="preserve">    user_pseudo_id, -- Identifies the customer</t>
  </si>
  <si>
    <t xml:space="preserve">      DATE(CONCAT(</t>
  </si>
  <si>
    <t xml:space="preserve">        SUBSTR(event_date, 1, 4), '-', </t>
  </si>
  <si>
    <t xml:space="preserve">        SUBSTR(event_date, 5, 2), '-', </t>
  </si>
  <si>
    <t xml:space="preserve">        SUBSTR(event_date, 7, 2)</t>
  </si>
  <si>
    <t xml:space="preserve">      )),</t>
  </si>
  <si>
    <t xml:space="preserve">    ) AS purchase_week, -- Groups events into weeks</t>
  </si>
  <si>
    <t xml:space="preserve">    SUM(purchase_revenue_in_usd) AS purchase -- Total revenue per user per week</t>
  </si>
  <si>
    <t xml:space="preserve">  WHERE event_name = 'purchase'</t>
  </si>
  <si>
    <t xml:space="preserve">  GROUP BY user_pseudo_id, purchase_week</t>
  </si>
  <si>
    <t>--here I am connecting two tables cohorts and the orders to have all data about the start week, purchase week, amount purchased and those who did not buy</t>
  </si>
  <si>
    <t>main_data AS (</t>
  </si>
  <si>
    <t xml:space="preserve">  SELECT </t>
  </si>
  <si>
    <t xml:space="preserve">    cohorts.user_pseudo_id,</t>
  </si>
  <si>
    <t xml:space="preserve">    cohorts.start_week,</t>
  </si>
  <si>
    <t xml:space="preserve">    orders.purchase,</t>
  </si>
  <si>
    <t xml:space="preserve">    orders.purchase_week,</t>
  </si>
  <si>
    <t xml:space="preserve">  FROM cohorts</t>
  </si>
  <si>
    <t xml:space="preserve">  LEFT JOIN orders -- A LEFT JOIN is used so that every user from the cohorts table is included, so users who have never made a purchase will still appear in main_data, with NULL values</t>
  </si>
  <si>
    <t xml:space="preserve">    ON cohorts.user_pseudo_id = orders.user_pseudo_id</t>
  </si>
  <si>
    <t xml:space="preserve"> WHERE cohorts.start_week &lt;= '2021-01-24' --filtering only the cohorts that are grouped before the 2021-01-24</t>
  </si>
  <si>
    <t>)</t>
  </si>
  <si>
    <t>-- In main querry, taking my cohort week and calculating each week average purchases</t>
  </si>
  <si>
    <t xml:space="preserve">SELECT </t>
  </si>
  <si>
    <t xml:space="preserve">  main_data.start_week AS cohort_week,</t>
  </si>
  <si>
    <t xml:space="preserve">  SUM(CASE WHEN main_data.purchase_week = main_data.start_week THEN main_data.purchase END) / (COUNT(DISTINCT user_pseudo_id)) AS week_0,</t>
  </si>
  <si>
    <t xml:space="preserve">  SUM(CASE WHEN main_data.purchase_week = DATE_ADD (main_data.start_week, INTERVAL 1 WEEK) THEN main_data.purchase END) / (COUNT(DISTINCT user_pseudo_id)) AS week_1,</t>
  </si>
  <si>
    <t xml:space="preserve">  SUM(CASE WHEN main_data.purchase_week = DATE_ADD (main_data.start_week, INTERVAL 2 WEEK) THEN main_data.purchase END) / (COUNT(DISTINCT user_pseudo_id)) AS week_2,</t>
  </si>
  <si>
    <t xml:space="preserve">  SUM(CASE WHEN main_data.purchase_week = DATE_ADD (main_data.start_week, INTERVAL 3 WEEK) THEN main_data.purchase END) / (COUNT(DISTINCT user_pseudo_id)) AS week_3,</t>
  </si>
  <si>
    <t xml:space="preserve">  SUM(CASE WHEN main_data.purchase_week = DATE_ADD (main_data.start_week, INTERVAL 4 WEEK) THEN main_data.purchase END) / (COUNT(DISTINCT user_pseudo_id)) AS week_4,</t>
  </si>
  <si>
    <t xml:space="preserve">  SUM(CASE WHEN main_data.purchase_week = DATE_ADD (main_data.start_week, INTERVAL 5 WEEK) THEN main_data.purchase END) / (COUNT(DISTINCT user_pseudo_id)) AS week_5,</t>
  </si>
  <si>
    <t xml:space="preserve">  SUM(CASE WHEN main_data.purchase_week = DATE_ADD (main_data.start_week, INTERVAL 6 WEEK) THEN main_data.purchase END) / (COUNT(DISTINCT user_pseudo_id)) AS week_6,</t>
  </si>
  <si>
    <t xml:space="preserve">  SUM(CASE WHEN main_data.purchase_week = DATE_ADD (main_data.start_week, INTERVAL 7 WEEK) THEN main_data.purchase END) / (COUNT(DISTINCT user_pseudo_id)) AS week_7,</t>
  </si>
  <si>
    <t xml:space="preserve">  SUM(CASE WHEN main_data.purchase_week = DATE_ADD (main_data.start_week, INTERVAL 8 WEEK) THEN main_data.purchase END) / (COUNT(DISTINCT user_pseudo_id)) AS week_8,</t>
  </si>
  <si>
    <t xml:space="preserve">  SUM(CASE WHEN main_data.purchase_week = DATE_ADD (main_data.start_week, INTERVAL 9 WEEK) THEN main_data.purchase END) / (COUNT(DISTINCT user_pseudo_id)) AS week_9,</t>
  </si>
  <si>
    <t xml:space="preserve">  SUM(CASE WHEN main_data.purchase_week = DATE_ADD (main_data.start_week, INTERVAL 10 WEEK) THEN main_data.purchase END) / (COUNT(DISTINCT user_pseudo_id)) AS week_10,</t>
  </si>
  <si>
    <t xml:space="preserve">  SUM(CASE WHEN main_data.purchase_week = DATE_ADD (main_data.start_week, INTERVAL 11 WEEK) THEN main_data.purchase END) / (COUNT(DISTINCT user_pseudo_id)) AS week_11,</t>
  </si>
  <si>
    <t xml:space="preserve">  SUM(CASE WHEN main_data.purchase_week = DATE_ADD (main_data.start_week, INTERVAL 12 WEEK) THEN main_data.purchase END) / (COUNT(DISTINCT user_pseudo_id)) AS week_12,</t>
  </si>
  <si>
    <t>FROM main_data</t>
  </si>
  <si>
    <t>GROUP BY cohort_week</t>
  </si>
  <si>
    <t>ORDER BY cohort_week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</si>
</sst>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yyyy\-mm\-dd;@"/>
    <numFmt numFmtId="165" formatCode="0.000000"/>
    <numFmt numFmtId="166" formatCode="_(&quot;$&quot;* #,##0.0000_);_(&quot;$&quot;* \(#,##0.0000\);_(&quot;$&quot;* &quot;-&quot;??_);_(@_)"/>
    <numFmt numFmtId="167" formatCode="0.000%"/>
    <numFmt numFmtId="168" formatCode="&quot;$&quot;#,##0.0000"/>
    <numFmt numFmtId="169" formatCode="_(&quot;$&quot;* #,##0.0000_);_(&quot;$&quot;* \(#,##0.0000\);_(&quot;$&quot;* &quot;-&quot;????_);_(@_)"/>
    <numFmt numFmtId="170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2" fillId="0" borderId="0" xfId="0" applyFont="1"/>
    <xf numFmtId="0" fontId="2" fillId="0" borderId="1" xfId="0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5" fontId="0" fillId="0" borderId="0" xfId="0" applyNumberFormat="1"/>
    <xf numFmtId="166" fontId="2" fillId="0" borderId="1" xfId="0" applyNumberFormat="1" applyFont="1" applyBorder="1"/>
    <xf numFmtId="166" fontId="0" fillId="0" borderId="0" xfId="0" applyNumberFormat="1"/>
    <xf numFmtId="167" fontId="0" fillId="0" borderId="0" xfId="1" applyNumberFormat="1" applyFont="1"/>
    <xf numFmtId="166" fontId="0" fillId="0" borderId="1" xfId="0" applyNumberFormat="1" applyBorder="1"/>
    <xf numFmtId="166" fontId="0" fillId="0" borderId="0" xfId="0" quotePrefix="1" applyNumberFormat="1"/>
    <xf numFmtId="166" fontId="0" fillId="0" borderId="3" xfId="0" applyNumberFormat="1" applyBorder="1"/>
    <xf numFmtId="166" fontId="0" fillId="0" borderId="3" xfId="0" quotePrefix="1" applyNumberFormat="1" applyBorder="1"/>
    <xf numFmtId="166" fontId="0" fillId="0" borderId="4" xfId="0" quotePrefix="1" applyNumberFormat="1" applyBorder="1"/>
    <xf numFmtId="166" fontId="0" fillId="0" borderId="6" xfId="0" quotePrefix="1" applyNumberFormat="1" applyBorder="1"/>
    <xf numFmtId="166" fontId="0" fillId="0" borderId="1" xfId="0" quotePrefix="1" applyNumberFormat="1" applyBorder="1"/>
    <xf numFmtId="166" fontId="0" fillId="0" borderId="8" xfId="0" quotePrefix="1" applyNumberFormat="1" applyBorder="1"/>
    <xf numFmtId="164" fontId="2" fillId="0" borderId="1" xfId="0" applyNumberFormat="1" applyFont="1" applyBorder="1"/>
    <xf numFmtId="167" fontId="2" fillId="0" borderId="0" xfId="1" applyNumberFormat="1" applyFont="1"/>
    <xf numFmtId="168" fontId="0" fillId="0" borderId="0" xfId="0" applyNumberFormat="1"/>
    <xf numFmtId="169" fontId="0" fillId="0" borderId="0" xfId="0" applyNumberFormat="1"/>
    <xf numFmtId="169" fontId="0" fillId="0" borderId="3" xfId="0" applyNumberFormat="1" applyBorder="1"/>
    <xf numFmtId="169" fontId="0" fillId="0" borderId="4" xfId="0" applyNumberFormat="1" applyBorder="1"/>
    <xf numFmtId="169" fontId="0" fillId="0" borderId="6" xfId="0" applyNumberFormat="1" applyBorder="1"/>
    <xf numFmtId="169" fontId="0" fillId="0" borderId="1" xfId="0" applyNumberFormat="1" applyBorder="1"/>
    <xf numFmtId="169" fontId="0" fillId="0" borderId="8" xfId="0" applyNumberFormat="1" applyBorder="1"/>
    <xf numFmtId="170" fontId="0" fillId="0" borderId="0" xfId="0" applyNumberFormat="1"/>
  </cellXfs>
  <cellStyles count="2">
    <cellStyle name="Normal" xfId="0" builtinId="0"/>
    <cellStyle name="Percent" xfId="1" builtinId="5"/>
  </cellStyles>
  <dxfs count="75"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yyyy\-mm\-dd;@"/>
    </dxf>
    <dxf>
      <border>
        <top style="thin">
          <color indexed="64"/>
        </top>
      </border>
    </dxf>
    <dxf>
      <font>
        <b/>
      </font>
      <numFmt numFmtId="34" formatCode="_(&quot;$&quot;* #,##0.00_);_(&quot;$&quot;* \(#,##0.00\);_(&quot;$&quot;* &quot;-&quot;??_);_(@_)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1"/>
        </bottom>
      </border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numFmt numFmtId="166" formatCode="_(&quot;$&quot;* #,##0.0000_);_(&quot;$&quot;* \(#,##0.00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/>
        <bottom style="medium">
          <color indexed="64"/>
        </bottom>
      </border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Registration</a:t>
            </a:r>
            <a:r>
              <a:rPr lang="en-US" baseline="0"/>
              <a:t> week vs 1 week later</a:t>
            </a:r>
            <a:endParaRPr lang="en-US"/>
          </a:p>
        </c:rich>
      </c:tx>
      <c:layout>
        <c:manualLayout>
          <c:xMode val="edge"/>
          <c:yMode val="edge"/>
          <c:x val="9.2662345280413519E-3"/>
          <c:y val="1.32487453681551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68672686002361E-2"/>
          <c:y val="0.15329587885529974"/>
          <c:w val="0.75166582672378823"/>
          <c:h val="0.70588388304140248"/>
        </c:manualLayout>
      </c:layout>
      <c:lineChart>
        <c:grouping val="standar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week_0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analysis!$B$3:$B$16</c:f>
              <c:numCache>
                <c:formatCode>_("$"* #,##0.0000_);_("$"* \(#,##0.0000\);_("$"* "-"??_);_(@_)</c:formatCode>
                <c:ptCount val="13"/>
                <c:pt idx="0">
                  <c:v>0.93799183185576196</c:v>
                </c:pt>
                <c:pt idx="1">
                  <c:v>1.1919664859536701</c:v>
                </c:pt>
                <c:pt idx="2">
                  <c:v>1.3817315774726799</c:v>
                </c:pt>
                <c:pt idx="3">
                  <c:v>1.6472475429036999</c:v>
                </c:pt>
                <c:pt idx="4">
                  <c:v>1.31940339229684</c:v>
                </c:pt>
                <c:pt idx="5">
                  <c:v>1.2025722327122399</c:v>
                </c:pt>
                <c:pt idx="6">
                  <c:v>1.00822963463602</c:v>
                </c:pt>
                <c:pt idx="7">
                  <c:v>0.36870443073471598</c:v>
                </c:pt>
                <c:pt idx="8">
                  <c:v>0.33907733236592202</c:v>
                </c:pt>
                <c:pt idx="9">
                  <c:v>0.22837446210591</c:v>
                </c:pt>
                <c:pt idx="10">
                  <c:v>0.39940331903785098</c:v>
                </c:pt>
                <c:pt idx="11">
                  <c:v>0.90318544894620301</c:v>
                </c:pt>
                <c:pt idx="12">
                  <c:v>0.19212678936605301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5-47AC-9D49-3CB064DA8A42}"/>
            </c:ext>
          </c:extLst>
        </c:ser>
        <c:ser>
          <c:idx val="1"/>
          <c:order val="1"/>
          <c:tx>
            <c:strRef>
              <c:f>analysis!$C$2</c:f>
              <c:strCache>
                <c:ptCount val="1"/>
                <c:pt idx="0">
                  <c:v>week_1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analysis!$C$3:$C$16</c:f>
              <c:numCache>
                <c:formatCode>_("$"* #,##0.0000_);_("$"* \(#,##0.0000\);_("$"* "-"??_);_(@_)</c:formatCode>
                <c:ptCount val="13"/>
                <c:pt idx="0">
                  <c:v>0.32637712919613499</c:v>
                </c:pt>
                <c:pt idx="1">
                  <c:v>0.38128388368654498</c:v>
                </c:pt>
                <c:pt idx="2">
                  <c:v>0.29677780891005801</c:v>
                </c:pt>
                <c:pt idx="3">
                  <c:v>0.23588124458929499</c:v>
                </c:pt>
                <c:pt idx="4">
                  <c:v>0.36342139966349801</c:v>
                </c:pt>
                <c:pt idx="5">
                  <c:v>0.32943817022337801</c:v>
                </c:pt>
                <c:pt idx="6">
                  <c:v>0.107820140738679</c:v>
                </c:pt>
                <c:pt idx="7">
                  <c:v>5.38418395961862E-2</c:v>
                </c:pt>
                <c:pt idx="8">
                  <c:v>5.0849507225346098E-2</c:v>
                </c:pt>
                <c:pt idx="9">
                  <c:v>6.42838324405023E-2</c:v>
                </c:pt>
                <c:pt idx="10">
                  <c:v>5.8502703710609699E-2</c:v>
                </c:pt>
                <c:pt idx="11">
                  <c:v>0.12202867866422799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5-47AC-9D49-3CB064DA8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647536"/>
        <c:axId val="1212655216"/>
      </c:lineChart>
      <c:catAx>
        <c:axId val="12126475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55216"/>
        <c:crosses val="autoZero"/>
        <c:auto val="1"/>
        <c:lblAlgn val="ctr"/>
        <c:lblOffset val="100"/>
        <c:noMultiLvlLbl val="0"/>
      </c:catAx>
      <c:valAx>
        <c:axId val="1212655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.0000_);_(&quot;$&quot;* \(#,##0.0000\);_(&quot;$&quot;* &quot;-&quot;??_);_(@_)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251367955175938"/>
          <c:y val="0.69237454430523626"/>
          <c:w val="0.13772975721916733"/>
          <c:h val="0.18949846940720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rPr>
              <a:t>Weekly Average Cohorts by USD</a:t>
            </a:r>
          </a:p>
        </c:rich>
      </c:tx>
      <c:layout>
        <c:manualLayout>
          <c:xMode val="edge"/>
          <c:yMode val="edge"/>
          <c:x val="1.4172694079318463E-2"/>
          <c:y val="2.3983321205284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analysis!$A$16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analysis!$B$16:$N$16</c:f>
              <c:numCache>
                <c:formatCode>_("$"* #,##0.0000_);_("$"* \(#,##0.0000\);_("$"* "-"??_);_(@_)</c:formatCode>
                <c:ptCount val="13"/>
                <c:pt idx="0">
                  <c:v>0.85538572926058221</c:v>
                </c:pt>
                <c:pt idx="1">
                  <c:v>0.19920886155370501</c:v>
                </c:pt>
                <c:pt idx="2">
                  <c:v>0.12934478413220751</c:v>
                </c:pt>
                <c:pt idx="3">
                  <c:v>9.9901028239056527E-2</c:v>
                </c:pt>
                <c:pt idx="4">
                  <c:v>8.2070172711246669E-2</c:v>
                </c:pt>
                <c:pt idx="5">
                  <c:v>4.7938755992873991E-2</c:v>
                </c:pt>
                <c:pt idx="6">
                  <c:v>3.8683879030574179E-2</c:v>
                </c:pt>
                <c:pt idx="7">
                  <c:v>2.3525857174492727E-2</c:v>
                </c:pt>
                <c:pt idx="8">
                  <c:v>1.7191660826062351E-2</c:v>
                </c:pt>
                <c:pt idx="9">
                  <c:v>8.9495320096814514E-3</c:v>
                </c:pt>
                <c:pt idx="10">
                  <c:v>2.1024049481292564E-2</c:v>
                </c:pt>
                <c:pt idx="11">
                  <c:v>1.7728379649578498E-2</c:v>
                </c:pt>
                <c:pt idx="12">
                  <c:v>1.81791015041338E-2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C-4557-9B78-C4201D91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47680"/>
        <c:axId val="1188449120"/>
      </c:areaChart>
      <c:catAx>
        <c:axId val="11884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49120"/>
        <c:crosses val="autoZero"/>
        <c:auto val="1"/>
        <c:lblAlgn val="ctr"/>
        <c:lblOffset val="100"/>
        <c:noMultiLvlLbl val="0"/>
      </c:catAx>
      <c:valAx>
        <c:axId val="1188449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.0000_);_(&quot;$&quot;* \(#,##0.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16212</xdr:colOff>
      <xdr:row>0</xdr:row>
      <xdr:rowOff>187034</xdr:rowOff>
    </xdr:from>
    <xdr:to>
      <xdr:col>45</xdr:col>
      <xdr:colOff>567446</xdr:colOff>
      <xdr:row>36</xdr:row>
      <xdr:rowOff>22087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3FCC01-D6AE-9B46-31F8-4BDB41243884}"/>
            </a:ext>
          </a:extLst>
        </xdr:cNvPr>
        <xdr:cNvSpPr txBox="1"/>
      </xdr:nvSpPr>
      <xdr:spPr>
        <a:xfrm>
          <a:off x="26498473" y="187034"/>
          <a:ext cx="6017756" cy="6405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Marketing Recommendations</a:t>
          </a:r>
        </a:p>
        <a:p>
          <a:r>
            <a:rPr lang="en-US" b="1"/>
            <a:t>Enhance Early Engagement:</a:t>
          </a:r>
          <a:endParaRPr lang="en-US"/>
        </a:p>
        <a:p>
          <a:pPr lvl="1"/>
          <a:r>
            <a:rPr lang="en-US"/>
            <a:t>Given that the highest growth rates occur in the first week (17%) and remain strong in week 1 and 2, marketing should focus on optimizing the onboarding experience.</a:t>
          </a:r>
        </a:p>
        <a:p>
          <a:pPr lvl="1"/>
          <a:r>
            <a:rPr lang="en-US"/>
            <a:t>Implement welcome campaigns, personalized offers, or introductory discounts to capitalize on the strong early revenue potential.</a:t>
          </a:r>
        </a:p>
        <a:p>
          <a:r>
            <a:rPr lang="en-US" b="1"/>
            <a:t>Boost Retention Beyond Initial Weeks:</a:t>
          </a:r>
          <a:endParaRPr lang="en-US"/>
        </a:p>
        <a:p>
          <a:pPr lvl="1"/>
          <a:r>
            <a:rPr lang="en-US"/>
            <a:t>Since growth slows after about week 6, consider targeted retention strategies to keep users active:</a:t>
          </a:r>
        </a:p>
        <a:p>
          <a:pPr lvl="2"/>
          <a:r>
            <a:rPr lang="en-US" b="1"/>
            <a:t>Re-engagement campaigns:</a:t>
          </a:r>
          <a:r>
            <a:rPr lang="en-US"/>
            <a:t> Email or in-app reminders, special offers, or loyalty programs.</a:t>
          </a:r>
        </a:p>
        <a:p>
          <a:pPr lvl="2"/>
          <a:r>
            <a:rPr lang="en-US" b="1"/>
            <a:t>Customer support initiatives:</a:t>
          </a:r>
          <a:r>
            <a:rPr lang="en-US"/>
            <a:t> Proactively engage users who show early signs of drop-off.</a:t>
          </a:r>
        </a:p>
        <a:p>
          <a:r>
            <a:rPr lang="en-US" b="1"/>
            <a:t>Segment and Tailor Campaigns by Cohort:</a:t>
          </a:r>
          <a:endParaRPr lang="en-US"/>
        </a:p>
        <a:p>
          <a:pPr lvl="1"/>
          <a:r>
            <a:rPr lang="en-US"/>
            <a:t>Older cohorts (e.g., from November 2020) show steady growth compared to more recent cohorts (e.g., January 2021).</a:t>
          </a:r>
        </a:p>
        <a:p>
          <a:pPr lvl="1"/>
          <a:r>
            <a:rPr lang="en-US"/>
            <a:t>Analyze the characteristics of high-performing cohorts and replicate those tactics for newer users.</a:t>
          </a:r>
        </a:p>
        <a:p>
          <a:pPr lvl="1"/>
          <a:r>
            <a:rPr lang="en-US"/>
            <a:t>Consider tailoring messaging based on cohort performance to boost the underperforming segments.</a:t>
          </a:r>
        </a:p>
        <a:p>
          <a:r>
            <a:rPr lang="en-US" b="1"/>
            <a:t>Improve Data Capture and Forecasting:</a:t>
          </a:r>
          <a:endParaRPr lang="en-US"/>
        </a:p>
        <a:p>
          <a:pPr lvl="1"/>
          <a:r>
            <a:rPr lang="en-US"/>
            <a:t>Work on minimizing “No data” gaps by ensuring comprehensive tracking of user events—this helps in more accurately forecasting CLV.</a:t>
          </a:r>
        </a:p>
        <a:p>
          <a:pPr lvl="1"/>
          <a:r>
            <a:rPr lang="en-US"/>
            <a:t>Use your predictive model (filling missing cells based on previous week revenue and cumulative growth) to project long-term revenue. This refined forecast will assist in budgeting and resource allocation.</a:t>
          </a:r>
        </a:p>
        <a:p>
          <a:r>
            <a:rPr lang="en-US" b="1"/>
            <a:t>Monitor and Adjust Marketing Spend:</a:t>
          </a:r>
          <a:endParaRPr lang="en-US"/>
        </a:p>
        <a:p>
          <a:pPr lvl="1"/>
          <a:r>
            <a:rPr lang="en-US"/>
            <a:t>With a clear picture of the average cumulative revenue (a proxy for CLV), adjust marketing investments accordingly.</a:t>
          </a:r>
        </a:p>
        <a:p>
          <a:pPr lvl="1"/>
          <a:r>
            <a:rPr lang="en-US"/>
            <a:t>High-CLV cohorts might justify a higher acquisition cost, while lower-performing cohorts may require further optimization or even a different approach.</a:t>
          </a:r>
        </a:p>
        <a:p>
          <a:endParaRPr lang="en-US" sz="1100"/>
        </a:p>
      </xdr:txBody>
    </xdr:sp>
    <xdr:clientData/>
  </xdr:twoCellAnchor>
  <xdr:twoCellAnchor>
    <xdr:from>
      <xdr:col>15</xdr:col>
      <xdr:colOff>16212</xdr:colOff>
      <xdr:row>0</xdr:row>
      <xdr:rowOff>176719</xdr:rowOff>
    </xdr:from>
    <xdr:to>
      <xdr:col>27</xdr:col>
      <xdr:colOff>32425</xdr:colOff>
      <xdr:row>16</xdr:row>
      <xdr:rowOff>48637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EC037-BAF4-48B6-2A16-2C0FBE9EE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419652</xdr:colOff>
      <xdr:row>0</xdr:row>
      <xdr:rowOff>176696</xdr:rowOff>
    </xdr:from>
    <xdr:to>
      <xdr:col>36</xdr:col>
      <xdr:colOff>0</xdr:colOff>
      <xdr:row>16</xdr:row>
      <xdr:rowOff>44174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5B801E-E8A9-5171-8D2C-CC640C9E4C17}"/>
            </a:ext>
          </a:extLst>
        </xdr:cNvPr>
        <xdr:cNvSpPr txBox="1"/>
      </xdr:nvSpPr>
      <xdr:spPr>
        <a:xfrm>
          <a:off x="21435391" y="176696"/>
          <a:ext cx="5046870" cy="28713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Front-Loaded Revenue Growth:</a:t>
          </a:r>
          <a:endParaRPr lang="en-US"/>
        </a:p>
        <a:p>
          <a:r>
            <a:rPr lang="en-US"/>
            <a:t>For the earliest cohort (e.g., 2020‑11‑01), cumulative revenue per user increases steadily from week 0 (around 0.87) to week 12 (about 2.13).</a:t>
          </a:r>
        </a:p>
        <a:p>
          <a:r>
            <a:rPr lang="en-US"/>
            <a:t>The average row confirms that on average, users tend to generate about $2.13 in revenue by the 12th week.</a:t>
          </a:r>
        </a:p>
        <a:p>
          <a:r>
            <a:rPr lang="en-US"/>
            <a:t>The strong early growth (e.g., 17.0% from week 0 to week 1, then around 15.4% and 12.7% in subsequent weeks) suggests that the first couple of weeks after registration are critical for revenue generation.</a:t>
          </a:r>
        </a:p>
        <a:p>
          <a:r>
            <a:rPr lang="en-US" b="1"/>
            <a:t>Deceleration in Later Weeks:</a:t>
          </a:r>
          <a:endParaRPr lang="en-US"/>
        </a:p>
        <a:p>
          <a:r>
            <a:rPr lang="en-US"/>
            <a:t>The growth percentages decline significantly later on (e.g., around 1.1% between week 6 and 7, with nearly flat or even negative growth in some intervals).</a:t>
          </a:r>
        </a:p>
        <a:p>
          <a:r>
            <a:rPr lang="en-US"/>
            <a:t>This deceleration indicates that after an initial burst of activity, users' incremental revenue contributions slow down. It might also hint at user drop-off or saturation in the purchase cycle.</a:t>
          </a:r>
        </a:p>
        <a:p>
          <a:endParaRPr lang="en-US" sz="1100"/>
        </a:p>
      </xdr:txBody>
    </xdr:sp>
    <xdr:clientData/>
  </xdr:twoCellAnchor>
  <xdr:twoCellAnchor>
    <xdr:from>
      <xdr:col>15</xdr:col>
      <xdr:colOff>1</xdr:colOff>
      <xdr:row>17</xdr:row>
      <xdr:rowOff>14357</xdr:rowOff>
    </xdr:from>
    <xdr:to>
      <xdr:col>27</xdr:col>
      <xdr:colOff>33131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6CAF76-692E-E798-440E-C793C969C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521E2-77AD-49C5-A41C-7B2E5C67319F}" name="Table1" displayName="Table1" ref="A2:N16" totalsRowCount="1">
  <autoFilter ref="A2:N15" xr:uid="{87E521E2-77AD-49C5-A41C-7B2E5C67319F}"/>
  <tableColumns count="14">
    <tableColumn id="1" xr3:uid="{811BE465-1AC3-4B7C-BA9A-CC1327C53A64}" name="cohort_week" totalsRowLabel="Average" dataDxfId="74" totalsRowDxfId="73"/>
    <tableColumn id="2" xr3:uid="{D5E37A20-CDF5-420E-814F-55C74E7654D7}" name="week_0" totalsRowFunction="custom" dataDxfId="72" totalsRowDxfId="71">
      <totalsRowFormula>AVERAGE(B3:B15)</totalsRowFormula>
    </tableColumn>
    <tableColumn id="3" xr3:uid="{5CBEB9F1-C839-4B16-A18D-EABE21D0B674}" name="week_1" totalsRowFunction="custom" dataDxfId="70" totalsRowDxfId="69">
      <totalsRowFormula>AVERAGE(C3:C15)</totalsRowFormula>
    </tableColumn>
    <tableColumn id="4" xr3:uid="{B820ABD7-172E-481E-9D23-A7BA6C26680D}" name="week_2" totalsRowFunction="custom" dataDxfId="68" totalsRowDxfId="67">
      <totalsRowFormula>AVERAGE(D3:D15)</totalsRowFormula>
    </tableColumn>
    <tableColumn id="5" xr3:uid="{A3F98A23-0570-4C4D-BB26-5F4A92A546CE}" name="week_3" totalsRowFunction="custom" dataDxfId="66" totalsRowDxfId="65">
      <totalsRowFormula>AVERAGE(E3:E15)</totalsRowFormula>
    </tableColumn>
    <tableColumn id="6" xr3:uid="{6917827C-E29D-47FE-86A9-869BC4322EEF}" name="week_4" totalsRowFunction="custom" dataDxfId="64" totalsRowDxfId="63">
      <totalsRowFormula>AVERAGE(F3:F15)</totalsRowFormula>
    </tableColumn>
    <tableColumn id="7" xr3:uid="{10E8C219-59B3-4DFC-9A4F-10F2B034FCD6}" name="week_5" totalsRowFunction="custom" dataDxfId="62" totalsRowDxfId="61">
      <totalsRowFormula>AVERAGE(G3:G15)</totalsRowFormula>
    </tableColumn>
    <tableColumn id="8" xr3:uid="{097C0BA1-BC22-4858-9BCF-1DC585CB7D84}" name="week_6" totalsRowFunction="custom" dataDxfId="60" totalsRowDxfId="59">
      <totalsRowFormula>AVERAGE(H3:H15)</totalsRowFormula>
    </tableColumn>
    <tableColumn id="9" xr3:uid="{800EF950-3F80-4788-BF8F-100638187E34}" name="week_7" totalsRowFunction="custom" dataDxfId="58" totalsRowDxfId="57">
      <totalsRowFormula>AVERAGE(I3:I15)</totalsRowFormula>
    </tableColumn>
    <tableColumn id="10" xr3:uid="{8A442271-1D5A-4FEF-9702-C14585515025}" name="week_8" totalsRowFunction="custom" dataDxfId="56" totalsRowDxfId="55">
      <totalsRowFormula>AVERAGE(J3:J15)</totalsRowFormula>
    </tableColumn>
    <tableColumn id="11" xr3:uid="{032FF5EC-C867-4210-8D42-5F7A6F0B1149}" name="week_9" totalsRowFunction="custom" dataDxfId="54" totalsRowDxfId="53">
      <totalsRowFormula>AVERAGE(K3:K15)</totalsRowFormula>
    </tableColumn>
    <tableColumn id="12" xr3:uid="{2913379C-15B2-429C-B7D9-AA22EE66AA61}" name="week_10" totalsRowFunction="custom" dataDxfId="52" totalsRowDxfId="51">
      <totalsRowFormula>AVERAGE(L3:L15)</totalsRowFormula>
    </tableColumn>
    <tableColumn id="13" xr3:uid="{20A2653A-3A1D-4E4A-B20D-F8AE45011380}" name="week_11" totalsRowFunction="custom" dataDxfId="50" totalsRowDxfId="49">
      <totalsRowFormula>AVERAGE(M3:M15)</totalsRowFormula>
    </tableColumn>
    <tableColumn id="14" xr3:uid="{F3302C90-DDE3-44E8-81AA-B625767328BC}" name="week_12" totalsRowFunction="custom" dataDxfId="48" totalsRowDxfId="47">
      <totalsRowFormula>AVERAGE(N3:N15)</totalsRow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3D299-1C8B-46B1-B74C-91C6CB2F8CB9}" name="Table2" displayName="Table2" ref="A20:N34" totalsRowCount="1" dataDxfId="45" totalsRowDxfId="43" headerRowBorderDxfId="46" tableBorderDxfId="44" totalsRowBorderDxfId="42">
  <autoFilter ref="A20:N33" xr:uid="{5C43D299-1C8B-46B1-B74C-91C6CB2F8CB9}"/>
  <tableColumns count="14">
    <tableColumn id="1" xr3:uid="{67520140-58C9-43FA-8644-8C8AC1A6222C}" name="cohort_week" totalsRowLabel="Average" dataDxfId="41" totalsRowDxfId="40"/>
    <tableColumn id="2" xr3:uid="{749481D9-8BC3-4047-95D1-5E18BF7644B8}" name="cum_week_0" totalsRowFunction="custom" dataDxfId="39" totalsRowDxfId="38">
      <totalsRowFormula>AVERAGE(Table2[cum_week_0])</totalsRowFormula>
    </tableColumn>
    <tableColumn id="3" xr3:uid="{EB2150CC-B092-47D9-9DFF-6B749B576A21}" name="cum_week_1" totalsRowFunction="custom" dataDxfId="37" totalsRowDxfId="36">
      <calculatedColumnFormula>Table2[[#This Row],[cum_week_0]]+C3</calculatedColumnFormula>
      <totalsRowFormula>AVERAGE(Table2[cum_week_1])</totalsRowFormula>
    </tableColumn>
    <tableColumn id="4" xr3:uid="{52D0DED8-212E-4343-A08F-F4CA94BBF45D}" name="cum_week_2" totalsRowFunction="custom" dataDxfId="35" totalsRowDxfId="34">
      <calculatedColumnFormula>D3+Table2[[#This Row],[cum_week_1]]</calculatedColumnFormula>
      <totalsRowFormula>AVERAGE(Table2[cum_week_2])</totalsRowFormula>
    </tableColumn>
    <tableColumn id="5" xr3:uid="{E0B9D21E-D268-4CBD-A670-C5D9D5CE66D5}" name="cum_week_3" totalsRowFunction="custom" dataDxfId="33" totalsRowDxfId="32">
      <calculatedColumnFormula>E3+Table2[[#This Row],[cum_week_2]]</calculatedColumnFormula>
      <totalsRowFormula>AVERAGE(Table2[cum_week_3])</totalsRowFormula>
    </tableColumn>
    <tableColumn id="6" xr3:uid="{4BE74E94-7EBC-4F9C-8F9C-67CCA7ADC7AA}" name="cum_week_4" totalsRowFunction="custom" dataDxfId="31" totalsRowDxfId="30">
      <calculatedColumnFormula>F3+Table2[[#This Row],[cum_week_3]]</calculatedColumnFormula>
      <totalsRowFormula>AVERAGE(Table2[cum_week_4])</totalsRowFormula>
    </tableColumn>
    <tableColumn id="7" xr3:uid="{E75C938B-42A4-4027-9F7F-4AC4F03F8DDB}" name="cum_week_5" totalsRowFunction="custom" dataDxfId="29" totalsRowDxfId="28">
      <calculatedColumnFormula>G3+Table2[[#This Row],[cum_week_4]]</calculatedColumnFormula>
      <totalsRowFormula>AVERAGE(Table2[cum_week_5])</totalsRowFormula>
    </tableColumn>
    <tableColumn id="8" xr3:uid="{13E79C12-87D7-4343-814A-AC005919FF40}" name="cum_week_6" totalsRowFunction="custom" dataDxfId="27" totalsRowDxfId="26">
      <calculatedColumnFormula>H3+Table2[[#This Row],[cum_week_5]]</calculatedColumnFormula>
      <totalsRowFormula>AVERAGE(Table2[cum_week_6])</totalsRowFormula>
    </tableColumn>
    <tableColumn id="9" xr3:uid="{C5B2829B-D5FD-44E1-A813-758AED6DC71C}" name="cum_week_7" totalsRowFunction="custom" dataDxfId="25" totalsRowDxfId="24">
      <calculatedColumnFormula>I3+Table2[[#This Row],[cum_week_6]]</calculatedColumnFormula>
      <totalsRowFormula>AVERAGE(Table2[cum_week_7])</totalsRowFormula>
    </tableColumn>
    <tableColumn id="10" xr3:uid="{694442BF-F80A-4B66-8978-CC883D2D10AF}" name="cum_week_8" totalsRowFunction="custom" dataDxfId="23" totalsRowDxfId="22">
      <calculatedColumnFormula>J3+Table2[[#This Row],[cum_week_7]]</calculatedColumnFormula>
      <totalsRowFormula>AVERAGE(Table2[cum_week_8])</totalsRowFormula>
    </tableColumn>
    <tableColumn id="11" xr3:uid="{F49AF828-22AB-44D4-A829-F5DB16630867}" name="cum_week_9" totalsRowFunction="custom" dataDxfId="21" totalsRowDxfId="20">
      <calculatedColumnFormula>K3+Table2[[#This Row],[cum_week_8]]</calculatedColumnFormula>
      <totalsRowFormula>AVERAGE(Table2[cum_week_9])</totalsRowFormula>
    </tableColumn>
    <tableColumn id="12" xr3:uid="{6CD4B026-C5A6-41F9-9F2E-D244E0B95092}" name="cum_week_10" totalsRowFunction="custom" dataDxfId="19" totalsRowDxfId="18">
      <calculatedColumnFormula>L3+Table2[[#This Row],[cum_week_9]]</calculatedColumnFormula>
      <totalsRowFormula>AVERAGE(Table2[cum_week_10])</totalsRowFormula>
    </tableColumn>
    <tableColumn id="13" xr3:uid="{61900C36-3964-4D03-9BF3-94D7E89E8629}" name="cum_week_11" totalsRowFunction="custom" dataDxfId="17" totalsRowDxfId="16">
      <calculatedColumnFormula>M3+Table2[[#This Row],[cum_week_10]]</calculatedColumnFormula>
      <totalsRowFormula>AVERAGE(Table2[cum_week_11])</totalsRowFormula>
    </tableColumn>
    <tableColumn id="14" xr3:uid="{4E5AD8CE-F0CC-4924-A07B-FE8C444D4B05}" name="cum_week_12" totalsRowFunction="custom" dataDxfId="15" totalsRowDxfId="14">
      <calculatedColumnFormula>N3+Table2[[#This Row],[cum_week_11]]</calculatedColumnFormula>
      <totalsRowFormula>AVERAGE(Table2[cum_week_12])</totalsRow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7FDD3B-8A97-4A51-8C39-3E77F32BBB81}" name="Table4" displayName="Table4" ref="A40:N54" totalsRowShown="0">
  <autoFilter ref="A40:N54" xr:uid="{307FDD3B-8A97-4A51-8C39-3E77F32BBB81}"/>
  <tableColumns count="14">
    <tableColumn id="1" xr3:uid="{B9EB4388-082C-476C-ACB0-C764273FF8FC}" name="cohort_week" dataDxfId="13"/>
    <tableColumn id="2" xr3:uid="{05CDF6F8-EB0B-4400-B737-806353A0917D}" name="cum_week_0" dataDxfId="12"/>
    <tableColumn id="3" xr3:uid="{378CBC66-A656-4D60-86E0-53CAB59CD408}" name="cum_week_1" dataDxfId="11">
      <calculatedColumnFormula>B21*(1+C23)</calculatedColumnFormula>
    </tableColumn>
    <tableColumn id="4" xr3:uid="{8211B3DB-E56D-40DA-8613-141CAD5FF442}" name="cum_week_2" dataDxfId="10"/>
    <tableColumn id="5" xr3:uid="{1C836F35-FDD1-4337-951E-45A60C10A111}" name="cum_week_3" dataDxfId="9"/>
    <tableColumn id="6" xr3:uid="{4D622B5B-9272-4085-90D0-65B654846F9D}" name="cum_week_4" dataDxfId="8"/>
    <tableColumn id="7" xr3:uid="{12E2F624-6F03-45BF-AD3C-C5F9F2B2F4DA}" name="cum_week_5" dataDxfId="7"/>
    <tableColumn id="8" xr3:uid="{11062B04-E1BF-44DE-B114-5082B061B02A}" name="cum_week_6" dataDxfId="6"/>
    <tableColumn id="9" xr3:uid="{C0F14C55-0B12-423F-8B99-1088B60C24FC}" name="cum_week_7" dataDxfId="5"/>
    <tableColumn id="10" xr3:uid="{50DAD033-4F06-44A6-B6C8-52B03734540E}" name="cum_week_8" dataDxfId="4"/>
    <tableColumn id="11" xr3:uid="{5C308B66-0DE5-4A06-BD04-5E6B767E751F}" name="cum_week_9" dataDxfId="3"/>
    <tableColumn id="12" xr3:uid="{4E9C0146-D620-4B3E-A72B-D9C97E0A30F2}" name="cum_week_10" dataDxfId="2"/>
    <tableColumn id="13" xr3:uid="{2E023DCD-2C4C-4958-AE51-09326EA4BFD2}" name="cum_week_11" dataDxfId="1"/>
    <tableColumn id="14" xr3:uid="{51C8B42F-FD7C-416C-B551-D47F23750487}" name="cum_week_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2687-2F0E-4FA0-A851-92785947F792}">
  <dimension ref="A1:O61"/>
  <sheetViews>
    <sheetView tabSelected="1" zoomScale="69" workbookViewId="0">
      <selection activeCell="L64" sqref="L64"/>
    </sheetView>
  </sheetViews>
  <sheetFormatPr defaultRowHeight="14.4" x14ac:dyDescent="0.3"/>
  <cols>
    <col min="1" max="1" width="13.88671875" customWidth="1"/>
    <col min="2" max="2" width="14.109375" customWidth="1"/>
    <col min="3" max="3" width="13.44140625" customWidth="1"/>
    <col min="4" max="7" width="14.109375" customWidth="1"/>
    <col min="8" max="8" width="18.6640625" bestFit="1" customWidth="1"/>
    <col min="9" max="11" width="14.109375" customWidth="1"/>
    <col min="12" max="14" width="15.109375" customWidth="1"/>
  </cols>
  <sheetData>
    <row r="1" spans="1:14" x14ac:dyDescent="0.3">
      <c r="E1" t="s">
        <v>14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3">
      <c r="A3" s="1">
        <v>44136</v>
      </c>
      <c r="B3" s="11">
        <v>0.93799183185576196</v>
      </c>
      <c r="C3" s="11">
        <v>0.32637712919613499</v>
      </c>
      <c r="D3" s="11">
        <v>0.26720788923199501</v>
      </c>
      <c r="E3" s="11">
        <v>0.26172925590198198</v>
      </c>
      <c r="F3" s="11">
        <v>0.15987648172128699</v>
      </c>
      <c r="G3" s="11">
        <v>0.15320251021018</v>
      </c>
      <c r="H3" s="11">
        <v>0.165305309293754</v>
      </c>
      <c r="I3" s="11">
        <v>2.50024902878772E-2</v>
      </c>
      <c r="J3" s="11">
        <v>7.8195039346548399E-3</v>
      </c>
      <c r="K3" s="11">
        <v>1.37961948401235E-2</v>
      </c>
      <c r="L3" s="11">
        <v>2.31596772586911E-2</v>
      </c>
      <c r="M3" s="11">
        <v>1.49417272636716E-2</v>
      </c>
      <c r="N3" s="11">
        <v>1.81791015041338E-2</v>
      </c>
    </row>
    <row r="4" spans="1:14" x14ac:dyDescent="0.3">
      <c r="A4" s="1">
        <v>44143</v>
      </c>
      <c r="B4" s="11">
        <v>1.1919664859536701</v>
      </c>
      <c r="C4" s="11">
        <v>0.38128388368654498</v>
      </c>
      <c r="D4" s="11">
        <v>0.28123459832429698</v>
      </c>
      <c r="E4" s="11">
        <v>0.22930014785608599</v>
      </c>
      <c r="F4" s="11">
        <v>0.27655248891079298</v>
      </c>
      <c r="G4" s="11">
        <v>0.10448496796451399</v>
      </c>
      <c r="H4" s="11">
        <v>3.9366683095120703E-2</v>
      </c>
      <c r="I4" s="11">
        <v>6.9369147363233102E-2</v>
      </c>
      <c r="J4" s="11"/>
      <c r="K4" s="11">
        <v>1.2013307047806799E-2</v>
      </c>
      <c r="L4" s="11">
        <v>3.5485460818136999E-2</v>
      </c>
      <c r="M4" s="11">
        <v>2.0515032035485398E-2</v>
      </c>
      <c r="N4" s="14"/>
    </row>
    <row r="5" spans="1:14" x14ac:dyDescent="0.3">
      <c r="A5" s="1">
        <v>44150</v>
      </c>
      <c r="B5" s="11">
        <v>1.3817315774726799</v>
      </c>
      <c r="C5" s="11">
        <v>0.29677780891005801</v>
      </c>
      <c r="D5" s="11">
        <v>0.21871672737461401</v>
      </c>
      <c r="E5" s="11">
        <v>0.227570748108713</v>
      </c>
      <c r="F5" s="11">
        <v>0.167105631829644</v>
      </c>
      <c r="G5" s="11">
        <v>2.56094144017932E-2</v>
      </c>
      <c r="H5" s="11">
        <v>2.8803586438778301E-2</v>
      </c>
      <c r="I5" s="11">
        <v>2.2022975623423899E-2</v>
      </c>
      <c r="J5" s="11">
        <v>2.0958251611095501E-2</v>
      </c>
      <c r="K5" s="11">
        <v>6.2202297562342296E-3</v>
      </c>
      <c r="L5" s="11">
        <v>4.4270103670495898E-3</v>
      </c>
      <c r="M5" s="11"/>
      <c r="N5" s="14"/>
    </row>
    <row r="6" spans="1:14" x14ac:dyDescent="0.3">
      <c r="A6" s="1">
        <v>44157</v>
      </c>
      <c r="B6" s="11">
        <v>1.6472475429036999</v>
      </c>
      <c r="C6" s="11">
        <v>0.23588124458929499</v>
      </c>
      <c r="D6" s="11">
        <v>0.225339919539644</v>
      </c>
      <c r="E6" s="11">
        <v>0.119366502011508</v>
      </c>
      <c r="F6" s="11">
        <v>3.7021948362784503E-2</v>
      </c>
      <c r="G6" s="11">
        <v>1.3240311656566601E-2</v>
      </c>
      <c r="H6" s="11">
        <v>6.4164587258746198E-3</v>
      </c>
      <c r="I6" s="11">
        <v>1.05922493252533E-2</v>
      </c>
      <c r="J6" s="11">
        <v>3.4577583133879902E-2</v>
      </c>
      <c r="K6" s="11">
        <v>3.7683963945612802E-3</v>
      </c>
      <c r="L6" s="14"/>
      <c r="M6" s="14"/>
      <c r="N6" s="14"/>
    </row>
    <row r="7" spans="1:14" x14ac:dyDescent="0.3">
      <c r="A7" s="1">
        <v>44164</v>
      </c>
      <c r="B7" s="11">
        <v>1.31940339229684</v>
      </c>
      <c r="C7" s="11">
        <v>0.36342139966349801</v>
      </c>
      <c r="D7" s="11">
        <v>0.24328134236733201</v>
      </c>
      <c r="E7" s="11">
        <v>4.8019644399981798E-2</v>
      </c>
      <c r="F7" s="11">
        <v>1.24141694329498E-2</v>
      </c>
      <c r="G7" s="11">
        <v>2.2145423127643098E-2</v>
      </c>
      <c r="H7" s="11">
        <v>6.0934018462098097E-3</v>
      </c>
      <c r="I7" s="11">
        <v>1.19594379518894E-2</v>
      </c>
      <c r="J7" s="11">
        <v>5.4113046246191598E-3</v>
      </c>
      <c r="K7" s="14"/>
      <c r="L7" s="14"/>
      <c r="M7" s="14"/>
      <c r="N7" s="14"/>
    </row>
    <row r="8" spans="1:14" x14ac:dyDescent="0.3">
      <c r="A8" s="1">
        <v>44171</v>
      </c>
      <c r="B8" s="11">
        <v>1.2025722327122399</v>
      </c>
      <c r="C8" s="11">
        <v>0.32943817022337801</v>
      </c>
      <c r="D8" s="11">
        <v>8.1477786882325695E-2</v>
      </c>
      <c r="E8" s="11">
        <v>3.44151911361288E-2</v>
      </c>
      <c r="F8" s="11">
        <v>2.08414977377177E-2</v>
      </c>
      <c r="G8" s="11">
        <v>2.6933627845666001E-2</v>
      </c>
      <c r="H8" s="11">
        <v>2.4404146923652399E-2</v>
      </c>
      <c r="I8" s="11">
        <v>2.2088424952794801E-3</v>
      </c>
      <c r="J8" s="14"/>
      <c r="K8" s="14"/>
      <c r="L8" s="14"/>
      <c r="M8" s="14"/>
      <c r="N8" s="14"/>
    </row>
    <row r="9" spans="1:14" ht="15" thickBot="1" x14ac:dyDescent="0.35">
      <c r="A9" s="1">
        <v>44178</v>
      </c>
      <c r="B9" s="11">
        <v>1.00822963463602</v>
      </c>
      <c r="C9" s="11">
        <v>0.107820140738679</v>
      </c>
      <c r="D9" s="11">
        <v>4.0233769331689997E-2</v>
      </c>
      <c r="E9" s="11">
        <v>3.02150836878304E-2</v>
      </c>
      <c r="F9" s="11">
        <v>4.0830119667634002E-2</v>
      </c>
      <c r="G9" s="11">
        <v>2.9817516797201099E-2</v>
      </c>
      <c r="H9" s="11">
        <v>3.9756689062934802E-4</v>
      </c>
      <c r="I9" s="11"/>
      <c r="J9" s="14"/>
      <c r="K9" s="14"/>
      <c r="L9" s="14"/>
      <c r="M9" s="14"/>
      <c r="N9" s="14"/>
    </row>
    <row r="10" spans="1:14" x14ac:dyDescent="0.3">
      <c r="A10" s="6">
        <v>44185</v>
      </c>
      <c r="B10" s="15">
        <v>0.36870443073471598</v>
      </c>
      <c r="C10" s="15">
        <v>5.38418395961862E-2</v>
      </c>
      <c r="D10" s="15">
        <v>2.0919798093101499E-2</v>
      </c>
      <c r="E10" s="15">
        <v>2.3275378575434599E-2</v>
      </c>
      <c r="F10" s="15">
        <v>1.80033651149747E-2</v>
      </c>
      <c r="G10" s="15">
        <v>8.0762759394279304E-3</v>
      </c>
      <c r="H10" s="16"/>
      <c r="I10" s="16"/>
      <c r="J10" s="16"/>
      <c r="K10" s="16"/>
      <c r="L10" s="16"/>
      <c r="M10" s="16"/>
      <c r="N10" s="17"/>
    </row>
    <row r="11" spans="1:14" x14ac:dyDescent="0.3">
      <c r="A11" s="7">
        <v>44192</v>
      </c>
      <c r="B11" s="11">
        <v>0.33907733236592202</v>
      </c>
      <c r="C11" s="11">
        <v>5.0849507225346098E-2</v>
      </c>
      <c r="D11" s="11">
        <v>4.5347360783602299E-3</v>
      </c>
      <c r="E11" s="11">
        <v>2.03760807787653E-2</v>
      </c>
      <c r="F11" s="11">
        <v>5.9858516234355102E-3</v>
      </c>
      <c r="G11" s="14"/>
      <c r="H11" s="14"/>
      <c r="I11" s="14"/>
      <c r="J11" s="14"/>
      <c r="K11" s="14"/>
      <c r="L11" s="14"/>
      <c r="M11" s="14"/>
      <c r="N11" s="18"/>
    </row>
    <row r="12" spans="1:14" x14ac:dyDescent="0.3">
      <c r="A12" s="7">
        <v>44199</v>
      </c>
      <c r="B12" s="11">
        <v>0.22837446210591</v>
      </c>
      <c r="C12" s="11">
        <v>6.42838324405023E-2</v>
      </c>
      <c r="D12" s="11">
        <v>2.73996662861157E-2</v>
      </c>
      <c r="E12" s="11">
        <v>4.7422499341354101E-3</v>
      </c>
      <c r="F12" s="14"/>
      <c r="G12" s="14"/>
      <c r="H12" s="14"/>
      <c r="I12" s="14"/>
      <c r="J12" s="14"/>
      <c r="K12" s="14"/>
      <c r="L12" s="14"/>
      <c r="M12" s="14"/>
      <c r="N12" s="18"/>
    </row>
    <row r="13" spans="1:14" ht="15" thickBot="1" x14ac:dyDescent="0.35">
      <c r="A13" s="8">
        <v>44206</v>
      </c>
      <c r="B13" s="13">
        <v>0.39940331903785098</v>
      </c>
      <c r="C13" s="13">
        <v>5.8502703710609699E-2</v>
      </c>
      <c r="D13" s="13">
        <v>1.2446391944806999E-2</v>
      </c>
      <c r="E13" s="19"/>
      <c r="F13" s="19"/>
      <c r="G13" s="19"/>
      <c r="H13" s="19"/>
      <c r="I13" s="19"/>
      <c r="J13" s="19"/>
      <c r="K13" s="19"/>
      <c r="L13" s="19"/>
      <c r="M13" s="19"/>
      <c r="N13" s="20"/>
    </row>
    <row r="14" spans="1:14" x14ac:dyDescent="0.3">
      <c r="A14" s="1">
        <v>44213</v>
      </c>
      <c r="B14" s="11">
        <v>0.90318544894620301</v>
      </c>
      <c r="C14" s="11">
        <v>0.12202867866422799</v>
      </c>
      <c r="D14" s="11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x14ac:dyDescent="0.3">
      <c r="A15" s="1">
        <v>44220</v>
      </c>
      <c r="B15" s="11">
        <v>0.19212678936605301</v>
      </c>
      <c r="C15" s="11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" thickBot="1" x14ac:dyDescent="0.35">
      <c r="A16" s="4" t="s">
        <v>29</v>
      </c>
      <c r="B16" s="11">
        <f t="shared" ref="B16:N16" si="0">AVERAGE(B3:B15)</f>
        <v>0.85538572926058221</v>
      </c>
      <c r="C16" s="11">
        <f t="shared" si="0"/>
        <v>0.19920886155370501</v>
      </c>
      <c r="D16" s="11">
        <f t="shared" si="0"/>
        <v>0.12934478413220751</v>
      </c>
      <c r="E16" s="11">
        <f t="shared" si="0"/>
        <v>9.9901028239056527E-2</v>
      </c>
      <c r="F16" s="11">
        <f t="shared" si="0"/>
        <v>8.2070172711246669E-2</v>
      </c>
      <c r="G16" s="11">
        <f t="shared" si="0"/>
        <v>4.7938755992873991E-2</v>
      </c>
      <c r="H16" s="11">
        <f t="shared" si="0"/>
        <v>3.8683879030574179E-2</v>
      </c>
      <c r="I16" s="11">
        <f t="shared" si="0"/>
        <v>2.3525857174492727E-2</v>
      </c>
      <c r="J16" s="11">
        <f t="shared" si="0"/>
        <v>1.7191660826062351E-2</v>
      </c>
      <c r="K16" s="11">
        <f t="shared" si="0"/>
        <v>8.9495320096814514E-3</v>
      </c>
      <c r="L16" s="11">
        <f t="shared" si="0"/>
        <v>2.1024049481292564E-2</v>
      </c>
      <c r="M16" s="11">
        <f t="shared" si="0"/>
        <v>1.7728379649578498E-2</v>
      </c>
      <c r="N16" s="11">
        <f t="shared" si="0"/>
        <v>1.81791015041338E-2</v>
      </c>
    </row>
    <row r="17" spans="1:15" x14ac:dyDescent="0.3">
      <c r="A17" t="s">
        <v>32</v>
      </c>
      <c r="C17" s="30">
        <f>Table1[[#Totals],[week_1]]-Table1[[#Totals],[week_0]]</f>
        <v>-0.65617686770687722</v>
      </c>
      <c r="D17" s="30">
        <f>Table1[[#Totals],[week_2]]-Table1[[#Totals],[week_1]]</f>
        <v>-6.98640774214975E-2</v>
      </c>
      <c r="E17" s="30">
        <f>Table1[[#Totals],[week_3]]-Table1[[#Totals],[week_2]]</f>
        <v>-2.9443755893150986E-2</v>
      </c>
      <c r="F17" s="30">
        <f>Table1[[#Totals],[week_4]]-Table1[[#Totals],[week_3]]</f>
        <v>-1.7830855527809858E-2</v>
      </c>
      <c r="G17" s="30">
        <f>Table1[[#Totals],[week_5]]-Table1[[#Totals],[week_4]]</f>
        <v>-3.4131416718372679E-2</v>
      </c>
      <c r="H17" s="30">
        <f>Table1[[#Totals],[week_6]]-Table1[[#Totals],[week_5]]</f>
        <v>-9.2548769622998114E-3</v>
      </c>
      <c r="I17" s="30">
        <f>Table1[[#Totals],[week_7]]-Table1[[#Totals],[week_6]]</f>
        <v>-1.5158021856081453E-2</v>
      </c>
      <c r="J17" s="30">
        <f>Table1[[#Totals],[week_8]]-Table1[[#Totals],[week_7]]</f>
        <v>-6.3341963484303751E-3</v>
      </c>
      <c r="K17" s="30">
        <f>Table1[[#Totals],[week_9]]-Table1[[#Totals],[week_8]]</f>
        <v>-8.2421288163809E-3</v>
      </c>
      <c r="L17" s="30">
        <f>Table1[[#Totals],[week_10]]-Table1[[#Totals],[week_9]]</f>
        <v>1.2074517471611113E-2</v>
      </c>
      <c r="M17" s="30">
        <f>Table1[[#Totals],[week_11]]-Table1[[#Totals],[week_10]]</f>
        <v>-3.2956698317140667E-3</v>
      </c>
      <c r="N17" s="30">
        <f>Table1[[#Totals],[week_12]]-Table1[[#Totals],[week_11]]</f>
        <v>4.5072185455530267E-4</v>
      </c>
      <c r="O17" s="23"/>
    </row>
    <row r="19" spans="1:15" x14ac:dyDescent="0.3">
      <c r="E19" t="s">
        <v>28</v>
      </c>
    </row>
    <row r="20" spans="1:15" x14ac:dyDescent="0.3">
      <c r="A20" t="s">
        <v>0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 t="s">
        <v>24</v>
      </c>
      <c r="L20" t="s">
        <v>25</v>
      </c>
      <c r="M20" t="s">
        <v>26</v>
      </c>
      <c r="N20" t="s">
        <v>27</v>
      </c>
    </row>
    <row r="21" spans="1:15" x14ac:dyDescent="0.3">
      <c r="A21" s="1">
        <v>44136</v>
      </c>
      <c r="B21" s="11">
        <v>0.93799183185576196</v>
      </c>
      <c r="C21" s="11">
        <f>Table2[[#This Row],[cum_week_0]]+C3</f>
        <v>1.2643689610518969</v>
      </c>
      <c r="D21" s="11">
        <f>D3+Table2[[#This Row],[cum_week_1]]</f>
        <v>1.531576850283892</v>
      </c>
      <c r="E21" s="11">
        <f>E3+Table2[[#This Row],[cum_week_2]]</f>
        <v>1.7933061061858739</v>
      </c>
      <c r="F21" s="11">
        <f>F3+Table2[[#This Row],[cum_week_3]]</f>
        <v>1.9531825879071609</v>
      </c>
      <c r="G21" s="11">
        <f>G3+Table2[[#This Row],[cum_week_4]]</f>
        <v>2.1063850981173409</v>
      </c>
      <c r="H21" s="11">
        <f>H3+Table2[[#This Row],[cum_week_5]]</f>
        <v>2.2716904074110951</v>
      </c>
      <c r="I21" s="11">
        <f>I3+Table2[[#This Row],[cum_week_6]]</f>
        <v>2.2966928976989722</v>
      </c>
      <c r="J21" s="11">
        <f>J3+Table2[[#This Row],[cum_week_7]]</f>
        <v>2.3045124016336271</v>
      </c>
      <c r="K21" s="11">
        <f>K3+Table2[[#This Row],[cum_week_8]]</f>
        <v>2.3183085964737504</v>
      </c>
      <c r="L21" s="11">
        <f>L3+Table2[[#This Row],[cum_week_9]]</f>
        <v>2.3414682737324415</v>
      </c>
      <c r="M21" s="11">
        <f>M3+Table2[[#This Row],[cum_week_10]]</f>
        <v>2.3564100009961129</v>
      </c>
      <c r="N21" s="11">
        <f>N3+Table2[[#This Row],[cum_week_11]]</f>
        <v>2.3745891025002468</v>
      </c>
    </row>
    <row r="22" spans="1:15" x14ac:dyDescent="0.3">
      <c r="A22" s="1">
        <v>44143</v>
      </c>
      <c r="B22" s="11">
        <v>1.1919664859536701</v>
      </c>
      <c r="C22" s="24">
        <f>Table2[[#This Row],[cum_week_0]]+C4</f>
        <v>1.5732503696402151</v>
      </c>
      <c r="D22" s="24">
        <f>D4+Table2[[#This Row],[cum_week_1]]</f>
        <v>1.8544849679645121</v>
      </c>
      <c r="E22" s="24">
        <f>E4+Table2[[#This Row],[cum_week_2]]</f>
        <v>2.0837851158205982</v>
      </c>
      <c r="F22" s="24">
        <f>F4+Table2[[#This Row],[cum_week_3]]</f>
        <v>2.3603376047313911</v>
      </c>
      <c r="G22" s="24">
        <f>G4+Table2[[#This Row],[cum_week_4]]</f>
        <v>2.4648225726959052</v>
      </c>
      <c r="H22" s="11">
        <f>H4+Table2[[#This Row],[cum_week_5]]</f>
        <v>2.5041892557910259</v>
      </c>
      <c r="I22" s="24">
        <f>I4+Table2[[#This Row],[cum_week_6]]</f>
        <v>2.5735584031542591</v>
      </c>
      <c r="J22" s="24">
        <f>J4+Table2[[#This Row],[cum_week_7]]</f>
        <v>2.5735584031542591</v>
      </c>
      <c r="K22" s="24">
        <f>K4+Table2[[#This Row],[cum_week_8]]</f>
        <v>2.5855717102020659</v>
      </c>
      <c r="L22" s="24">
        <f>L4+Table2[[#This Row],[cum_week_9]]</f>
        <v>2.6210571710202029</v>
      </c>
      <c r="M22" s="24">
        <f>M4+Table2[[#This Row],[cum_week_10]]</f>
        <v>2.6415722030556883</v>
      </c>
      <c r="N22" s="24"/>
    </row>
    <row r="23" spans="1:15" x14ac:dyDescent="0.3">
      <c r="A23" s="1">
        <v>44150</v>
      </c>
      <c r="B23" s="11">
        <v>1.3817315774726799</v>
      </c>
      <c r="C23" s="24">
        <f>Table2[[#This Row],[cum_week_0]]+C5</f>
        <v>1.6785093863827378</v>
      </c>
      <c r="D23" s="24">
        <f>D5+Table2[[#This Row],[cum_week_1]]</f>
        <v>1.8972261137573518</v>
      </c>
      <c r="E23" s="24">
        <f>E5+Table2[[#This Row],[cum_week_2]]</f>
        <v>2.1247968618660646</v>
      </c>
      <c r="F23" s="24">
        <f>F5+Table2[[#This Row],[cum_week_3]]</f>
        <v>2.2919024936957086</v>
      </c>
      <c r="G23" s="24">
        <f>G5+Table2[[#This Row],[cum_week_4]]</f>
        <v>2.3175119080975017</v>
      </c>
      <c r="H23" s="11">
        <f>H5+Table2[[#This Row],[cum_week_5]]</f>
        <v>2.3463154945362801</v>
      </c>
      <c r="I23" s="24">
        <f>I5+Table2[[#This Row],[cum_week_6]]</f>
        <v>2.3683384701597041</v>
      </c>
      <c r="J23" s="24">
        <f>J5+Table2[[#This Row],[cum_week_7]]</f>
        <v>2.3892967217707994</v>
      </c>
      <c r="K23" s="24">
        <f>K5+Table2[[#This Row],[cum_week_8]]</f>
        <v>2.3955169515270338</v>
      </c>
      <c r="L23" s="24">
        <f>L5+Table2[[#This Row],[cum_week_9]]</f>
        <v>2.3999439618940834</v>
      </c>
      <c r="M23" s="24"/>
      <c r="N23" s="24"/>
    </row>
    <row r="24" spans="1:15" x14ac:dyDescent="0.3">
      <c r="A24" s="1">
        <v>44157</v>
      </c>
      <c r="B24" s="11">
        <v>1.6472475429036999</v>
      </c>
      <c r="C24" s="24">
        <f>Table2[[#This Row],[cum_week_0]]+C6</f>
        <v>1.8831287874929949</v>
      </c>
      <c r="D24" s="24">
        <f>D6+Table2[[#This Row],[cum_week_1]]</f>
        <v>2.1084687070326389</v>
      </c>
      <c r="E24" s="24">
        <f>E6+Table2[[#This Row],[cum_week_2]]</f>
        <v>2.2278352090441471</v>
      </c>
      <c r="F24" s="24">
        <f>F6+Table2[[#This Row],[cum_week_3]]</f>
        <v>2.2648571574069316</v>
      </c>
      <c r="G24" s="24">
        <f>G6+Table2[[#This Row],[cum_week_4]]</f>
        <v>2.2780974690634981</v>
      </c>
      <c r="H24" s="11">
        <f>H6+Table2[[#This Row],[cum_week_5]]</f>
        <v>2.2845139277893729</v>
      </c>
      <c r="I24" s="24">
        <f>I6+Table2[[#This Row],[cum_week_6]]</f>
        <v>2.2951061771146262</v>
      </c>
      <c r="J24" s="24">
        <f>J6+Table2[[#This Row],[cum_week_7]]</f>
        <v>2.3296837602485061</v>
      </c>
      <c r="K24" s="24">
        <f>K6+Table2[[#This Row],[cum_week_8]]</f>
        <v>2.3334521566430673</v>
      </c>
      <c r="L24" s="24"/>
      <c r="M24" s="24"/>
      <c r="N24" s="24"/>
    </row>
    <row r="25" spans="1:15" x14ac:dyDescent="0.3">
      <c r="A25" s="1">
        <v>44164</v>
      </c>
      <c r="B25" s="11">
        <v>1.31940339229684</v>
      </c>
      <c r="C25" s="24">
        <f>Table2[[#This Row],[cum_week_0]]+C7</f>
        <v>1.6828247919603381</v>
      </c>
      <c r="D25" s="24">
        <f>D7+Table2[[#This Row],[cum_week_1]]</f>
        <v>1.9261061343276702</v>
      </c>
      <c r="E25" s="24">
        <f>E7+Table2[[#This Row],[cum_week_2]]</f>
        <v>1.974125778727652</v>
      </c>
      <c r="F25" s="24">
        <f>F7+Table2[[#This Row],[cum_week_3]]</f>
        <v>1.9865399481606019</v>
      </c>
      <c r="G25" s="24">
        <f>G7+Table2[[#This Row],[cum_week_4]]</f>
        <v>2.0086853712882449</v>
      </c>
      <c r="H25" s="11">
        <f>H7+Table2[[#This Row],[cum_week_5]]</f>
        <v>2.0147787731344549</v>
      </c>
      <c r="I25" s="24">
        <f>I7+Table2[[#This Row],[cum_week_6]]</f>
        <v>2.0267382110863443</v>
      </c>
      <c r="J25" s="24">
        <f>J7+Table2[[#This Row],[cum_week_7]]</f>
        <v>2.0321495157109637</v>
      </c>
      <c r="K25" s="24"/>
      <c r="L25" s="24"/>
      <c r="M25" s="24"/>
      <c r="N25" s="24"/>
    </row>
    <row r="26" spans="1:15" x14ac:dyDescent="0.3">
      <c r="A26" s="1">
        <v>44171</v>
      </c>
      <c r="B26" s="11">
        <v>1.2025722327122399</v>
      </c>
      <c r="C26" s="24">
        <f>Table2[[#This Row],[cum_week_0]]+C8</f>
        <v>1.5320104029356179</v>
      </c>
      <c r="D26" s="24">
        <f>D8+Table2[[#This Row],[cum_week_1]]</f>
        <v>1.6134881898179436</v>
      </c>
      <c r="E26" s="24">
        <f>E8+Table2[[#This Row],[cum_week_2]]</f>
        <v>1.6479033809540724</v>
      </c>
      <c r="F26" s="24">
        <f>F8+Table2[[#This Row],[cum_week_3]]</f>
        <v>1.66874487869179</v>
      </c>
      <c r="G26" s="24">
        <f>G8+Table2[[#This Row],[cum_week_4]]</f>
        <v>1.695678506537456</v>
      </c>
      <c r="H26" s="11">
        <f>H8+Table2[[#This Row],[cum_week_5]]</f>
        <v>1.7200826534611084</v>
      </c>
      <c r="I26" s="11">
        <f>I8+Table2[[#This Row],[cum_week_6]]</f>
        <v>1.722291495956388</v>
      </c>
      <c r="J26" s="24"/>
      <c r="K26" s="24"/>
      <c r="L26" s="24"/>
      <c r="M26" s="24"/>
      <c r="N26" s="24"/>
    </row>
    <row r="27" spans="1:15" ht="15" thickBot="1" x14ac:dyDescent="0.35">
      <c r="A27" s="1">
        <v>44178</v>
      </c>
      <c r="B27" s="11">
        <v>1.00822963463602</v>
      </c>
      <c r="C27" s="24">
        <f>Table2[[#This Row],[cum_week_0]]+C9</f>
        <v>1.116049775374699</v>
      </c>
      <c r="D27" s="24">
        <f>D9+Table2[[#This Row],[cum_week_1]]</f>
        <v>1.1562835447063891</v>
      </c>
      <c r="E27" s="24">
        <f>E9+Table2[[#This Row],[cum_week_2]]</f>
        <v>1.1864986283942194</v>
      </c>
      <c r="F27" s="24">
        <f>F9+Table2[[#This Row],[cum_week_3]]</f>
        <v>1.2273287480618533</v>
      </c>
      <c r="G27" s="24">
        <f>G9+Table2[[#This Row],[cum_week_4]]</f>
        <v>1.2571462648590543</v>
      </c>
      <c r="H27" s="11">
        <f>H9+Table2[[#This Row],[cum_week_5]]</f>
        <v>1.2575438317496836</v>
      </c>
      <c r="I27" s="24"/>
      <c r="J27" s="24"/>
      <c r="K27" s="24"/>
      <c r="L27" s="24"/>
      <c r="M27" s="24"/>
      <c r="N27" s="24"/>
    </row>
    <row r="28" spans="1:15" x14ac:dyDescent="0.3">
      <c r="A28" s="6">
        <v>44185</v>
      </c>
      <c r="B28" s="15">
        <v>0.36870443073471598</v>
      </c>
      <c r="C28" s="25">
        <f>Table2[[#This Row],[cum_week_0]]+C10</f>
        <v>0.4225462703309022</v>
      </c>
      <c r="D28" s="25">
        <f>D10+Table2[[#This Row],[cum_week_1]]</f>
        <v>0.44346606842400371</v>
      </c>
      <c r="E28" s="25">
        <f>E10+Table2[[#This Row],[cum_week_2]]</f>
        <v>0.46674144699943831</v>
      </c>
      <c r="F28" s="25">
        <f>F10+Table2[[#This Row],[cum_week_3]]</f>
        <v>0.484744812114413</v>
      </c>
      <c r="G28" s="25">
        <f>G10+Table2[[#This Row],[cum_week_4]]</f>
        <v>0.49282108805384095</v>
      </c>
      <c r="H28" s="25"/>
      <c r="I28" s="25"/>
      <c r="J28" s="25"/>
      <c r="K28" s="25"/>
      <c r="L28" s="25"/>
      <c r="M28" s="25"/>
      <c r="N28" s="26"/>
    </row>
    <row r="29" spans="1:15" x14ac:dyDescent="0.3">
      <c r="A29" s="7">
        <v>44192</v>
      </c>
      <c r="B29" s="11">
        <v>0.33907733236592202</v>
      </c>
      <c r="C29" s="24">
        <f>Table2[[#This Row],[cum_week_0]]+C11</f>
        <v>0.38992683959126812</v>
      </c>
      <c r="D29" s="24">
        <f>D11+Table2[[#This Row],[cum_week_1]]</f>
        <v>0.39446157566962836</v>
      </c>
      <c r="E29" s="24">
        <f>E11+Table2[[#This Row],[cum_week_2]]</f>
        <v>0.41483765644839365</v>
      </c>
      <c r="F29" s="24">
        <f>F11+Table2[[#This Row],[cum_week_3]]</f>
        <v>0.42082350807182917</v>
      </c>
      <c r="G29" s="24"/>
      <c r="H29" s="24"/>
      <c r="I29" s="24"/>
      <c r="J29" s="24"/>
      <c r="K29" s="24"/>
      <c r="L29" s="24"/>
      <c r="M29" s="24"/>
      <c r="N29" s="27"/>
    </row>
    <row r="30" spans="1:15" x14ac:dyDescent="0.3">
      <c r="A30" s="7">
        <v>44199</v>
      </c>
      <c r="B30" s="11">
        <v>0.22837446210591</v>
      </c>
      <c r="C30" s="24">
        <f>Table2[[#This Row],[cum_week_0]]+C12</f>
        <v>0.29265829454641229</v>
      </c>
      <c r="D30" s="24">
        <f>D12+Table2[[#This Row],[cum_week_1]]</f>
        <v>0.32005796083252797</v>
      </c>
      <c r="E30" s="24">
        <f>E12+Table2[[#This Row],[cum_week_2]]</f>
        <v>0.32480021076666338</v>
      </c>
      <c r="F30" s="24"/>
      <c r="G30" s="24"/>
      <c r="H30" s="24"/>
      <c r="I30" s="24"/>
      <c r="J30" s="24"/>
      <c r="K30" s="24"/>
      <c r="L30" s="24"/>
      <c r="M30" s="24"/>
      <c r="N30" s="27"/>
    </row>
    <row r="31" spans="1:15" ht="15" thickBot="1" x14ac:dyDescent="0.35">
      <c r="A31" s="8">
        <v>44206</v>
      </c>
      <c r="B31" s="13">
        <v>0.39940331903785098</v>
      </c>
      <c r="C31" s="28">
        <f>Table2[[#This Row],[cum_week_0]]+C13</f>
        <v>0.45790602274846071</v>
      </c>
      <c r="D31" s="28">
        <f>D13+Table2[[#This Row],[cum_week_1]]</f>
        <v>0.47035241469326772</v>
      </c>
      <c r="E31" s="28"/>
      <c r="F31" s="28"/>
      <c r="G31" s="28"/>
      <c r="H31" s="28"/>
      <c r="I31" s="28"/>
      <c r="J31" s="28"/>
      <c r="K31" s="28"/>
      <c r="L31" s="28"/>
      <c r="M31" s="28"/>
      <c r="N31" s="29"/>
    </row>
    <row r="32" spans="1:15" x14ac:dyDescent="0.3">
      <c r="A32" s="1">
        <v>44213</v>
      </c>
      <c r="B32" s="11">
        <v>0.90318544894620301</v>
      </c>
      <c r="C32" s="24">
        <f>Table2[[#This Row],[cum_week_0]]+C14</f>
        <v>1.025214127610431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 ht="15" thickBot="1" x14ac:dyDescent="0.35">
      <c r="A33" s="5">
        <v>44220</v>
      </c>
      <c r="B33" s="13">
        <v>0.19212678936605301</v>
      </c>
      <c r="C33" s="11"/>
      <c r="D33" s="14"/>
      <c r="E33" s="11"/>
      <c r="F33" s="11"/>
      <c r="G33" s="11"/>
      <c r="H33" s="11"/>
      <c r="I33" s="11"/>
      <c r="J33" s="11"/>
      <c r="K33" s="11"/>
      <c r="L33" s="11"/>
      <c r="M33" s="14"/>
      <c r="N33" s="14"/>
    </row>
    <row r="34" spans="1:14" ht="15" thickBot="1" x14ac:dyDescent="0.35">
      <c r="A34" s="4" t="s">
        <v>29</v>
      </c>
      <c r="B34" s="10">
        <f>AVERAGE(Table2[cum_week_0])</f>
        <v>0.85538572926058221</v>
      </c>
      <c r="C34" s="10">
        <f>AVERAGE(Table2[cum_week_1])</f>
        <v>1.109866169138831</v>
      </c>
      <c r="D34" s="10">
        <f>AVERAGE(Table2[cum_week_2])</f>
        <v>1.2469065934099841</v>
      </c>
      <c r="E34" s="10">
        <f>AVERAGE(Table2[cum_week_3])</f>
        <v>1.4244630395207123</v>
      </c>
      <c r="F34" s="10">
        <f>AVERAGE(Table2[cum_week_4])</f>
        <v>1.6287179709824084</v>
      </c>
      <c r="G34" s="10">
        <f>AVERAGE(Table2[cum_week_5])</f>
        <v>1.8276435348391051</v>
      </c>
      <c r="H34" s="10">
        <f>AVERAGE(Table2[cum_week_6])</f>
        <v>2.0570163348390031</v>
      </c>
      <c r="I34" s="10">
        <f>AVERAGE(Table2[cum_week_7])</f>
        <v>2.213787609195049</v>
      </c>
      <c r="J34" s="10">
        <f>AVERAGE(Table2[cum_week_8])</f>
        <v>2.3258401605036312</v>
      </c>
      <c r="K34" s="10">
        <f>AVERAGE(Table2[cum_week_9])</f>
        <v>2.4082123537114795</v>
      </c>
      <c r="L34" s="10">
        <f>AVERAGE(Table2[cum_week_10])</f>
        <v>2.4541564688822426</v>
      </c>
      <c r="M34" s="10">
        <f>AVERAGE(Table2[cum_week_11])</f>
        <v>2.4989911020259008</v>
      </c>
      <c r="N34" s="10">
        <f>AVERAGE(Table2[cum_week_12])</f>
        <v>2.3745891025002468</v>
      </c>
    </row>
    <row r="35" spans="1:14" x14ac:dyDescent="0.3">
      <c r="A35" s="3" t="s">
        <v>30</v>
      </c>
      <c r="B35" s="3"/>
      <c r="C35" s="22">
        <f>(Table2[[#Totals],[cum_week_1]]-Table2[[#Totals],[cum_week_0]])/Table2[[#Totals],[cum_week_1]]</f>
        <v>0.22928930257934216</v>
      </c>
      <c r="D35" s="22">
        <f>(Table2[[#Totals],[cum_week_2]]-Table2[[#Totals],[cum_week_1]])/Table2[[#Totals],[cum_week_2]]</f>
        <v>0.1099043224211215</v>
      </c>
      <c r="E35" s="22">
        <f>(Table2[[#Totals],[cum_week_3]]-Table2[[#Totals],[cum_week_2]])/Table2[[#Totals],[cum_week_3]]</f>
        <v>0.12464798396627436</v>
      </c>
      <c r="F35" s="22">
        <f>(Table2[[#Totals],[cum_week_4]]-Table2[[#Totals],[cum_week_3]])/Table2[[#Totals],[cum_week_4]]</f>
        <v>0.12540841023476512</v>
      </c>
      <c r="G35" s="22">
        <f>(Table2[[#Totals],[cum_week_5]]-Table2[[#Totals],[cum_week_4]])/Table2[[#Totals],[cum_week_5]]</f>
        <v>0.10884264905312015</v>
      </c>
      <c r="H35" s="22">
        <f>(Table2[[#Totals],[cum_week_6]]-Table2[[#Totals],[cum_week_5]])/Table2[[#Totals],[cum_week_6]]</f>
        <v>0.1115075248140168</v>
      </c>
      <c r="I35" s="22">
        <f>(Table2[[#Totals],[cum_week_7]]-Table2[[#Totals],[cum_week_6]])/Table2[[#Totals],[cum_week_7]]</f>
        <v>7.0815860430734442E-2</v>
      </c>
      <c r="J35" s="22">
        <f>(Table2[[#Totals],[cum_week_8]]-Table2[[#Totals],[cum_week_7]])/Table2[[#Totals],[cum_week_8]]</f>
        <v>4.8177236428972231E-2</v>
      </c>
      <c r="K35" s="22">
        <f>(Table2[[#Totals],[cum_week_9]]-Table2[[#Totals],[cum_week_8]])/Table2[[#Totals],[cum_week_9]]</f>
        <v>3.42047050298111E-2</v>
      </c>
      <c r="L35" s="22">
        <f>(Table2[[#Totals],[cum_week_10]]-Table2[[#Totals],[cum_week_9]])/Table2[[#Totals],[cum_week_10]]</f>
        <v>1.8720939660252633E-2</v>
      </c>
      <c r="M35" s="22">
        <f>(Table2[[#Totals],[cum_week_11]]-Table2[[#Totals],[cum_week_10]])/Table2[[#Totals],[cum_week_11]]</f>
        <v>1.7941093550637829E-2</v>
      </c>
      <c r="N35" s="22">
        <f>(Table2[[#Totals],[cum_week_12]]-Table2[[#Totals],[cum_week_11]])/Table2[[#Totals],[cum_week_12]]</f>
        <v>-5.2388853041845825E-2</v>
      </c>
    </row>
    <row r="36" spans="1:14" hidden="1" x14ac:dyDescent="0.3">
      <c r="C36" s="12">
        <v>0.17000380600888126</v>
      </c>
      <c r="D36" s="12">
        <v>0.15382832662074822</v>
      </c>
      <c r="E36" s="12">
        <v>0.12680913596822485</v>
      </c>
      <c r="F36" s="12">
        <v>0.12766785103388512</v>
      </c>
      <c r="G36" s="12">
        <v>0.10809202176747572</v>
      </c>
      <c r="H36" s="12">
        <v>0.11103414424609401</v>
      </c>
      <c r="I36" s="12">
        <v>1.0942560442800359E-2</v>
      </c>
      <c r="J36" s="12">
        <v>5.8143333287940864E-2</v>
      </c>
      <c r="K36" s="12">
        <v>2.4570123969396068E-3</v>
      </c>
      <c r="L36" s="12">
        <v>-1.0534720790086611E-3</v>
      </c>
      <c r="M36" s="12">
        <v>3.7984988668793925E-3</v>
      </c>
      <c r="N36" s="12">
        <v>7.8257694294722166E-2</v>
      </c>
    </row>
    <row r="37" spans="1:14" x14ac:dyDescent="0.3">
      <c r="B37" s="2"/>
      <c r="C37" s="2"/>
      <c r="D37" s="2"/>
      <c r="E37" s="2"/>
      <c r="F37" s="2"/>
    </row>
    <row r="39" spans="1:14" x14ac:dyDescent="0.3">
      <c r="F39" t="s">
        <v>31</v>
      </c>
    </row>
    <row r="40" spans="1:14" x14ac:dyDescent="0.3">
      <c r="A40" t="s">
        <v>0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21</v>
      </c>
      <c r="I40" t="s">
        <v>22</v>
      </c>
      <c r="J40" t="s">
        <v>23</v>
      </c>
      <c r="K40" t="s">
        <v>24</v>
      </c>
      <c r="L40" t="s">
        <v>25</v>
      </c>
      <c r="M40" t="s">
        <v>26</v>
      </c>
      <c r="N40" t="s">
        <v>27</v>
      </c>
    </row>
    <row r="41" spans="1:14" x14ac:dyDescent="0.3">
      <c r="A41" s="1">
        <v>44136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>
        <v>2.3745891025002468</v>
      </c>
    </row>
    <row r="42" spans="1:14" x14ac:dyDescent="0.3">
      <c r="A42" s="1">
        <v>44143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>
        <f>M22*(1+N35)</f>
        <v>2.5031832651103789</v>
      </c>
    </row>
    <row r="43" spans="1:14" x14ac:dyDescent="0.3">
      <c r="A43" s="1">
        <v>44150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>
        <f>L23*(1+M35)</f>
        <v>2.4430015810307135</v>
      </c>
      <c r="N43" s="11">
        <f>Table4[[#This Row],[cum_week_11]]*(1+N35)</f>
        <v>2.3150155302210984</v>
      </c>
    </row>
    <row r="44" spans="1:14" x14ac:dyDescent="0.3">
      <c r="A44" s="1">
        <v>44157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>
        <f>K24*(1+L35)</f>
        <v>2.3771365736676682</v>
      </c>
      <c r="M44" s="11">
        <f>L44*(1+M35)</f>
        <v>2.4197850033184825</v>
      </c>
      <c r="N44" s="11">
        <f>M44*(1+N35)</f>
        <v>2.293015242386768</v>
      </c>
    </row>
    <row r="45" spans="1:14" x14ac:dyDescent="0.3">
      <c r="A45" s="1">
        <v>44164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f>J25*(1+K35)</f>
        <v>2.1016585904723306</v>
      </c>
      <c r="L45" s="11">
        <f>K45*(1+L35)</f>
        <v>2.1410036141310145</v>
      </c>
      <c r="M45" s="11">
        <f t="shared" ref="M45:N45" si="1">L45*(1+M35)</f>
        <v>2.1794155602643928</v>
      </c>
      <c r="N45" s="11">
        <f t="shared" si="1"/>
        <v>2.0652384787605893</v>
      </c>
    </row>
    <row r="46" spans="1:14" x14ac:dyDescent="0.3">
      <c r="A46" s="1">
        <v>44171</v>
      </c>
      <c r="B46" s="11"/>
      <c r="C46" s="11"/>
      <c r="D46" s="11"/>
      <c r="E46" s="11"/>
      <c r="F46" s="11"/>
      <c r="G46" s="11"/>
      <c r="H46" s="11"/>
      <c r="I46" s="11"/>
      <c r="J46" s="11">
        <f>I26*(1+J35)</f>
        <v>1.8052667405566873</v>
      </c>
      <c r="K46" s="11">
        <f>J46*(1+K35)</f>
        <v>1.8670153569175574</v>
      </c>
      <c r="L46" s="11">
        <f t="shared" ref="L46:N46" si="2">K46*(1+L35)</f>
        <v>1.901967638759176</v>
      </c>
      <c r="M46" s="11">
        <f t="shared" si="2"/>
        <v>1.9360910180964401</v>
      </c>
      <c r="N46" s="11">
        <f t="shared" si="2"/>
        <v>1.8346614302737481</v>
      </c>
    </row>
    <row r="47" spans="1:14" ht="15" thickBot="1" x14ac:dyDescent="0.35">
      <c r="A47" s="1">
        <v>44178</v>
      </c>
      <c r="B47" s="11"/>
      <c r="C47" s="11"/>
      <c r="D47" s="11"/>
      <c r="E47" s="11"/>
      <c r="F47" s="11"/>
      <c r="G47" s="11"/>
      <c r="H47" s="11"/>
      <c r="I47" s="11">
        <f>H27*(1+I35)</f>
        <v>1.3465978802244003</v>
      </c>
      <c r="J47" s="11">
        <f>I47*(1+J35)</f>
        <v>1.4114732446747242</v>
      </c>
      <c r="K47" s="11">
        <f t="shared" ref="K47:N47" si="3">J47*(1+K35)</f>
        <v>1.4597522706662935</v>
      </c>
      <c r="L47" s="11">
        <f t="shared" si="3"/>
        <v>1.4870802048443539</v>
      </c>
      <c r="M47" s="11">
        <f t="shared" si="3"/>
        <v>1.5137600499167683</v>
      </c>
      <c r="N47" s="11">
        <f t="shared" si="3"/>
        <v>1.4344558971210615</v>
      </c>
    </row>
    <row r="48" spans="1:14" x14ac:dyDescent="0.3">
      <c r="A48" s="6">
        <v>44185</v>
      </c>
      <c r="B48" s="15"/>
      <c r="C48" s="15"/>
      <c r="D48" s="15"/>
      <c r="E48" s="15"/>
      <c r="F48" s="15"/>
      <c r="G48" s="15"/>
      <c r="H48" s="15">
        <f>G28*(1+H35)</f>
        <v>0.54777434775887535</v>
      </c>
      <c r="I48" s="15">
        <f>H48*(1+I35)</f>
        <v>0.58656545951730454</v>
      </c>
      <c r="J48" s="15">
        <f t="shared" ref="J48:N48" si="4">I48*(1+J35)</f>
        <v>0.61482456234153848</v>
      </c>
      <c r="K48" s="15">
        <f t="shared" si="4"/>
        <v>0.63585445514151351</v>
      </c>
      <c r="L48" s="15">
        <f t="shared" si="4"/>
        <v>0.64775824802892057</v>
      </c>
      <c r="M48" s="15">
        <f t="shared" si="4"/>
        <v>0.65937973935500471</v>
      </c>
      <c r="N48" s="15">
        <f t="shared" si="4"/>
        <v>0.62483559109116482</v>
      </c>
    </row>
    <row r="49" spans="1:14" x14ac:dyDescent="0.3">
      <c r="A49" s="7">
        <v>44192</v>
      </c>
      <c r="B49" s="11"/>
      <c r="C49" s="11"/>
      <c r="D49" s="11"/>
      <c r="E49" s="11"/>
      <c r="F49" s="11"/>
      <c r="G49" s="11">
        <f>F29*(1+G35)</f>
        <v>0.4666270534741942</v>
      </c>
      <c r="H49" s="11">
        <f>G49*(1+H35)</f>
        <v>0.51865948121835936</v>
      </c>
      <c r="I49" s="11">
        <f t="shared" ref="I49:N49" si="5">H49*(1+I35)</f>
        <v>0.5553887986513959</v>
      </c>
      <c r="J49" s="11">
        <f t="shared" si="5"/>
        <v>0.58214589611402712</v>
      </c>
      <c r="K49" s="11">
        <f t="shared" si="5"/>
        <v>0.60205802477492243</v>
      </c>
      <c r="L49" s="11">
        <f t="shared" si="5"/>
        <v>0.6133291167287046</v>
      </c>
      <c r="M49" s="11">
        <f t="shared" si="5"/>
        <v>0.62433291178926442</v>
      </c>
      <c r="N49" s="11">
        <f t="shared" si="5"/>
        <v>0.59162482662434901</v>
      </c>
    </row>
    <row r="50" spans="1:14" ht="15" thickBot="1" x14ac:dyDescent="0.35">
      <c r="A50" s="8">
        <v>44199</v>
      </c>
      <c r="B50" s="13"/>
      <c r="C50" s="13"/>
      <c r="D50" s="13"/>
      <c r="E50" s="13"/>
      <c r="F50" s="13">
        <f>E30*(1+F35)</f>
        <v>0.36553288884282725</v>
      </c>
      <c r="G50" s="13">
        <f>F50*(1+G35)</f>
        <v>0.40531845678052031</v>
      </c>
      <c r="H50" s="13">
        <f>G50*(1+H35)</f>
        <v>0.45051451465755316</v>
      </c>
      <c r="I50" s="13">
        <f t="shared" ref="I50:N50" si="6">H50*(1+I35)</f>
        <v>0.48241808764956251</v>
      </c>
      <c r="J50" s="13">
        <f t="shared" si="6"/>
        <v>0.5056596579158682</v>
      </c>
      <c r="K50" s="13">
        <f t="shared" si="6"/>
        <v>0.52295559736035568</v>
      </c>
      <c r="L50" s="13">
        <f t="shared" si="6"/>
        <v>0.53274581754353023</v>
      </c>
      <c r="M50" s="13">
        <f t="shared" si="6"/>
        <v>0.54230386009478981</v>
      </c>
      <c r="N50" s="13">
        <f t="shared" si="6"/>
        <v>0.51389318286425811</v>
      </c>
    </row>
    <row r="51" spans="1:14" x14ac:dyDescent="0.3">
      <c r="A51" s="1">
        <v>44206</v>
      </c>
      <c r="B51" s="11"/>
      <c r="C51" s="11"/>
      <c r="D51" s="11"/>
      <c r="E51" s="11">
        <f>D31*(1+E35)</f>
        <v>0.52898089493845257</v>
      </c>
      <c r="F51" s="11">
        <f t="shared" ref="F51:N51" si="7">E51*(1+F35)</f>
        <v>0.59531954801724718</v>
      </c>
      <c r="G51" s="11">
        <f t="shared" si="7"/>
        <v>0.66011570465655056</v>
      </c>
      <c r="H51" s="11">
        <f t="shared" si="7"/>
        <v>0.73372357297366297</v>
      </c>
      <c r="I51" s="11">
        <f t="shared" si="7"/>
        <v>0.78568283911210579</v>
      </c>
      <c r="J51" s="11">
        <f t="shared" si="7"/>
        <v>0.82353486701019596</v>
      </c>
      <c r="K51" s="11">
        <f t="shared" si="7"/>
        <v>0.8517036342180444</v>
      </c>
      <c r="L51" s="11">
        <f t="shared" si="7"/>
        <v>0.86764832656265822</v>
      </c>
      <c r="M51" s="11">
        <f t="shared" si="7"/>
        <v>0.88321488635857326</v>
      </c>
      <c r="N51" s="11">
        <f t="shared" si="7"/>
        <v>0.8369442714727634</v>
      </c>
    </row>
    <row r="52" spans="1:14" x14ac:dyDescent="0.3">
      <c r="A52" s="1">
        <v>44213</v>
      </c>
      <c r="B52" s="11"/>
      <c r="C52" s="11"/>
      <c r="D52" s="11">
        <f>C32*(1+D35)</f>
        <v>1.1378895916420166</v>
      </c>
      <c r="E52" s="11">
        <f t="shared" ref="E52:N52" si="8">D52*(1+E35)</f>
        <v>1.2797252352164012</v>
      </c>
      <c r="F52" s="11">
        <f t="shared" si="8"/>
        <v>1.4402135425022009</v>
      </c>
      <c r="G52" s="11">
        <f t="shared" si="8"/>
        <v>1.5969701996703189</v>
      </c>
      <c r="H52" s="11">
        <f t="shared" si="8"/>
        <v>1.7750443938373022</v>
      </c>
      <c r="I52" s="11">
        <f t="shared" si="8"/>
        <v>1.9007456898896422</v>
      </c>
      <c r="J52" s="11">
        <f t="shared" si="8"/>
        <v>1.9923183643828055</v>
      </c>
      <c r="K52" s="11">
        <f t="shared" si="8"/>
        <v>2.060465026361995</v>
      </c>
      <c r="L52" s="11">
        <f t="shared" si="8"/>
        <v>2.0990388677925789</v>
      </c>
      <c r="M52" s="11">
        <f t="shared" si="8"/>
        <v>2.1366979204860708</v>
      </c>
      <c r="N52" s="11">
        <f t="shared" si="8"/>
        <v>2.0247587671349083</v>
      </c>
    </row>
    <row r="53" spans="1:14" ht="15" thickBot="1" x14ac:dyDescent="0.35">
      <c r="A53" s="5">
        <v>44220</v>
      </c>
      <c r="B53" s="13">
        <v>0.19212678936605301</v>
      </c>
      <c r="C53" s="13">
        <f>Table4[[#This Row],[cum_week_0]]*(1+C35)</f>
        <v>0.23617940690660347</v>
      </c>
      <c r="D53" s="13">
        <f t="shared" ref="D53:L53" si="9">C53*(1+D35)</f>
        <v>0.26213654459249608</v>
      </c>
      <c r="E53" s="13">
        <f t="shared" si="9"/>
        <v>0.29481133639983609</v>
      </c>
      <c r="F53" s="13">
        <f t="shared" si="9"/>
        <v>0.33178315741692604</v>
      </c>
      <c r="G53" s="13">
        <f t="shared" si="9"/>
        <v>0.36789531518139268</v>
      </c>
      <c r="H53" s="13">
        <f t="shared" si="9"/>
        <v>0.40891841116794231</v>
      </c>
      <c r="I53" s="13">
        <f t="shared" si="9"/>
        <v>0.43787632030076901</v>
      </c>
      <c r="J53" s="13">
        <f t="shared" si="9"/>
        <v>0.45897199131054756</v>
      </c>
      <c r="K53" s="13">
        <f t="shared" si="9"/>
        <v>0.47467099289026987</v>
      </c>
      <c r="L53" s="13">
        <f t="shared" si="9"/>
        <v>0.48355727990664077</v>
      </c>
      <c r="M53" s="13">
        <f>L53*(1+M36)</f>
        <v>0.48539407168643739</v>
      </c>
      <c r="N53" s="13">
        <f>M53*(1+N35)</f>
        <v>0.45996483299747343</v>
      </c>
    </row>
    <row r="54" spans="1:14" ht="15" thickBot="1" x14ac:dyDescent="0.35">
      <c r="A54" s="21" t="s">
        <v>29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>
        <f>AVERAGE(N41:N53)</f>
        <v>1.5286292629660625</v>
      </c>
    </row>
    <row r="61" spans="1:14" x14ac:dyDescent="0.3">
      <c r="G61" s="9"/>
    </row>
  </sheetData>
  <phoneticPr fontId="3" type="noConversion"/>
  <conditionalFormatting sqref="A10:A13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{0857DA60-D3C0-401D-A900-615E03239D20}</x14:id>
        </ext>
      </extLst>
    </cfRule>
  </conditionalFormatting>
  <conditionalFormatting sqref="A28:A30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{E3F6757E-C5D9-4678-8611-3F4EBD89B4C0}</x14:id>
        </ext>
      </extLst>
    </cfRule>
  </conditionalFormatting>
  <conditionalFormatting sqref="A3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{582F9C5F-15DB-4E6D-818E-C86AC81AD3DB}</x14:id>
        </ext>
      </extLst>
    </cfRule>
  </conditionalFormatting>
  <conditionalFormatting sqref="B21:B33">
    <cfRule type="colorScale" priority="12">
      <colorScale>
        <cfvo type="min"/>
        <cfvo type="percentile" val="50"/>
        <cfvo type="max"/>
        <color rgb="FFFF0000"/>
        <color rgb="FFFCFCFF"/>
        <color rgb="FF00B050"/>
      </colorScale>
    </cfRule>
  </conditionalFormatting>
  <conditionalFormatting sqref="B41:M41 B42:N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N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N3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N53 B41:M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N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N21 B21:B33 C33 E33:L33 H22:H27 I2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N21 C33:N33 H22:H27 I26">
    <cfRule type="colorScale" priority="15">
      <colorScale>
        <cfvo type="min"/>
        <cfvo type="percentile" val="50"/>
        <cfvo type="max"/>
        <color rgb="FFFF0000"/>
        <color rgb="FFFCFCFF"/>
        <color rgb="FF00B050"/>
      </colorScale>
    </cfRule>
  </conditionalFormatting>
  <conditionalFormatting sqref="D33:N3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M35">
    <cfRule type="colorScale" priority="40">
      <colorScale>
        <cfvo type="min"/>
        <cfvo type="max"/>
        <color rgb="FFF8696B"/>
        <color rgb="FFFCFCFF"/>
      </colorScale>
    </cfRule>
  </conditionalFormatting>
  <conditionalFormatting sqref="N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F0000"/>
        <color rgb="FFFCFCFF"/>
        <color rgb="FF00B05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57DA60-D3C0-401D-A900-615E03239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A10:A13</xm:sqref>
        </x14:conditionalFormatting>
        <x14:conditionalFormatting xmlns:xm="http://schemas.microsoft.com/office/excel/2006/main">
          <x14:cfRule type="dataBar" id="{E3F6757E-C5D9-4678-8611-3F4EBD89B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A28:A30</xm:sqref>
        </x14:conditionalFormatting>
        <x14:conditionalFormatting xmlns:xm="http://schemas.microsoft.com/office/excel/2006/main">
          <x14:cfRule type="dataBar" id="{582F9C5F-15DB-4E6D-818E-C86AC81AD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7E7C-1381-4011-94C5-9051BCA5AEC0}">
  <dimension ref="A1:A69"/>
  <sheetViews>
    <sheetView workbookViewId="0">
      <selection activeCell="I14" sqref="I14"/>
    </sheetView>
  </sheetViews>
  <sheetFormatPr defaultRowHeight="14.4" x14ac:dyDescent="0.3"/>
  <sheetData>
    <row r="1" spans="1:1" x14ac:dyDescent="0.3">
      <c r="A1" t="s">
        <v>33</v>
      </c>
    </row>
    <row r="2" spans="1:1" x14ac:dyDescent="0.3">
      <c r="A2" t="s">
        <v>34</v>
      </c>
    </row>
    <row r="3" spans="1:1" x14ac:dyDescent="0.3">
      <c r="A3" t="s">
        <v>35</v>
      </c>
    </row>
    <row r="4" spans="1:1" x14ac:dyDescent="0.3">
      <c r="A4" t="s">
        <v>36</v>
      </c>
    </row>
    <row r="5" spans="1:1" x14ac:dyDescent="0.3">
      <c r="A5" t="s">
        <v>37</v>
      </c>
    </row>
    <row r="6" spans="1:1" x14ac:dyDescent="0.3">
      <c r="A6" t="s">
        <v>38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  <row r="17" spans="1:1" x14ac:dyDescent="0.3">
      <c r="A17" t="s">
        <v>49</v>
      </c>
    </row>
    <row r="18" spans="1:1" x14ac:dyDescent="0.3">
      <c r="A18" t="s">
        <v>50</v>
      </c>
    </row>
    <row r="19" spans="1:1" x14ac:dyDescent="0.3">
      <c r="A19" t="s">
        <v>51</v>
      </c>
    </row>
    <row r="20" spans="1:1" x14ac:dyDescent="0.3">
      <c r="A20" t="s">
        <v>52</v>
      </c>
    </row>
    <row r="21" spans="1:1" x14ac:dyDescent="0.3">
      <c r="A21" t="s">
        <v>53</v>
      </c>
    </row>
    <row r="22" spans="1:1" x14ac:dyDescent="0.3">
      <c r="A22" t="s">
        <v>54</v>
      </c>
    </row>
    <row r="23" spans="1:1" x14ac:dyDescent="0.3">
      <c r="A23" t="s">
        <v>37</v>
      </c>
    </row>
    <row r="24" spans="1:1" x14ac:dyDescent="0.3">
      <c r="A24" t="s">
        <v>55</v>
      </c>
    </row>
    <row r="25" spans="1:1" x14ac:dyDescent="0.3">
      <c r="A25" t="s">
        <v>56</v>
      </c>
    </row>
    <row r="26" spans="1:1" x14ac:dyDescent="0.3">
      <c r="A26" t="s">
        <v>57</v>
      </c>
    </row>
    <row r="27" spans="1:1" x14ac:dyDescent="0.3">
      <c r="A27" t="s">
        <v>58</v>
      </c>
    </row>
    <row r="28" spans="1:1" x14ac:dyDescent="0.3">
      <c r="A28" t="s">
        <v>59</v>
      </c>
    </row>
    <row r="29" spans="1:1" x14ac:dyDescent="0.3">
      <c r="A29" t="s">
        <v>47</v>
      </c>
    </row>
    <row r="30" spans="1:1" x14ac:dyDescent="0.3">
      <c r="A30" t="s">
        <v>60</v>
      </c>
    </row>
    <row r="31" spans="1:1" x14ac:dyDescent="0.3">
      <c r="A31" t="s">
        <v>61</v>
      </c>
    </row>
    <row r="32" spans="1:1" x14ac:dyDescent="0.3">
      <c r="A32" t="s">
        <v>49</v>
      </c>
    </row>
    <row r="33" spans="1:1" x14ac:dyDescent="0.3">
      <c r="A33" t="s">
        <v>62</v>
      </c>
    </row>
    <row r="34" spans="1:1" x14ac:dyDescent="0.3">
      <c r="A34" t="s">
        <v>63</v>
      </c>
    </row>
    <row r="35" spans="1:1" x14ac:dyDescent="0.3">
      <c r="A35" t="s">
        <v>51</v>
      </c>
    </row>
    <row r="36" spans="1:1" x14ac:dyDescent="0.3">
      <c r="A36" t="s">
        <v>64</v>
      </c>
    </row>
    <row r="37" spans="1:1" x14ac:dyDescent="0.3">
      <c r="A37" t="s">
        <v>65</v>
      </c>
    </row>
    <row r="38" spans="1:1" x14ac:dyDescent="0.3">
      <c r="A38" t="s">
        <v>66</v>
      </c>
    </row>
    <row r="39" spans="1:1" x14ac:dyDescent="0.3">
      <c r="A39" t="s">
        <v>67</v>
      </c>
    </row>
    <row r="40" spans="1:1" x14ac:dyDescent="0.3">
      <c r="A40" t="s">
        <v>68</v>
      </c>
    </row>
    <row r="41" spans="1:1" x14ac:dyDescent="0.3">
      <c r="A41" t="s">
        <v>69</v>
      </c>
    </row>
    <row r="42" spans="1:1" x14ac:dyDescent="0.3">
      <c r="A42" t="s">
        <v>70</v>
      </c>
    </row>
    <row r="43" spans="1:1" x14ac:dyDescent="0.3">
      <c r="A43" t="s">
        <v>71</v>
      </c>
    </row>
    <row r="44" spans="1:1" x14ac:dyDescent="0.3">
      <c r="A44" t="s">
        <v>72</v>
      </c>
    </row>
    <row r="45" spans="1:1" x14ac:dyDescent="0.3">
      <c r="A45" t="s">
        <v>73</v>
      </c>
    </row>
    <row r="46" spans="1:1" x14ac:dyDescent="0.3">
      <c r="A46" t="s">
        <v>74</v>
      </c>
    </row>
    <row r="47" spans="1:1" x14ac:dyDescent="0.3">
      <c r="A47" t="s">
        <v>75</v>
      </c>
    </row>
    <row r="49" spans="1:1" x14ac:dyDescent="0.3">
      <c r="A49" t="s">
        <v>76</v>
      </c>
    </row>
    <row r="51" spans="1:1" x14ac:dyDescent="0.3">
      <c r="A51" t="s">
        <v>77</v>
      </c>
    </row>
    <row r="52" spans="1:1" x14ac:dyDescent="0.3">
      <c r="A52" t="s">
        <v>78</v>
      </c>
    </row>
    <row r="53" spans="1:1" x14ac:dyDescent="0.3">
      <c r="A53" t="s">
        <v>79</v>
      </c>
    </row>
    <row r="54" spans="1:1" x14ac:dyDescent="0.3">
      <c r="A54" t="s">
        <v>80</v>
      </c>
    </row>
    <row r="55" spans="1:1" x14ac:dyDescent="0.3">
      <c r="A55" t="s">
        <v>81</v>
      </c>
    </row>
    <row r="56" spans="1:1" x14ac:dyDescent="0.3">
      <c r="A56" t="s">
        <v>82</v>
      </c>
    </row>
    <row r="57" spans="1:1" x14ac:dyDescent="0.3">
      <c r="A57" t="s">
        <v>83</v>
      </c>
    </row>
    <row r="58" spans="1:1" x14ac:dyDescent="0.3">
      <c r="A58" t="s">
        <v>84</v>
      </c>
    </row>
    <row r="59" spans="1:1" x14ac:dyDescent="0.3">
      <c r="A59" t="s">
        <v>85</v>
      </c>
    </row>
    <row r="60" spans="1:1" x14ac:dyDescent="0.3">
      <c r="A60" t="s">
        <v>86</v>
      </c>
    </row>
    <row r="61" spans="1:1" x14ac:dyDescent="0.3">
      <c r="A61" t="s">
        <v>87</v>
      </c>
    </row>
    <row r="62" spans="1:1" x14ac:dyDescent="0.3">
      <c r="A62" t="s">
        <v>88</v>
      </c>
    </row>
    <row r="63" spans="1:1" x14ac:dyDescent="0.3">
      <c r="A63" t="s">
        <v>89</v>
      </c>
    </row>
    <row r="64" spans="1:1" x14ac:dyDescent="0.3">
      <c r="A64" t="s">
        <v>90</v>
      </c>
    </row>
    <row r="65" spans="1:1" x14ac:dyDescent="0.3">
      <c r="A65" t="s">
        <v>91</v>
      </c>
    </row>
    <row r="67" spans="1:1" x14ac:dyDescent="0.3">
      <c r="A67" t="s">
        <v>92</v>
      </c>
    </row>
    <row r="68" spans="1:1" x14ac:dyDescent="0.3">
      <c r="A68" t="s">
        <v>93</v>
      </c>
    </row>
    <row r="69" spans="1:1" x14ac:dyDescent="0.3">
      <c r="A69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Giedrė Stukonytė</dc:creator>
  <cp:lastModifiedBy>Giedrė Stukonytė</cp:lastModifiedBy>
  <dcterms:created xsi:type="dcterms:W3CDTF">2025-03-08T19:03:37Z</dcterms:created>
  <dcterms:modified xsi:type="dcterms:W3CDTF">2025-10-27T18:59:39Z</dcterms:modified>
</cp:coreProperties>
</file>