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JM Marquez\Documents\GitHub\ICBS-NRBSL\ERP-ExpressO-Reporting-Package\templates\OTHER-KEY-RATIO\"/>
    </mc:Choice>
  </mc:AlternateContent>
  <bookViews>
    <workbookView xWindow="0" yWindow="0" windowWidth="20490" windowHeight="7755" activeTab="3"/>
  </bookViews>
  <sheets>
    <sheet name="Key Ratios" sheetId="1" r:id="rId1"/>
    <sheet name="FS 02.28.19" sheetId="2" r:id="rId2"/>
    <sheet name="FS 02.28.18" sheetId="3" r:id="rId3"/>
    <sheet name="ICBS-TB-Cutoff" sheetId="4" r:id="rId4"/>
    <sheet name="ICBS-TB-Prevyear" sheetId="6" r:id="rId5"/>
  </sheets>
  <externalReferences>
    <externalReference r:id="rId6"/>
    <externalReference r:id="rId7"/>
  </externalReferences>
  <definedNames>
    <definedName name="_Order1" hidden="1">0</definedName>
    <definedName name="a" localSheetId="0">#REF!</definedName>
    <definedName name="b" localSheetId="0">#REF!</definedName>
    <definedName name="_xlnm.Database" localSheetId="2">#REF!</definedName>
    <definedName name="_xlnm.Database" localSheetId="1">#REF!</definedName>
    <definedName name="_xlnm.Database" localSheetId="4">#REF!</definedName>
    <definedName name="_xlnm.Database" localSheetId="0">#REF!</definedName>
    <definedName name="_xlnm.Database">#REF!</definedName>
    <definedName name="ddfdsfs" localSheetId="4">#REF!</definedName>
    <definedName name="ddfdsfs" localSheetId="0">#REF!</definedName>
    <definedName name="ddfdsfs">#REF!</definedName>
    <definedName name="_xlnm.Print_Area" localSheetId="2">'FS 02.28.18'!$A$1:$N$281</definedName>
    <definedName name="_xlnm.Print_Area" localSheetId="1">'FS 02.28.19'!$A$1:$M$281</definedName>
    <definedName name="_xlnm.Print_Area" localSheetId="0">'Key Ratios'!$A$1:$M$119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K300" i="2" l="1"/>
  <c r="C281" i="2"/>
  <c r="C280" i="2"/>
  <c r="H277" i="2"/>
  <c r="C277" i="2"/>
  <c r="H276" i="2"/>
  <c r="C276" i="2"/>
  <c r="H273" i="2"/>
  <c r="C273" i="2"/>
  <c r="M268" i="2"/>
  <c r="M266" i="2"/>
  <c r="K261" i="2"/>
  <c r="K260" i="2"/>
  <c r="K259" i="2"/>
  <c r="K258" i="2"/>
  <c r="K257" i="2"/>
  <c r="M261" i="2" s="1"/>
  <c r="K253" i="2"/>
  <c r="M254" i="2" s="1"/>
  <c r="K290" i="2" s="1"/>
  <c r="M250" i="2"/>
  <c r="M248" i="2"/>
  <c r="M246" i="2"/>
  <c r="K244" i="2"/>
  <c r="K243" i="2"/>
  <c r="M240" i="2"/>
  <c r="K238" i="2"/>
  <c r="K237" i="2"/>
  <c r="K236" i="2"/>
  <c r="K235" i="2"/>
  <c r="K234" i="2"/>
  <c r="K233" i="2"/>
  <c r="M238" i="2" s="1"/>
  <c r="J230" i="2"/>
  <c r="J229" i="2"/>
  <c r="J228" i="2"/>
  <c r="J227" i="2"/>
  <c r="J226" i="2"/>
  <c r="J225" i="2"/>
  <c r="J223" i="2"/>
  <c r="J222" i="2"/>
  <c r="J221" i="2"/>
  <c r="M214" i="2"/>
  <c r="M213" i="2"/>
  <c r="M211" i="2"/>
  <c r="M210" i="2"/>
  <c r="M209" i="2"/>
  <c r="J284" i="2" s="1"/>
  <c r="K285" i="2" s="1"/>
  <c r="K287" i="2" s="1"/>
  <c r="K208" i="2"/>
  <c r="K207" i="2"/>
  <c r="K205" i="2"/>
  <c r="K204" i="2"/>
  <c r="K203" i="2"/>
  <c r="K202" i="2"/>
  <c r="K201" i="2"/>
  <c r="K200" i="2"/>
  <c r="K199" i="2"/>
  <c r="K198" i="2"/>
  <c r="K197" i="2"/>
  <c r="K196" i="2"/>
  <c r="K195" i="2"/>
  <c r="P144" i="2"/>
  <c r="Q141" i="2"/>
  <c r="P140" i="2"/>
  <c r="Q135" i="2"/>
  <c r="P134" i="2"/>
  <c r="P133" i="2"/>
  <c r="Q131" i="2"/>
  <c r="P130" i="2"/>
  <c r="P129" i="2"/>
  <c r="P131" i="2" s="1"/>
  <c r="K123" i="2"/>
  <c r="K122" i="2"/>
  <c r="M123" i="2" s="1"/>
  <c r="M119" i="2"/>
  <c r="I117" i="2"/>
  <c r="O116" i="2"/>
  <c r="K116" i="2"/>
  <c r="P116" i="2" s="1"/>
  <c r="J116" i="2"/>
  <c r="K115" i="2"/>
  <c r="K106" i="2"/>
  <c r="K105" i="2"/>
  <c r="K104" i="2"/>
  <c r="K103" i="2"/>
  <c r="K102" i="2"/>
  <c r="M99" i="2"/>
  <c r="M98" i="2"/>
  <c r="M97" i="2"/>
  <c r="M96" i="2"/>
  <c r="K94" i="2"/>
  <c r="K93" i="2"/>
  <c r="M90" i="2"/>
  <c r="K88" i="2"/>
  <c r="K87" i="2"/>
  <c r="M88" i="2" s="1"/>
  <c r="K84" i="2"/>
  <c r="K83" i="2"/>
  <c r="K82" i="2"/>
  <c r="K81" i="2"/>
  <c r="K80" i="2"/>
  <c r="K79" i="2"/>
  <c r="J76" i="2"/>
  <c r="I76" i="2"/>
  <c r="K76" i="2" s="1"/>
  <c r="Q5" i="2" s="1"/>
  <c r="J75" i="2"/>
  <c r="I75" i="2"/>
  <c r="K75" i="2" s="1"/>
  <c r="Q4" i="2" s="1"/>
  <c r="J74" i="2"/>
  <c r="I74" i="2"/>
  <c r="K74" i="2" s="1"/>
  <c r="K67" i="2"/>
  <c r="K66" i="2"/>
  <c r="K65" i="2"/>
  <c r="M63" i="2"/>
  <c r="M61" i="2"/>
  <c r="K59" i="2"/>
  <c r="M59" i="2" s="1"/>
  <c r="K58" i="2"/>
  <c r="M56" i="2"/>
  <c r="M55" i="2"/>
  <c r="J52" i="2"/>
  <c r="J51" i="2"/>
  <c r="K49" i="2"/>
  <c r="K48" i="2"/>
  <c r="K47" i="2"/>
  <c r="K50" i="2" s="1"/>
  <c r="J44" i="2"/>
  <c r="I44" i="2"/>
  <c r="K44" i="2" s="1"/>
  <c r="J43" i="2"/>
  <c r="I43" i="2"/>
  <c r="K43" i="2" s="1"/>
  <c r="J42" i="2"/>
  <c r="I42" i="2"/>
  <c r="K42" i="2" s="1"/>
  <c r="J41" i="2"/>
  <c r="I41" i="2"/>
  <c r="K41" i="2" s="1"/>
  <c r="I40" i="2"/>
  <c r="K36" i="2"/>
  <c r="K35" i="2"/>
  <c r="K33" i="2"/>
  <c r="I32" i="2"/>
  <c r="K32" i="2" s="1"/>
  <c r="K31" i="2"/>
  <c r="M33" i="2" s="1"/>
  <c r="I31" i="2"/>
  <c r="K28" i="2"/>
  <c r="K26" i="2"/>
  <c r="K25" i="2"/>
  <c r="J23" i="2"/>
  <c r="I23" i="2"/>
  <c r="H23" i="2"/>
  <c r="J22" i="2"/>
  <c r="I22" i="2"/>
  <c r="H22" i="2"/>
  <c r="K22" i="2" s="1"/>
  <c r="J21" i="2"/>
  <c r="I21" i="2"/>
  <c r="H21" i="2"/>
  <c r="J20" i="2"/>
  <c r="I20" i="2"/>
  <c r="H20" i="2"/>
  <c r="K20" i="2" s="1"/>
  <c r="J19" i="2"/>
  <c r="I19" i="2"/>
  <c r="H19" i="2"/>
  <c r="J18" i="2"/>
  <c r="I18" i="2"/>
  <c r="H18" i="2"/>
  <c r="J17" i="2"/>
  <c r="I17" i="2"/>
  <c r="H17" i="2"/>
  <c r="J16" i="2"/>
  <c r="I16" i="2"/>
  <c r="H16" i="2"/>
  <c r="K16" i="2" s="1"/>
  <c r="J15" i="2"/>
  <c r="I15" i="2"/>
  <c r="H15" i="2"/>
  <c r="J14" i="2"/>
  <c r="J24" i="2" s="1"/>
  <c r="I14" i="2"/>
  <c r="H14" i="2"/>
  <c r="K11" i="2"/>
  <c r="K10" i="2"/>
  <c r="K9" i="2"/>
  <c r="K8" i="2"/>
  <c r="A3" i="2"/>
  <c r="A189" i="2" s="1"/>
  <c r="P1" i="2"/>
  <c r="K14" i="2" l="1"/>
  <c r="I24" i="2"/>
  <c r="K17" i="2"/>
  <c r="K21" i="2"/>
  <c r="M36" i="2"/>
  <c r="J45" i="2"/>
  <c r="M94" i="2"/>
  <c r="M208" i="2"/>
  <c r="M216" i="2" s="1"/>
  <c r="K223" i="2"/>
  <c r="K230" i="2"/>
  <c r="K15" i="2"/>
  <c r="K19" i="2"/>
  <c r="K23" i="2"/>
  <c r="I45" i="2"/>
  <c r="K45" i="2" s="1"/>
  <c r="M45" i="2" s="1"/>
  <c r="K53" i="2"/>
  <c r="M67" i="2"/>
  <c r="M106" i="2"/>
  <c r="P135" i="2"/>
  <c r="P137" i="2" s="1"/>
  <c r="P142" i="2" s="1"/>
  <c r="M244" i="2"/>
  <c r="M11" i="2"/>
  <c r="K18" i="2"/>
  <c r="M53" i="2"/>
  <c r="M84" i="2"/>
  <c r="K117" i="2"/>
  <c r="M117" i="2" s="1"/>
  <c r="Q142" i="2" s="1"/>
  <c r="Q3" i="2"/>
  <c r="Q7" i="2" s="1"/>
  <c r="Q8" i="2" s="1"/>
  <c r="M76" i="2"/>
  <c r="M108" i="2" s="1"/>
  <c r="O108" i="2" s="1"/>
  <c r="M230" i="2"/>
  <c r="M263" i="2" s="1"/>
  <c r="M265" i="2"/>
  <c r="M267" i="2" s="1"/>
  <c r="H24" i="2"/>
  <c r="K40" i="2"/>
  <c r="O31" i="2"/>
  <c r="J115" i="2"/>
  <c r="J117" i="2" s="1"/>
  <c r="Q10" i="2" l="1"/>
  <c r="K24" i="2"/>
  <c r="K27" i="2" s="1"/>
  <c r="M28" i="2" s="1"/>
  <c r="M69" i="2" s="1"/>
  <c r="O69" i="2" s="1"/>
  <c r="K282" i="2"/>
  <c r="K288" i="2" s="1"/>
  <c r="K291" i="2" s="1"/>
  <c r="K293" i="2" s="1"/>
  <c r="K301" i="2" s="1"/>
  <c r="M269" i="2"/>
  <c r="M127" i="2" l="1"/>
  <c r="M129" i="2" s="1"/>
  <c r="M131" i="2" l="1"/>
  <c r="O45" i="2"/>
  <c r="O269" i="2"/>
  <c r="O131" i="2" l="1"/>
  <c r="O2" i="2" s="1"/>
  <c r="O1" i="2"/>
  <c r="K300" i="3" l="1"/>
  <c r="H273" i="3"/>
  <c r="C273" i="3"/>
  <c r="M268" i="3"/>
  <c r="M266" i="3"/>
  <c r="K261" i="3"/>
  <c r="K260" i="3"/>
  <c r="K259" i="3"/>
  <c r="K258" i="3"/>
  <c r="K257" i="3"/>
  <c r="M261" i="3" s="1"/>
  <c r="K253" i="3"/>
  <c r="M254" i="3" s="1"/>
  <c r="K290" i="3" s="1"/>
  <c r="M250" i="3"/>
  <c r="M248" i="3"/>
  <c r="M246" i="3"/>
  <c r="K244" i="3"/>
  <c r="K243" i="3"/>
  <c r="M240" i="3"/>
  <c r="K238" i="3"/>
  <c r="K237" i="3"/>
  <c r="K236" i="3"/>
  <c r="K235" i="3"/>
  <c r="K234" i="3"/>
  <c r="K233" i="3"/>
  <c r="J230" i="3"/>
  <c r="J229" i="3"/>
  <c r="J228" i="3"/>
  <c r="J227" i="3"/>
  <c r="J226" i="3"/>
  <c r="J225" i="3"/>
  <c r="J223" i="3"/>
  <c r="J222" i="3"/>
  <c r="J221" i="3"/>
  <c r="M214" i="3"/>
  <c r="M213" i="3"/>
  <c r="M211" i="3"/>
  <c r="M210" i="3"/>
  <c r="M209" i="3"/>
  <c r="J284" i="3" s="1"/>
  <c r="K285" i="3" s="1"/>
  <c r="K287" i="3" s="1"/>
  <c r="K208" i="3"/>
  <c r="K207" i="3"/>
  <c r="K205" i="3"/>
  <c r="K204" i="3"/>
  <c r="K203" i="3"/>
  <c r="K202" i="3"/>
  <c r="K201" i="3"/>
  <c r="K200" i="3"/>
  <c r="K199" i="3"/>
  <c r="K198" i="3"/>
  <c r="K197" i="3"/>
  <c r="K196" i="3"/>
  <c r="K195" i="3"/>
  <c r="P144" i="3"/>
  <c r="Q141" i="3"/>
  <c r="P140" i="3"/>
  <c r="Q135" i="3"/>
  <c r="P134" i="3"/>
  <c r="P133" i="3"/>
  <c r="Q131" i="3"/>
  <c r="P130" i="3"/>
  <c r="P129" i="3"/>
  <c r="M125" i="3"/>
  <c r="K123" i="3"/>
  <c r="K122" i="3"/>
  <c r="M123" i="3" s="1"/>
  <c r="M119" i="3"/>
  <c r="J117" i="3"/>
  <c r="I117" i="3"/>
  <c r="K116" i="3"/>
  <c r="K115" i="3"/>
  <c r="K101" i="3"/>
  <c r="K100" i="3"/>
  <c r="K99" i="3"/>
  <c r="K98" i="3"/>
  <c r="M95" i="3"/>
  <c r="M94" i="3"/>
  <c r="M93" i="3"/>
  <c r="K91" i="3"/>
  <c r="K90" i="3"/>
  <c r="K89" i="3"/>
  <c r="M86" i="3"/>
  <c r="K84" i="3"/>
  <c r="K83" i="3"/>
  <c r="K79" i="3"/>
  <c r="K78" i="3"/>
  <c r="K77" i="3"/>
  <c r="K76" i="3"/>
  <c r="K75" i="3"/>
  <c r="K74" i="3"/>
  <c r="M79" i="3" s="1"/>
  <c r="J71" i="3"/>
  <c r="I71" i="3"/>
  <c r="J70" i="3"/>
  <c r="I70" i="3"/>
  <c r="K70" i="3" s="1"/>
  <c r="Q4" i="3" s="1"/>
  <c r="J69" i="3"/>
  <c r="I69" i="3"/>
  <c r="K62" i="3"/>
  <c r="K61" i="3"/>
  <c r="M62" i="3" s="1"/>
  <c r="K60" i="3"/>
  <c r="K58" i="3"/>
  <c r="K57" i="3"/>
  <c r="M55" i="3"/>
  <c r="M54" i="3"/>
  <c r="J52" i="3"/>
  <c r="J51" i="3"/>
  <c r="K49" i="3"/>
  <c r="K48" i="3"/>
  <c r="K47" i="3"/>
  <c r="J44" i="3"/>
  <c r="I44" i="3"/>
  <c r="K44" i="3" s="1"/>
  <c r="J43" i="3"/>
  <c r="I43" i="3"/>
  <c r="J42" i="3"/>
  <c r="I42" i="3"/>
  <c r="K42" i="3" s="1"/>
  <c r="J41" i="3"/>
  <c r="J45" i="3" s="1"/>
  <c r="I41" i="3"/>
  <c r="I40" i="3"/>
  <c r="K36" i="3"/>
  <c r="K35" i="3"/>
  <c r="K33" i="3"/>
  <c r="I32" i="3"/>
  <c r="K32" i="3" s="1"/>
  <c r="I31" i="3"/>
  <c r="K31" i="3" s="1"/>
  <c r="K28" i="3"/>
  <c r="K26" i="3"/>
  <c r="K25" i="3"/>
  <c r="J23" i="3"/>
  <c r="I23" i="3"/>
  <c r="H23" i="3"/>
  <c r="J22" i="3"/>
  <c r="I22" i="3"/>
  <c r="H22" i="3"/>
  <c r="J21" i="3"/>
  <c r="I21" i="3"/>
  <c r="H21" i="3"/>
  <c r="K21" i="3" s="1"/>
  <c r="J20" i="3"/>
  <c r="I20" i="3"/>
  <c r="H20" i="3"/>
  <c r="J19" i="3"/>
  <c r="I19" i="3"/>
  <c r="H19" i="3"/>
  <c r="J18" i="3"/>
  <c r="I18" i="3"/>
  <c r="H18" i="3"/>
  <c r="J17" i="3"/>
  <c r="I17" i="3"/>
  <c r="H17" i="3"/>
  <c r="K17" i="3" s="1"/>
  <c r="J16" i="3"/>
  <c r="I16" i="3"/>
  <c r="H16" i="3"/>
  <c r="J15" i="3"/>
  <c r="I15" i="3"/>
  <c r="H15" i="3"/>
  <c r="J14" i="3"/>
  <c r="I14" i="3"/>
  <c r="I24" i="3" s="1"/>
  <c r="H14" i="3"/>
  <c r="K11" i="3"/>
  <c r="K10" i="3"/>
  <c r="K9" i="3"/>
  <c r="K8" i="3"/>
  <c r="A3" i="3"/>
  <c r="A189" i="3" s="1"/>
  <c r="K15" i="3" l="1"/>
  <c r="K19" i="3"/>
  <c r="K23" i="3"/>
  <c r="K41" i="3"/>
  <c r="K43" i="3"/>
  <c r="K50" i="3"/>
  <c r="K69" i="3"/>
  <c r="K71" i="3"/>
  <c r="Q5" i="3" s="1"/>
  <c r="M84" i="3"/>
  <c r="P135" i="3"/>
  <c r="M244" i="3"/>
  <c r="P131" i="3"/>
  <c r="M36" i="3"/>
  <c r="I45" i="3"/>
  <c r="K45" i="3" s="1"/>
  <c r="M45" i="3" s="1"/>
  <c r="M208" i="3"/>
  <c r="M216" i="3" s="1"/>
  <c r="K223" i="3"/>
  <c r="M11" i="3"/>
  <c r="K14" i="3"/>
  <c r="J24" i="3"/>
  <c r="K16" i="3"/>
  <c r="K24" i="3" s="1"/>
  <c r="K27" i="3" s="1"/>
  <c r="M28" i="3" s="1"/>
  <c r="K18" i="3"/>
  <c r="K20" i="3"/>
  <c r="K22" i="3"/>
  <c r="K40" i="3"/>
  <c r="K52" i="3"/>
  <c r="M52" i="3" s="1"/>
  <c r="M58" i="3"/>
  <c r="M91" i="3"/>
  <c r="M101" i="3"/>
  <c r="K117" i="3"/>
  <c r="M117" i="3" s="1"/>
  <c r="K230" i="3"/>
  <c r="M230" i="3" s="1"/>
  <c r="M238" i="3"/>
  <c r="Q142" i="3"/>
  <c r="M33" i="3"/>
  <c r="M71" i="3"/>
  <c r="M103" i="3" s="1"/>
  <c r="O103" i="3" s="1"/>
  <c r="Q3" i="3"/>
  <c r="Q7" i="3" s="1"/>
  <c r="Q8" i="3" s="1"/>
  <c r="P137" i="3"/>
  <c r="P142" i="3" s="1"/>
  <c r="H24" i="3"/>
  <c r="O31" i="3"/>
  <c r="M263" i="3" l="1"/>
  <c r="M265" i="3" s="1"/>
  <c r="M267" i="3" s="1"/>
  <c r="M269" i="3" s="1"/>
  <c r="M64" i="3"/>
  <c r="O64" i="3" s="1"/>
  <c r="M127" i="3" l="1"/>
  <c r="M129" i="3" s="1"/>
  <c r="M131" i="3" s="1"/>
  <c r="K282" i="3"/>
  <c r="K288" i="3" s="1"/>
  <c r="K291" i="3" s="1"/>
  <c r="K293" i="3" s="1"/>
  <c r="K301" i="3" s="1"/>
  <c r="O269" i="3"/>
  <c r="O45" i="3" l="1"/>
  <c r="O131" i="3"/>
  <c r="O1" i="3"/>
  <c r="H8" i="1" l="1"/>
  <c r="K8" i="1" l="1"/>
  <c r="H39" i="1" l="1"/>
  <c r="H46" i="1"/>
  <c r="H65" i="1" s="1"/>
  <c r="H43" i="1"/>
  <c r="H76" i="1"/>
  <c r="H50" i="1"/>
  <c r="H53" i="1"/>
  <c r="H11" i="1"/>
  <c r="H72" i="1" l="1"/>
  <c r="H79" i="1" s="1"/>
  <c r="K11" i="1"/>
  <c r="M8" i="1" s="1"/>
  <c r="J8" i="1"/>
  <c r="H62" i="1"/>
  <c r="J43" i="1"/>
  <c r="H57" i="1" s="1"/>
  <c r="J76" i="1"/>
  <c r="H69" i="1" l="1"/>
  <c r="J62" i="1"/>
  <c r="H36" i="1" l="1"/>
  <c r="J36" i="1" s="1"/>
  <c r="D57" i="1"/>
  <c r="D58" i="1"/>
  <c r="H83" i="1"/>
  <c r="C86" i="1"/>
  <c r="C93" i="1"/>
  <c r="H15" i="1" l="1"/>
  <c r="J69" i="1" l="1"/>
  <c r="H28" i="1"/>
  <c r="J50" i="1"/>
  <c r="H58" i="1" s="1"/>
  <c r="J57" i="1" s="1"/>
  <c r="H110" i="1"/>
  <c r="H112" i="1" s="1"/>
  <c r="H23" i="1"/>
  <c r="H103" i="1"/>
  <c r="H86" i="1" l="1"/>
  <c r="J83" i="1" s="1"/>
  <c r="K19" i="1"/>
  <c r="H19" i="1"/>
  <c r="K15" i="1"/>
  <c r="H24" i="1"/>
  <c r="J22" i="1" s="1"/>
  <c r="H96" i="1"/>
  <c r="H93" i="1" l="1"/>
  <c r="J90" i="1" s="1"/>
  <c r="M15" i="1"/>
  <c r="H31" i="1"/>
  <c r="J28" i="1" s="1"/>
  <c r="J15" i="1"/>
  <c r="H99" i="1" l="1"/>
  <c r="H106" i="1" l="1"/>
  <c r="J103" i="1" s="1"/>
  <c r="J96" i="1"/>
</calcChain>
</file>

<file path=xl/sharedStrings.xml><?xml version="1.0" encoding="utf-8"?>
<sst xmlns="http://schemas.openxmlformats.org/spreadsheetml/2006/main" count="3503" uniqueCount="778">
  <si>
    <t>AVP - Accounting Department Head</t>
  </si>
  <si>
    <t>Accounting Assistant</t>
  </si>
  <si>
    <t>Mary Joy S. Pangilinan</t>
  </si>
  <si>
    <t>Checked by:</t>
  </si>
  <si>
    <t>Prepared by:</t>
  </si>
  <si>
    <t>3% of the Total Deposit Pool</t>
  </si>
  <si>
    <t>Maximum Limit For Deposits by an Individual</t>
  </si>
  <si>
    <t>Total Capital</t>
  </si>
  <si>
    <t>Bank Premises, FFE, net</t>
  </si>
  <si>
    <t>Fixed Asset Ratio Tolerance Limit</t>
  </si>
  <si>
    <t>Total Liabilities</t>
  </si>
  <si>
    <t>Level of Borrowings (Debt to Equity Ratio)</t>
  </si>
  <si>
    <t>Non-performing loans</t>
  </si>
  <si>
    <t>Non-performing Loans Ratio</t>
  </si>
  <si>
    <t>Past Due Loans + Loans in Litigation</t>
  </si>
  <si>
    <t>Past Due Ratio</t>
  </si>
  <si>
    <t>Total Operating Income</t>
  </si>
  <si>
    <t>Non-interest expense</t>
  </si>
  <si>
    <t>Total expenses + forex gain, if deducted from OE - total interest exp</t>
  </si>
  <si>
    <t>Cost to Income Ratio</t>
  </si>
  <si>
    <t xml:space="preserve">Gross income - interest expense + gain on ropa sale </t>
  </si>
  <si>
    <t>Net Interest Income</t>
  </si>
  <si>
    <t>Net Interest Income to Total Operating Income</t>
  </si>
  <si>
    <t>Average Earning Assets</t>
  </si>
  <si>
    <t xml:space="preserve">Interest Income - Interest Expense </t>
  </si>
  <si>
    <t>Net Interest Margin</t>
  </si>
  <si>
    <t>-</t>
  </si>
  <si>
    <t>Interest Spread</t>
  </si>
  <si>
    <t>Deposit + Bills Payable</t>
  </si>
  <si>
    <t>Average Interest Bearing Liabilities</t>
  </si>
  <si>
    <t>Interest Expense</t>
  </si>
  <si>
    <t>Interest expense on deposit + interest exp on BP</t>
  </si>
  <si>
    <t>Funding Cost</t>
  </si>
  <si>
    <t>DFBSP + DFOB + HTM + Loans(net of loan discount)</t>
  </si>
  <si>
    <t>Interest Income</t>
  </si>
  <si>
    <t>Interest income on loans + interest - dfob &amp; HTM</t>
  </si>
  <si>
    <t>Earning Asset Yield</t>
  </si>
  <si>
    <t>Total Assets</t>
  </si>
  <si>
    <t>Total Capital Account + Redeemable Preferred Shares</t>
  </si>
  <si>
    <t>Total Capital Accounts to Total Assets</t>
  </si>
  <si>
    <t>Total Deposits</t>
  </si>
  <si>
    <t>Loans , net of unamortized discount &amp; deferred credits</t>
  </si>
  <si>
    <t>Loans - Loan Discount</t>
  </si>
  <si>
    <t>Loans, gross to Deposits</t>
  </si>
  <si>
    <t>Cash + Due from BSP + Due from Other Banks + HTM (net)</t>
  </si>
  <si>
    <t>Liquid Assets to Liabilities</t>
  </si>
  <si>
    <t>2.B</t>
  </si>
  <si>
    <t>Net of Allowance for Credit Losses</t>
  </si>
  <si>
    <t>Cash + Due from Banks + Financial Assets, Debt,</t>
  </si>
  <si>
    <t>Liquid Assets to Deposits</t>
  </si>
  <si>
    <t>2.A</t>
  </si>
  <si>
    <t>Cash + Due from Banks</t>
  </si>
  <si>
    <t>Including HTM</t>
  </si>
  <si>
    <t>COH + COCI + DFBSP + DFOB + HTM</t>
  </si>
  <si>
    <t>Excluding HTM</t>
  </si>
  <si>
    <t>COH + COCI + DFBSP + DFOB</t>
  </si>
  <si>
    <t>Cash and Due from Banks to Deposits</t>
  </si>
  <si>
    <t>Selected Financial Indicators</t>
  </si>
  <si>
    <t>New Rural Bank of San Leonardo (NE), Inc.</t>
  </si>
  <si>
    <t>Deficiency</t>
  </si>
  <si>
    <t>Accrual</t>
  </si>
  <si>
    <t>Income tax payable</t>
  </si>
  <si>
    <t>Creditable withholding tax</t>
  </si>
  <si>
    <t>3rd Quarter</t>
  </si>
  <si>
    <t>2nd Quarter</t>
  </si>
  <si>
    <t>1st Quarter</t>
  </si>
  <si>
    <t>Tax payments made</t>
  </si>
  <si>
    <t>Normal Income Tax or MCIT whichever is higher</t>
  </si>
  <si>
    <t>Minimum Corporate Income Tax</t>
  </si>
  <si>
    <t>Normal Income Tax</t>
  </si>
  <si>
    <t>Tax Rate</t>
  </si>
  <si>
    <t>Taxable Income</t>
  </si>
  <si>
    <t xml:space="preserve">Provision for probable losses </t>
  </si>
  <si>
    <t>Temporary differences:</t>
  </si>
  <si>
    <t>Reduction of interest expense (33%)</t>
  </si>
  <si>
    <t>Non-deductible expense:</t>
  </si>
  <si>
    <t>Loans for Write Off</t>
  </si>
  <si>
    <t>Interest income already subjected to final tax</t>
  </si>
  <si>
    <t>Non-taxable income:</t>
  </si>
  <si>
    <t>Net profit before income tax</t>
  </si>
  <si>
    <t>President and CEO</t>
  </si>
  <si>
    <t>Abundio D. Quililan, Jr.</t>
  </si>
  <si>
    <t>Noted by:</t>
  </si>
  <si>
    <t>NET INCOME</t>
  </si>
  <si>
    <t xml:space="preserve">PROVISION FOR INCOME TAX </t>
  </si>
  <si>
    <t xml:space="preserve">NET INCOME BEFORE PROVISION FOR INCOME TAX </t>
  </si>
  <si>
    <t>GAIN FROM SALE OF NON FINANCIAL ASSETS</t>
  </si>
  <si>
    <t>NET INCOME BEFORE GAIN FROM SALE OF NON FINANCIAL ASSETS</t>
  </si>
  <si>
    <t>TOTAL EXPENSES</t>
  </si>
  <si>
    <t>OTHER EXPENSES</t>
  </si>
  <si>
    <t>LITIGATION /ASSETS ACQUIRED EXPENSES</t>
  </si>
  <si>
    <t>FINES, PENALTIES AND OTHER CHARGES</t>
  </si>
  <si>
    <t>BANKING FEES</t>
  </si>
  <si>
    <t>MANAGEMENT AND OTHER PROFESSIONAL FEES</t>
  </si>
  <si>
    <t>OTHER ADMINISTRATIVE EXPENSES</t>
  </si>
  <si>
    <t>Provision for Year-End Expenses</t>
  </si>
  <si>
    <t>Provision for Probable Losses</t>
  </si>
  <si>
    <t>PROVISIONS</t>
  </si>
  <si>
    <t xml:space="preserve">BAD DEBTS </t>
  </si>
  <si>
    <t>IF FOREX LOSS</t>
  </si>
  <si>
    <t>Foreign Exchange Loss</t>
  </si>
  <si>
    <t>DEPRECIATION AND AMORTIZATION</t>
  </si>
  <si>
    <t>Insurance - Others</t>
  </si>
  <si>
    <t>Insurance - PDIC</t>
  </si>
  <si>
    <t>INSURANCE</t>
  </si>
  <si>
    <t>TAXES AND LICENSES</t>
  </si>
  <si>
    <t>Contributions to Retirement/Provident Fund</t>
  </si>
  <si>
    <t>Medical, Dental and Hospitalization</t>
  </si>
  <si>
    <t>SSS, Philhealth and Pag-Ibig Fund Contributions</t>
  </si>
  <si>
    <t>Directors/Management and Committee Members' Fee</t>
  </si>
  <si>
    <t>Other Benefits</t>
  </si>
  <si>
    <t>Salaries and Wages</t>
  </si>
  <si>
    <t>COMPENSATION AND FRINGE BENEFITS</t>
  </si>
  <si>
    <t>Interest Expense - Others</t>
  </si>
  <si>
    <t>Interest on Bills Payable - DBP</t>
  </si>
  <si>
    <t>Interest on Bills Payable - NLDC</t>
  </si>
  <si>
    <t>Interest on Bills Payable - SBGFC</t>
  </si>
  <si>
    <t>Interest on Bills Payable - BSP</t>
  </si>
  <si>
    <t>Interest on Bills Payable - LBP</t>
  </si>
  <si>
    <t>Time Deposits</t>
  </si>
  <si>
    <t>Special Savings Deposits</t>
  </si>
  <si>
    <t>Savings Deposits</t>
  </si>
  <si>
    <t>Interest - Deposits</t>
  </si>
  <si>
    <t>INTEREST EXPENSE</t>
  </si>
  <si>
    <t>E X P E N S E S</t>
  </si>
  <si>
    <t>TOTAL INCOME</t>
  </si>
  <si>
    <t>Other Income</t>
  </si>
  <si>
    <t>Service Charges/Fees</t>
  </si>
  <si>
    <t>IF FOREX GAIN</t>
  </si>
  <si>
    <t>Foreign Exchange Profit</t>
  </si>
  <si>
    <t>Interest Income - Bangko Sentral ng Pilipinas</t>
  </si>
  <si>
    <t>Interest Income - Bank Deposits/IBODI</t>
  </si>
  <si>
    <t>Interest Income - Sales Contract Receivables</t>
  </si>
  <si>
    <t>Interest Income - Past Due Items/Items in Lit.</t>
  </si>
  <si>
    <t>Interest Income - Loans to Officers</t>
  </si>
  <si>
    <t>Interest Income - Primarily for Personal Use Purposes</t>
  </si>
  <si>
    <t>Interest Income - Restructured Loans</t>
  </si>
  <si>
    <t>Interest Income - Microfinance Loans</t>
  </si>
  <si>
    <t>Interest Income - Development Incentive Loan</t>
  </si>
  <si>
    <t>Interest Income - Other Purposes</t>
  </si>
  <si>
    <t>Interest Income - Housing Purposes</t>
  </si>
  <si>
    <t>Interest Income - Loans to Private Corporation</t>
  </si>
  <si>
    <t>Interest Income - SME Loan</t>
  </si>
  <si>
    <t>Interest Income - AGFP Loan</t>
  </si>
  <si>
    <t>Interest Income - Agrarian Loan</t>
  </si>
  <si>
    <t>Interest Income - Agricultural Loan</t>
  </si>
  <si>
    <t>Interest on Loans Receivable</t>
  </si>
  <si>
    <t>INTEREST INCOME</t>
  </si>
  <si>
    <t>I N C O M E</t>
  </si>
  <si>
    <t>CONSOLIDATED STATEMENT OF COMPREHENSIVE INCOME</t>
  </si>
  <si>
    <t>NEW RURAL BANK OF SAN LEONARDO, INC.</t>
  </si>
  <si>
    <t>Mary Joy Pangilinan</t>
  </si>
  <si>
    <t>Jhameson Angeles</t>
  </si>
  <si>
    <t>Checked and Reviewed by:</t>
  </si>
  <si>
    <t>subscribed/paid up</t>
  </si>
  <si>
    <t>TOTAL LIABILITIES AND CAPITAL ACCOUNTS</t>
  </si>
  <si>
    <t>ps</t>
  </si>
  <si>
    <t>c/s</t>
  </si>
  <si>
    <t>TOTAL CAPITAL</t>
  </si>
  <si>
    <t>par</t>
  </si>
  <si>
    <t>shares</t>
  </si>
  <si>
    <t>authorized</t>
  </si>
  <si>
    <t>Undivided Profits</t>
  </si>
  <si>
    <t>Unrealized Foreign Exchange Gains/Losses</t>
  </si>
  <si>
    <t>Reserve for Bank Expansion and Stock Dividends</t>
  </si>
  <si>
    <t>Free</t>
  </si>
  <si>
    <t>Retained Earnings</t>
  </si>
  <si>
    <t>Deposit For Stock Subscription</t>
  </si>
  <si>
    <t>Total</t>
  </si>
  <si>
    <t>Preferred</t>
  </si>
  <si>
    <t>Common</t>
  </si>
  <si>
    <t>CAPITAL STOCK</t>
  </si>
  <si>
    <t>Paid-up</t>
  </si>
  <si>
    <t xml:space="preserve">Subscribed </t>
  </si>
  <si>
    <t>Authorized</t>
  </si>
  <si>
    <t>CAPITAL ACCOUNTS</t>
  </si>
  <si>
    <t>TOTAL LIABILITIES</t>
  </si>
  <si>
    <t>Other Payable</t>
  </si>
  <si>
    <t>Withholding Tax Payable</t>
  </si>
  <si>
    <t>Dividends Payable</t>
  </si>
  <si>
    <t>SSS, Philhealth and Pag-ibig Contributions Payable</t>
  </si>
  <si>
    <t>Accounts Payable</t>
  </si>
  <si>
    <t>OTHER LIABILITIES</t>
  </si>
  <si>
    <t>Due to the Treasurer of the Philippines</t>
  </si>
  <si>
    <t>Provisions (Reserve for Retirement of Employees)</t>
  </si>
  <si>
    <t>Unearned Income</t>
  </si>
  <si>
    <t>Accrued Expenses</t>
  </si>
  <si>
    <t>GRT Payable</t>
  </si>
  <si>
    <t>Docs. Stamp Payable</t>
  </si>
  <si>
    <t>Other Taxes and Licenses Payable</t>
  </si>
  <si>
    <t>Accrued Income Tax Payable</t>
  </si>
  <si>
    <t>Accrued Interest - Bill Payable</t>
  </si>
  <si>
    <t>Accrued Interest - Deposits</t>
  </si>
  <si>
    <t>ACCRUED INTEREST EXPENSE ON FINANCIAL LIABILITIES</t>
  </si>
  <si>
    <t>NLDC</t>
  </si>
  <si>
    <t>ACPC</t>
  </si>
  <si>
    <t>DBP</t>
  </si>
  <si>
    <t>SBGFC</t>
  </si>
  <si>
    <t>Landbank</t>
  </si>
  <si>
    <t>Bangko Sentral ng Pilipinas</t>
  </si>
  <si>
    <t>BILLS PAYABLE</t>
  </si>
  <si>
    <t>Demand Deposits</t>
  </si>
  <si>
    <t>Dormant</t>
  </si>
  <si>
    <t>Active</t>
  </si>
  <si>
    <t>DEPOSIT LIABILITIES</t>
  </si>
  <si>
    <t>LIABILITIES AND CAPITAL ACCOUNTS</t>
  </si>
  <si>
    <t>T O T A L    A S S E T S</t>
  </si>
  <si>
    <t>Less: Allowance for Probable Losses - Other Assets</t>
  </si>
  <si>
    <t>Less: Allowance for Probable Losses - A/R</t>
  </si>
  <si>
    <t>Other Assets</t>
  </si>
  <si>
    <t>Retirement Benefit Plan Asset</t>
  </si>
  <si>
    <t>Deferred Tax Asset</t>
  </si>
  <si>
    <t>Less: Accumulated Amortization</t>
  </si>
  <si>
    <t>Intangible Assets</t>
  </si>
  <si>
    <t>Accrued Interest Income from Financial Assets</t>
  </si>
  <si>
    <t>Due to/from Head Office/Branches</t>
  </si>
  <si>
    <t>Allowance for Probable Losses - SCR</t>
  </si>
  <si>
    <t>Less: Unamortized Discount</t>
  </si>
  <si>
    <t xml:space="preserve">Sales Contract Receivables </t>
  </si>
  <si>
    <t xml:space="preserve"> Accumulated Depreciation </t>
  </si>
  <si>
    <t>Less: Allowance for Probable Losses - ROPA</t>
  </si>
  <si>
    <t>REAL AND OTHER PROPERTIES OWNED OR ACQUIRED</t>
  </si>
  <si>
    <t>Transportation Equipment</t>
  </si>
  <si>
    <t>Furniture, Fixtures &amp; Equipment</t>
  </si>
  <si>
    <t>Leasehold Improvements</t>
  </si>
  <si>
    <t>Bank Premises - Building</t>
  </si>
  <si>
    <t>Bank Premises - Land</t>
  </si>
  <si>
    <t>Net Book Value</t>
  </si>
  <si>
    <t>Acc. Depreciation</t>
  </si>
  <si>
    <t>Original Cost</t>
  </si>
  <si>
    <t>BANK PREMISES, FURNITURE, FIXTURE AND EQUIPMENT - NET</t>
  </si>
  <si>
    <t>Less:Allowance for Probable Losses - UDSCL</t>
  </si>
  <si>
    <t>Unquoted Debt Securities Classified</t>
  </si>
  <si>
    <t>Allowance for Probable Losses</t>
  </si>
  <si>
    <t>Unamortized Discount</t>
  </si>
  <si>
    <t>Less:</t>
  </si>
  <si>
    <t>Cost</t>
  </si>
  <si>
    <t>Private</t>
  </si>
  <si>
    <t>Government</t>
  </si>
  <si>
    <t>HELD TO MATURITY (IBODI)</t>
  </si>
  <si>
    <t>Less: Unearned Interest and Discounts &amp; Other Deferred Credits</t>
  </si>
  <si>
    <t>Loan Portfolio - Net of Allowances</t>
  </si>
  <si>
    <t xml:space="preserve">    Allowance for Probable Losses -  Specific</t>
  </si>
  <si>
    <t>Less: Allowance for Probable Losses - General</t>
  </si>
  <si>
    <t>Total Loan Portfolio</t>
  </si>
  <si>
    <t>Loans to Individual for Primarily for Personal Use Purposes</t>
  </si>
  <si>
    <t>AGFP Loan</t>
  </si>
  <si>
    <t>Agricultural Loan</t>
  </si>
  <si>
    <t>Agrarian Loan</t>
  </si>
  <si>
    <t>Microfinance Loan</t>
  </si>
  <si>
    <t>Development Incentive Loan</t>
  </si>
  <si>
    <t>Loans to Individual for Other Purposes</t>
  </si>
  <si>
    <t>Loans to Individual for Housing Purposes</t>
  </si>
  <si>
    <t>Loans to Private Corporations</t>
  </si>
  <si>
    <t>Small and Medium Enterprises Loans</t>
  </si>
  <si>
    <t>In Litigation</t>
  </si>
  <si>
    <t>Past Due</t>
  </si>
  <si>
    <t>Current</t>
  </si>
  <si>
    <t>LOANS PORTFOLIO - NET</t>
  </si>
  <si>
    <t>Due from Other Banks</t>
  </si>
  <si>
    <t>Due from Bangko Sentral ng Pilipinas</t>
  </si>
  <si>
    <t>Checks and Other Cash Items</t>
  </si>
  <si>
    <t>excess/(deficiency)</t>
  </si>
  <si>
    <t>Cash on Hand</t>
  </si>
  <si>
    <t>total reserve</t>
  </si>
  <si>
    <t>CASH AND DUE FROM BANKS</t>
  </si>
  <si>
    <t>time</t>
  </si>
  <si>
    <t>A S S E T S</t>
  </si>
  <si>
    <t>savings</t>
  </si>
  <si>
    <t>demand</t>
  </si>
  <si>
    <t>CONSOLIDATED STATEMENT OF CONDITION</t>
  </si>
  <si>
    <t>Renmar Jay Arzanan</t>
  </si>
  <si>
    <t>Manager, Accounting Department</t>
  </si>
  <si>
    <t>MB</t>
  </si>
  <si>
    <t>DEDUCTIONS FROM NET INCOME</t>
  </si>
  <si>
    <t xml:space="preserve"> Allowance for Probable Losses - Other Assets</t>
  </si>
  <si>
    <t>Less: Allowance for Probable Losses - SCR</t>
  </si>
  <si>
    <t>MLR</t>
  </si>
  <si>
    <t>Mariel Joyce Reyes</t>
  </si>
  <si>
    <t>Jayson Naguimbing</t>
  </si>
  <si>
    <t>For the Month Ended 28 February 2019</t>
  </si>
  <si>
    <t>Ref Date</t>
  </si>
  <si>
    <t>Code</t>
  </si>
  <si>
    <t>Name</t>
  </si>
  <si>
    <t>Debit</t>
  </si>
  <si>
    <t>Credit</t>
  </si>
  <si>
    <t>2019-02-28</t>
  </si>
  <si>
    <t>GL1-01</t>
  </si>
  <si>
    <t>CASH ON HAND</t>
  </si>
  <si>
    <t>GL1-02</t>
  </si>
  <si>
    <t>CHECKS AND OTHER CASH ITEMS</t>
  </si>
  <si>
    <t>GL1-03</t>
  </si>
  <si>
    <t>DUE FROM BSP</t>
  </si>
  <si>
    <t>GL1-04</t>
  </si>
  <si>
    <t>DUE FROM OTHER BANKS</t>
  </si>
  <si>
    <t>GL1-08-01-01</t>
  </si>
  <si>
    <t>HTM-DEBT SEC-GOVT</t>
  </si>
  <si>
    <t>GL1-08-98</t>
  </si>
  <si>
    <t>HTM - UNAMORTIZED DISC / PREMIUM</t>
  </si>
  <si>
    <t>GL1-11-03-02-01-01-01-00-01</t>
  </si>
  <si>
    <t>L &amp; R-AGRARIAN REFORMS LOAN - CURRENT</t>
  </si>
  <si>
    <t>GL1-11-03-02-01-01-01-00-02</t>
  </si>
  <si>
    <t>L &amp; R-AGFP LOANS - CURRENT</t>
  </si>
  <si>
    <t>GL1-11-03-02-01-01-02-00-01</t>
  </si>
  <si>
    <t>L &amp; R-AGRARIAN REFORMS LOAN-PD PERFORMING LOAN</t>
  </si>
  <si>
    <t>GL1-11-03-02-01-01-02-00-02</t>
  </si>
  <si>
    <t>L &amp; R-AGFP LOANS-PD PERFORMING LOAN</t>
  </si>
  <si>
    <t>GL1-11-03-02-01-01-04-00-01</t>
  </si>
  <si>
    <t>L &amp; R-AGRARIAN REFORMS LOAN-LITIGATION</t>
  </si>
  <si>
    <t>GL1-11-03-02-01-01-04-00-02</t>
  </si>
  <si>
    <t>L &amp; R-AGFP LOANS-LITIGATION</t>
  </si>
  <si>
    <t>GL1-11-03-02-01-98</t>
  </si>
  <si>
    <t>AGRA/AGRI -AGRARIAN REFORM LOANS-UNAMORTIZED DISC AND DEFERRED CREDITS</t>
  </si>
  <si>
    <t>GL1-11-03-02-01-99</t>
  </si>
  <si>
    <t>AGRA/AGRI -AGRARIAN REFORM LOANS-ALLOWANCE FOR LOSSES</t>
  </si>
  <si>
    <t>GL1-11-03-02-02-01-01</t>
  </si>
  <si>
    <t>AGRA/AGRI -OTHER AGRICULTURAL CREDIT-CURRENT</t>
  </si>
  <si>
    <t>GL1-11-03-02-02-01-02</t>
  </si>
  <si>
    <t>AGRA/AGRI -OTHER AGRICULTURAL CREDIT- PAST DUE - PERFORMING LOAN</t>
  </si>
  <si>
    <t>GL1-11-03-02-02-01-03</t>
  </si>
  <si>
    <t>AGRA/AGRI -OTHER AGRICULTURAL CREDIT-PAST DUE - NON PERFORMING LOAN</t>
  </si>
  <si>
    <t>GL1-11-03-02-02-01-04</t>
  </si>
  <si>
    <t>AGRA/AGRI -OTHER AGRICULTURAL CREDIT-ITEMS IN LITIGATION</t>
  </si>
  <si>
    <t>GL1-11-03-02-02-98</t>
  </si>
  <si>
    <t>AGRA/AGRI -OTHER AGRICULTURAL CREDIT-UNAMORTIZED DISC AND DEFERRED CREDITS</t>
  </si>
  <si>
    <t>GL1-11-03-02-02-99</t>
  </si>
  <si>
    <t>AGRA/AGRI -OTHER AGRICULTURAL CREDIT-ALLOWANCE FOR LOSSES</t>
  </si>
  <si>
    <t>GL1-11-03-03-01-01-01</t>
  </si>
  <si>
    <t>MICROENTRPS -MICROFINANCE- CURRENT</t>
  </si>
  <si>
    <t>GL1-11-03-03-01-01-02</t>
  </si>
  <si>
    <t>MICROENTRPS -MICROFINANCE- PAST DUE - PERFORMING LOAN</t>
  </si>
  <si>
    <t>GL1-11-03-03-01-01-03</t>
  </si>
  <si>
    <t>MICROENTRPS -MICROFINANCE-PAST DUE - NON PERFORMING LOAN</t>
  </si>
  <si>
    <t>GL1-11-03-03-01-01-04</t>
  </si>
  <si>
    <t>MICROENTRPS -MICROFINANCE- ITEMS IN LITIGATION</t>
  </si>
  <si>
    <t>GL1-11-03-03-01-98</t>
  </si>
  <si>
    <t>MICROENTRPS -MICROFINANCE-UNAMORTIZED DISC AND DEFERRED CREDITS</t>
  </si>
  <si>
    <t>GL1-11-03-03-01-99</t>
  </si>
  <si>
    <t>MICROENTRPS -MICROFINANCE-ALLOWANCE FOR LOSSES</t>
  </si>
  <si>
    <t>GL1-11-03-03-02-98</t>
  </si>
  <si>
    <t>MICROENTRPS -OTHER MICROENTRPS -UNAMORTIZED DISC AND DEFERRED CREDITS</t>
  </si>
  <si>
    <t>GL1-11-03-03-02-99</t>
  </si>
  <si>
    <t>MICROENTRPS -OTHER MICROENTRPS -ALLOWANCE FOR LOSSES</t>
  </si>
  <si>
    <t>GL1-11-03-04-01-01-01</t>
  </si>
  <si>
    <t>SME -SMALL SCALE ENTERPRISES- CURRENT</t>
  </si>
  <si>
    <t>GL1-11-03-04-01-01-02</t>
  </si>
  <si>
    <t>SME -SMALL SCALE ENTERPRISES- PAST DUE - PERFORMING LOAN</t>
  </si>
  <si>
    <t>GL1-11-03-04-01-01-03</t>
  </si>
  <si>
    <t>SME -SMALL SCALE ENTERPRISES- PAST DUE - NON PERFORMING LOAN</t>
  </si>
  <si>
    <t>GL1-11-03-04-01-01-04</t>
  </si>
  <si>
    <t>SME -SMALL SCALE ENTERPRISES-ITEMS IN LITIGATION</t>
  </si>
  <si>
    <t>GL1-11-03-04-01-98</t>
  </si>
  <si>
    <t>SME -SMALL SCALE ENTERPRISES-UNAMORTIZED DISC AND DEFERRED CREDITS</t>
  </si>
  <si>
    <t>GL1-11-03-04-01-99</t>
  </si>
  <si>
    <t>SME -SMALL SCALE ENTERPRISES-ALLOWANCE FOR LOSSES</t>
  </si>
  <si>
    <t>GL1-11-03-04-02-01-01</t>
  </si>
  <si>
    <t>SME -MEDIUM SCALE ENTERPRISE- CURRENT</t>
  </si>
  <si>
    <t>GL1-11-03-04-02-01-02</t>
  </si>
  <si>
    <t>SME -MEDIUM SCALE ENTERPRISE- PAST DUE - PERFORMING LOAN</t>
  </si>
  <si>
    <t>GL1-11-03-04-02-01-03</t>
  </si>
  <si>
    <t>SME -MEDIUM SCALE ENTERPRISE-PAST DUE - NON PERFORMING LOAN</t>
  </si>
  <si>
    <t>GL1-11-03-04-02-01-04</t>
  </si>
  <si>
    <t>SME -MEDIUM SCALE ENTERPRISE-ITEMS IN LITIGATION</t>
  </si>
  <si>
    <t>GL1-11-03-04-02-98</t>
  </si>
  <si>
    <t>SME -MEDIUM SCALE ENTERPRISE-UNAMORTIZED DISC AND DEFERRED CREDITS</t>
  </si>
  <si>
    <t>GL1-11-03-04-02-99</t>
  </si>
  <si>
    <t>SME -MEDIUM SCALE ENTERPRISE-ALLOWANCE FOR LOSSES</t>
  </si>
  <si>
    <t>GL1-11-03-06-01-01-01</t>
  </si>
  <si>
    <t xml:space="preserve"> PRIV CORP-FIN-CURRENT</t>
  </si>
  <si>
    <t>GL1-11-03-06-01-01-03</t>
  </si>
  <si>
    <t xml:space="preserve"> PRIV CORP-FIN-PAST DUE - NON PERFORMING LOAN</t>
  </si>
  <si>
    <t>GL1-11-03-06-01-01-04</t>
  </si>
  <si>
    <t xml:space="preserve"> PRIV CORP-FIN-ITEMS IN LITIGATION</t>
  </si>
  <si>
    <t>GL1-11-03-06-01-98</t>
  </si>
  <si>
    <t xml:space="preserve"> PRIV CORP-FIN-UNAMORTIZED DISC AND OTHER DEFERRED CREDITS</t>
  </si>
  <si>
    <t>GL1-11-03-06-01-99</t>
  </si>
  <si>
    <t xml:space="preserve"> PRIV CORP-FIN-ALLOWANCE FOR LOSSES</t>
  </si>
  <si>
    <t>GL1-11-03-06-02-01-01</t>
  </si>
  <si>
    <t xml:space="preserve"> PRIV CORP-NONFIN- CURRENT</t>
  </si>
  <si>
    <t>GL1-11-03-06-02-01-02</t>
  </si>
  <si>
    <t xml:space="preserve"> PRIV CORP-NONFIN- PAST DUE - PERFORMING LOAN</t>
  </si>
  <si>
    <t>GL1-11-03-06-02-01-03</t>
  </si>
  <si>
    <t xml:space="preserve"> PRIV CORP-NONFIN-PAST DUE - NON PERFORMING LOAN</t>
  </si>
  <si>
    <t>GL1-11-03-06-02-98</t>
  </si>
  <si>
    <t xml:space="preserve"> PRIV CORP-NONFIN-UNAMORTIZED DISC AND DEFERRED CREDITS</t>
  </si>
  <si>
    <t>GL1-11-03-06-02-99</t>
  </si>
  <si>
    <t xml:space="preserve"> PRIV CORP-NONFIN-ALLOWANCE FOR LOSSES</t>
  </si>
  <si>
    <t>GL1-11-03-07-01-01</t>
  </si>
  <si>
    <t xml:space="preserve"> HOUSING PURPOSE-CURRENT</t>
  </si>
  <si>
    <t>GL1-11-03-07-01-02</t>
  </si>
  <si>
    <t xml:space="preserve"> HOUSING PURPOSE-PAST DUE - PERFORMING LOAN</t>
  </si>
  <si>
    <t>GL1-11-03-07-01-03</t>
  </si>
  <si>
    <t xml:space="preserve"> HOUSING PURPOSE- PAST DUE - NON PERFORMING LOAN</t>
  </si>
  <si>
    <t>GL1-11-03-07-01-04</t>
  </si>
  <si>
    <t xml:space="preserve"> HOUSING PURPOSE-ITEMS IN LITIGATION</t>
  </si>
  <si>
    <t>GL1-11-03-07-98</t>
  </si>
  <si>
    <t xml:space="preserve"> HOUSING PURPOSE-UNAMORTIZED DISC AND OTHER DEFERRED CREDITS</t>
  </si>
  <si>
    <t>GL1-11-03-07-99</t>
  </si>
  <si>
    <t xml:space="preserve"> HOUSING PURPOSE-ALLOWANCE FOR LOSSES</t>
  </si>
  <si>
    <t>GL1-11-03-08-01-01-01</t>
  </si>
  <si>
    <t xml:space="preserve"> PRIM FOR PERSNAL USE PURP-CREDIT CARD-CURRENT</t>
  </si>
  <si>
    <t>GL1-11-03-08-01-01-02</t>
  </si>
  <si>
    <t xml:space="preserve"> PRIM FOR PERSNAL USE PURP-CREDIT CARD-PAST DUE - PERFORMING LOAN</t>
  </si>
  <si>
    <t>GL1-11-03-08-01-01-03</t>
  </si>
  <si>
    <t xml:space="preserve"> PRIM FOR PERSNAL USE PURP-CREDIT CARD-PAST DUE - NON PERFORMING LOAN</t>
  </si>
  <si>
    <t>GL1-11-03-08-01-01-04</t>
  </si>
  <si>
    <t xml:space="preserve"> PRIM FOR PERSNAL USE PURP-CREDIT CARD-  ITEMS IN LITIGATION</t>
  </si>
  <si>
    <t>GL1-11-03-08-01-98</t>
  </si>
  <si>
    <t xml:space="preserve"> PRIM FOR PERSNAL USE PURP-CREDIT CARD-UNAMORTIZED DISC AND OTHER DEFERRED CREDITS</t>
  </si>
  <si>
    <t>GL1-11-03-08-01-99</t>
  </si>
  <si>
    <t xml:space="preserve"> PRIM FOR PERSNAL USE PURP-CREDIT CARD-ALLOWANCE FOR LOSSES</t>
  </si>
  <si>
    <t>GL1-11-03-08-02-01-01-01</t>
  </si>
  <si>
    <t xml:space="preserve"> PRIM FOR PERSNAL USE PURP-AUTO LOANS- CURRENT</t>
  </si>
  <si>
    <t>GL1-11-03-08-02-01-01-02</t>
  </si>
  <si>
    <t xml:space="preserve"> PRIM FOR PERSNAL USE PURP-AUTO LOANS- PAST DUE - PERFORMING LOAN</t>
  </si>
  <si>
    <t>GL1-11-03-08-02-01-01-03</t>
  </si>
  <si>
    <t xml:space="preserve"> PRIM FOR PERSNAL USE PURP-AUTO LOANS- PAST DUE - NON PERFORMING LOAN</t>
  </si>
  <si>
    <t>GL1-11-03-08-02-01-01-04</t>
  </si>
  <si>
    <t xml:space="preserve"> PRIM FOR PERSNAL USE PURP-AUTO LOANS- ITEMS IN LITIGATION</t>
  </si>
  <si>
    <t>GL1-11-03-08-02-01-98</t>
  </si>
  <si>
    <t xml:space="preserve"> PRIM FOR PERSNAL USE PURP-AUTO LOANS-UNAMORTIZED DISC AND OTHER DEFERRED CREDITS</t>
  </si>
  <si>
    <t>GL1-11-03-08-02-01-99</t>
  </si>
  <si>
    <t xml:space="preserve"> PRIM FOR PERSNAL USE PURP-AUTO LOANS-ALLOWANCE FOR LOSSES</t>
  </si>
  <si>
    <t>GL1-11-03-08-02-02-01-01</t>
  </si>
  <si>
    <t xml:space="preserve"> PRIM FOR PERSNAL USE PURP-MOTORCYCLE LOANS- CURRENT</t>
  </si>
  <si>
    <t>GL1-11-03-08-02-02-01-02</t>
  </si>
  <si>
    <t xml:space="preserve"> PRIM FOR PERSNAL USE PURP-MOTORCYCLE  LOANS- PAST DUE - PERFORMING LOAN</t>
  </si>
  <si>
    <t>GL1-11-03-08-02-02-01-03</t>
  </si>
  <si>
    <t xml:space="preserve"> PRIM FOR PERSNAL USE PURP-MOTORCYCLE LOANS- PAST DUE - NON PERFORMING LOAN</t>
  </si>
  <si>
    <t>GL1-11-03-08-02-02-01-04</t>
  </si>
  <si>
    <t xml:space="preserve"> PRIM FOR PERSNAL USE PURP-MOTORCYCLE LOANS- ITEMS IN LITIGATION</t>
  </si>
  <si>
    <t>GL1-11-03-08-02-02-98</t>
  </si>
  <si>
    <t xml:space="preserve"> PRIM FOR PERSNAL USE PURP-MOTORCYCLE  LOANS-UNAMORTIZED DISC AND OTHER DEFERRED CREDITS</t>
  </si>
  <si>
    <t>GL1-11-03-08-02-02-99</t>
  </si>
  <si>
    <t xml:space="preserve"> PRIM FOR PERSNAL USE PURP -MOTORCYCLE  LOANS-ALLOWANCE FOR LOSSES</t>
  </si>
  <si>
    <t>GL1-11-03-08-03-01-01</t>
  </si>
  <si>
    <t xml:space="preserve"> PRIM FOR PERSNAL USE PURP-SALARYBASED LOANS-CURRENT</t>
  </si>
  <si>
    <t>GL1-11-03-08-03-01-02</t>
  </si>
  <si>
    <t xml:space="preserve"> PRIM FOR PERSNAL USE PURP-SALARYBASED LOANS-PAST DUE - PERFORMING LOAN</t>
  </si>
  <si>
    <t>GL1-11-03-08-03-01-03</t>
  </si>
  <si>
    <t xml:space="preserve"> PRIM FOR PERSNAL USE PURP-SALARYBASED LOANS- PAST DUE - NON PERFORMING LOAN</t>
  </si>
  <si>
    <t>GL1-11-03-08-03-01-04</t>
  </si>
  <si>
    <t xml:space="preserve"> PRIM FOR PERSNAL USE PURP-SALARYBASED LOANS-ITEMS IN LITIGATION</t>
  </si>
  <si>
    <t>GL1-11-03-08-03-98</t>
  </si>
  <si>
    <t xml:space="preserve"> PRIM FOR PERSNAL USE PURP-SALARYBASED LOANS-UNAMORTIZED DISC AND OTHER DEFERRED CREDITS</t>
  </si>
  <si>
    <t>GL1-11-03-08-03-99</t>
  </si>
  <si>
    <t xml:space="preserve"> PRIM FOR PERSNAL USE PURP-SALARYBASED LOANS-ALLOWANCE FOR LOSSES</t>
  </si>
  <si>
    <t>GL1-11-03-08-04-01-01</t>
  </si>
  <si>
    <t xml:space="preserve"> PRIM FOR PERSNAL USE PURP-OTHERS-CURRENT</t>
  </si>
  <si>
    <t>GL1-11-03-08-04-01-02</t>
  </si>
  <si>
    <t xml:space="preserve"> PRIM FOR PERSNAL USE PURP-OTHERS- PAST DUE - PERFORMING LOAN</t>
  </si>
  <si>
    <t>GL1-11-03-08-04-01-03</t>
  </si>
  <si>
    <t xml:space="preserve"> PRIM FOR PERSNAL USE PURP-OTHERS- PAST DUE - NON PERFORMING LOAN</t>
  </si>
  <si>
    <t>GL1-11-03-08-04-01-04</t>
  </si>
  <si>
    <t xml:space="preserve"> PRIM FOR PERSNAL USE PURP-OTHERS- ITEMS IN LITIGATION</t>
  </si>
  <si>
    <t>GL1-11-03-08-04-98</t>
  </si>
  <si>
    <t xml:space="preserve"> PRIM FOR PERSNAL USE PURP-OTHERS-UNAMORTIZED DISC AND OTHER DEFERRED CREDITS</t>
  </si>
  <si>
    <t>GL1-11-03-08-04-99</t>
  </si>
  <si>
    <t xml:space="preserve"> PRIM FOR PERSNAL USE PURP-OTHERS-ALLOWANCE FOR LOSSES</t>
  </si>
  <si>
    <t>GL1-11-03-09-01-01</t>
  </si>
  <si>
    <t xml:space="preserve">  OTHER PURPOSES-CURRENT</t>
  </si>
  <si>
    <t>GL1-11-03-09-01-02</t>
  </si>
  <si>
    <t xml:space="preserve">  OTHER PURPOSES-PAST DUE - PERFORMING LOAN</t>
  </si>
  <si>
    <t>GL1-11-03-09-01-03</t>
  </si>
  <si>
    <t xml:space="preserve">  OTHER PURPOSES-  PAST DUE - NON PERFORMING LOAN</t>
  </si>
  <si>
    <t>GL1-11-03-09-01-04</t>
  </si>
  <si>
    <t xml:space="preserve">  OTHER PURPOSES- ITEMS IN LITIGATION</t>
  </si>
  <si>
    <t>GL1-11-03-09-98</t>
  </si>
  <si>
    <t xml:space="preserve">  OTHER PURPOSES-UNAMORTIZED DISC AND DEFERRED CREDITS</t>
  </si>
  <si>
    <t>GL1-11-03-09-99</t>
  </si>
  <si>
    <t xml:space="preserve">  OTHER PURPOSES-ALLOWANCE FOR LOSSES</t>
  </si>
  <si>
    <t>GL1-11-04-02-02-01-03</t>
  </si>
  <si>
    <t>RESTRUCTURED-AGRA/AGRI -OTHER AGRICULTURAL CREDIT-PAST DUE - NON PERFORMING LOAN</t>
  </si>
  <si>
    <t>GL1-11-04-03-01-01-03</t>
  </si>
  <si>
    <t>RESTRUCTURED-MICROENTRPS -MICROFINANCE-PAST DUE - NON PERFORMING LOAN</t>
  </si>
  <si>
    <t>GL1-11-04-03-01-99</t>
  </si>
  <si>
    <t>RESTRUCTURED-MICROENTRPS -MICROFINANCE-ALLOWANCE FOR LOSSES</t>
  </si>
  <si>
    <t>GL1-11-04-04-01-99</t>
  </si>
  <si>
    <t>RESTRUCTURED-SME -SMALL SCALE ENTERPRISES-ALLOWANCE FOR LOSSES</t>
  </si>
  <si>
    <t>GL1-11-04-04-02-01-03</t>
  </si>
  <si>
    <t>RESTRUCTURED-SME -MEDIUM SCALE ENTERPRISE-PAST DUE - NON PERFORMING LOAN</t>
  </si>
  <si>
    <t>GL1-11-04-08-04-01-03</t>
  </si>
  <si>
    <t>RESTRUCTURED- PRIM FOR PERSNAL USE PURP-OTHERS- PAST DUE - NON PERFORMING LOAN</t>
  </si>
  <si>
    <t>GL1-11-04-09-01-03</t>
  </si>
  <si>
    <t xml:space="preserve"> RESTRUCTURED- OTHER PURPOSES-PAST DUE - NON PERFORMING LOAN</t>
  </si>
  <si>
    <t>GL1-11-04-09-99</t>
  </si>
  <si>
    <t xml:space="preserve"> RESTRUCTURED- OTHER PURPOSES-ALLOWANCE FOR LOSSES</t>
  </si>
  <si>
    <t>GL1-11-99</t>
  </si>
  <si>
    <t xml:space="preserve"> GENERAL LOAN LOSS PROVISION</t>
  </si>
  <si>
    <t>GL1-15-01</t>
  </si>
  <si>
    <t>SALES CONTRACT RECVBLS-PERFORMING</t>
  </si>
  <si>
    <t>GL1-15-02</t>
  </si>
  <si>
    <t>SALES CONTRACT RECVBLS-NON-PERFORMING</t>
  </si>
  <si>
    <t>GL1-15-98</t>
  </si>
  <si>
    <t>SALES CONTRACT RECVBLS-UNAMORTIZED DISC AND OTHER DEFERRED CREDITS</t>
  </si>
  <si>
    <t>GL1-15-99</t>
  </si>
  <si>
    <t>SALES CONTRACT RECVBLS-ALLOWANCE FOR LOSSES</t>
  </si>
  <si>
    <t>GL1-16</t>
  </si>
  <si>
    <t xml:space="preserve">ACCRUED INT INC FROM FIN ASSETS (AII FROM FA) </t>
  </si>
  <si>
    <t>GL1-18-01-01</t>
  </si>
  <si>
    <t>BANK PREM-LAND</t>
  </si>
  <si>
    <t>GL1-18-01-02</t>
  </si>
  <si>
    <t>BANK PREM-BUILDING-BUILDING</t>
  </si>
  <si>
    <t>GL1-18-01-03</t>
  </si>
  <si>
    <t>BANK PREM-FURNITURE AND FIXTURES</t>
  </si>
  <si>
    <t>GL1-18-01-04</t>
  </si>
  <si>
    <t>BANK PREM-INFORMATION TECHNOLOGY(IT) EQUIPMENT</t>
  </si>
  <si>
    <t>GL1-18-01-05</t>
  </si>
  <si>
    <t>BANK PREM-OTHER OFFICE EQUIPMENT</t>
  </si>
  <si>
    <t>GL1-18-01-06</t>
  </si>
  <si>
    <t>BANK PREM-TRANSPORTATION EQUIPMENT</t>
  </si>
  <si>
    <t>GL1-18-01-07</t>
  </si>
  <si>
    <t>BANK PREM-LEASEHOLD RIGHTS AND IMPROVEMENTS</t>
  </si>
  <si>
    <t>GL1-18-02-01</t>
  </si>
  <si>
    <t>BANK PREM-ACCUM DEPRECIATION-LAND</t>
  </si>
  <si>
    <t>GL1-18-02-02</t>
  </si>
  <si>
    <t>BANK PREM-ACCUM DEPRECIATION-BUILDING</t>
  </si>
  <si>
    <t>GL1-18-02-03</t>
  </si>
  <si>
    <t>BANK PREM-ACCUM DEPRECIATION-FURNITURE AND FIXTURES</t>
  </si>
  <si>
    <t>GL1-18-02-04</t>
  </si>
  <si>
    <t>BANK PREM-ACCUM DEPRECIATION-INFO TECH EQUIPMENT</t>
  </si>
  <si>
    <t>GL1-18-02-05</t>
  </si>
  <si>
    <t>BANK PREM-ACCUM DEPRECIATION-OTHER OFFICE EQUIPMENT</t>
  </si>
  <si>
    <t>GL1-18-02-06</t>
  </si>
  <si>
    <t>BANK PREM-ACCUM DEPRECIATION-TRANSPORTATION EQUIPMENT</t>
  </si>
  <si>
    <t>GL1-18-02-07</t>
  </si>
  <si>
    <t>BANK PREM-ACCUM DEPRECIATION-LEASEHOLD RIGHTS AND IMPROVEMENTS</t>
  </si>
  <si>
    <t>GL1-19-01-01</t>
  </si>
  <si>
    <t>REAL  AND OTHER PROPERTIES AQUIRED-ROPA-LAND</t>
  </si>
  <si>
    <t>GL1-19-01-02</t>
  </si>
  <si>
    <t>REAL  AND OTHER PROPERTIES AQUIRED-ROPA-BUILDINGS</t>
  </si>
  <si>
    <t>GL1-19-01-03</t>
  </si>
  <si>
    <t>REAL  AND OTHER PROPERTIES AQUIRED-ROPA-OTHER PROPERTIES ACQUIRED</t>
  </si>
  <si>
    <t>GL1-19-98</t>
  </si>
  <si>
    <t>REAL  AND OTHER PROPERTIES AQUIRED-ROPA-ACCUM DEPRECIATION</t>
  </si>
  <si>
    <t>GL1-19-99</t>
  </si>
  <si>
    <t>REAL  AND OTHER PROPERTIES AQUIRED-ALLOWANCE FOR LOSSES</t>
  </si>
  <si>
    <t>GL1-22-01</t>
  </si>
  <si>
    <t>OTHER INTANGIBLE ASSETS-OTHER INTANGIBLE ASSETS</t>
  </si>
  <si>
    <t>GL1-23</t>
  </si>
  <si>
    <t>DEFERRED TAX ASSET</t>
  </si>
  <si>
    <t>GL1-24-02</t>
  </si>
  <si>
    <t>OTHER ASSETS-SERVICING ASSETS</t>
  </si>
  <si>
    <t>GL1-24-03</t>
  </si>
  <si>
    <t>OTHER ASSETS-ACCOUNTS RECVBL</t>
  </si>
  <si>
    <t>GL1-24-03-01</t>
  </si>
  <si>
    <t>OTHER ASSETS-ACCOUNTS RECVBL-OTHERS</t>
  </si>
  <si>
    <t>GL1-24-03-02</t>
  </si>
  <si>
    <t>OTHER ASSETS-ACCOUNTS RECVBL-CAR PLANS</t>
  </si>
  <si>
    <t>GL1-24-03-03</t>
  </si>
  <si>
    <t>OTHER ASSETS-ACCOUNTS RECVBL-BANK EMPLOYEES AND OFFICERS</t>
  </si>
  <si>
    <t>GL1-24-03-04</t>
  </si>
  <si>
    <t>OTHER ASSETS-ACCOUNTS RECVBL - BRANCHES</t>
  </si>
  <si>
    <t>GL1-24-03-99</t>
  </si>
  <si>
    <t>OTHER ASSETS-ACCOUNTS RECEIVABLE - ALLOWANCE FOR LOSSES</t>
  </si>
  <si>
    <t>GL1-24-09</t>
  </si>
  <si>
    <t>OTHER ASSETS-PREPAID EXPENSES</t>
  </si>
  <si>
    <t>GL1-24-13</t>
  </si>
  <si>
    <t>OTHER ASSETS -OTHERS</t>
  </si>
  <si>
    <t>GL1-25</t>
  </si>
  <si>
    <t>DUE FROM HEAD OFFICE/BRANCHES/AGENCI</t>
  </si>
  <si>
    <t>GL2-03-01-01</t>
  </si>
  <si>
    <t>DEPOSIT LIABILITIES-DEMAND DEPOSIT-ACTIVE</t>
  </si>
  <si>
    <t>GL2-03-01-02</t>
  </si>
  <si>
    <t>DEPOSIT LIABILITIES-DEMAND DEPOSIT-DORMANT</t>
  </si>
  <si>
    <t>GL2-03-02-01</t>
  </si>
  <si>
    <t>DEPOSIT LIABILITIES-SAVINGS DEPOSIT- ACTIVE</t>
  </si>
  <si>
    <t>GL2-03-02-02</t>
  </si>
  <si>
    <t>DEPOSIT LIABILITIES-SAVINGS DEPOSIT- DORMANT</t>
  </si>
  <si>
    <t>GL2-03-04</t>
  </si>
  <si>
    <t>DEPOSIT LIABILITIES-TIME DEPOSIT</t>
  </si>
  <si>
    <t>GL2-05-01</t>
  </si>
  <si>
    <t>BILLS PAYABLE-BSP</t>
  </si>
  <si>
    <t>GL2-05-02-01-01-01-00-00-01</t>
  </si>
  <si>
    <t>BILLS PAYABLE -INTERBANK CALL LOAN-GOVERNMENT BANK - RBU- LBP</t>
  </si>
  <si>
    <t>GL2-12-03</t>
  </si>
  <si>
    <t>ACCRUED INTEREST EXPENSE ON FIN LIAB- DEPOSITS</t>
  </si>
  <si>
    <t>GL2-12-04</t>
  </si>
  <si>
    <t>ACCRUED INTEREST EXPENSE ON FIN LIAB- BILLS PAYABLE</t>
  </si>
  <si>
    <t>GL2-15</t>
  </si>
  <si>
    <t>DUE TO TREASURER OF THE PHILIPPINES</t>
  </si>
  <si>
    <t>GL2-24</t>
  </si>
  <si>
    <t>INCOME TAX PAYABLE</t>
  </si>
  <si>
    <t>GL2-26</t>
  </si>
  <si>
    <t>ACCRUED EXPENSES</t>
  </si>
  <si>
    <t>GL2-27</t>
  </si>
  <si>
    <t>UNEARNED INCOME</t>
  </si>
  <si>
    <t>GL2-28</t>
  </si>
  <si>
    <t>DEFFERRED TAX LIABILITIES</t>
  </si>
  <si>
    <t>GL2-29</t>
  </si>
  <si>
    <t>GL2-30-01</t>
  </si>
  <si>
    <t>OTHER LIABILITIES-WITHHOLDING TAX PAYABLE</t>
  </si>
  <si>
    <t>GL2-30-02</t>
  </si>
  <si>
    <t>OTHER LIABILITIES-SSS,MEDICARE, EMPLOYERS COMPENSATION PREM AND PAG-IBIG CONTR PAYABLE</t>
  </si>
  <si>
    <t>GL2-30-03</t>
  </si>
  <si>
    <t>OTHER LIABILITIES-UNCLAIMED BALANCES</t>
  </si>
  <si>
    <t>GL2-30-05</t>
  </si>
  <si>
    <t>OTHER LIABILITIES-DIVIDENDS PAYABLE</t>
  </si>
  <si>
    <t>GL2-30-06</t>
  </si>
  <si>
    <t>OTHER LIABILITIES-ACCOUNTS PAYABLE</t>
  </si>
  <si>
    <t>GL2-30-12</t>
  </si>
  <si>
    <t>OTHER LIABILITIES-OTHERS</t>
  </si>
  <si>
    <t>GL2-31</t>
  </si>
  <si>
    <t>DUE TO HEAD OFFICE/BRANCES/AGENCIES</t>
  </si>
  <si>
    <t>GL3-01</t>
  </si>
  <si>
    <t>PAID-IN CAPITAL STOCK</t>
  </si>
  <si>
    <t>GL3-05</t>
  </si>
  <si>
    <t>RETAINED EARNINGS</t>
  </si>
  <si>
    <t>GL5-01-01</t>
  </si>
  <si>
    <t>INTEREST INCOME-DUE FROM BSP</t>
  </si>
  <si>
    <t>GL5-01-02</t>
  </si>
  <si>
    <t>INTEREST INCOME-DUE FROM OTHER BANKS</t>
  </si>
  <si>
    <t>GL5-01-03</t>
  </si>
  <si>
    <t>INTEREST INCOME-FIN ASSETS HELD FOR TRADING (HFT)</t>
  </si>
  <si>
    <t>GL5-01-06</t>
  </si>
  <si>
    <t>INTEREST INCOME - HELD TO MATURITY(HTM) FIN.ASSETS</t>
  </si>
  <si>
    <t>GL5-01-08-03-02-01-01</t>
  </si>
  <si>
    <t>INTEREST INCOME-AGRA/AGRI -AGRARIAN REFORM LOANS - CURRENT</t>
  </si>
  <si>
    <t>GL5-01-08-03-02-01-02</t>
  </si>
  <si>
    <t>INTEREST INCOME-AGRA/AGRI -AGRARIAN REFORM LOANS - PAST DUE - PERFORMING LOAN</t>
  </si>
  <si>
    <t>GL5-01-08-03-02-01-03</t>
  </si>
  <si>
    <t>INTEREST INCOME-AGRA/AGRI -AGRARIAN REFORM LOANS - PAST DUE - NON PERFORMING LOAN</t>
  </si>
  <si>
    <t>GL5-01-08-03-02-02-01</t>
  </si>
  <si>
    <t>INTEREST INCOME-AGRA/AGRI -OTHER AGRICULTURAL CREDIT-CURRENT</t>
  </si>
  <si>
    <t>GL5-01-08-03-02-02-02</t>
  </si>
  <si>
    <t>INTEREST INCOME-AGRA/AGRI -OTHER AGRICULTURAL CREDIT - PAST DUE - PERFORMING LOAN</t>
  </si>
  <si>
    <t>GL5-01-08-03-02-02-03</t>
  </si>
  <si>
    <t>INTEREST INCOME-AGRA/AGRI -OTHER AGRICULTURAL CREDIT - PAST DUE - NON PERFORMING LOAN</t>
  </si>
  <si>
    <t>GL5-01-08-03-03-01-01</t>
  </si>
  <si>
    <t>INTEREST INCOME-MICROENTRPS -MICROFINANCE- CURRENT</t>
  </si>
  <si>
    <t>GL5-01-08-03-03-01-02</t>
  </si>
  <si>
    <t>INTEREST INCOME-MICROENTRPS -MICROFINANCE - PAST DUE - PERFORMING LOAN</t>
  </si>
  <si>
    <t>GL5-01-08-03-03-01-03</t>
  </si>
  <si>
    <t>INTEREST INCOME-MICROENTRPS -MICROFINANCE - PAST DUE - NON PERFORMING LOAN</t>
  </si>
  <si>
    <t>GL5-01-08-03-04-01-01</t>
  </si>
  <si>
    <t>INTEREST INCOME-SME -SMALL SCALE ENTERPRISES - CURRENT</t>
  </si>
  <si>
    <t>GL5-01-08-03-04-01-02</t>
  </si>
  <si>
    <t>INTEREST INCOME-SME -SMALL SCALE ENTERPRISES- PAST DUE - PERFORMING LOAN</t>
  </si>
  <si>
    <t>GL5-01-08-03-04-01-03</t>
  </si>
  <si>
    <t>INTEREST INCOME-SME -SMALL SCALE ENTERPRISES - PAST DUE - NON PERFORMING LOAN</t>
  </si>
  <si>
    <t>GL5-01-08-03-04-02-01</t>
  </si>
  <si>
    <t>INTEREST INCOME-SME -MEDIUM SCALE ENTERPRISE - CURRENT</t>
  </si>
  <si>
    <t>GL5-01-08-03-04-02-02</t>
  </si>
  <si>
    <t>INTEREST INCOME-SME -MEDIUM SCALE ENTERPRISE - PAST DUE - PERFORMING LOAN</t>
  </si>
  <si>
    <t>GL5-01-08-03-04-02-03</t>
  </si>
  <si>
    <t>INTEREST INCOME-SME -MEDIUM SCALE ENTERPRISE- PAST DUE - NON PERFORMING LOAN</t>
  </si>
  <si>
    <t>GL5-01-08-03-06-01-01</t>
  </si>
  <si>
    <t>INTEREST INCOME- PRIV CORP-FIN - CURRENT</t>
  </si>
  <si>
    <t>GL5-01-08-03-06-01-02</t>
  </si>
  <si>
    <t>INTEREST INCOME- PRIV CORP-FIN - PAST DUE - PERFORMING LOAN</t>
  </si>
  <si>
    <t>GL5-01-08-03-06-01-03</t>
  </si>
  <si>
    <t>INTEREST INCOME- PRIV CORP-FIN - PAST DUE - NON PERFORMING LOAN</t>
  </si>
  <si>
    <t>GL5-01-08-03-06-02-01</t>
  </si>
  <si>
    <t>INTEREST INCOME- PRIV CORP-NONFIN- CURRENT</t>
  </si>
  <si>
    <t>GL5-01-08-03-06-02-02</t>
  </si>
  <si>
    <t>INTEREST INCOME- PRIV CORP-NONFIN - PAST DUE - PERFORMING LOAN</t>
  </si>
  <si>
    <t>GL5-01-08-03-06-02-03</t>
  </si>
  <si>
    <t>INTEREST INCOME- PRIV CORP-NONFIN- PAST DUE - NON PERFORMING LOAN</t>
  </si>
  <si>
    <t>GL5-01-08-03-07-01</t>
  </si>
  <si>
    <t>INTEREST INCOME- HOUSING PURPOSE - CURRENT</t>
  </si>
  <si>
    <t>GL5-01-08-03-07-02</t>
  </si>
  <si>
    <t>INTEREST INCOME- HOUSING PURPOSE - PAST DUE - PERFORMING LOAN</t>
  </si>
  <si>
    <t>GL5-01-08-03-07-03</t>
  </si>
  <si>
    <t>INTEREST INCOME- HOUSING PURPOSE- PAST DUE - NON PERFORMING LOAN</t>
  </si>
  <si>
    <t>GL5-01-08-03-07-04</t>
  </si>
  <si>
    <t>INTEREST INCOME- HOUSING PURPOSE- ITEMS IN LITIGATION</t>
  </si>
  <si>
    <t>GL5-01-08-03-08-02-02-01</t>
  </si>
  <si>
    <t>INTEREST INCOME - PRIM FOR PERSNAL USE PURP-MOTORCYCLE LOANS- CURRENT</t>
  </si>
  <si>
    <t>GL5-01-08-03-08-02-02-02</t>
  </si>
  <si>
    <t>INTEREST INCOME - PRIM FOR PERSNAL USE PURP-MOTORCYCLE  LOANS- PAST DUE - PERFORMING LOAN</t>
  </si>
  <si>
    <t>GL5-01-08-03-08-02-02-03</t>
  </si>
  <si>
    <t>INTEREST INCOME - PRIM FOR PERSNAL USE PURP-MOTORCYCLE LOANS- PAST DUE - NON PERFORMING LOAN</t>
  </si>
  <si>
    <t>GL5-01-08-03-08-03-01</t>
  </si>
  <si>
    <t>INTEREST INCOME - PRIM FOR PERSNAL USE PURP-SALARY-BASED LOANS-CURRENT</t>
  </si>
  <si>
    <t>GL5-01-08-03-08-03-02</t>
  </si>
  <si>
    <t xml:space="preserve"> INTEREST INCOME - PRIM FOR PERSNAL USE PURP-SALARY-BASED LOANS-PAST DUE - PERFORMING LOAN</t>
  </si>
  <si>
    <t>GL5-01-08-03-08-03-03</t>
  </si>
  <si>
    <t>INTEREST INCOME - PRIM FOR PERSNAL USE PURP-SALARY-BASED LOANS- PAST DUE - NON PERFORMING LOAN</t>
  </si>
  <si>
    <t>GL5-01-08-03-08-04-01</t>
  </si>
  <si>
    <t>INTEREST INCOME - PRIM FOR PERSNAL USE PURP-OTHERS-CURRENT</t>
  </si>
  <si>
    <t>GL5-01-08-03-08-04-02</t>
  </si>
  <si>
    <t>INTEREST INCOME - PRIM FOR PERSNAL USE PURP-OTHERS- PAST DUE - PERFORMING LOAN</t>
  </si>
  <si>
    <t>GL5-01-08-03-08-04-03</t>
  </si>
  <si>
    <t>INTEREST INCOME - PRIM FOR PERSNAL USE PURP-OTHERS- PAST DUE - NON PERFORMING LOAN</t>
  </si>
  <si>
    <t>GL5-01-08-03-09-01</t>
  </si>
  <si>
    <t>INTEREST INCOME- OTHER PURPOSES - CURRENT</t>
  </si>
  <si>
    <t>GL5-01-08-03-09-02</t>
  </si>
  <si>
    <t>INTEREST INCOME- OTHER PURPOSES - PAST DUE - PERFORMING LOAN</t>
  </si>
  <si>
    <t>GL5-01-08-03-09-03</t>
  </si>
  <si>
    <t>INTEREST INCOME- OTHER PURPOSES - PAST DUE - NON PERFORMING LOAN</t>
  </si>
  <si>
    <t>GL5-01-08-04-02-01-01</t>
  </si>
  <si>
    <t>INTEREST INCOME -RESTRUCTURED -AGRA/AGRI -AGRARIAN REFORM LOANS - CURRENT</t>
  </si>
  <si>
    <t>GL5-01-08-04-02-01-02</t>
  </si>
  <si>
    <t>INTEREST INCOME -RESTRUCTURED -AGRA/AGRI -AGRARIAN REFORM LOANS - PAST DUE - PERFORMING LOAN</t>
  </si>
  <si>
    <t>GL5-01-08-04-02-01-03</t>
  </si>
  <si>
    <t>INTEREST INCOME -RESTRUCTURED -AGRA/AGRI -AGRARIAN REFORM LOANS - PAST DUE - NON PERFORMING LOAN</t>
  </si>
  <si>
    <t>GL5-01-08-04-02-02-01</t>
  </si>
  <si>
    <t>INTEREST INCOME -RESTRUCTURED -AGRA/AGRI -OTHER AGRICULTURAL CREDIT-CURRENT</t>
  </si>
  <si>
    <t>GL5-01-08-04-02-02-02</t>
  </si>
  <si>
    <t>INTEREST INCOME -RESTRUCTURED -AGRA/AGRI -OTHER AGRICULTURAL CREDIT - PAST DUE - PERFORMING LOAN</t>
  </si>
  <si>
    <t>GL5-01-08-04-02-02-03</t>
  </si>
  <si>
    <t>INTEREST INCOME -RESTRUCTURED -AGRA/AGRI -OTHER AGRICULTURAL CREDIT - PAST DUE - NON PERFORMING LOAN</t>
  </si>
  <si>
    <t>GL5-01-08-04-04-02-01</t>
  </si>
  <si>
    <t>INTEREST INCOME -RESTRUCTURED -SME -MEDIUM SCALE ENTERPRISE - CURRENT</t>
  </si>
  <si>
    <t>GL5-01-08-04-04-02-02</t>
  </si>
  <si>
    <t>INTEREST INCOME -RESTRUCTURED -SME -MEDIUM SCALE ENTERPRISE - PAST DUE - PERFORMING LOAN</t>
  </si>
  <si>
    <t>GL5-01-08-04-04-02-03</t>
  </si>
  <si>
    <t>INTEREST INCOME -RESTRUCTURED -SME -MEDIUM SCALE ENTERPRISE- PAST DUE - NON PERFORMING LOAN</t>
  </si>
  <si>
    <t>GL5-01-11</t>
  </si>
  <si>
    <t>INTEREST INCOME - SALES CONTRACT RECVBLS</t>
  </si>
  <si>
    <t>GL5-05</t>
  </si>
  <si>
    <t>FEES AND COMMISSIONS INCOME</t>
  </si>
  <si>
    <t>GL5-06</t>
  </si>
  <si>
    <t>GAINS/LOSSES ON FA-HELD FOR TRADING</t>
  </si>
  <si>
    <t>GL5-08</t>
  </si>
  <si>
    <t>FOREIGN EXCHANGE PROFIT/(LOSS)</t>
  </si>
  <si>
    <t>GL5-11</t>
  </si>
  <si>
    <t>GAINS/LOSSES-SALE/DERECOGNITION OF NON FIN ASSETS</t>
  </si>
  <si>
    <t>GL5-12</t>
  </si>
  <si>
    <t>OTHER INCOME</t>
  </si>
  <si>
    <t>GL6-03-01-01</t>
  </si>
  <si>
    <t>INTEREST EXPENSE-DEP LIAB-DEMAND DEPOSIT</t>
  </si>
  <si>
    <t>GL6-03-01-02</t>
  </si>
  <si>
    <t>INTEREST EXPENSE-DEP LIAB-SAVINGS DEPOSIT</t>
  </si>
  <si>
    <t>GL6-03-01-04</t>
  </si>
  <si>
    <t>INTEREST EXPENSE-DEP LIAB-TIME DEPOSIT</t>
  </si>
  <si>
    <t>GL6-03-05-01</t>
  </si>
  <si>
    <t>INTEREST EXPENSE - BILLS PAYABLE-BSP</t>
  </si>
  <si>
    <t>GL6-03-05-02-01-01-01-00-01</t>
  </si>
  <si>
    <t>INTEREST EXPENSE - BILLS PAYABLE - GOVERNMENT BANKS -RBU - LBP - W/ EWT</t>
  </si>
  <si>
    <t>GL6-03-05-02-01-01-01-00-02</t>
  </si>
  <si>
    <t>INTEREST EXPENSE - BILLS PAYABLE - GOVERNMENT BANKS -RBU - LBP - EWT EXEMPT</t>
  </si>
  <si>
    <t>GL6-03-05-02-01-01-01-00-03</t>
  </si>
  <si>
    <t>INTEREST EXPENSE - BILLS PAYABLE - GOVERNMENT BANKS -RBU - DBP - W/ EWT</t>
  </si>
  <si>
    <t>GL6-03-05-02-01-01-01-00-04</t>
  </si>
  <si>
    <t>INTEREST EXPENSE - BILLS PAYABLE - GOVERNMENT BANKS -RBU - DBP - EWT EXEMPT</t>
  </si>
  <si>
    <t>GL6-03-05-03-07</t>
  </si>
  <si>
    <t>INTEREST EXPENSE -BILLS PAYABLE - OTHER DEP SUBS-OTHERS</t>
  </si>
  <si>
    <t>GL6-03-05-04-00-00-00-00-01</t>
  </si>
  <si>
    <t>INTEREST EXPENSE - BILLS PAYABLE - OTHERS - NLDC- W/ EWT</t>
  </si>
  <si>
    <t>GL6-03-05-04-00-00-00-00-02</t>
  </si>
  <si>
    <t>INTEREST EXPENSE - BILLS PAYABLE - OTHERS - NLDC - EWT EXEMPT</t>
  </si>
  <si>
    <t>GL6-03-05-04-00-00-00-00-03</t>
  </si>
  <si>
    <t>INTEREST EXPENSE - BILLS PAYABLE - OTHERS -SBGFC- W/ EWT</t>
  </si>
  <si>
    <t>GL6-03-05-04-00-00-00-00-04</t>
  </si>
  <si>
    <t>INTEREST EXPENSE - BILLS PAYABLE - OTHERS -SBGFC - EWT EXEMPT</t>
  </si>
  <si>
    <t>GL6-03-10</t>
  </si>
  <si>
    <t>INTEREST EXPENSE - OTHERS</t>
  </si>
  <si>
    <t>GL6-13-01</t>
  </si>
  <si>
    <t>SALARIES AND WAGES</t>
  </si>
  <si>
    <t>GL6-13-02</t>
  </si>
  <si>
    <t>FRINGE BENEFITS</t>
  </si>
  <si>
    <t>GL6-13-03</t>
  </si>
  <si>
    <t>DIRECTORS FEES</t>
  </si>
  <si>
    <t>GL6-13-04</t>
  </si>
  <si>
    <t>SSS,PHILHEALTH,EMPLOYERS COMPENSATION</t>
  </si>
  <si>
    <t>GL6-13-05</t>
  </si>
  <si>
    <t>MEDICAL,DENTAL AND HOSPITALIZATION</t>
  </si>
  <si>
    <t>GL6-13-06</t>
  </si>
  <si>
    <t>CONTRIBUTION TO RETIREMENT/PROVIDENT</t>
  </si>
  <si>
    <t>GL6-14</t>
  </si>
  <si>
    <t>GL6-15</t>
  </si>
  <si>
    <t>FEES AND COMMISSIONS EXPENSES</t>
  </si>
  <si>
    <t>GL6-16-08-01</t>
  </si>
  <si>
    <t>INSURANCE EXPENSES-PDIC</t>
  </si>
  <si>
    <t>GL6-16-08-02</t>
  </si>
  <si>
    <t>INSURANCE EXPENSES-PCIC</t>
  </si>
  <si>
    <t>GL6-16-08-03</t>
  </si>
  <si>
    <t>INSURANCE EXPENSES-OTHERS</t>
  </si>
  <si>
    <t>GL6-16-09</t>
  </si>
  <si>
    <t>GL6-17</t>
  </si>
  <si>
    <t>DEPRECIATION / AMORTIZATION EXPENSES</t>
  </si>
  <si>
    <t>GL6-19</t>
  </si>
  <si>
    <t>GL6-20</t>
  </si>
  <si>
    <t>PROVISIONS FOR CREDIT LOSSES ON LOANS AND RECVBLS AND OTHER FIN ASSETS</t>
  </si>
  <si>
    <t>GL6-21</t>
  </si>
  <si>
    <t>BAD DEBTS WRITTEN OFF</t>
  </si>
  <si>
    <t>2018-02-28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</si>
</sst>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_);\(0.00\)"/>
    <numFmt numFmtId="168" formatCode="0.0"/>
    <numFmt numFmtId="169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70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_(* #,##0_);_(* \(#,##0\);_(* &quot;-&quot;??_);_(@_)"/>
    <numFmt numFmtId="174" formatCode="_(* #,##0.000_);_(* \(#,##0.000\);_(* &quot;-&quot;??_);_(@_)"/>
    <numFmt numFmtId="175" formatCode="_(* #,##0.00000000000_);_(* \(#,##0.00000000000\);_(* &quot;-&quot;??_);_(@_)"/>
    <numFmt numFmtId="176" formatCode="_(* #,##0.0000_);_(* \(#,##0.00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b/>
      <u/>
      <sz val="11"/>
      <name val="Arial"/>
      <family val="2"/>
    </font>
    <font>
      <i/>
      <sz val="10"/>
      <color indexed="56"/>
      <name val="Arial"/>
      <family val="2"/>
    </font>
    <font>
      <sz val="11"/>
      <color indexed="8"/>
      <name val="Calibri"/>
      <family val="2"/>
    </font>
    <font>
      <sz val="12"/>
      <name val="Helv"/>
    </font>
    <font>
      <sz val="8"/>
      <name val="Arial"/>
      <family val="2"/>
    </font>
    <font>
      <sz val="7"/>
      <name val="Small Fonts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8"/>
      <name val="Arial"/>
      <family val="2"/>
    </font>
    <font>
      <sz val="8"/>
      <color theme="0"/>
      <name val="Arial"/>
      <family val="2"/>
    </font>
    <font>
      <sz val="8"/>
      <color theme="0" tint="-0.3499862666707357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2">
    <xf numFmtId="0" fontId="0" fillId="0" borderId="0"/>
    <xf numFmtId="166" fontId="4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168" fontId="4" fillId="11" borderId="8" applyNumberFormat="0" applyFill="0" applyBorder="0">
      <alignment vertical="top" wrapText="1"/>
    </xf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8" fontId="8" fillId="0" borderId="0" applyNumberFormat="0" applyFill="0">
      <alignment vertical="top" wrapText="1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10" fillId="11" borderId="0" applyFont="0" applyBorder="0"/>
    <xf numFmtId="38" fontId="11" fillId="11" borderId="0" applyNumberFormat="0" applyBorder="0" applyAlignment="0" applyProtection="0"/>
    <xf numFmtId="10" fontId="11" fillId="12" borderId="9" applyNumberFormat="0" applyBorder="0" applyAlignment="0" applyProtection="0"/>
    <xf numFmtId="37" fontId="12" fillId="0" borderId="0"/>
    <xf numFmtId="17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1" fillId="0" borderId="0"/>
    <xf numFmtId="0" fontId="4" fillId="0" borderId="0"/>
    <xf numFmtId="0" fontId="4" fillId="0" borderId="0"/>
    <xf numFmtId="0" fontId="1" fillId="2" borderId="1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0" applyFont="1"/>
    <xf numFmtId="167" fontId="3" fillId="0" borderId="0" xfId="0" applyNumberFormat="1" applyFont="1" applyAlignment="1">
      <alignment vertical="center"/>
    </xf>
    <xf numFmtId="166" fontId="3" fillId="0" borderId="0" xfId="1" applyFont="1"/>
    <xf numFmtId="0" fontId="5" fillId="0" borderId="0" xfId="0" applyFont="1" applyFill="1"/>
    <xf numFmtId="0" fontId="3" fillId="0" borderId="0" xfId="0" applyFont="1" applyFill="1"/>
    <xf numFmtId="0" fontId="5" fillId="0" borderId="0" xfId="0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Border="1"/>
    <xf numFmtId="166" fontId="5" fillId="0" borderId="0" xfId="1" applyFont="1" applyBorder="1"/>
    <xf numFmtId="9" fontId="3" fillId="0" borderId="2" xfId="1" applyNumberFormat="1" applyFont="1" applyBorder="1"/>
    <xf numFmtId="0" fontId="3" fillId="0" borderId="2" xfId="0" applyFont="1" applyBorder="1"/>
    <xf numFmtId="166" fontId="3" fillId="0" borderId="0" xfId="1" applyFont="1" applyBorder="1"/>
    <xf numFmtId="0" fontId="3" fillId="0" borderId="0" xfId="0" applyFont="1" applyFill="1" applyBorder="1"/>
    <xf numFmtId="166" fontId="3" fillId="0" borderId="2" xfId="1" applyFont="1" applyBorder="1"/>
    <xf numFmtId="167" fontId="3" fillId="0" borderId="2" xfId="0" applyNumberFormat="1" applyFont="1" applyBorder="1" applyAlignment="1">
      <alignment vertical="center"/>
    </xf>
    <xf numFmtId="0" fontId="3" fillId="0" borderId="0" xfId="0" applyFont="1" applyAlignment="1"/>
    <xf numFmtId="166" fontId="3" fillId="0" borderId="0" xfId="0" applyNumberFormat="1" applyFont="1"/>
    <xf numFmtId="166" fontId="3" fillId="0" borderId="0" xfId="1" applyFont="1" applyFill="1"/>
    <xf numFmtId="166" fontId="6" fillId="0" borderId="0" xfId="1" applyFont="1" applyAlignment="1">
      <alignment horizontal="center"/>
    </xf>
    <xf numFmtId="166" fontId="6" fillId="0" borderId="0" xfId="1" applyFont="1"/>
    <xf numFmtId="0" fontId="6" fillId="0" borderId="0" xfId="0" applyFont="1" applyAlignment="1">
      <alignment horizontal="center"/>
    </xf>
    <xf numFmtId="0" fontId="3" fillId="0" borderId="0" xfId="0" applyNumberFormat="1" applyFont="1"/>
    <xf numFmtId="0" fontId="5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6" fontId="3" fillId="0" borderId="0" xfId="0" applyNumberFormat="1" applyFont="1" applyBorder="1"/>
    <xf numFmtId="167" fontId="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66" fontId="3" fillId="0" borderId="6" xfId="1" applyFont="1" applyBorder="1"/>
    <xf numFmtId="0" fontId="3" fillId="0" borderId="6" xfId="0" applyFont="1" applyBorder="1"/>
    <xf numFmtId="167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 vertical="center"/>
    </xf>
    <xf numFmtId="0" fontId="7" fillId="0" borderId="0" xfId="0" applyFont="1"/>
    <xf numFmtId="166" fontId="5" fillId="0" borderId="0" xfId="1" applyFont="1" applyFill="1"/>
    <xf numFmtId="0" fontId="11" fillId="0" borderId="0" xfId="0" applyFont="1" applyFill="1"/>
    <xf numFmtId="166" fontId="11" fillId="0" borderId="0" xfId="1" applyFont="1" applyFill="1"/>
    <xf numFmtId="166" fontId="11" fillId="0" borderId="0" xfId="1" applyFont="1" applyFill="1" applyAlignment="1">
      <alignment horizontal="right"/>
    </xf>
    <xf numFmtId="0" fontId="11" fillId="0" borderId="0" xfId="0" applyFont="1" applyFill="1" applyBorder="1"/>
    <xf numFmtId="0" fontId="11" fillId="0" borderId="0" xfId="0" applyFont="1" applyFill="1" applyAlignment="1">
      <alignment horizontal="right"/>
    </xf>
    <xf numFmtId="0" fontId="13" fillId="0" borderId="0" xfId="0" applyFont="1"/>
    <xf numFmtId="166" fontId="13" fillId="0" borderId="0" xfId="1" applyFont="1"/>
    <xf numFmtId="166" fontId="11" fillId="0" borderId="0" xfId="0" applyNumberFormat="1" applyFont="1" applyFill="1"/>
    <xf numFmtId="173" fontId="11" fillId="0" borderId="2" xfId="0" applyNumberFormat="1" applyFont="1" applyFill="1" applyBorder="1"/>
    <xf numFmtId="166" fontId="11" fillId="0" borderId="0" xfId="27" applyFont="1" applyFill="1"/>
    <xf numFmtId="173" fontId="11" fillId="0" borderId="0" xfId="0" applyNumberFormat="1" applyFont="1" applyFill="1"/>
    <xf numFmtId="173" fontId="11" fillId="0" borderId="0" xfId="0" applyNumberFormat="1" applyFont="1" applyFill="1" applyBorder="1"/>
    <xf numFmtId="9" fontId="13" fillId="0" borderId="2" xfId="1" applyNumberFormat="1" applyFont="1" applyBorder="1"/>
    <xf numFmtId="0" fontId="14" fillId="0" borderId="0" xfId="0" applyFont="1" applyFill="1"/>
    <xf numFmtId="166" fontId="14" fillId="0" borderId="0" xfId="1" applyFont="1" applyFill="1"/>
    <xf numFmtId="166" fontId="14" fillId="0" borderId="0" xfId="1" applyFont="1" applyFill="1" applyAlignment="1">
      <alignment horizontal="right"/>
    </xf>
    <xf numFmtId="166" fontId="14" fillId="0" borderId="0" xfId="27" applyFont="1" applyFill="1"/>
    <xf numFmtId="0" fontId="14" fillId="0" borderId="0" xfId="0" applyFont="1" applyFill="1" applyAlignment="1">
      <alignment horizontal="right"/>
    </xf>
    <xf numFmtId="0" fontId="15" fillId="0" borderId="0" xfId="0" applyFont="1" applyFill="1"/>
    <xf numFmtId="0" fontId="16" fillId="0" borderId="0" xfId="0" applyFont="1" applyFill="1"/>
    <xf numFmtId="166" fontId="14" fillId="0" borderId="0" xfId="0" applyNumberFormat="1" applyFont="1" applyFill="1" applyBorder="1"/>
    <xf numFmtId="0" fontId="11" fillId="0" borderId="0" xfId="0" applyFont="1" applyFill="1" applyBorder="1" applyAlignment="1">
      <alignment horizontal="right"/>
    </xf>
    <xf numFmtId="166" fontId="11" fillId="0" borderId="0" xfId="0" applyNumberFormat="1" applyFont="1" applyFill="1" applyBorder="1"/>
    <xf numFmtId="0" fontId="11" fillId="0" borderId="0" xfId="27" applyNumberFormat="1" applyFont="1" applyFill="1" applyAlignment="1">
      <alignment horizontal="left"/>
    </xf>
    <xf numFmtId="10" fontId="11" fillId="0" borderId="0" xfId="0" applyNumberFormat="1" applyFont="1" applyFill="1"/>
    <xf numFmtId="39" fontId="11" fillId="0" borderId="0" xfId="0" applyNumberFormat="1" applyFont="1" applyFill="1"/>
    <xf numFmtId="10" fontId="14" fillId="0" borderId="0" xfId="102" applyNumberFormat="1" applyFont="1" applyFill="1"/>
    <xf numFmtId="0" fontId="11" fillId="0" borderId="2" xfId="0" applyFont="1" applyFill="1" applyBorder="1"/>
    <xf numFmtId="0" fontId="11" fillId="0" borderId="0" xfId="0" applyFont="1" applyFill="1" applyBorder="1" applyAlignment="1">
      <alignment horizontal="center"/>
    </xf>
    <xf numFmtId="4" fontId="11" fillId="0" borderId="0" xfId="0" applyNumberFormat="1" applyFont="1" applyFill="1"/>
    <xf numFmtId="166" fontId="11" fillId="0" borderId="10" xfId="1" applyFont="1" applyFill="1" applyBorder="1"/>
    <xf numFmtId="0" fontId="14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16" fontId="14" fillId="0" borderId="0" xfId="0" applyNumberFormat="1" applyFont="1" applyFill="1" applyAlignment="1">
      <alignment horizontal="left"/>
    </xf>
    <xf numFmtId="166" fontId="11" fillId="0" borderId="0" xfId="26" applyFont="1" applyFill="1"/>
    <xf numFmtId="166" fontId="17" fillId="0" borderId="0" xfId="26" applyFont="1" applyFill="1"/>
    <xf numFmtId="166" fontId="17" fillId="0" borderId="0" xfId="26" applyFont="1" applyFill="1" applyBorder="1"/>
    <xf numFmtId="166" fontId="11" fillId="0" borderId="0" xfId="26" applyFont="1" applyFill="1" applyBorder="1"/>
    <xf numFmtId="174" fontId="11" fillId="0" borderId="0" xfId="26" applyNumberFormat="1" applyFont="1" applyFill="1"/>
    <xf numFmtId="166" fontId="11" fillId="0" borderId="2" xfId="26" applyFont="1" applyFill="1" applyBorder="1"/>
    <xf numFmtId="166" fontId="11" fillId="0" borderId="2" xfId="26" applyFont="1" applyFill="1" applyBorder="1" applyAlignment="1">
      <alignment horizontal="center"/>
    </xf>
    <xf numFmtId="166" fontId="11" fillId="0" borderId="0" xfId="26" applyFont="1" applyFill="1" applyBorder="1" applyAlignment="1">
      <alignment horizontal="center"/>
    </xf>
    <xf numFmtId="166" fontId="11" fillId="0" borderId="6" xfId="26" applyFont="1" applyFill="1" applyBorder="1"/>
    <xf numFmtId="166" fontId="11" fillId="0" borderId="0" xfId="26" applyFont="1" applyFill="1" applyAlignment="1">
      <alignment horizontal="right"/>
    </xf>
    <xf numFmtId="176" fontId="11" fillId="0" borderId="0" xfId="26" applyNumberFormat="1" applyFont="1" applyFill="1" applyBorder="1"/>
    <xf numFmtId="175" fontId="11" fillId="0" borderId="0" xfId="26" applyNumberFormat="1" applyFont="1" applyFill="1"/>
    <xf numFmtId="174" fontId="11" fillId="0" borderId="0" xfId="26" applyNumberFormat="1" applyFont="1" applyFill="1" applyBorder="1"/>
    <xf numFmtId="166" fontId="14" fillId="0" borderId="0" xfId="26" applyFont="1" applyFill="1"/>
    <xf numFmtId="166" fontId="14" fillId="0" borderId="0" xfId="26" applyFont="1" applyFill="1" applyBorder="1"/>
    <xf numFmtId="175" fontId="11" fillId="0" borderId="0" xfId="26" applyNumberFormat="1" applyFont="1" applyFill="1" applyBorder="1" applyAlignment="1">
      <alignment horizontal="center"/>
    </xf>
    <xf numFmtId="166" fontId="11" fillId="0" borderId="0" xfId="26" applyNumberFormat="1" applyFont="1" applyFill="1"/>
    <xf numFmtId="166" fontId="11" fillId="0" borderId="0" xfId="26" applyFont="1" applyFill="1" applyAlignment="1">
      <alignment horizontal="center"/>
    </xf>
    <xf numFmtId="12" fontId="11" fillId="0" borderId="0" xfId="26" applyNumberFormat="1" applyFont="1" applyFill="1"/>
    <xf numFmtId="166" fontId="14" fillId="0" borderId="10" xfId="26" applyFont="1" applyFill="1" applyBorder="1"/>
    <xf numFmtId="164" fontId="11" fillId="0" borderId="0" xfId="26" applyNumberFormat="1" applyFont="1" applyFill="1" applyBorder="1"/>
    <xf numFmtId="0" fontId="11" fillId="0" borderId="0" xfId="26" applyNumberFormat="1" applyFont="1" applyFill="1" applyBorder="1" applyAlignment="1">
      <alignment horizontal="center"/>
    </xf>
    <xf numFmtId="173" fontId="11" fillId="0" borderId="0" xfId="26" applyNumberFormat="1" applyFont="1" applyFill="1" applyBorder="1" applyAlignment="1"/>
    <xf numFmtId="166" fontId="14" fillId="0" borderId="9" xfId="26" applyFont="1" applyFill="1" applyBorder="1"/>
    <xf numFmtId="166" fontId="19" fillId="0" borderId="0" xfId="0" applyNumberFormat="1" applyFont="1" applyFill="1"/>
    <xf numFmtId="10" fontId="11" fillId="0" borderId="0" xfId="102" applyNumberFormat="1" applyFont="1" applyFill="1"/>
    <xf numFmtId="166" fontId="11" fillId="0" borderId="0" xfId="26" applyFont="1" applyFill="1" applyAlignment="1">
      <alignment horizontal="left"/>
    </xf>
    <xf numFmtId="166" fontId="15" fillId="0" borderId="0" xfId="26" applyFont="1" applyFill="1"/>
    <xf numFmtId="0" fontId="14" fillId="0" borderId="0" xfId="26" applyNumberFormat="1" applyFont="1" applyFill="1" applyAlignment="1">
      <alignment horizontal="left"/>
    </xf>
    <xf numFmtId="0" fontId="15" fillId="0" borderId="0" xfId="26" applyNumberFormat="1" applyFont="1" applyFill="1" applyAlignment="1">
      <alignment horizontal="left"/>
    </xf>
    <xf numFmtId="166" fontId="18" fillId="0" borderId="0" xfId="26" applyFont="1" applyFill="1"/>
    <xf numFmtId="166" fontId="14" fillId="0" borderId="0" xfId="26" applyFont="1" applyFill="1" applyAlignment="1">
      <alignment horizontal="left"/>
    </xf>
    <xf numFmtId="166" fontId="16" fillId="0" borderId="0" xfId="26" applyFont="1" applyFill="1"/>
    <xf numFmtId="166" fontId="14" fillId="0" borderId="0" xfId="26" applyFont="1" applyFill="1" applyAlignment="1">
      <alignment horizontal="center"/>
    </xf>
    <xf numFmtId="166" fontId="14" fillId="0" borderId="0" xfId="26" applyFont="1" applyFill="1" applyAlignment="1">
      <alignment horizontal="right"/>
    </xf>
    <xf numFmtId="166" fontId="14" fillId="0" borderId="0" xfId="26" applyFont="1" applyFill="1" applyBorder="1" applyAlignment="1">
      <alignment horizontal="center"/>
    </xf>
    <xf numFmtId="0" fontId="11" fillId="0" borderId="0" xfId="26" applyNumberFormat="1" applyFont="1" applyFill="1" applyAlignment="1">
      <alignment horizontal="left"/>
    </xf>
    <xf numFmtId="166" fontId="14" fillId="0" borderId="0" xfId="26" applyNumberFormat="1" applyFont="1" applyFill="1" applyAlignment="1">
      <alignment horizontal="left"/>
    </xf>
    <xf numFmtId="166" fontId="11" fillId="0" borderId="0" xfId="26" applyNumberFormat="1" applyFont="1" applyFill="1" applyAlignment="1">
      <alignment horizontal="left"/>
    </xf>
    <xf numFmtId="173" fontId="11" fillId="0" borderId="0" xfId="26" applyNumberFormat="1" applyFont="1" applyFill="1"/>
    <xf numFmtId="173" fontId="11" fillId="0" borderId="2" xfId="26" applyNumberFormat="1" applyFont="1" applyFill="1" applyBorder="1"/>
    <xf numFmtId="14" fontId="19" fillId="0" borderId="0" xfId="1" applyNumberFormat="1" applyFont="1" applyFill="1" applyAlignment="1">
      <alignment horizontal="righ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0" borderId="1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7" fontId="5" fillId="0" borderId="5" xfId="0" applyNumberFormat="1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167" fontId="5" fillId="0" borderId="0" xfId="0" applyNumberFormat="1" applyFont="1" applyBorder="1" applyAlignment="1">
      <alignment horizontal="center"/>
    </xf>
    <xf numFmtId="166" fontId="3" fillId="0" borderId="0" xfId="1" applyFont="1" applyAlignment="1">
      <alignment horizontal="center"/>
    </xf>
    <xf numFmtId="166" fontId="3" fillId="0" borderId="7" xfId="1" applyFont="1" applyBorder="1" applyAlignment="1">
      <alignment horizontal="center"/>
    </xf>
    <xf numFmtId="0" fontId="11" fillId="0" borderId="0" xfId="0" applyFont="1" applyFill="1" applyAlignment="1">
      <alignment horizontal="left"/>
    </xf>
  </cellXfs>
  <cellStyles count="112">
    <cellStyle name="20% - Accent1 2" xfId="2"/>
    <cellStyle name="20% - Accent2 2" xfId="3"/>
    <cellStyle name="20% - Accent3 2" xfId="4"/>
    <cellStyle name="20% - Accent4 2" xfId="5"/>
    <cellStyle name="2line" xfId="6"/>
    <cellStyle name="40% - Accent3 2" xfId="7"/>
    <cellStyle name="60% - Accent3 2" xfId="8"/>
    <cellStyle name="60% - Accent4 2" xfId="9"/>
    <cellStyle name="60% - Accent6 2" xfId="10"/>
    <cellStyle name="blue" xfId="11"/>
    <cellStyle name="Comma" xfId="1" builtinId="3"/>
    <cellStyle name="Comma 10" xfId="12"/>
    <cellStyle name="Comma 10 2" xfId="13"/>
    <cellStyle name="Comma 10 2 2" xfId="14"/>
    <cellStyle name="Comma 11" xfId="15"/>
    <cellStyle name="Comma 12" xfId="16"/>
    <cellStyle name="Comma 13" xfId="17"/>
    <cellStyle name="Comma 13 2" xfId="18"/>
    <cellStyle name="Comma 13 2 2" xfId="19"/>
    <cellStyle name="Comma 13 2 3" xfId="20"/>
    <cellStyle name="Comma 13 3" xfId="21"/>
    <cellStyle name="Comma 14" xfId="22"/>
    <cellStyle name="Comma 15" xfId="23"/>
    <cellStyle name="Comma 16" xfId="24"/>
    <cellStyle name="Comma 17" xfId="25"/>
    <cellStyle name="Comma 2" xfId="26"/>
    <cellStyle name="Comma 2 2" xfId="27"/>
    <cellStyle name="Comma 3" xfId="28"/>
    <cellStyle name="Comma 3 2" xfId="29"/>
    <cellStyle name="Comma 3 3" xfId="30"/>
    <cellStyle name="Comma 3 4" xfId="31"/>
    <cellStyle name="Comma 38" xfId="32"/>
    <cellStyle name="Comma 4" xfId="33"/>
    <cellStyle name="Comma 5" xfId="34"/>
    <cellStyle name="Comma 6" xfId="35"/>
    <cellStyle name="Comma 7" xfId="36"/>
    <cellStyle name="Comma 8" xfId="37"/>
    <cellStyle name="Comma 8 2" xfId="38"/>
    <cellStyle name="Comma 9" xfId="39"/>
    <cellStyle name="Currency 2" xfId="40"/>
    <cellStyle name="Currency 2 2" xfId="41"/>
    <cellStyle name="custom" xfId="42"/>
    <cellStyle name="Grey" xfId="43"/>
    <cellStyle name="Input [yellow]" xfId="44"/>
    <cellStyle name="no dec" xfId="45"/>
    <cellStyle name="Normal" xfId="0" builtinId="0"/>
    <cellStyle name="Normal - Style1" xfId="46"/>
    <cellStyle name="Normal 10" xfId="47"/>
    <cellStyle name="Normal 10 2" xfId="48"/>
    <cellStyle name="Normal 11" xfId="49"/>
    <cellStyle name="Normal 12" xfId="50"/>
    <cellStyle name="Normal 12 2" xfId="51"/>
    <cellStyle name="Normal 136 2 2 2" xfId="52"/>
    <cellStyle name="Normal 2" xfId="53"/>
    <cellStyle name="Normal 2 2" xfId="54"/>
    <cellStyle name="Normal 208 2" xfId="55"/>
    <cellStyle name="Normal 25" xfId="56"/>
    <cellStyle name="Normal 252" xfId="57"/>
    <cellStyle name="Normal 28" xfId="58"/>
    <cellStyle name="Normal 29" xfId="59"/>
    <cellStyle name="Normal 3" xfId="60"/>
    <cellStyle name="Normal 3 2" xfId="61"/>
    <cellStyle name="Normal 3 3" xfId="62"/>
    <cellStyle name="Normal 3 4" xfId="63"/>
    <cellStyle name="Normal 3_TB" xfId="64"/>
    <cellStyle name="Normal 32" xfId="65"/>
    <cellStyle name="Normal 32 2" xfId="66"/>
    <cellStyle name="Normal 32 2 2" xfId="67"/>
    <cellStyle name="Normal 32 2 3" xfId="68"/>
    <cellStyle name="Normal 32 3" xfId="69"/>
    <cellStyle name="Normal 33" xfId="70"/>
    <cellStyle name="Normal 35" xfId="71"/>
    <cellStyle name="Normal 35 2" xfId="72"/>
    <cellStyle name="Normal 35 2 2" xfId="73"/>
    <cellStyle name="Normal 35 2 3" xfId="74"/>
    <cellStyle name="Normal 35 3" xfId="75"/>
    <cellStyle name="Normal 38" xfId="76"/>
    <cellStyle name="Normal 4" xfId="77"/>
    <cellStyle name="Normal 4 3" xfId="78"/>
    <cellStyle name="Normal 4 3 2" xfId="79"/>
    <cellStyle name="Normal 40" xfId="80"/>
    <cellStyle name="Normal 5" xfId="81"/>
    <cellStyle name="Normal 50" xfId="82"/>
    <cellStyle name="Normal 56" xfId="83"/>
    <cellStyle name="Normal 59" xfId="84"/>
    <cellStyle name="Normal 6" xfId="85"/>
    <cellStyle name="Normal 6 6" xfId="86"/>
    <cellStyle name="Normal 6 6 2" xfId="87"/>
    <cellStyle name="Normal 63" xfId="88"/>
    <cellStyle name="Normal 64" xfId="89"/>
    <cellStyle name="Normal 65" xfId="90"/>
    <cellStyle name="Normal 68" xfId="91"/>
    <cellStyle name="Normal 69" xfId="92"/>
    <cellStyle name="Normal 7" xfId="93"/>
    <cellStyle name="Normal 71_Loan Listing-April 30, 2015-unfinished (Autosaved)" xfId="94"/>
    <cellStyle name="Normal 8" xfId="95"/>
    <cellStyle name="Normal 8 3" xfId="96"/>
    <cellStyle name="Normal 9" xfId="97"/>
    <cellStyle name="Note 2" xfId="98"/>
    <cellStyle name="Œ…‹æØ‚è [0.00]_laroux" xfId="99"/>
    <cellStyle name="Œ…‹æØ‚è_laroux" xfId="100"/>
    <cellStyle name="Percent [2]" xfId="101"/>
    <cellStyle name="Percent 2" xfId="102"/>
    <cellStyle name="Percent 2 2" xfId="103"/>
    <cellStyle name="Percent 3" xfId="104"/>
    <cellStyle name="Percent 3 2" xfId="105"/>
    <cellStyle name="Percent 3 3" xfId="106"/>
    <cellStyle name="Percent 4" xfId="107"/>
    <cellStyle name="Tusental (0)_pldt" xfId="108"/>
    <cellStyle name="Tusental_pldt" xfId="109"/>
    <cellStyle name="Valuta (0)_pldt" xfId="110"/>
    <cellStyle name="Valuta_pldt" xfId="1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externalLinks/externalLink1.xml" Type="http://schemas.openxmlformats.org/officeDocument/2006/relationships/externalLink"/>
<Relationship Id="rId7" Target="externalLinks/externalLink2.xml" Type="http://schemas.openxmlformats.org/officeDocument/2006/relationships/externalLink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externalLinks/_rels/externalLink1.xml.rels><?xml version="1.0" encoding="UTF-8" standalone="no"?>
<Relationships xmlns="http://schemas.openxmlformats.org/package/2006/relationships">
<Relationship Id="rId1" Target="/Accounting/MARIEL/FS/FS/FS%20Final/FS%202019/02%20February%202019/FS%2002-28-19.xlsx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Accounting/MARIEL/FS/FS/FS%20Final/FS%202018/02%20February%202018/FS%2002-28-18%20Final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FS"/>
      <sheetName val="TB"/>
      <sheetName val="Full Trial Balance"/>
      <sheetName val="FCDU Balance Sheet"/>
      <sheetName val="FCDU Income Statement"/>
      <sheetName val="LOAN"/>
      <sheetName val="Cash flow"/>
      <sheetName val="PMC"/>
      <sheetName val="FS previous month"/>
      <sheetName val="TB (Previous Month)"/>
      <sheetName val="Expenses vs Previous Month"/>
      <sheetName val="Y2Yearend"/>
      <sheetName val="FS previous Year end"/>
      <sheetName val="TB (Previous Year End)"/>
      <sheetName val="Expenses vs Previous Year End"/>
      <sheetName val="Y2Y"/>
      <sheetName val="FS Previous Year"/>
      <sheetName val="TB (Previous Year)"/>
      <sheetName val="Expenses vs Previous Year"/>
    </sheetNames>
    <sheetDataSet>
      <sheetData sheetId="0"/>
      <sheetData sheetId="1"/>
      <sheetData sheetId="2">
        <row r="3">
          <cell r="A3" t="str">
            <v>As of February 28, 2019</v>
          </cell>
        </row>
        <row r="7">
          <cell r="C7">
            <v>61990979.960000001</v>
          </cell>
        </row>
        <row r="8">
          <cell r="C8">
            <v>552204.68999999994</v>
          </cell>
        </row>
        <row r="9">
          <cell r="C9">
            <v>25213708.98</v>
          </cell>
        </row>
        <row r="10">
          <cell r="C10">
            <v>101503923.02</v>
          </cell>
        </row>
        <row r="11">
          <cell r="C11">
            <v>86500000</v>
          </cell>
        </row>
        <row r="12">
          <cell r="C12">
            <v>-827992.76</v>
          </cell>
        </row>
        <row r="13">
          <cell r="C13">
            <v>12212246.1</v>
          </cell>
        </row>
        <row r="14">
          <cell r="C14">
            <v>153253396.27000001</v>
          </cell>
        </row>
        <row r="16">
          <cell r="C16">
            <v>10756366.68</v>
          </cell>
        </row>
        <row r="17">
          <cell r="C17">
            <v>190359108.16</v>
          </cell>
        </row>
        <row r="18">
          <cell r="C18">
            <v>142247516.94</v>
          </cell>
        </row>
        <row r="19">
          <cell r="C19">
            <v>23086737.5</v>
          </cell>
        </row>
        <row r="20">
          <cell r="C20">
            <v>103471006.09999999</v>
          </cell>
        </row>
        <row r="21">
          <cell r="C21">
            <v>30975872.390000001</v>
          </cell>
        </row>
        <row r="22">
          <cell r="C22">
            <v>90689724.260000005</v>
          </cell>
        </row>
        <row r="23">
          <cell r="C23">
            <v>146121335.05000001</v>
          </cell>
        </row>
        <row r="25">
          <cell r="C25">
            <v>4928264.63</v>
          </cell>
        </row>
        <row r="26">
          <cell r="C26">
            <v>386172.74</v>
          </cell>
        </row>
        <row r="28">
          <cell r="C28">
            <v>0</v>
          </cell>
        </row>
        <row r="29">
          <cell r="C29">
            <v>2726666.44</v>
          </cell>
        </row>
        <row r="30">
          <cell r="C30">
            <v>0</v>
          </cell>
        </row>
        <row r="32">
          <cell r="C32">
            <v>1187290.82</v>
          </cell>
        </row>
        <row r="33">
          <cell r="C33">
            <v>4355427.84</v>
          </cell>
        </row>
        <row r="34">
          <cell r="C34">
            <v>4456288.0999999996</v>
          </cell>
        </row>
        <row r="35">
          <cell r="C35">
            <v>27840193.739999998</v>
          </cell>
        </row>
        <row r="48">
          <cell r="C48">
            <v>0</v>
          </cell>
        </row>
        <row r="53">
          <cell r="C53">
            <v>6169771.6100000003</v>
          </cell>
        </row>
        <row r="58">
          <cell r="C58">
            <v>0</v>
          </cell>
        </row>
        <row r="71">
          <cell r="C71">
            <v>446365.78</v>
          </cell>
        </row>
        <row r="72">
          <cell r="C72">
            <v>2059708.55</v>
          </cell>
        </row>
        <row r="74">
          <cell r="C74">
            <v>7602708.2300000004</v>
          </cell>
        </row>
        <row r="77">
          <cell r="C77">
            <v>1570472.62</v>
          </cell>
        </row>
        <row r="78">
          <cell r="C78">
            <v>5991200.3300000001</v>
          </cell>
        </row>
        <row r="79">
          <cell r="C79">
            <v>5906772.2199999997</v>
          </cell>
        </row>
        <row r="80">
          <cell r="C80">
            <v>43488679.82</v>
          </cell>
        </row>
        <row r="83">
          <cell r="C83">
            <v>4430325.3499999996</v>
          </cell>
        </row>
        <row r="85">
          <cell r="C85">
            <v>4</v>
          </cell>
        </row>
        <row r="89">
          <cell r="C89">
            <v>1273675</v>
          </cell>
        </row>
        <row r="90">
          <cell r="C90">
            <v>13</v>
          </cell>
        </row>
        <row r="91">
          <cell r="C91">
            <v>5228176.92</v>
          </cell>
        </row>
        <row r="92">
          <cell r="C92">
            <v>0</v>
          </cell>
        </row>
        <row r="93">
          <cell r="C93">
            <v>3</v>
          </cell>
        </row>
        <row r="94">
          <cell r="C94">
            <v>0</v>
          </cell>
        </row>
        <row r="95">
          <cell r="C95">
            <v>0</v>
          </cell>
        </row>
        <row r="96">
          <cell r="C96">
            <v>0</v>
          </cell>
        </row>
        <row r="97">
          <cell r="C97">
            <v>-11338319.390000001</v>
          </cell>
        </row>
        <row r="98">
          <cell r="C98">
            <v>-9771699.8399999999</v>
          </cell>
        </row>
        <row r="99">
          <cell r="C99">
            <v>-30035319.57</v>
          </cell>
        </row>
        <row r="100">
          <cell r="C100">
            <v>-120740.12</v>
          </cell>
        </row>
        <row r="101">
          <cell r="C101">
            <v>-159525.04</v>
          </cell>
        </row>
        <row r="102">
          <cell r="C102">
            <v>274041.27</v>
          </cell>
        </row>
        <row r="103">
          <cell r="C103">
            <v>31386586.98</v>
          </cell>
        </row>
        <row r="104">
          <cell r="C104">
            <v>-580411.04</v>
          </cell>
        </row>
        <row r="106">
          <cell r="C106">
            <v>13725360.02</v>
          </cell>
        </row>
        <row r="107">
          <cell r="C107">
            <v>45469189.299999997</v>
          </cell>
        </row>
        <row r="108">
          <cell r="C108">
            <v>-13473215.25</v>
          </cell>
        </row>
        <row r="109">
          <cell r="C109">
            <v>38625494.18</v>
          </cell>
        </row>
        <row r="110">
          <cell r="C110">
            <v>-15194734.58</v>
          </cell>
        </row>
        <row r="111">
          <cell r="C111">
            <v>40468564.060000002</v>
          </cell>
        </row>
        <row r="112">
          <cell r="C112">
            <v>-29518785.579999998</v>
          </cell>
        </row>
        <row r="113">
          <cell r="C113">
            <v>16983763.539999999</v>
          </cell>
        </row>
        <row r="114">
          <cell r="C114">
            <v>-12120987.359999999</v>
          </cell>
        </row>
        <row r="115">
          <cell r="C115">
            <v>123318790.37</v>
          </cell>
        </row>
        <row r="116">
          <cell r="C116">
            <v>-9740995.7699999996</v>
          </cell>
        </row>
        <row r="117">
          <cell r="C117">
            <v>-86352.11</v>
          </cell>
        </row>
        <row r="118">
          <cell r="C118">
            <v>7561804.29</v>
          </cell>
        </row>
        <row r="119">
          <cell r="C119">
            <v>-4445332.4400000004</v>
          </cell>
        </row>
        <row r="121">
          <cell r="C121">
            <v>5562132.5</v>
          </cell>
        </row>
        <row r="123">
          <cell r="C123">
            <v>3537122.11</v>
          </cell>
        </row>
        <row r="124">
          <cell r="C124">
            <v>-1791907.64</v>
          </cell>
        </row>
        <row r="126">
          <cell r="C126">
            <v>82000</v>
          </cell>
        </row>
        <row r="127">
          <cell r="C127">
            <v>1418217.74</v>
          </cell>
        </row>
        <row r="128">
          <cell r="C128">
            <v>1154756.69</v>
          </cell>
        </row>
        <row r="129">
          <cell r="C129">
            <v>0</v>
          </cell>
        </row>
        <row r="130">
          <cell r="C130">
            <v>3178901.02</v>
          </cell>
        </row>
        <row r="131">
          <cell r="C131">
            <v>11933460</v>
          </cell>
        </row>
        <row r="132">
          <cell r="C132">
            <v>-42132243.710000001</v>
          </cell>
        </row>
        <row r="133">
          <cell r="C133">
            <v>-688314.17</v>
          </cell>
        </row>
        <row r="134">
          <cell r="C134">
            <v>-288872121.13999999</v>
          </cell>
        </row>
        <row r="135">
          <cell r="C135">
            <v>-513468.54</v>
          </cell>
        </row>
        <row r="136">
          <cell r="C136">
            <v>-178516367.83000001</v>
          </cell>
        </row>
        <row r="137">
          <cell r="C137">
            <v>-187898196.87</v>
          </cell>
        </row>
        <row r="138">
          <cell r="C138">
            <v>-2500100</v>
          </cell>
        </row>
        <row r="140">
          <cell r="C140">
            <v>-10110</v>
          </cell>
        </row>
        <row r="141">
          <cell r="C141">
            <v>-10625521.48</v>
          </cell>
        </row>
        <row r="144">
          <cell r="C144">
            <v>-92676.02</v>
          </cell>
        </row>
        <row r="147">
          <cell r="C147">
            <v>-412921588.77999997</v>
          </cell>
        </row>
        <row r="149">
          <cell r="C149">
            <v>-69417632</v>
          </cell>
        </row>
        <row r="150">
          <cell r="C150">
            <v>0</v>
          </cell>
        </row>
        <row r="151">
          <cell r="C151">
            <v>-64115574.850000001</v>
          </cell>
        </row>
        <row r="152">
          <cell r="C152">
            <v>-2263840.63</v>
          </cell>
        </row>
        <row r="153">
          <cell r="C153">
            <v>-42500</v>
          </cell>
        </row>
        <row r="154">
          <cell r="C154">
            <v>-6231870.71</v>
          </cell>
        </row>
        <row r="155">
          <cell r="C155">
            <v>-3802225.97</v>
          </cell>
        </row>
        <row r="156">
          <cell r="C156">
            <v>-142919.29</v>
          </cell>
        </row>
        <row r="157">
          <cell r="C157">
            <v>-6239299.2000000002</v>
          </cell>
        </row>
        <row r="158">
          <cell r="C158">
            <v>-117439.62</v>
          </cell>
        </row>
        <row r="159">
          <cell r="C159">
            <v>-221787.68</v>
          </cell>
        </row>
        <row r="160">
          <cell r="C160">
            <v>-1688109.8</v>
          </cell>
        </row>
        <row r="161">
          <cell r="C161">
            <v>0</v>
          </cell>
        </row>
        <row r="162">
          <cell r="C162">
            <v>-550219.6</v>
          </cell>
        </row>
        <row r="163">
          <cell r="C163">
            <v>-746292.35</v>
          </cell>
        </row>
        <row r="164">
          <cell r="C164">
            <v>-16179288.27</v>
          </cell>
        </row>
        <row r="165">
          <cell r="C165">
            <v>-16618.18</v>
          </cell>
        </row>
        <row r="166">
          <cell r="C166">
            <v>-2052517.52</v>
          </cell>
        </row>
        <row r="167">
          <cell r="C167">
            <v>-130980600</v>
          </cell>
        </row>
        <row r="169">
          <cell r="C169">
            <v>-18190550</v>
          </cell>
        </row>
        <row r="170">
          <cell r="C170">
            <v>-49126558.229999997</v>
          </cell>
        </row>
        <row r="171">
          <cell r="C171">
            <v>-13000000</v>
          </cell>
        </row>
        <row r="174">
          <cell r="C174">
            <v>-311725.88</v>
          </cell>
        </row>
        <row r="175">
          <cell r="C175">
            <v>-1966232.03</v>
          </cell>
        </row>
        <row r="177">
          <cell r="C177">
            <v>-487733.86</v>
          </cell>
        </row>
        <row r="178">
          <cell r="C178">
            <v>-6898028.4400000004</v>
          </cell>
        </row>
        <row r="179">
          <cell r="C179">
            <v>-110812.34</v>
          </cell>
        </row>
        <row r="180">
          <cell r="C180">
            <v>-795203.78</v>
          </cell>
        </row>
        <row r="181">
          <cell r="C181">
            <v>-2035181.91</v>
          </cell>
        </row>
        <row r="182">
          <cell r="C182">
            <v>-2339455.23</v>
          </cell>
        </row>
        <row r="183">
          <cell r="C183">
            <v>-5388643.7599999998</v>
          </cell>
        </row>
        <row r="187">
          <cell r="C187">
            <v>-2784560.86</v>
          </cell>
        </row>
        <row r="188">
          <cell r="C188">
            <v>-27142.1</v>
          </cell>
        </row>
        <row r="189">
          <cell r="C189">
            <v>-515051.98</v>
          </cell>
        </row>
        <row r="191">
          <cell r="C191">
            <v>-881149.56</v>
          </cell>
        </row>
        <row r="192">
          <cell r="C192">
            <v>-5426089.3700000001</v>
          </cell>
        </row>
        <row r="193">
          <cell r="C193">
            <v>-4209781.6100000003</v>
          </cell>
        </row>
        <row r="194">
          <cell r="C194">
            <v>-3412170.95</v>
          </cell>
        </row>
        <row r="196">
          <cell r="C196">
            <v>1334.4</v>
          </cell>
        </row>
        <row r="197">
          <cell r="C197">
            <v>774259.64</v>
          </cell>
        </row>
        <row r="198">
          <cell r="C198">
            <v>1775553.85</v>
          </cell>
        </row>
        <row r="199">
          <cell r="C199">
            <v>31690.11</v>
          </cell>
        </row>
        <row r="200">
          <cell r="C200">
            <v>0</v>
          </cell>
        </row>
        <row r="201">
          <cell r="C201">
            <v>0</v>
          </cell>
        </row>
        <row r="202">
          <cell r="C202">
            <v>626536.39</v>
          </cell>
        </row>
        <row r="204">
          <cell r="C204">
            <v>2388551.21</v>
          </cell>
        </row>
        <row r="206">
          <cell r="C206">
            <v>0</v>
          </cell>
        </row>
        <row r="207">
          <cell r="C207">
            <v>41119.919999999998</v>
          </cell>
        </row>
        <row r="208">
          <cell r="C208">
            <v>5957769.6600000001</v>
          </cell>
        </row>
        <row r="209">
          <cell r="C209">
            <v>1721231.11</v>
          </cell>
        </row>
        <row r="210">
          <cell r="C210">
            <v>100000</v>
          </cell>
        </row>
        <row r="211">
          <cell r="C211">
            <v>228800</v>
          </cell>
        </row>
        <row r="212">
          <cell r="C212">
            <v>300544</v>
          </cell>
        </row>
        <row r="213">
          <cell r="C213">
            <v>636532.09</v>
          </cell>
        </row>
        <row r="214">
          <cell r="C214">
            <v>516964.45</v>
          </cell>
        </row>
        <row r="215">
          <cell r="C215">
            <v>572492.5</v>
          </cell>
        </row>
        <row r="216">
          <cell r="C216">
            <v>500346.09</v>
          </cell>
        </row>
        <row r="217">
          <cell r="C217">
            <v>100000</v>
          </cell>
        </row>
        <row r="218">
          <cell r="C218">
            <v>2078532.39</v>
          </cell>
        </row>
        <row r="219">
          <cell r="C219">
            <v>150</v>
          </cell>
        </row>
        <row r="220">
          <cell r="C220">
            <v>240000</v>
          </cell>
        </row>
        <row r="221">
          <cell r="C221">
            <v>280375.43</v>
          </cell>
        </row>
        <row r="222">
          <cell r="C222">
            <v>195486.03</v>
          </cell>
        </row>
        <row r="223">
          <cell r="C223">
            <v>222777.78</v>
          </cell>
        </row>
        <row r="225">
          <cell r="C225">
            <v>605116.84</v>
          </cell>
        </row>
        <row r="226">
          <cell r="C226">
            <v>1472.38</v>
          </cell>
        </row>
        <row r="227">
          <cell r="C227">
            <v>317495.94</v>
          </cell>
        </row>
        <row r="228">
          <cell r="C228">
            <v>128434.73</v>
          </cell>
        </row>
        <row r="229">
          <cell r="C229">
            <v>2042853.09</v>
          </cell>
        </row>
        <row r="230">
          <cell r="C230">
            <v>399346.23</v>
          </cell>
        </row>
        <row r="231">
          <cell r="C231">
            <v>611404.75</v>
          </cell>
        </row>
        <row r="232">
          <cell r="C232">
            <v>380628.06</v>
          </cell>
        </row>
        <row r="233">
          <cell r="C233">
            <v>484371.19</v>
          </cell>
        </row>
        <row r="234">
          <cell r="C234">
            <v>206081.11</v>
          </cell>
        </row>
        <row r="235">
          <cell r="C235">
            <v>5193</v>
          </cell>
        </row>
        <row r="236">
          <cell r="C236">
            <v>255689.08</v>
          </cell>
        </row>
        <row r="237">
          <cell r="C237">
            <v>198929.99</v>
          </cell>
        </row>
        <row r="238">
          <cell r="C238">
            <v>0</v>
          </cell>
        </row>
        <row r="239">
          <cell r="C239">
            <v>26382.25</v>
          </cell>
        </row>
        <row r="240">
          <cell r="C240">
            <v>11785</v>
          </cell>
        </row>
        <row r="241">
          <cell r="C241">
            <v>585328.94999999995</v>
          </cell>
        </row>
        <row r="242">
          <cell r="C242">
            <v>0</v>
          </cell>
        </row>
        <row r="243">
          <cell r="C243">
            <v>381570.48</v>
          </cell>
        </row>
        <row r="244">
          <cell r="C244">
            <v>838565.69</v>
          </cell>
        </row>
        <row r="245">
          <cell r="C245">
            <v>424212.12</v>
          </cell>
        </row>
        <row r="246">
          <cell r="C246">
            <v>348617.27</v>
          </cell>
        </row>
        <row r="247">
          <cell r="C247">
            <v>401817.34</v>
          </cell>
        </row>
        <row r="248">
          <cell r="C248">
            <v>184426.14</v>
          </cell>
        </row>
        <row r="249">
          <cell r="C249">
            <v>3391075</v>
          </cell>
        </row>
        <row r="250">
          <cell r="C250">
            <v>1500000</v>
          </cell>
        </row>
        <row r="251">
          <cell r="C251">
            <v>7500</v>
          </cell>
        </row>
        <row r="276">
          <cell r="C276">
            <v>1514456172.4200001</v>
          </cell>
        </row>
        <row r="277">
          <cell r="C277">
            <v>1298598844.21</v>
          </cell>
        </row>
      </sheetData>
      <sheetData sheetId="3">
        <row r="5">
          <cell r="A5">
            <v>43524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CAJE"/>
      <sheetName val="FS"/>
      <sheetName val="TB"/>
      <sheetName val="Full Trial Balance"/>
      <sheetName val="FCDU Balance Sheet"/>
      <sheetName val="FCDU Income Statement"/>
      <sheetName val="LOAN"/>
      <sheetName val="Cash flow"/>
      <sheetName val="PMC"/>
      <sheetName val="FS previous month"/>
      <sheetName val="TB (Previous Month)"/>
      <sheetName val="Expenses vs Previous Month"/>
      <sheetName val="Y2Yearend"/>
      <sheetName val="FS previous Year end"/>
      <sheetName val="TB (Previous Year End)"/>
      <sheetName val="Expenses vs Previous Year End"/>
      <sheetName val="Y2Y"/>
      <sheetName val="FS Previous Year"/>
      <sheetName val="TB (Previous Year)"/>
      <sheetName val="Expenses vs Previous Year"/>
    </sheetNames>
    <sheetDataSet>
      <sheetData sheetId="0"/>
      <sheetData sheetId="1"/>
      <sheetData sheetId="2"/>
      <sheetData sheetId="3">
        <row r="3">
          <cell r="A3" t="str">
            <v>As of February 28, 2018</v>
          </cell>
        </row>
        <row r="7">
          <cell r="C7">
            <v>47842879.100000001</v>
          </cell>
        </row>
        <row r="8">
          <cell r="C8">
            <v>881801.46</v>
          </cell>
        </row>
        <row r="9">
          <cell r="C9">
            <v>19998313.510000002</v>
          </cell>
        </row>
        <row r="10">
          <cell r="C10">
            <v>149444143.18000001</v>
          </cell>
        </row>
        <row r="11">
          <cell r="C11">
            <v>26000000</v>
          </cell>
        </row>
        <row r="12">
          <cell r="C12">
            <v>-175214.53</v>
          </cell>
        </row>
        <row r="13">
          <cell r="C13">
            <v>10175000.01</v>
          </cell>
        </row>
        <row r="14">
          <cell r="C14">
            <v>104143876.43000001</v>
          </cell>
        </row>
        <row r="16">
          <cell r="C16">
            <v>18474149.25</v>
          </cell>
        </row>
        <row r="17">
          <cell r="C17">
            <v>117741330.8</v>
          </cell>
        </row>
        <row r="18">
          <cell r="C18">
            <v>117493777.61</v>
          </cell>
        </row>
        <row r="19">
          <cell r="C19">
            <v>5960000</v>
          </cell>
        </row>
        <row r="20">
          <cell r="C20">
            <v>14297116.25</v>
          </cell>
        </row>
        <row r="21">
          <cell r="C21">
            <v>39810135.100000001</v>
          </cell>
        </row>
        <row r="22">
          <cell r="C22">
            <v>75568235.439999998</v>
          </cell>
        </row>
        <row r="23">
          <cell r="C23">
            <v>217417152.69999999</v>
          </cell>
        </row>
        <row r="26">
          <cell r="C26">
            <v>899750</v>
          </cell>
        </row>
        <row r="28">
          <cell r="C28">
            <v>0</v>
          </cell>
        </row>
        <row r="29">
          <cell r="C29">
            <v>1788146.02</v>
          </cell>
        </row>
        <row r="30">
          <cell r="C30">
            <v>1000000</v>
          </cell>
        </row>
        <row r="32">
          <cell r="C32">
            <v>2285976.81</v>
          </cell>
        </row>
        <row r="33">
          <cell r="C33">
            <v>0</v>
          </cell>
        </row>
        <row r="34">
          <cell r="C34">
            <v>3760347</v>
          </cell>
        </row>
        <row r="35">
          <cell r="C35">
            <v>24011313.16</v>
          </cell>
        </row>
        <row r="71">
          <cell r="C71">
            <v>149140.31</v>
          </cell>
        </row>
        <row r="72">
          <cell r="C72">
            <v>10712786.869999999</v>
          </cell>
        </row>
        <row r="74">
          <cell r="C74">
            <v>8142402.3600000003</v>
          </cell>
        </row>
        <row r="77">
          <cell r="C77">
            <v>50001</v>
          </cell>
        </row>
        <row r="78">
          <cell r="C78">
            <v>9247884.9199999999</v>
          </cell>
        </row>
        <row r="79">
          <cell r="C79">
            <v>7127760.9299999997</v>
          </cell>
        </row>
        <row r="80">
          <cell r="C80">
            <v>33562813.289999999</v>
          </cell>
        </row>
        <row r="83">
          <cell r="C83">
            <v>1</v>
          </cell>
        </row>
        <row r="85">
          <cell r="C85">
            <v>4</v>
          </cell>
        </row>
        <row r="90">
          <cell r="C90">
            <v>13</v>
          </cell>
        </row>
        <row r="91">
          <cell r="C91">
            <v>15328688.289999999</v>
          </cell>
        </row>
        <row r="92">
          <cell r="C92">
            <v>1741666.7</v>
          </cell>
        </row>
        <row r="93">
          <cell r="C93">
            <v>3</v>
          </cell>
        </row>
        <row r="95">
          <cell r="C95">
            <v>303500</v>
          </cell>
        </row>
        <row r="96">
          <cell r="C96">
            <v>-303500</v>
          </cell>
        </row>
        <row r="97">
          <cell r="C97">
            <v>-15294540</v>
          </cell>
        </row>
        <row r="98">
          <cell r="C98">
            <v>-7066906.0199999996</v>
          </cell>
        </row>
        <row r="99">
          <cell r="C99">
            <v>-23803697.59</v>
          </cell>
        </row>
        <row r="100">
          <cell r="C100">
            <v>-117440.12</v>
          </cell>
        </row>
        <row r="101">
          <cell r="C101">
            <v>-387474.24</v>
          </cell>
        </row>
        <row r="102">
          <cell r="C102">
            <v>14388.93</v>
          </cell>
        </row>
        <row r="103">
          <cell r="C103">
            <v>19889131.859999999</v>
          </cell>
        </row>
        <row r="105">
          <cell r="C105">
            <v>13694252.75</v>
          </cell>
        </row>
        <row r="106">
          <cell r="C106">
            <v>41175462.280000001</v>
          </cell>
        </row>
        <row r="107">
          <cell r="C107">
            <v>-11429558.74</v>
          </cell>
        </row>
        <row r="108">
          <cell r="C108">
            <v>31980629.030000001</v>
          </cell>
        </row>
        <row r="109">
          <cell r="C109">
            <v>-16158544.130000001</v>
          </cell>
        </row>
        <row r="110">
          <cell r="C110">
            <v>32948886.149999999</v>
          </cell>
        </row>
        <row r="111">
          <cell r="C111">
            <v>-25176626.199999999</v>
          </cell>
        </row>
        <row r="112">
          <cell r="C112">
            <v>14776028.439999999</v>
          </cell>
        </row>
        <row r="113">
          <cell r="C113">
            <v>-10400769.5</v>
          </cell>
        </row>
        <row r="114">
          <cell r="C114">
            <v>134199683.8</v>
          </cell>
        </row>
        <row r="115">
          <cell r="C115">
            <v>-8460655.1099999994</v>
          </cell>
        </row>
        <row r="116">
          <cell r="C116">
            <v>-86352.11</v>
          </cell>
        </row>
        <row r="117">
          <cell r="C117">
            <v>7358705.3099999996</v>
          </cell>
        </row>
        <row r="118">
          <cell r="C118">
            <v>-3363571.27</v>
          </cell>
        </row>
        <row r="120">
          <cell r="C120">
            <v>4037911.76</v>
          </cell>
        </row>
        <row r="122">
          <cell r="C122">
            <v>4293638.8</v>
          </cell>
        </row>
        <row r="123">
          <cell r="C123">
            <v>-1951108.46</v>
          </cell>
        </row>
        <row r="125">
          <cell r="C125">
            <v>60000</v>
          </cell>
        </row>
        <row r="126">
          <cell r="C126">
            <v>792581.7</v>
          </cell>
        </row>
        <row r="127">
          <cell r="C127">
            <v>12724416.689999999</v>
          </cell>
        </row>
        <row r="128">
          <cell r="C128">
            <v>0</v>
          </cell>
        </row>
        <row r="129">
          <cell r="C129">
            <v>3087521.7</v>
          </cell>
        </row>
        <row r="130">
          <cell r="C130">
            <v>-30136209.170000002</v>
          </cell>
        </row>
        <row r="131">
          <cell r="C131">
            <v>-712903.7</v>
          </cell>
        </row>
        <row r="132">
          <cell r="C132">
            <v>-227777030.30000001</v>
          </cell>
        </row>
        <row r="133">
          <cell r="C133">
            <v>-1154684.52</v>
          </cell>
        </row>
        <row r="134">
          <cell r="C134">
            <v>-119917713.7</v>
          </cell>
        </row>
        <row r="135">
          <cell r="C135">
            <v>-196951027.97999999</v>
          </cell>
        </row>
        <row r="136">
          <cell r="C136">
            <v>-6743123.0800000001</v>
          </cell>
        </row>
        <row r="139">
          <cell r="C139">
            <v>-92676.02</v>
          </cell>
        </row>
        <row r="142">
          <cell r="C142">
            <v>-328441560.04000002</v>
          </cell>
        </row>
        <row r="144">
          <cell r="C144">
            <v>-49818448.100000001</v>
          </cell>
        </row>
        <row r="145">
          <cell r="C145">
            <v>-65000000</v>
          </cell>
        </row>
        <row r="146">
          <cell r="C146">
            <v>-13700000</v>
          </cell>
        </row>
        <row r="147">
          <cell r="C147">
            <v>-1655606</v>
          </cell>
        </row>
        <row r="148">
          <cell r="C148">
            <v>0</v>
          </cell>
        </row>
        <row r="149">
          <cell r="C149">
            <v>-5903056.1799999997</v>
          </cell>
        </row>
        <row r="150">
          <cell r="C150">
            <v>-4094028.25</v>
          </cell>
        </row>
        <row r="151">
          <cell r="C151">
            <v>-127807.03999999999</v>
          </cell>
        </row>
        <row r="152">
          <cell r="C152">
            <v>-4700917.8899999997</v>
          </cell>
        </row>
        <row r="153">
          <cell r="C153">
            <v>-45887.03</v>
          </cell>
        </row>
        <row r="154">
          <cell r="C154">
            <v>-264177.15999999997</v>
          </cell>
        </row>
        <row r="155">
          <cell r="C155">
            <v>-2210162.08</v>
          </cell>
        </row>
        <row r="156">
          <cell r="C156">
            <v>0</v>
          </cell>
        </row>
        <row r="157">
          <cell r="C157">
            <v>-409454.89</v>
          </cell>
        </row>
        <row r="158">
          <cell r="C158">
            <v>-689926.47</v>
          </cell>
        </row>
        <row r="159">
          <cell r="C159">
            <v>-15643760.77</v>
          </cell>
        </row>
        <row r="160">
          <cell r="C160">
            <v>-3369781.67</v>
          </cell>
        </row>
        <row r="161">
          <cell r="C161">
            <v>-126500000</v>
          </cell>
        </row>
        <row r="163">
          <cell r="C163">
            <v>-11545550</v>
          </cell>
        </row>
        <row r="164">
          <cell r="C164">
            <v>-37254218.25</v>
          </cell>
        </row>
        <row r="165">
          <cell r="C165">
            <v>-13000000</v>
          </cell>
        </row>
        <row r="168">
          <cell r="C168">
            <v>0</v>
          </cell>
        </row>
        <row r="169">
          <cell r="C169">
            <v>-1969798.95</v>
          </cell>
        </row>
        <row r="171">
          <cell r="C171">
            <v>-778796.79</v>
          </cell>
        </row>
        <row r="172">
          <cell r="C172">
            <v>-5378529.1500000004</v>
          </cell>
        </row>
        <row r="173">
          <cell r="C173">
            <v>-172101.25</v>
          </cell>
        </row>
        <row r="174">
          <cell r="C174">
            <v>-1251817.5</v>
          </cell>
        </row>
        <row r="175">
          <cell r="C175">
            <v>-305330.24</v>
          </cell>
        </row>
        <row r="176">
          <cell r="C176">
            <v>-2299316.15</v>
          </cell>
        </row>
        <row r="177">
          <cell r="C177">
            <v>-8715723.8699999992</v>
          </cell>
        </row>
        <row r="181">
          <cell r="C181">
            <v>-1325312.77</v>
          </cell>
        </row>
        <row r="182">
          <cell r="C182">
            <v>-126681.05</v>
          </cell>
        </row>
        <row r="183">
          <cell r="C183">
            <v>-62338.23</v>
          </cell>
        </row>
        <row r="185">
          <cell r="C185">
            <v>-157393.73000000001</v>
          </cell>
        </row>
        <row r="186">
          <cell r="C186">
            <v>-7118913.29</v>
          </cell>
        </row>
        <row r="187">
          <cell r="C187">
            <v>-13295786.02</v>
          </cell>
        </row>
        <row r="188">
          <cell r="C188">
            <v>-2032894.66</v>
          </cell>
        </row>
        <row r="190">
          <cell r="C190">
            <v>200220.2</v>
          </cell>
        </row>
        <row r="191">
          <cell r="C191">
            <v>543599.25</v>
          </cell>
        </row>
        <row r="192">
          <cell r="C192">
            <v>2008064.03</v>
          </cell>
        </row>
        <row r="193">
          <cell r="C193">
            <v>0</v>
          </cell>
        </row>
        <row r="194">
          <cell r="C194">
            <v>439402.28</v>
          </cell>
        </row>
        <row r="196">
          <cell r="C196">
            <v>2363358.44</v>
          </cell>
        </row>
        <row r="198">
          <cell r="C198">
            <v>581388.88</v>
          </cell>
        </row>
        <row r="199">
          <cell r="C199">
            <v>52943.51</v>
          </cell>
        </row>
        <row r="200">
          <cell r="C200">
            <v>5111692.71</v>
          </cell>
        </row>
        <row r="201">
          <cell r="C201">
            <v>3192709.42</v>
          </cell>
        </row>
        <row r="202">
          <cell r="C202">
            <v>565152.78</v>
          </cell>
        </row>
        <row r="203">
          <cell r="C203">
            <v>102500</v>
          </cell>
        </row>
        <row r="204">
          <cell r="C204">
            <v>235710.59</v>
          </cell>
        </row>
        <row r="205">
          <cell r="C205">
            <v>438977.71</v>
          </cell>
        </row>
        <row r="206">
          <cell r="C206">
            <v>445479.01</v>
          </cell>
        </row>
        <row r="207">
          <cell r="C207">
            <v>16127.87</v>
          </cell>
        </row>
        <row r="208">
          <cell r="C208">
            <v>15408.14</v>
          </cell>
        </row>
        <row r="209">
          <cell r="C209">
            <v>30000</v>
          </cell>
        </row>
        <row r="210">
          <cell r="C210">
            <v>2432344.5</v>
          </cell>
        </row>
        <row r="211">
          <cell r="C211">
            <v>22000</v>
          </cell>
        </row>
        <row r="212">
          <cell r="C212">
            <v>200000</v>
          </cell>
        </row>
        <row r="213">
          <cell r="C213">
            <v>425715.34</v>
          </cell>
        </row>
        <row r="214">
          <cell r="C214">
            <v>166528.81</v>
          </cell>
        </row>
        <row r="215">
          <cell r="C215">
            <v>181133.98</v>
          </cell>
        </row>
        <row r="217">
          <cell r="C217">
            <v>526886.53</v>
          </cell>
        </row>
        <row r="218">
          <cell r="C218">
            <v>-15705.25</v>
          </cell>
        </row>
        <row r="219">
          <cell r="C219">
            <v>406578.62</v>
          </cell>
        </row>
        <row r="220">
          <cell r="C220">
            <v>144518.88</v>
          </cell>
        </row>
        <row r="221">
          <cell r="C221">
            <v>1937431.14</v>
          </cell>
        </row>
        <row r="222">
          <cell r="C222">
            <v>327120.36</v>
          </cell>
        </row>
        <row r="223">
          <cell r="C223">
            <v>585411.85</v>
          </cell>
        </row>
        <row r="224">
          <cell r="C224">
            <v>450153.72</v>
          </cell>
        </row>
        <row r="225">
          <cell r="C225">
            <v>594024.48</v>
          </cell>
        </row>
        <row r="226">
          <cell r="C226">
            <v>176272.05</v>
          </cell>
        </row>
        <row r="227">
          <cell r="C227">
            <v>6735</v>
          </cell>
        </row>
        <row r="228">
          <cell r="C228">
            <v>38490</v>
          </cell>
        </row>
        <row r="229">
          <cell r="C229">
            <v>51390.2</v>
          </cell>
        </row>
        <row r="230">
          <cell r="C230">
            <v>0</v>
          </cell>
        </row>
        <row r="231">
          <cell r="C231">
            <v>9809.7199999999993</v>
          </cell>
        </row>
        <row r="232">
          <cell r="C232">
            <v>186688.89</v>
          </cell>
        </row>
        <row r="233">
          <cell r="C233">
            <v>573157.96</v>
          </cell>
        </row>
        <row r="234">
          <cell r="C234">
            <v>65585.06</v>
          </cell>
        </row>
        <row r="235">
          <cell r="C235">
            <v>230727.01</v>
          </cell>
        </row>
        <row r="236">
          <cell r="C236">
            <v>717622.91</v>
          </cell>
        </row>
        <row r="237">
          <cell r="C237">
            <v>321538.03999999998</v>
          </cell>
        </row>
        <row r="238">
          <cell r="C238">
            <v>250311.84</v>
          </cell>
        </row>
        <row r="239">
          <cell r="C239">
            <v>487470.13</v>
          </cell>
        </row>
        <row r="240">
          <cell r="C240">
            <v>1420850</v>
          </cell>
        </row>
        <row r="241">
          <cell r="C241">
            <v>1350000</v>
          </cell>
        </row>
        <row r="242">
          <cell r="C242">
            <v>19526.669999999998</v>
          </cell>
        </row>
        <row r="267">
          <cell r="C267">
            <v>1282217390.6800001</v>
          </cell>
        </row>
        <row r="268">
          <cell r="C268">
            <v>1079559942.04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view="pageBreakPreview" zoomScale="85" zoomScaleSheetLayoutView="85" workbookViewId="0">
      <selection activeCell="K19" sqref="K19"/>
    </sheetView>
  </sheetViews>
  <sheetFormatPr defaultRowHeight="15" x14ac:dyDescent="0.25"/>
  <cols>
    <col min="1" max="1" customWidth="true" style="4" width="4.7109375" collapsed="true"/>
    <col min="2" max="2" style="1" width="9.140625" collapsed="true"/>
    <col min="3" max="4" customWidth="true" style="1" width="14.140625" collapsed="true"/>
    <col min="5" max="5" style="1" width="9.140625" collapsed="true"/>
    <col min="6" max="6" customWidth="true" style="1" width="20.5703125" collapsed="true"/>
    <col min="7" max="7" customWidth="true" style="1" width="1.7109375" collapsed="true"/>
    <col min="8" max="8" customWidth="true" style="3" width="19.7109375" collapsed="true"/>
    <col min="9" max="9" customWidth="true" style="1" width="3.0" collapsed="true"/>
    <col min="10" max="10" customWidth="true" style="2" width="15.7109375" collapsed="true"/>
    <col min="11" max="11" customWidth="true" style="1" width="17.28515625" collapsed="true"/>
    <col min="12" max="12" customWidth="true" style="1" width="2.140625" collapsed="true"/>
    <col min="13" max="13" customWidth="true" style="1" width="17.0" collapsed="true"/>
    <col min="14" max="14" style="1" width="9.140625" collapsed="true"/>
    <col min="15" max="15" bestFit="true" customWidth="true" style="1" width="15.0" collapsed="true"/>
    <col min="16" max="16384" style="1" width="9.140625" collapsed="true"/>
  </cols>
  <sheetData>
    <row r="1" spans="1:15" x14ac:dyDescent="0.25">
      <c r="A1" s="34" t="s">
        <v>58</v>
      </c>
    </row>
    <row r="2" spans="1:15" x14ac:dyDescent="0.25">
      <c r="A2" s="34" t="s">
        <v>57</v>
      </c>
    </row>
    <row r="3" spans="1:15" x14ac:dyDescent="0.25">
      <c r="A3" s="34" t="s">
        <v>280</v>
      </c>
    </row>
    <row r="5" spans="1:15" ht="9" customHeight="1" x14ac:dyDescent="0.25">
      <c r="B5" s="33"/>
    </row>
    <row r="6" spans="1:15" x14ac:dyDescent="0.25">
      <c r="A6" s="4">
        <v>1</v>
      </c>
      <c r="B6" s="6" t="s">
        <v>56</v>
      </c>
    </row>
    <row r="7" spans="1:15" x14ac:dyDescent="0.25">
      <c r="H7" s="19" t="s">
        <v>55</v>
      </c>
      <c r="J7" s="32" t="s">
        <v>54</v>
      </c>
      <c r="K7" s="19" t="s">
        <v>53</v>
      </c>
      <c r="M7" s="31" t="s">
        <v>52</v>
      </c>
    </row>
    <row r="8" spans="1:15" x14ac:dyDescent="0.25">
      <c r="C8" s="117" t="s">
        <v>51</v>
      </c>
      <c r="D8" s="117"/>
      <c r="E8" s="117"/>
      <c r="F8" s="117"/>
      <c r="H8" s="3">
        <f>'FS 02.28.19'!M11</f>
        <v>189260816.65000001</v>
      </c>
      <c r="J8" s="118">
        <f>H8/H11*100</f>
        <v>26.59</v>
      </c>
      <c r="K8" s="17">
        <f>H8+'FS 02.28.19'!M33</f>
        <v>274932823.88999999</v>
      </c>
      <c r="M8" s="118">
        <f>K8/K11*100</f>
        <v>38.619999999999997</v>
      </c>
      <c r="O8" s="17"/>
    </row>
    <row r="9" spans="1:15" ht="6" customHeight="1" x14ac:dyDescent="0.25">
      <c r="C9" s="11"/>
      <c r="D9" s="11"/>
      <c r="E9" s="11"/>
      <c r="F9" s="11"/>
      <c r="H9" s="14"/>
      <c r="J9" s="119"/>
      <c r="K9" s="115"/>
      <c r="M9" s="119"/>
    </row>
    <row r="10" spans="1:15" ht="6" customHeight="1" x14ac:dyDescent="0.25">
      <c r="I10" s="27"/>
      <c r="J10" s="119"/>
      <c r="M10" s="119"/>
    </row>
    <row r="11" spans="1:15" x14ac:dyDescent="0.25">
      <c r="C11" s="117" t="s">
        <v>40</v>
      </c>
      <c r="D11" s="117"/>
      <c r="E11" s="117"/>
      <c r="F11" s="117"/>
      <c r="H11" s="3">
        <f>'FS 02.28.19'!M76</f>
        <v>711849119.75999999</v>
      </c>
      <c r="J11" s="120"/>
      <c r="K11" s="17">
        <f>H11</f>
        <v>711849119.75999999</v>
      </c>
      <c r="M11" s="120"/>
      <c r="O11" s="17"/>
    </row>
    <row r="12" spans="1:15" x14ac:dyDescent="0.25">
      <c r="J12" s="30"/>
      <c r="M12" s="6"/>
      <c r="O12" s="17"/>
    </row>
    <row r="13" spans="1:15" x14ac:dyDescent="0.25">
      <c r="A13" s="4" t="s">
        <v>50</v>
      </c>
      <c r="B13" s="6" t="s">
        <v>49</v>
      </c>
      <c r="J13" s="30"/>
      <c r="K13" s="17"/>
      <c r="M13" s="6"/>
    </row>
    <row r="14" spans="1:15" x14ac:dyDescent="0.25">
      <c r="J14" s="30"/>
      <c r="K14" s="17"/>
      <c r="M14" s="6"/>
    </row>
    <row r="15" spans="1:15" x14ac:dyDescent="0.25">
      <c r="C15" s="117" t="s">
        <v>48</v>
      </c>
      <c r="D15" s="117"/>
      <c r="E15" s="117"/>
      <c r="F15" s="117"/>
      <c r="H15" s="126">
        <f>H8</f>
        <v>189260816.65000001</v>
      </c>
      <c r="J15" s="118">
        <f>H15/H19*100</f>
        <v>26.59</v>
      </c>
      <c r="K15" s="127">
        <f>K8</f>
        <v>274932823.88999999</v>
      </c>
      <c r="M15" s="118">
        <f>K15/K19*100</f>
        <v>38.619999999999997</v>
      </c>
    </row>
    <row r="16" spans="1:15" x14ac:dyDescent="0.25">
      <c r="C16" s="117" t="s">
        <v>47</v>
      </c>
      <c r="D16" s="117"/>
      <c r="E16" s="117"/>
      <c r="F16" s="117"/>
      <c r="H16" s="126"/>
      <c r="J16" s="119"/>
      <c r="K16" s="127"/>
      <c r="M16" s="119"/>
    </row>
    <row r="17" spans="1:13" ht="6" customHeight="1" x14ac:dyDescent="0.25">
      <c r="C17" s="11"/>
      <c r="D17" s="11"/>
      <c r="E17" s="11"/>
      <c r="F17" s="11"/>
      <c r="H17" s="14"/>
      <c r="J17" s="119"/>
      <c r="K17" s="14"/>
      <c r="M17" s="119"/>
    </row>
    <row r="18" spans="1:13" ht="6" customHeight="1" x14ac:dyDescent="0.25">
      <c r="J18" s="119"/>
      <c r="K18" s="3"/>
      <c r="M18" s="119"/>
    </row>
    <row r="19" spans="1:13" x14ac:dyDescent="0.25">
      <c r="C19" s="117" t="s">
        <v>40</v>
      </c>
      <c r="D19" s="117"/>
      <c r="E19" s="117"/>
      <c r="F19" s="117"/>
      <c r="H19" s="3">
        <f>H11</f>
        <v>711849119.75999999</v>
      </c>
      <c r="J19" s="120"/>
      <c r="K19" s="3">
        <f>K11</f>
        <v>711849119.75999999</v>
      </c>
      <c r="M19" s="120"/>
    </row>
    <row r="20" spans="1:13" x14ac:dyDescent="0.25">
      <c r="C20" s="27"/>
      <c r="D20" s="27"/>
      <c r="E20" s="27"/>
      <c r="F20" s="27"/>
      <c r="J20" s="26"/>
      <c r="K20" s="3"/>
      <c r="M20" s="26"/>
    </row>
    <row r="21" spans="1:13" x14ac:dyDescent="0.25">
      <c r="A21" s="4" t="s">
        <v>46</v>
      </c>
      <c r="B21" s="6" t="s">
        <v>45</v>
      </c>
      <c r="J21" s="30"/>
      <c r="M21" s="6"/>
    </row>
    <row r="22" spans="1:13" x14ac:dyDescent="0.25">
      <c r="J22" s="118">
        <f>H23/H24*100</f>
        <v>21.13</v>
      </c>
      <c r="M22" s="6"/>
    </row>
    <row r="23" spans="1:13" x14ac:dyDescent="0.25">
      <c r="C23" s="1" t="s">
        <v>44</v>
      </c>
      <c r="H23" s="3">
        <f>'FS 02.28.19'!K8+'FS 02.28.19'!K10+'FS 02.28.19'!K11+'FS 02.28.19'!M33</f>
        <v>274380619.19999999</v>
      </c>
      <c r="J23" s="119"/>
      <c r="M23" s="6"/>
    </row>
    <row r="24" spans="1:13" x14ac:dyDescent="0.25">
      <c r="C24" s="29"/>
      <c r="D24" s="29" t="s">
        <v>10</v>
      </c>
      <c r="E24" s="29"/>
      <c r="F24" s="29"/>
      <c r="H24" s="28">
        <f>'FS 02.28.19'!M108</f>
        <v>1298598844.21</v>
      </c>
      <c r="J24" s="119"/>
      <c r="M24" s="6"/>
    </row>
    <row r="25" spans="1:13" x14ac:dyDescent="0.25">
      <c r="J25" s="119"/>
      <c r="M25" s="6"/>
    </row>
    <row r="26" spans="1:13" x14ac:dyDescent="0.25">
      <c r="A26" s="4">
        <v>3</v>
      </c>
      <c r="B26" s="6" t="s">
        <v>43</v>
      </c>
      <c r="J26" s="120"/>
    </row>
    <row r="27" spans="1:13" x14ac:dyDescent="0.25">
      <c r="H27" s="19" t="s">
        <v>42</v>
      </c>
    </row>
    <row r="28" spans="1:13" x14ac:dyDescent="0.25">
      <c r="C28" s="117" t="s">
        <v>41</v>
      </c>
      <c r="D28" s="117"/>
      <c r="E28" s="117"/>
      <c r="F28" s="117"/>
      <c r="H28" s="3">
        <f>'FS 02.28.19'!K24+'FS 02.28.19'!K28</f>
        <v>1021883170.8</v>
      </c>
      <c r="J28" s="118">
        <f>H28/H31*100</f>
        <v>143.55000000000001</v>
      </c>
    </row>
    <row r="29" spans="1:13" ht="6" customHeight="1" x14ac:dyDescent="0.25">
      <c r="C29" s="11"/>
      <c r="D29" s="11"/>
      <c r="E29" s="11"/>
      <c r="F29" s="11"/>
      <c r="H29" s="14"/>
      <c r="J29" s="119"/>
    </row>
    <row r="30" spans="1:13" ht="6" customHeight="1" x14ac:dyDescent="0.25">
      <c r="J30" s="119"/>
    </row>
    <row r="31" spans="1:13" x14ac:dyDescent="0.25">
      <c r="C31" s="117" t="s">
        <v>40</v>
      </c>
      <c r="D31" s="117"/>
      <c r="E31" s="117"/>
      <c r="F31" s="117"/>
      <c r="H31" s="3">
        <f>H19</f>
        <v>711849119.75999999</v>
      </c>
      <c r="J31" s="120"/>
    </row>
    <row r="32" spans="1:13" x14ac:dyDescent="0.25">
      <c r="C32" s="27"/>
      <c r="D32" s="27"/>
      <c r="E32" s="27"/>
      <c r="F32" s="27"/>
      <c r="J32" s="26"/>
    </row>
    <row r="34" spans="1:15" x14ac:dyDescent="0.25">
      <c r="A34" s="4">
        <v>4</v>
      </c>
      <c r="B34" s="6" t="s">
        <v>39</v>
      </c>
    </row>
    <row r="36" spans="1:15" x14ac:dyDescent="0.25">
      <c r="C36" s="117" t="s">
        <v>38</v>
      </c>
      <c r="D36" s="117"/>
      <c r="E36" s="117"/>
      <c r="F36" s="117"/>
      <c r="H36" s="3">
        <f>'FS 02.28.19'!M129</f>
        <v>215857328.21000001</v>
      </c>
      <c r="J36" s="118">
        <f>H36/H39*100</f>
        <v>14.25</v>
      </c>
    </row>
    <row r="37" spans="1:15" ht="6" customHeight="1" x14ac:dyDescent="0.25">
      <c r="C37" s="11"/>
      <c r="D37" s="11"/>
      <c r="E37" s="11"/>
      <c r="F37" s="11"/>
      <c r="H37" s="14"/>
      <c r="J37" s="119"/>
    </row>
    <row r="38" spans="1:15" ht="6" customHeight="1" x14ac:dyDescent="0.25">
      <c r="J38" s="119"/>
    </row>
    <row r="39" spans="1:15" x14ac:dyDescent="0.25">
      <c r="C39" s="117" t="s">
        <v>37</v>
      </c>
      <c r="D39" s="117"/>
      <c r="E39" s="117"/>
      <c r="F39" s="117"/>
      <c r="H39" s="3">
        <f>'FS 02.28.19'!M69</f>
        <v>1514456172.4200001</v>
      </c>
      <c r="J39" s="120"/>
    </row>
    <row r="41" spans="1:15" x14ac:dyDescent="0.25">
      <c r="A41" s="4">
        <v>5</v>
      </c>
      <c r="B41" s="6" t="s">
        <v>36</v>
      </c>
    </row>
    <row r="42" spans="1:15" x14ac:dyDescent="0.25">
      <c r="H42" s="19" t="s">
        <v>35</v>
      </c>
    </row>
    <row r="43" spans="1:15" x14ac:dyDescent="0.25">
      <c r="C43" s="117" t="s">
        <v>34</v>
      </c>
      <c r="D43" s="117"/>
      <c r="E43" s="117"/>
      <c r="F43" s="117"/>
      <c r="H43" s="18">
        <f>('FS 02.28.19'!M208+'FS 02.28.19'!M209+'FS 02.28.19'!M210)/2*12</f>
        <v>147245530.38</v>
      </c>
      <c r="J43" s="118">
        <f>H43/H46*100</f>
        <v>12.77</v>
      </c>
      <c r="K43" s="25"/>
      <c r="L43" s="8"/>
      <c r="M43" s="125"/>
      <c r="N43" s="8"/>
      <c r="O43" s="8"/>
    </row>
    <row r="44" spans="1:15" ht="6" customHeight="1" x14ac:dyDescent="0.25">
      <c r="C44" s="11"/>
      <c r="D44" s="11"/>
      <c r="E44" s="11"/>
      <c r="F44" s="11"/>
      <c r="H44" s="14"/>
      <c r="J44" s="119"/>
      <c r="K44" s="8"/>
      <c r="L44" s="8"/>
      <c r="M44" s="125"/>
      <c r="N44" s="8"/>
      <c r="O44" s="8"/>
    </row>
    <row r="45" spans="1:15" ht="6" customHeight="1" x14ac:dyDescent="0.25">
      <c r="J45" s="119"/>
      <c r="K45" s="8"/>
      <c r="L45" s="8"/>
      <c r="M45" s="125"/>
      <c r="N45" s="8"/>
      <c r="O45" s="8"/>
    </row>
    <row r="46" spans="1:15" x14ac:dyDescent="0.25">
      <c r="C46" s="117" t="s">
        <v>23</v>
      </c>
      <c r="D46" s="117"/>
      <c r="E46" s="117"/>
      <c r="F46" s="117"/>
      <c r="H46" s="3">
        <f>((SUM('FS 02.28.19'!K10+'FS 02.28.19'!K11+'FS 02.28.19'!K24+'FS 02.28.19'!K28+'FS 02.28.19'!M33+'FS 02.28.19'!K53)+SUM('FS 02.28.18'!K10+'FS 02.28.18'!K11+'FS 02.28.18'!K24+'FS 02.28.18'!K28+'FS 02.28.18'!M33+'FS 02.28.18'!K52)))/2</f>
        <v>1152915146.1300001</v>
      </c>
      <c r="J46" s="120"/>
      <c r="K46" s="25"/>
      <c r="L46" s="8"/>
      <c r="M46" s="125"/>
      <c r="N46" s="8"/>
      <c r="O46" s="8"/>
    </row>
    <row r="47" spans="1:15" x14ac:dyDescent="0.25">
      <c r="H47" s="19" t="s">
        <v>33</v>
      </c>
      <c r="K47" s="8"/>
      <c r="L47" s="8"/>
      <c r="M47" s="8"/>
      <c r="N47" s="8"/>
      <c r="O47" s="8"/>
    </row>
    <row r="48" spans="1:15" x14ac:dyDescent="0.25">
      <c r="A48" s="4">
        <v>6</v>
      </c>
      <c r="B48" s="6" t="s">
        <v>32</v>
      </c>
      <c r="H48" s="20"/>
      <c r="K48" s="8"/>
      <c r="L48" s="8"/>
      <c r="M48" s="8"/>
      <c r="N48" s="8"/>
      <c r="O48" s="8"/>
    </row>
    <row r="49" spans="1:15" x14ac:dyDescent="0.25">
      <c r="H49" s="19" t="s">
        <v>31</v>
      </c>
      <c r="K49" s="8"/>
      <c r="L49" s="8"/>
      <c r="M49" s="8"/>
      <c r="N49" s="8"/>
      <c r="O49" s="8"/>
    </row>
    <row r="50" spans="1:15" x14ac:dyDescent="0.25">
      <c r="C50" s="117" t="s">
        <v>30</v>
      </c>
      <c r="D50" s="117"/>
      <c r="E50" s="117"/>
      <c r="F50" s="117"/>
      <c r="H50" s="18">
        <f>('FS 02.28.19'!M230)/2*12</f>
        <v>33834273.119999997</v>
      </c>
      <c r="J50" s="118">
        <f>H50/H53*100</f>
        <v>2.94</v>
      </c>
      <c r="K50" s="25"/>
      <c r="L50" s="8"/>
      <c r="M50" s="125"/>
      <c r="N50" s="8"/>
      <c r="O50" s="8"/>
    </row>
    <row r="51" spans="1:15" ht="6" customHeight="1" x14ac:dyDescent="0.25">
      <c r="C51" s="11"/>
      <c r="D51" s="11"/>
      <c r="E51" s="11"/>
      <c r="F51" s="11"/>
      <c r="H51" s="14"/>
      <c r="J51" s="119"/>
      <c r="K51" s="8"/>
      <c r="L51" s="8"/>
      <c r="M51" s="125"/>
      <c r="N51" s="8"/>
      <c r="O51" s="8"/>
    </row>
    <row r="52" spans="1:15" ht="6" customHeight="1" x14ac:dyDescent="0.25">
      <c r="J52" s="119"/>
      <c r="K52" s="8"/>
      <c r="L52" s="8"/>
      <c r="M52" s="125"/>
      <c r="N52" s="8"/>
      <c r="O52" s="8"/>
    </row>
    <row r="53" spans="1:15" x14ac:dyDescent="0.25">
      <c r="C53" s="117" t="s">
        <v>29</v>
      </c>
      <c r="D53" s="117"/>
      <c r="E53" s="117"/>
      <c r="F53" s="117"/>
      <c r="H53" s="3">
        <f>(('FS 02.28.19'!M76+'FS 02.28.19'!M84)+('FS 02.28.18'!M71+'FS 02.28.18'!M79))/2</f>
        <v>1149374646</v>
      </c>
      <c r="J53" s="120"/>
      <c r="K53" s="25"/>
      <c r="L53" s="8"/>
      <c r="M53" s="125"/>
      <c r="N53" s="8"/>
      <c r="O53" s="8"/>
    </row>
    <row r="54" spans="1:15" x14ac:dyDescent="0.25">
      <c r="H54" s="20" t="s">
        <v>28</v>
      </c>
      <c r="K54" s="8"/>
      <c r="L54" s="8"/>
      <c r="M54" s="8"/>
      <c r="N54" s="8"/>
      <c r="O54" s="8"/>
    </row>
    <row r="55" spans="1:15" x14ac:dyDescent="0.25">
      <c r="A55" s="4">
        <v>7</v>
      </c>
      <c r="B55" s="6" t="s">
        <v>27</v>
      </c>
      <c r="K55" s="8"/>
      <c r="L55" s="8"/>
      <c r="M55" s="8"/>
      <c r="N55" s="8"/>
      <c r="O55" s="8"/>
    </row>
    <row r="57" spans="1:15" x14ac:dyDescent="0.25">
      <c r="C57" s="24"/>
      <c r="D57" s="24" t="str">
        <f>B41</f>
        <v>Earning Asset Yield</v>
      </c>
      <c r="E57" s="24"/>
      <c r="F57" s="24"/>
      <c r="H57" s="3">
        <f>J43</f>
        <v>12.77</v>
      </c>
      <c r="J57" s="118">
        <f>H57-H58</f>
        <v>9.83</v>
      </c>
    </row>
    <row r="58" spans="1:15" x14ac:dyDescent="0.25">
      <c r="C58" s="23" t="s">
        <v>26</v>
      </c>
      <c r="D58" s="22" t="str">
        <f>B48</f>
        <v>Funding Cost</v>
      </c>
      <c r="E58" s="22"/>
      <c r="F58" s="22"/>
      <c r="H58" s="3">
        <f>J50</f>
        <v>2.94</v>
      </c>
      <c r="J58" s="120"/>
    </row>
    <row r="59" spans="1:15" x14ac:dyDescent="0.25">
      <c r="C59" s="124"/>
      <c r="D59" s="124"/>
      <c r="E59" s="124"/>
      <c r="F59" s="124"/>
    </row>
    <row r="60" spans="1:15" x14ac:dyDescent="0.25">
      <c r="A60" s="4">
        <v>8</v>
      </c>
      <c r="B60" s="6" t="s">
        <v>25</v>
      </c>
    </row>
    <row r="62" spans="1:15" x14ac:dyDescent="0.25">
      <c r="C62" s="117" t="s">
        <v>24</v>
      </c>
      <c r="D62" s="117"/>
      <c r="E62" s="117"/>
      <c r="F62" s="117"/>
      <c r="H62" s="3">
        <f>H43-H50</f>
        <v>113411257.26000001</v>
      </c>
      <c r="J62" s="118">
        <f>H62/H65*100</f>
        <v>9.84</v>
      </c>
    </row>
    <row r="63" spans="1:15" ht="6" customHeight="1" x14ac:dyDescent="0.25">
      <c r="C63" s="11"/>
      <c r="D63" s="11"/>
      <c r="E63" s="11"/>
      <c r="F63" s="11"/>
      <c r="H63" s="14"/>
      <c r="J63" s="119"/>
    </row>
    <row r="64" spans="1:15" ht="6" customHeight="1" x14ac:dyDescent="0.25">
      <c r="J64" s="119"/>
    </row>
    <row r="65" spans="1:13" x14ac:dyDescent="0.25">
      <c r="C65" s="117" t="s">
        <v>23</v>
      </c>
      <c r="D65" s="117"/>
      <c r="E65" s="117"/>
      <c r="F65" s="117"/>
      <c r="H65" s="3">
        <f>H46</f>
        <v>1152915146.1300001</v>
      </c>
      <c r="J65" s="120"/>
    </row>
    <row r="67" spans="1:13" x14ac:dyDescent="0.25">
      <c r="A67" s="4">
        <v>9</v>
      </c>
      <c r="B67" s="6" t="s">
        <v>22</v>
      </c>
    </row>
    <row r="69" spans="1:13" x14ac:dyDescent="0.25">
      <c r="C69" s="117" t="s">
        <v>21</v>
      </c>
      <c r="D69" s="117"/>
      <c r="E69" s="117"/>
      <c r="F69" s="117"/>
      <c r="H69" s="3">
        <f>H62</f>
        <v>113411257.26000001</v>
      </c>
      <c r="J69" s="118">
        <f>H69/H72*100</f>
        <v>59.16</v>
      </c>
    </row>
    <row r="70" spans="1:13" ht="6" customHeight="1" x14ac:dyDescent="0.25">
      <c r="C70" s="11"/>
      <c r="D70" s="11"/>
      <c r="E70" s="11"/>
      <c r="F70" s="11"/>
      <c r="H70" s="14"/>
      <c r="J70" s="119"/>
    </row>
    <row r="71" spans="1:13" ht="6" customHeight="1" x14ac:dyDescent="0.25">
      <c r="J71" s="119"/>
    </row>
    <row r="72" spans="1:13" x14ac:dyDescent="0.25">
      <c r="C72" s="117" t="s">
        <v>16</v>
      </c>
      <c r="D72" s="117"/>
      <c r="E72" s="117"/>
      <c r="F72" s="117"/>
      <c r="H72" s="18">
        <f>(('FS 02.28.19'!M216-'FS 02.28.19'!M230+'FS 02.28.19'!M266)/2*12)</f>
        <v>191699508.84</v>
      </c>
      <c r="J72" s="120"/>
    </row>
    <row r="73" spans="1:13" x14ac:dyDescent="0.25">
      <c r="H73" s="21" t="s">
        <v>20</v>
      </c>
    </row>
    <row r="74" spans="1:13" x14ac:dyDescent="0.25">
      <c r="A74" s="4">
        <v>10</v>
      </c>
      <c r="B74" s="6" t="s">
        <v>19</v>
      </c>
      <c r="H74" s="20"/>
    </row>
    <row r="75" spans="1:13" x14ac:dyDescent="0.25">
      <c r="H75" s="19" t="s">
        <v>18</v>
      </c>
    </row>
    <row r="76" spans="1:13" x14ac:dyDescent="0.25">
      <c r="C76" s="117" t="s">
        <v>17</v>
      </c>
      <c r="D76" s="117"/>
      <c r="E76" s="117"/>
      <c r="F76" s="117"/>
      <c r="H76" s="18">
        <f>('FS 02.28.19'!M263-('FS 02.28.19'!M230))/2*12</f>
        <v>155341788.96000001</v>
      </c>
      <c r="J76" s="118">
        <f>H76/H79*100</f>
        <v>81.03</v>
      </c>
      <c r="M76" s="17"/>
    </row>
    <row r="77" spans="1:13" ht="6" customHeight="1" x14ac:dyDescent="0.25">
      <c r="C77" s="11"/>
      <c r="D77" s="11"/>
      <c r="E77" s="11"/>
      <c r="F77" s="11"/>
      <c r="H77" s="14"/>
      <c r="J77" s="119"/>
    </row>
    <row r="78" spans="1:13" ht="6" customHeight="1" x14ac:dyDescent="0.25">
      <c r="J78" s="119"/>
    </row>
    <row r="79" spans="1:13" x14ac:dyDescent="0.25">
      <c r="C79" s="117" t="s">
        <v>16</v>
      </c>
      <c r="D79" s="117"/>
      <c r="E79" s="117"/>
      <c r="F79" s="117"/>
      <c r="H79" s="3">
        <f>H72</f>
        <v>191699508.84</v>
      </c>
      <c r="J79" s="120"/>
    </row>
    <row r="81" spans="1:10" x14ac:dyDescent="0.25">
      <c r="A81" s="4">
        <v>11</v>
      </c>
      <c r="B81" s="6" t="s">
        <v>15</v>
      </c>
    </row>
    <row r="83" spans="1:10" x14ac:dyDescent="0.25">
      <c r="C83" s="117" t="s">
        <v>14</v>
      </c>
      <c r="D83" s="117"/>
      <c r="E83" s="117"/>
      <c r="F83" s="117"/>
      <c r="H83" s="3">
        <f>'FS 02.28.19'!I24+'FS 02.28.19'!J24</f>
        <v>123878409.13</v>
      </c>
      <c r="J83" s="118">
        <f>H83/H86*100</f>
        <v>12.12</v>
      </c>
    </row>
    <row r="84" spans="1:10" ht="6" customHeight="1" x14ac:dyDescent="0.25">
      <c r="C84" s="11"/>
      <c r="D84" s="11"/>
      <c r="E84" s="11"/>
      <c r="F84" s="11"/>
      <c r="H84" s="14"/>
      <c r="J84" s="119"/>
    </row>
    <row r="85" spans="1:10" ht="6" customHeight="1" x14ac:dyDescent="0.25">
      <c r="J85" s="119"/>
    </row>
    <row r="86" spans="1:10" x14ac:dyDescent="0.25">
      <c r="C86" s="117" t="str">
        <f>C28</f>
        <v>Loans , net of unamortized discount &amp; deferred credits</v>
      </c>
      <c r="D86" s="117"/>
      <c r="E86" s="117"/>
      <c r="F86" s="117"/>
      <c r="H86" s="3">
        <f>H28</f>
        <v>1021883170.8</v>
      </c>
      <c r="J86" s="120"/>
    </row>
    <row r="88" spans="1:10" hidden="1" x14ac:dyDescent="0.25">
      <c r="B88" s="1" t="s">
        <v>13</v>
      </c>
    </row>
    <row r="89" spans="1:10" hidden="1" x14ac:dyDescent="0.25"/>
    <row r="90" spans="1:10" hidden="1" x14ac:dyDescent="0.25">
      <c r="C90" s="117" t="s">
        <v>12</v>
      </c>
      <c r="D90" s="117"/>
      <c r="E90" s="117"/>
      <c r="F90" s="117"/>
      <c r="H90" s="3">
        <v>48367038.719999999</v>
      </c>
      <c r="J90" s="121">
        <f>H90/H93*100</f>
        <v>4.7300000000000004</v>
      </c>
    </row>
    <row r="91" spans="1:10" ht="6" hidden="1" customHeight="1" x14ac:dyDescent="0.25">
      <c r="C91" s="11"/>
      <c r="D91" s="11"/>
      <c r="E91" s="11"/>
      <c r="F91" s="11"/>
      <c r="H91" s="14"/>
      <c r="J91" s="122"/>
    </row>
    <row r="92" spans="1:10" ht="6" hidden="1" customHeight="1" x14ac:dyDescent="0.25">
      <c r="J92" s="122"/>
    </row>
    <row r="93" spans="1:10" hidden="1" x14ac:dyDescent="0.25">
      <c r="C93" s="117" t="str">
        <f>C36</f>
        <v>Total Capital Account + Redeemable Preferred Shares</v>
      </c>
      <c r="D93" s="117"/>
      <c r="E93" s="117"/>
      <c r="F93" s="117"/>
      <c r="H93" s="3">
        <f>H86</f>
        <v>1021883170.8</v>
      </c>
      <c r="J93" s="123"/>
    </row>
    <row r="94" spans="1:10" x14ac:dyDescent="0.25">
      <c r="A94" s="4">
        <v>12</v>
      </c>
      <c r="B94" s="6" t="s">
        <v>11</v>
      </c>
      <c r="C94" s="16"/>
      <c r="D94" s="16"/>
      <c r="E94" s="16"/>
      <c r="F94" s="16"/>
      <c r="H94" s="12"/>
      <c r="I94" s="8"/>
      <c r="J94" s="7"/>
    </row>
    <row r="95" spans="1:10" x14ac:dyDescent="0.25">
      <c r="C95" s="116"/>
      <c r="D95" s="116"/>
      <c r="E95" s="116"/>
      <c r="F95" s="116"/>
      <c r="G95" s="8"/>
      <c r="H95" s="12"/>
      <c r="I95" s="8"/>
      <c r="J95" s="15"/>
    </row>
    <row r="96" spans="1:10" x14ac:dyDescent="0.25">
      <c r="C96" s="117" t="s">
        <v>10</v>
      </c>
      <c r="D96" s="117"/>
      <c r="E96" s="117"/>
      <c r="F96" s="117"/>
      <c r="H96" s="3">
        <f>'FS 02.28.19'!M108</f>
        <v>1298598844.21</v>
      </c>
      <c r="J96" s="118">
        <f>H96/H99*100</f>
        <v>601.6</v>
      </c>
    </row>
    <row r="97" spans="1:10" ht="5.25" customHeight="1" x14ac:dyDescent="0.25">
      <c r="C97" s="11"/>
      <c r="D97" s="11"/>
      <c r="E97" s="11"/>
      <c r="F97" s="11"/>
      <c r="H97" s="14"/>
      <c r="J97" s="119"/>
    </row>
    <row r="98" spans="1:10" ht="4.5" customHeight="1" x14ac:dyDescent="0.25">
      <c r="J98" s="119"/>
    </row>
    <row r="99" spans="1:10" x14ac:dyDescent="0.25">
      <c r="C99" s="117" t="s">
        <v>7</v>
      </c>
      <c r="D99" s="117"/>
      <c r="E99" s="117"/>
      <c r="F99" s="117"/>
      <c r="H99" s="3">
        <f>'FS 02.28.19'!M129</f>
        <v>215857328.21000001</v>
      </c>
      <c r="J99" s="120"/>
    </row>
    <row r="101" spans="1:10" x14ac:dyDescent="0.25">
      <c r="A101" s="4">
        <v>13</v>
      </c>
      <c r="B101" s="6" t="s">
        <v>9</v>
      </c>
      <c r="C101" s="16"/>
      <c r="D101" s="16"/>
      <c r="E101" s="16"/>
      <c r="F101" s="16"/>
      <c r="H101" s="12"/>
      <c r="I101" s="8"/>
      <c r="J101" s="7"/>
    </row>
    <row r="102" spans="1:10" x14ac:dyDescent="0.25">
      <c r="C102" s="116"/>
      <c r="D102" s="116"/>
      <c r="E102" s="116"/>
      <c r="F102" s="116"/>
      <c r="G102" s="8"/>
      <c r="H102" s="12"/>
      <c r="I102" s="8"/>
      <c r="J102" s="15"/>
    </row>
    <row r="103" spans="1:10" x14ac:dyDescent="0.25">
      <c r="C103" s="117" t="s">
        <v>8</v>
      </c>
      <c r="D103" s="117"/>
      <c r="E103" s="117"/>
      <c r="F103" s="117"/>
      <c r="H103" s="3">
        <f>'FS 02.28.19'!M45</f>
        <v>84964648.329999998</v>
      </c>
      <c r="J103" s="118">
        <f>H103/H106*100</f>
        <v>39.36</v>
      </c>
    </row>
    <row r="104" spans="1:10" ht="6" customHeight="1" x14ac:dyDescent="0.25">
      <c r="C104" s="11"/>
      <c r="D104" s="11"/>
      <c r="E104" s="11"/>
      <c r="F104" s="11"/>
      <c r="H104" s="14"/>
      <c r="J104" s="119"/>
    </row>
    <row r="105" spans="1:10" ht="4.5" customHeight="1" x14ac:dyDescent="0.25">
      <c r="J105" s="119"/>
    </row>
    <row r="106" spans="1:10" x14ac:dyDescent="0.25">
      <c r="C106" s="117" t="s">
        <v>7</v>
      </c>
      <c r="D106" s="117"/>
      <c r="E106" s="117"/>
      <c r="F106" s="117"/>
      <c r="H106" s="3">
        <f>H99</f>
        <v>215857328.21000001</v>
      </c>
      <c r="J106" s="120"/>
    </row>
    <row r="108" spans="1:10" x14ac:dyDescent="0.25">
      <c r="A108" s="4">
        <v>14</v>
      </c>
      <c r="B108" s="6" t="s">
        <v>6</v>
      </c>
    </row>
    <row r="109" spans="1:10" x14ac:dyDescent="0.25">
      <c r="C109" s="13"/>
      <c r="D109" s="8"/>
      <c r="E109" s="8"/>
      <c r="F109" s="8"/>
      <c r="G109" s="8"/>
      <c r="H109" s="12"/>
      <c r="I109" s="8"/>
      <c r="J109" s="7"/>
    </row>
    <row r="110" spans="1:10" x14ac:dyDescent="0.25">
      <c r="C110" s="117" t="s">
        <v>5</v>
      </c>
      <c r="D110" s="117"/>
      <c r="E110" s="117"/>
      <c r="F110" s="117"/>
      <c r="H110" s="12">
        <f>'FS 02.28.19'!M76</f>
        <v>711849119.75999999</v>
      </c>
      <c r="I110" s="8"/>
      <c r="J110" s="7"/>
    </row>
    <row r="111" spans="1:10" x14ac:dyDescent="0.25">
      <c r="C111" s="11"/>
      <c r="D111" s="11"/>
      <c r="E111" s="11"/>
      <c r="F111" s="11"/>
      <c r="H111" s="10">
        <v>0.03</v>
      </c>
      <c r="I111" s="8"/>
      <c r="J111" s="7"/>
    </row>
    <row r="112" spans="1:10" x14ac:dyDescent="0.25">
      <c r="H112" s="9">
        <f>H110*H111</f>
        <v>21355473.59</v>
      </c>
      <c r="I112" s="8"/>
      <c r="J112" s="7"/>
    </row>
    <row r="115" spans="1:5" s="1" customFormat="1" x14ac:dyDescent="0.25">
      <c r="A115" s="4" t="s">
        <v>4</v>
      </c>
      <c r="E115" s="6" t="s">
        <v>3</v>
      </c>
    </row>
    <row r="118" spans="1:5" s="1" customFormat="1" ht="14.25" x14ac:dyDescent="0.2">
      <c r="A118" s="5" t="s">
        <v>278</v>
      </c>
      <c r="E118" s="1" t="s">
        <v>2</v>
      </c>
    </row>
    <row r="119" spans="1:5" s="1" customFormat="1" ht="14.25" x14ac:dyDescent="0.2">
      <c r="A119" s="5" t="s">
        <v>1</v>
      </c>
      <c r="E119" s="1" t="s">
        <v>0</v>
      </c>
    </row>
  </sheetData>
  <mergeCells count="52">
    <mergeCell ref="C8:F8"/>
    <mergeCell ref="J8:J11"/>
    <mergeCell ref="M8:M11"/>
    <mergeCell ref="C11:F11"/>
    <mergeCell ref="C15:F15"/>
    <mergeCell ref="H15:H16"/>
    <mergeCell ref="J15:J19"/>
    <mergeCell ref="K15:K16"/>
    <mergeCell ref="M15:M19"/>
    <mergeCell ref="C16:F16"/>
    <mergeCell ref="C19:F19"/>
    <mergeCell ref="J22:J26"/>
    <mergeCell ref="C28:F28"/>
    <mergeCell ref="J28:J31"/>
    <mergeCell ref="C31:F31"/>
    <mergeCell ref="C36:F36"/>
    <mergeCell ref="J36:J39"/>
    <mergeCell ref="C39:F39"/>
    <mergeCell ref="C43:F43"/>
    <mergeCell ref="J43:J46"/>
    <mergeCell ref="M43:M46"/>
    <mergeCell ref="C46:F46"/>
    <mergeCell ref="C50:F50"/>
    <mergeCell ref="J50:J53"/>
    <mergeCell ref="M50:M53"/>
    <mergeCell ref="C53:F53"/>
    <mergeCell ref="J57:J58"/>
    <mergeCell ref="C59:F59"/>
    <mergeCell ref="C62:F62"/>
    <mergeCell ref="J62:J65"/>
    <mergeCell ref="C65:F65"/>
    <mergeCell ref="C69:F69"/>
    <mergeCell ref="J69:J72"/>
    <mergeCell ref="C72:F72"/>
    <mergeCell ref="J96:J99"/>
    <mergeCell ref="C99:F99"/>
    <mergeCell ref="C76:F76"/>
    <mergeCell ref="J76:J79"/>
    <mergeCell ref="C79:F79"/>
    <mergeCell ref="C83:F83"/>
    <mergeCell ref="J83:J86"/>
    <mergeCell ref="C86:F86"/>
    <mergeCell ref="C90:F90"/>
    <mergeCell ref="J90:J93"/>
    <mergeCell ref="C93:F93"/>
    <mergeCell ref="C95:F95"/>
    <mergeCell ref="C96:F96"/>
    <mergeCell ref="C102:F102"/>
    <mergeCell ref="C103:F103"/>
    <mergeCell ref="J103:J106"/>
    <mergeCell ref="C106:F106"/>
    <mergeCell ref="C110:F110"/>
  </mergeCells>
  <pageMargins left="0.64" right="0.51" top="0.34" bottom="0.39" header="0.5" footer="0.5"/>
  <pageSetup paperSize="10000"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03"/>
  <sheetViews>
    <sheetView view="pageBreakPreview" zoomScale="115" zoomScaleSheetLayoutView="115" workbookViewId="0">
      <selection sqref="A1:XFD1048576"/>
    </sheetView>
  </sheetViews>
  <sheetFormatPr defaultRowHeight="11.25" x14ac:dyDescent="0.2"/>
  <cols>
    <col min="1" max="1" customWidth="true" style="35" width="1.42578125" collapsed="true"/>
    <col min="2" max="2" customWidth="true" style="35" width="2.85546875" collapsed="true"/>
    <col min="3" max="3" style="35" width="9.140625" collapsed="true"/>
    <col min="4" max="4" customWidth="true" style="35" width="15.0" collapsed="true"/>
    <col min="5" max="5" customWidth="true" style="39" width="6.0" collapsed="true"/>
    <col min="6" max="6" customWidth="true" style="35" width="3.85546875" collapsed="true"/>
    <col min="7" max="7" customWidth="true" style="35" width="7.42578125" collapsed="true"/>
    <col min="8" max="8" bestFit="true" customWidth="true" style="35" width="14.5703125" collapsed="true"/>
    <col min="9" max="9" bestFit="true" customWidth="true" style="35" width="15.28515625" collapsed="true"/>
    <col min="10" max="10" bestFit="true" customWidth="true" style="35" width="15.85546875" collapsed="true"/>
    <col min="11" max="11" customWidth="true" style="35" width="15.5703125" collapsed="true"/>
    <col min="12" max="12" customWidth="true" style="38" width="0.28515625" collapsed="true"/>
    <col min="13" max="13" customWidth="true" style="35" width="16.28515625" collapsed="true"/>
    <col min="14" max="14" customWidth="true" style="35" width="0.42578125" collapsed="true"/>
    <col min="15" max="15" bestFit="true" customWidth="true" style="35" width="12.0" collapsed="true"/>
    <col min="16" max="16" bestFit="true" customWidth="true" style="37" width="14.5703125" collapsed="true"/>
    <col min="17" max="17" customWidth="true" style="36" width="12.85546875" collapsed="true"/>
    <col min="18" max="16384" style="35" width="9.140625" collapsed="true"/>
  </cols>
  <sheetData>
    <row r="1" spans="1:17" x14ac:dyDescent="0.2">
      <c r="A1" s="66" t="s">
        <v>150</v>
      </c>
      <c r="B1" s="68"/>
      <c r="C1" s="68"/>
      <c r="D1" s="68"/>
      <c r="E1" s="52"/>
      <c r="F1" s="68"/>
      <c r="G1" s="68"/>
      <c r="H1" s="68"/>
      <c r="I1" s="68"/>
      <c r="J1" s="68"/>
      <c r="K1" s="68"/>
      <c r="L1" s="69"/>
      <c r="M1" s="68"/>
      <c r="N1" s="68"/>
      <c r="O1" s="42">
        <f>M69-M131</f>
        <v>0</v>
      </c>
      <c r="P1" s="112">
        <f>'[1]Full Trial Balance'!A5</f>
        <v>43524</v>
      </c>
    </row>
    <row r="2" spans="1:17" x14ac:dyDescent="0.2">
      <c r="A2" s="66" t="s">
        <v>270</v>
      </c>
      <c r="B2" s="68"/>
      <c r="C2" s="68"/>
      <c r="D2" s="68"/>
      <c r="E2" s="52"/>
      <c r="F2" s="68"/>
      <c r="G2" s="68"/>
      <c r="H2" s="68"/>
      <c r="I2" s="68"/>
      <c r="J2" s="68"/>
      <c r="K2" s="68"/>
      <c r="L2" s="69"/>
      <c r="M2" s="68"/>
      <c r="N2" s="68"/>
      <c r="O2" s="42">
        <f>+O31+O69+O108+P116+O131+O269</f>
        <v>0</v>
      </c>
    </row>
    <row r="3" spans="1:17" x14ac:dyDescent="0.2">
      <c r="A3" s="70" t="str">
        <f>+[1]TB!A3</f>
        <v>As of February 28, 2019</v>
      </c>
      <c r="B3" s="68"/>
      <c r="C3" s="68"/>
      <c r="D3" s="68"/>
      <c r="E3" s="52"/>
      <c r="F3" s="68"/>
      <c r="G3" s="68"/>
      <c r="H3" s="68"/>
      <c r="I3" s="68"/>
      <c r="J3" s="68"/>
      <c r="K3" s="68"/>
      <c r="L3" s="69"/>
      <c r="M3" s="68"/>
      <c r="N3" s="68"/>
      <c r="P3" s="37" t="s">
        <v>269</v>
      </c>
      <c r="Q3" s="36">
        <f>K74*0.05</f>
        <v>2141027.89</v>
      </c>
    </row>
    <row r="4" spans="1:17" ht="12.75" customHeight="1" x14ac:dyDescent="0.2">
      <c r="A4" s="66"/>
      <c r="B4" s="68"/>
      <c r="C4" s="68"/>
      <c r="D4" s="68"/>
      <c r="E4" s="52"/>
      <c r="F4" s="68"/>
      <c r="G4" s="68"/>
      <c r="H4" s="68"/>
      <c r="I4" s="68"/>
      <c r="J4" s="68"/>
      <c r="K4" s="68"/>
      <c r="L4" s="69"/>
      <c r="M4" s="68"/>
      <c r="N4" s="68"/>
      <c r="P4" s="37" t="s">
        <v>268</v>
      </c>
      <c r="Q4" s="36">
        <f>K75*0.03</f>
        <v>20068076.579999998</v>
      </c>
    </row>
    <row r="5" spans="1:17" s="67" customFormat="1" x14ac:dyDescent="0.2">
      <c r="A5" s="66" t="s">
        <v>267</v>
      </c>
      <c r="B5" s="68"/>
      <c r="C5" s="68"/>
      <c r="D5" s="68"/>
      <c r="E5" s="52"/>
      <c r="F5" s="68"/>
      <c r="G5" s="68"/>
      <c r="H5" s="68"/>
      <c r="I5" s="68"/>
      <c r="J5" s="68"/>
      <c r="K5" s="68"/>
      <c r="L5" s="69"/>
      <c r="M5" s="68"/>
      <c r="N5" s="68"/>
      <c r="P5" s="37" t="s">
        <v>266</v>
      </c>
      <c r="Q5" s="36">
        <f>K76*0.03</f>
        <v>2780.28</v>
      </c>
    </row>
    <row r="6" spans="1:17" ht="7.15" customHeight="1" x14ac:dyDescent="0.3">
      <c r="A6" s="66"/>
      <c r="B6" s="48"/>
      <c r="C6" s="48"/>
      <c r="D6" s="48"/>
      <c r="F6" s="71"/>
      <c r="G6" s="71"/>
      <c r="H6" s="71"/>
      <c r="I6" s="71"/>
      <c r="J6" s="71"/>
      <c r="K6" s="72"/>
      <c r="L6" s="73"/>
      <c r="M6" s="71"/>
      <c r="N6" s="71"/>
    </row>
    <row r="7" spans="1:17" ht="12" thickBot="1" x14ac:dyDescent="0.25">
      <c r="A7" s="35" t="s">
        <v>265</v>
      </c>
      <c r="F7" s="71"/>
      <c r="G7" s="71"/>
      <c r="H7" s="71"/>
      <c r="I7" s="71"/>
      <c r="J7" s="71"/>
      <c r="K7" s="71"/>
      <c r="L7" s="74"/>
      <c r="M7" s="71"/>
      <c r="N7" s="71"/>
      <c r="P7" s="37" t="s">
        <v>264</v>
      </c>
      <c r="Q7" s="49">
        <f>SUM(Q3:Q6)</f>
        <v>22211884.75</v>
      </c>
    </row>
    <row r="8" spans="1:17" ht="12" thickBot="1" x14ac:dyDescent="0.25">
      <c r="B8" s="35" t="s">
        <v>263</v>
      </c>
      <c r="F8" s="71"/>
      <c r="G8" s="71"/>
      <c r="H8" s="71"/>
      <c r="I8" s="71"/>
      <c r="J8" s="75"/>
      <c r="K8" s="71">
        <f>[1]TB!C7</f>
        <v>61990979.960000001</v>
      </c>
      <c r="L8" s="74"/>
      <c r="M8" s="71"/>
      <c r="N8" s="71"/>
      <c r="P8" s="37" t="s">
        <v>262</v>
      </c>
      <c r="Q8" s="65">
        <f>K10-Q7</f>
        <v>3001824.23</v>
      </c>
    </row>
    <row r="9" spans="1:17" x14ac:dyDescent="0.2">
      <c r="B9" s="35" t="s">
        <v>261</v>
      </c>
      <c r="F9" s="71"/>
      <c r="G9" s="71"/>
      <c r="H9" s="71"/>
      <c r="I9" s="71"/>
      <c r="J9" s="75"/>
      <c r="K9" s="71">
        <f>[1]TB!C8</f>
        <v>552204.68999999994</v>
      </c>
      <c r="L9" s="74"/>
      <c r="M9" s="71"/>
      <c r="N9" s="71"/>
    </row>
    <row r="10" spans="1:17" x14ac:dyDescent="0.2">
      <c r="B10" s="35" t="s">
        <v>260</v>
      </c>
      <c r="F10" s="71"/>
      <c r="G10" s="71"/>
      <c r="H10" s="71"/>
      <c r="I10" s="71"/>
      <c r="J10" s="75"/>
      <c r="K10" s="71">
        <f>[1]TB!C9</f>
        <v>25213708.98</v>
      </c>
      <c r="L10" s="74"/>
      <c r="M10" s="71"/>
      <c r="N10" s="71"/>
      <c r="P10" s="37" t="s">
        <v>277</v>
      </c>
      <c r="Q10" s="96">
        <f>(K8+K10+K11+M33)/M108</f>
        <v>0.21129999999999999</v>
      </c>
    </row>
    <row r="11" spans="1:17" x14ac:dyDescent="0.2">
      <c r="B11" s="35" t="s">
        <v>259</v>
      </c>
      <c r="F11" s="71"/>
      <c r="G11" s="71"/>
      <c r="H11" s="71"/>
      <c r="I11" s="71"/>
      <c r="J11" s="75"/>
      <c r="K11" s="76">
        <f>[1]TB!C10</f>
        <v>101503923.02</v>
      </c>
      <c r="L11" s="74"/>
      <c r="M11" s="74">
        <f>SUM(K8:K11)</f>
        <v>189260816.65000001</v>
      </c>
      <c r="N11" s="74"/>
    </row>
    <row r="12" spans="1:17" ht="11.25" customHeight="1" x14ac:dyDescent="0.2">
      <c r="J12" s="71"/>
      <c r="K12" s="71"/>
      <c r="L12" s="74"/>
      <c r="M12" s="71"/>
      <c r="N12" s="71"/>
      <c r="O12" s="64"/>
    </row>
    <row r="13" spans="1:17" x14ac:dyDescent="0.2">
      <c r="A13" s="35" t="s">
        <v>258</v>
      </c>
      <c r="E13" s="128"/>
      <c r="F13" s="128"/>
      <c r="H13" s="77" t="s">
        <v>257</v>
      </c>
      <c r="I13" s="77" t="s">
        <v>256</v>
      </c>
      <c r="J13" s="77" t="s">
        <v>255</v>
      </c>
      <c r="K13" s="77" t="s">
        <v>168</v>
      </c>
      <c r="L13" s="78"/>
      <c r="M13" s="71"/>
      <c r="N13" s="71"/>
      <c r="O13" s="64"/>
    </row>
    <row r="14" spans="1:17" x14ac:dyDescent="0.2">
      <c r="B14" s="35" t="s">
        <v>254</v>
      </c>
      <c r="C14" s="114"/>
      <c r="D14" s="114"/>
      <c r="E14" s="35"/>
      <c r="H14" s="71">
        <f>[1]TB!C17+[1]TB!C52+[1]TB!C18+[1]TB!C53</f>
        <v>338776396.70999998</v>
      </c>
      <c r="I14" s="71">
        <f>[1]TB!C29+[1]TB!C63+[1]TB!C30+[1]TB!C64+[1]TB!C75+[1]TB!C86+[1]TB!C91+[1]TB!C92+[1]TB!C93+[1]TB!C94</f>
        <v>7954846.3600000003</v>
      </c>
      <c r="J14" s="71">
        <f>[1]TB!C41+[1]TB!C43</f>
        <v>0</v>
      </c>
      <c r="K14" s="71">
        <f t="shared" ref="K14:K23" si="0">SUM(H14:J14)</f>
        <v>346731243.06999999</v>
      </c>
      <c r="L14" s="74"/>
      <c r="M14" s="71"/>
      <c r="N14" s="71"/>
      <c r="O14" s="64"/>
    </row>
    <row r="15" spans="1:17" x14ac:dyDescent="0.2">
      <c r="B15" s="35" t="s">
        <v>253</v>
      </c>
      <c r="C15" s="114"/>
      <c r="D15" s="114"/>
      <c r="E15" s="35"/>
      <c r="H15" s="71">
        <f>[1]TB!C19</f>
        <v>23086737.5</v>
      </c>
      <c r="I15" s="71">
        <f>+[1]TB!C31+[1]TB!C76+[1]TB!C87</f>
        <v>0</v>
      </c>
      <c r="J15" s="71">
        <f>[1]TB!C42+[1]TB!C44</f>
        <v>0</v>
      </c>
      <c r="K15" s="71">
        <f t="shared" si="0"/>
        <v>23086737.5</v>
      </c>
      <c r="L15" s="74"/>
      <c r="M15" s="71"/>
      <c r="N15" s="71"/>
    </row>
    <row r="16" spans="1:17" x14ac:dyDescent="0.2">
      <c r="B16" s="35" t="s">
        <v>252</v>
      </c>
      <c r="C16" s="114"/>
      <c r="D16" s="114"/>
      <c r="E16" s="35"/>
      <c r="H16" s="71">
        <f>[1]TB!C20+[1]TB!C54</f>
        <v>103471006.09999999</v>
      </c>
      <c r="I16" s="71">
        <f>[1]TB!C33+[1]TB!C65+[1]TB!C77+[1]TB!C88</f>
        <v>5925900.46</v>
      </c>
      <c r="J16" s="71">
        <f>[1]TB!C43</f>
        <v>0</v>
      </c>
      <c r="K16" s="71">
        <f t="shared" si="0"/>
        <v>109396906.56</v>
      </c>
      <c r="L16" s="74"/>
      <c r="M16" s="71"/>
      <c r="N16" s="71"/>
    </row>
    <row r="17" spans="1:17" x14ac:dyDescent="0.2">
      <c r="B17" s="35" t="s">
        <v>251</v>
      </c>
      <c r="C17" s="114"/>
      <c r="D17" s="114"/>
      <c r="E17" s="35"/>
      <c r="G17" s="42"/>
      <c r="H17" s="71">
        <f>[1]TB!C22+[1]TB!C55</f>
        <v>90689724.260000005</v>
      </c>
      <c r="I17" s="71">
        <f>[1]TB!C34+[1]TB!C66+[1]TB!C79+[1]TB!C90</f>
        <v>10363073.32</v>
      </c>
      <c r="J17" s="71">
        <f>[1]TB!C44</f>
        <v>0</v>
      </c>
      <c r="K17" s="71">
        <f t="shared" si="0"/>
        <v>101052797.58</v>
      </c>
      <c r="L17" s="74"/>
      <c r="M17" s="71"/>
      <c r="N17" s="71"/>
    </row>
    <row r="18" spans="1:17" ht="12" hidden="1" customHeight="1" x14ac:dyDescent="0.2">
      <c r="B18" s="35" t="s">
        <v>250</v>
      </c>
      <c r="C18" s="114"/>
      <c r="D18" s="114"/>
      <c r="E18" s="35"/>
      <c r="H18" s="71">
        <f>[1]TB!C15+[1]TB!C56</f>
        <v>0</v>
      </c>
      <c r="I18" s="71">
        <f>[1]TB!C27+[1]TB!C67+[1]TB!C73+[1]TB!C84</f>
        <v>0</v>
      </c>
      <c r="J18" s="71">
        <f>[1]TB!C45</f>
        <v>0</v>
      </c>
      <c r="K18" s="71">
        <f t="shared" si="0"/>
        <v>0</v>
      </c>
      <c r="L18" s="74"/>
      <c r="M18" s="71"/>
      <c r="N18" s="71"/>
    </row>
    <row r="19" spans="1:17" x14ac:dyDescent="0.2">
      <c r="B19" s="35" t="s">
        <v>249</v>
      </c>
      <c r="C19" s="114"/>
      <c r="D19" s="114"/>
      <c r="E19" s="35"/>
      <c r="H19" s="71">
        <f>[1]TB!C16+[1]TB!C57</f>
        <v>10756366.68</v>
      </c>
      <c r="I19" s="71">
        <f>[1]TB!C28+[1]TB!C68+[1]TB!C74+[1]TB!C85</f>
        <v>7602712.2300000004</v>
      </c>
      <c r="J19" s="71">
        <f>[1]TB!C46</f>
        <v>0</v>
      </c>
      <c r="K19" s="71">
        <f t="shared" si="0"/>
        <v>18359078.91</v>
      </c>
      <c r="L19" s="74"/>
      <c r="M19" s="71"/>
      <c r="N19" s="71"/>
    </row>
    <row r="20" spans="1:17" ht="14.25" customHeight="1" x14ac:dyDescent="0.2">
      <c r="B20" s="35" t="s">
        <v>248</v>
      </c>
      <c r="C20" s="114"/>
      <c r="D20" s="114"/>
      <c r="E20" s="35"/>
      <c r="G20" s="42"/>
      <c r="H20" s="71">
        <f>[1]TB!C13+[1]TB!C49</f>
        <v>12212246.1</v>
      </c>
      <c r="I20" s="71">
        <f>[1]TB!C25+[1]TB!C60+[1]TB!C71+[1]TB!C82</f>
        <v>5374630.4100000001</v>
      </c>
      <c r="J20" s="71">
        <f>[1]TB!C38</f>
        <v>0</v>
      </c>
      <c r="K20" s="71">
        <f t="shared" si="0"/>
        <v>17586876.510000002</v>
      </c>
      <c r="L20" s="74"/>
      <c r="M20" s="71"/>
      <c r="N20" s="71"/>
    </row>
    <row r="21" spans="1:17" x14ac:dyDescent="0.2">
      <c r="B21" s="35" t="s">
        <v>247</v>
      </c>
      <c r="E21" s="35"/>
      <c r="G21" s="42"/>
      <c r="H21" s="71">
        <f>[1]TB!C14+[1]TB!C48</f>
        <v>153253396.27000001</v>
      </c>
      <c r="I21" s="71">
        <f>[1]TB!C26+[1]TB!C59+[1]TB!C72+[1]TB!C83</f>
        <v>6876206.6399999997</v>
      </c>
      <c r="J21" s="71">
        <f>[1]TB!C37</f>
        <v>0</v>
      </c>
      <c r="K21" s="71">
        <f t="shared" si="0"/>
        <v>160129602.91</v>
      </c>
      <c r="L21" s="74"/>
      <c r="M21" s="71"/>
      <c r="N21" s="71"/>
    </row>
    <row r="22" spans="1:17" x14ac:dyDescent="0.2">
      <c r="B22" s="35" t="s">
        <v>246</v>
      </c>
      <c r="C22" s="114"/>
      <c r="D22" s="114"/>
      <c r="E22" s="35"/>
      <c r="G22" s="42"/>
      <c r="H22" s="71">
        <f>[1]TB!C23+[1]TB!C50</f>
        <v>146121335.05000001</v>
      </c>
      <c r="I22" s="71">
        <f>[1]TB!C35+[1]TB!C61+[1]TB!C80</f>
        <v>71328873.560000002</v>
      </c>
      <c r="J22" s="71">
        <f>[1]TB!C39</f>
        <v>0</v>
      </c>
      <c r="K22" s="71">
        <f t="shared" si="0"/>
        <v>217450208.61000001</v>
      </c>
      <c r="L22" s="74"/>
      <c r="M22" s="71"/>
      <c r="N22" s="71"/>
    </row>
    <row r="23" spans="1:17" x14ac:dyDescent="0.2">
      <c r="B23" s="35" t="s">
        <v>245</v>
      </c>
      <c r="C23" s="114"/>
      <c r="D23" s="114"/>
      <c r="E23" s="35"/>
      <c r="H23" s="71">
        <f>[1]TB!C21+[1]TB!C58</f>
        <v>30975872.390000001</v>
      </c>
      <c r="I23" s="71">
        <f>[1]TB!C32+[1]TB!C69+[1]TB!C78+[1]TB!C89</f>
        <v>8452166.1500000004</v>
      </c>
      <c r="J23" s="71">
        <f>[1]TB!C47</f>
        <v>0</v>
      </c>
      <c r="K23" s="71">
        <f t="shared" si="0"/>
        <v>39428038.539999999</v>
      </c>
      <c r="L23" s="74"/>
      <c r="M23" s="71"/>
      <c r="N23" s="71"/>
    </row>
    <row r="24" spans="1:17" x14ac:dyDescent="0.2">
      <c r="A24" s="35" t="s">
        <v>244</v>
      </c>
      <c r="F24" s="39"/>
      <c r="H24" s="79">
        <f>SUM(H14:H23)</f>
        <v>909343081.05999994</v>
      </c>
      <c r="I24" s="79">
        <f>SUM(I14:I23)</f>
        <v>123878409.13</v>
      </c>
      <c r="J24" s="79">
        <f>SUM(J14:J23)</f>
        <v>0</v>
      </c>
      <c r="K24" s="79">
        <f>SUM(K14:K23)</f>
        <v>1033221490.1900001</v>
      </c>
      <c r="L24" s="74"/>
      <c r="M24" s="71"/>
      <c r="N24" s="71"/>
      <c r="O24" s="42"/>
    </row>
    <row r="25" spans="1:17" x14ac:dyDescent="0.2">
      <c r="B25" s="35" t="s">
        <v>243</v>
      </c>
      <c r="F25" s="80"/>
      <c r="G25" s="74"/>
      <c r="H25" s="74"/>
      <c r="I25" s="81"/>
      <c r="J25" s="74"/>
      <c r="K25" s="74">
        <f>[1]TB!C98+[1]TB!C100</f>
        <v>-9892439.9600000009</v>
      </c>
      <c r="L25" s="74"/>
      <c r="M25" s="42"/>
      <c r="N25" s="71"/>
    </row>
    <row r="26" spans="1:17" x14ac:dyDescent="0.2">
      <c r="C26" s="35" t="s">
        <v>242</v>
      </c>
      <c r="F26" s="71"/>
      <c r="G26" s="82"/>
      <c r="H26" s="71"/>
      <c r="I26" s="71"/>
      <c r="J26" s="71"/>
      <c r="K26" s="74">
        <f>[1]TB!C99+[1]TB!C101</f>
        <v>-30194844.609999999</v>
      </c>
      <c r="L26" s="74"/>
      <c r="N26" s="71"/>
    </row>
    <row r="27" spans="1:17" x14ac:dyDescent="0.2">
      <c r="A27" s="35" t="s">
        <v>241</v>
      </c>
      <c r="F27" s="71"/>
      <c r="G27" s="82"/>
      <c r="H27" s="71"/>
      <c r="I27" s="71"/>
      <c r="J27" s="71"/>
      <c r="K27" s="74">
        <f>SUM(K24:K26)</f>
        <v>993134205.62</v>
      </c>
      <c r="L27" s="83"/>
      <c r="N27" s="74"/>
    </row>
    <row r="28" spans="1:17" x14ac:dyDescent="0.2">
      <c r="A28" s="35" t="s">
        <v>240</v>
      </c>
      <c r="F28" s="71"/>
      <c r="G28" s="82"/>
      <c r="H28" s="71"/>
      <c r="I28" s="71"/>
      <c r="J28" s="71"/>
      <c r="K28" s="76">
        <f>[1]TB!C97</f>
        <v>-11338319.390000001</v>
      </c>
      <c r="L28" s="83"/>
      <c r="M28" s="74">
        <f>SUM(K27:K28)</f>
        <v>981795886.23000002</v>
      </c>
      <c r="N28" s="74"/>
    </row>
    <row r="29" spans="1:17" s="48" customFormat="1" x14ac:dyDescent="0.2">
      <c r="E29" s="52"/>
      <c r="F29" s="84"/>
      <c r="G29" s="84"/>
      <c r="H29" s="84"/>
      <c r="I29" s="84"/>
      <c r="J29" s="85"/>
      <c r="K29" s="85"/>
      <c r="L29" s="85"/>
      <c r="M29" s="71"/>
      <c r="N29" s="84"/>
      <c r="P29" s="50"/>
      <c r="Q29" s="49"/>
    </row>
    <row r="30" spans="1:17" x14ac:dyDescent="0.2">
      <c r="A30" s="35" t="s">
        <v>239</v>
      </c>
      <c r="F30" s="71"/>
      <c r="G30" s="71"/>
      <c r="H30" s="71"/>
      <c r="I30" s="86" t="s">
        <v>238</v>
      </c>
      <c r="J30" s="78" t="s">
        <v>237</v>
      </c>
      <c r="K30" s="63" t="s">
        <v>168</v>
      </c>
      <c r="L30" s="78"/>
      <c r="M30" s="71"/>
      <c r="N30" s="71"/>
    </row>
    <row r="31" spans="1:17" x14ac:dyDescent="0.2">
      <c r="A31" s="35" t="s">
        <v>236</v>
      </c>
      <c r="F31" s="71"/>
      <c r="G31" s="71"/>
      <c r="I31" s="79">
        <f>+[1]TB!C11</f>
        <v>86500000</v>
      </c>
      <c r="J31" s="79">
        <v>0</v>
      </c>
      <c r="K31" s="79">
        <f>J31+I31</f>
        <v>86500000</v>
      </c>
      <c r="L31" s="74"/>
      <c r="M31" s="71"/>
      <c r="N31" s="71"/>
      <c r="O31" s="42">
        <f>K31-J31-I31</f>
        <v>0</v>
      </c>
    </row>
    <row r="32" spans="1:17" x14ac:dyDescent="0.2">
      <c r="A32" s="35" t="s">
        <v>235</v>
      </c>
      <c r="C32" s="35" t="s">
        <v>234</v>
      </c>
      <c r="F32" s="71"/>
      <c r="G32" s="71"/>
      <c r="I32" s="74">
        <f>-[1]TB!C12</f>
        <v>827992.76</v>
      </c>
      <c r="J32" s="74"/>
      <c r="K32" s="74">
        <f>J32+I32</f>
        <v>827992.76</v>
      </c>
      <c r="L32" s="74"/>
      <c r="M32" s="71"/>
      <c r="N32" s="71"/>
      <c r="O32" s="42"/>
    </row>
    <row r="33" spans="1:15" x14ac:dyDescent="0.2">
      <c r="C33" s="35" t="s">
        <v>233</v>
      </c>
      <c r="F33" s="71"/>
      <c r="G33" s="71"/>
      <c r="I33" s="62"/>
      <c r="J33" s="76"/>
      <c r="K33" s="76">
        <f>J33+I33</f>
        <v>0</v>
      </c>
      <c r="L33" s="74"/>
      <c r="M33" s="74">
        <f>K31-K33-K32</f>
        <v>85672007.239999995</v>
      </c>
      <c r="N33" s="74"/>
    </row>
    <row r="34" spans="1:15" x14ac:dyDescent="0.2">
      <c r="F34" s="71"/>
      <c r="G34" s="87"/>
      <c r="H34" s="71"/>
      <c r="I34" s="71"/>
      <c r="J34" s="71"/>
      <c r="K34" s="71"/>
      <c r="L34" s="74"/>
      <c r="M34" s="71"/>
      <c r="N34" s="71"/>
    </row>
    <row r="35" spans="1:15" x14ac:dyDescent="0.2">
      <c r="A35" s="35" t="s">
        <v>232</v>
      </c>
      <c r="F35" s="39"/>
      <c r="I35" s="74"/>
      <c r="J35" s="74"/>
      <c r="K35" s="74">
        <f>[1]TB!C95</f>
        <v>0</v>
      </c>
      <c r="L35" s="74"/>
      <c r="M35" s="71"/>
      <c r="N35" s="71"/>
    </row>
    <row r="36" spans="1:15" x14ac:dyDescent="0.2">
      <c r="A36" s="35" t="s">
        <v>231</v>
      </c>
      <c r="F36" s="39"/>
      <c r="I36" s="74"/>
      <c r="J36" s="74"/>
      <c r="K36" s="76">
        <f>[1]TB!C96</f>
        <v>0</v>
      </c>
      <c r="L36" s="74"/>
      <c r="M36" s="71">
        <f>K35+K36</f>
        <v>0</v>
      </c>
      <c r="N36" s="71"/>
    </row>
    <row r="37" spans="1:15" x14ac:dyDescent="0.2">
      <c r="F37" s="39"/>
      <c r="I37" s="74"/>
      <c r="J37" s="74"/>
      <c r="K37" s="74"/>
      <c r="L37" s="74"/>
      <c r="M37" s="71"/>
      <c r="N37" s="71"/>
    </row>
    <row r="38" spans="1:15" x14ac:dyDescent="0.2">
      <c r="A38" s="35" t="s">
        <v>230</v>
      </c>
      <c r="F38" s="71"/>
      <c r="G38" s="71"/>
      <c r="H38" s="74"/>
      <c r="I38" s="74"/>
      <c r="J38" s="74"/>
      <c r="K38" s="74"/>
      <c r="L38" s="74"/>
      <c r="M38" s="71"/>
      <c r="N38" s="71"/>
    </row>
    <row r="39" spans="1:15" x14ac:dyDescent="0.2">
      <c r="F39" s="71"/>
      <c r="I39" s="77" t="s">
        <v>229</v>
      </c>
      <c r="J39" s="77" t="s">
        <v>228</v>
      </c>
      <c r="K39" s="77" t="s">
        <v>227</v>
      </c>
      <c r="L39" s="78"/>
      <c r="M39" s="71"/>
      <c r="N39" s="71"/>
    </row>
    <row r="40" spans="1:15" x14ac:dyDescent="0.2">
      <c r="B40" s="35" t="s">
        <v>226</v>
      </c>
      <c r="F40" s="71"/>
      <c r="G40" s="71"/>
      <c r="I40" s="88">
        <f>[1]TB!C106</f>
        <v>13725360.02</v>
      </c>
      <c r="J40" s="88">
        <v>0</v>
      </c>
      <c r="K40" s="71">
        <f t="shared" ref="K40:K45" si="1">+I40-J40</f>
        <v>13725360.02</v>
      </c>
      <c r="L40" s="74"/>
      <c r="M40" s="71"/>
      <c r="N40" s="71"/>
    </row>
    <row r="41" spans="1:15" x14ac:dyDescent="0.2">
      <c r="B41" s="35" t="s">
        <v>225</v>
      </c>
      <c r="F41" s="71"/>
      <c r="G41" s="71"/>
      <c r="I41" s="71">
        <f>[1]TB!C107</f>
        <v>45469189.299999997</v>
      </c>
      <c r="J41" s="71">
        <f>-[1]TB!C108</f>
        <v>13473215.25</v>
      </c>
      <c r="K41" s="71">
        <f t="shared" si="1"/>
        <v>31995974.050000001</v>
      </c>
      <c r="L41" s="74"/>
    </row>
    <row r="42" spans="1:15" x14ac:dyDescent="0.2">
      <c r="B42" s="35" t="s">
        <v>224</v>
      </c>
      <c r="F42" s="71"/>
      <c r="G42" s="71"/>
      <c r="I42" s="71">
        <f>[1]TB!C109</f>
        <v>38625494.18</v>
      </c>
      <c r="J42" s="71">
        <f>-[1]TB!C110</f>
        <v>15194734.58</v>
      </c>
      <c r="K42" s="71">
        <f t="shared" si="1"/>
        <v>23430759.600000001</v>
      </c>
      <c r="L42" s="74"/>
    </row>
    <row r="43" spans="1:15" x14ac:dyDescent="0.2">
      <c r="B43" s="35" t="s">
        <v>223</v>
      </c>
      <c r="F43" s="71"/>
      <c r="G43" s="71"/>
      <c r="I43" s="71">
        <f>[1]TB!C111</f>
        <v>40468564.060000002</v>
      </c>
      <c r="J43" s="71">
        <f>-[1]TB!C112</f>
        <v>29518785.579999998</v>
      </c>
      <c r="K43" s="71">
        <f t="shared" si="1"/>
        <v>10949778.48</v>
      </c>
      <c r="L43" s="74"/>
    </row>
    <row r="44" spans="1:15" x14ac:dyDescent="0.2">
      <c r="B44" s="35" t="s">
        <v>222</v>
      </c>
      <c r="F44" s="71"/>
      <c r="I44" s="76">
        <f>[1]TB!C113</f>
        <v>16983763.539999999</v>
      </c>
      <c r="J44" s="76">
        <f>-[1]TB!C114</f>
        <v>12120987.359999999</v>
      </c>
      <c r="K44" s="76">
        <f t="shared" si="1"/>
        <v>4862776.18</v>
      </c>
      <c r="L44" s="74"/>
    </row>
    <row r="45" spans="1:15" x14ac:dyDescent="0.2">
      <c r="F45" s="71"/>
      <c r="I45" s="74">
        <f>SUM(I40:I44)</f>
        <v>155272371.09999999</v>
      </c>
      <c r="J45" s="74">
        <f>SUM(J40:J44)</f>
        <v>70307722.769999996</v>
      </c>
      <c r="K45" s="74">
        <f t="shared" si="1"/>
        <v>84964648.329999998</v>
      </c>
      <c r="L45" s="74"/>
      <c r="M45" s="74">
        <f>+K45</f>
        <v>84964648.329999998</v>
      </c>
      <c r="N45" s="74"/>
      <c r="O45" s="61">
        <f>M45/M129</f>
        <v>0.39360000000000001</v>
      </c>
    </row>
    <row r="46" spans="1:15" x14ac:dyDescent="0.2">
      <c r="F46" s="74"/>
      <c r="G46" s="74"/>
      <c r="H46" s="74"/>
      <c r="I46" s="74"/>
      <c r="J46" s="71"/>
      <c r="K46" s="71"/>
      <c r="L46" s="74"/>
      <c r="M46" s="74"/>
      <c r="N46" s="74"/>
    </row>
    <row r="47" spans="1:15" x14ac:dyDescent="0.2">
      <c r="A47" s="58" t="s">
        <v>221</v>
      </c>
      <c r="B47" s="44"/>
      <c r="C47" s="44"/>
      <c r="D47" s="71"/>
      <c r="E47" s="80"/>
      <c r="F47" s="74"/>
      <c r="G47" s="71"/>
      <c r="H47" s="71"/>
      <c r="I47" s="71"/>
      <c r="J47" s="42"/>
      <c r="K47" s="71">
        <f>[1]TB!C115</f>
        <v>123318790.37</v>
      </c>
      <c r="L47" s="74"/>
      <c r="M47" s="71"/>
      <c r="N47" s="71"/>
    </row>
    <row r="48" spans="1:15" x14ac:dyDescent="0.2">
      <c r="A48" s="35" t="s">
        <v>220</v>
      </c>
      <c r="B48" s="44"/>
      <c r="C48" s="44"/>
      <c r="D48" s="71"/>
      <c r="E48" s="80"/>
      <c r="F48" s="71"/>
      <c r="G48" s="71"/>
      <c r="H48" s="71"/>
      <c r="I48" s="71"/>
      <c r="K48" s="74">
        <f>[1]TB!C117</f>
        <v>-86352.11</v>
      </c>
      <c r="L48" s="74"/>
      <c r="M48" s="71"/>
      <c r="N48" s="71"/>
    </row>
    <row r="49" spans="1:14" x14ac:dyDescent="0.2">
      <c r="B49" s="44"/>
      <c r="C49" s="35" t="s">
        <v>219</v>
      </c>
      <c r="D49" s="71"/>
      <c r="E49" s="80"/>
      <c r="F49" s="71"/>
      <c r="G49" s="71"/>
      <c r="H49" s="71"/>
      <c r="I49" s="71"/>
      <c r="K49" s="76">
        <f>[1]TB!C116</f>
        <v>-9740995.7699999996</v>
      </c>
      <c r="L49" s="74"/>
      <c r="M49" s="71"/>
      <c r="N49" s="71"/>
    </row>
    <row r="50" spans="1:14" x14ac:dyDescent="0.2">
      <c r="A50" s="58" t="s">
        <v>168</v>
      </c>
      <c r="B50" s="44"/>
      <c r="C50" s="44"/>
      <c r="D50" s="71"/>
      <c r="E50" s="80"/>
      <c r="F50" s="71"/>
      <c r="G50" s="71"/>
      <c r="H50" s="71"/>
      <c r="I50" s="71"/>
      <c r="K50" s="71">
        <f>SUM(K47:K49)</f>
        <v>113491442.48999999</v>
      </c>
      <c r="L50" s="74"/>
      <c r="M50" s="71"/>
      <c r="N50" s="71"/>
    </row>
    <row r="51" spans="1:14" x14ac:dyDescent="0.2">
      <c r="A51" s="58" t="s">
        <v>218</v>
      </c>
      <c r="F51" s="71"/>
      <c r="G51" s="71"/>
      <c r="H51" s="71"/>
      <c r="I51" s="71"/>
      <c r="J51" s="74">
        <f>[1]TB!C103</f>
        <v>31386586.98</v>
      </c>
      <c r="L51" s="74"/>
      <c r="N51" s="74"/>
    </row>
    <row r="52" spans="1:14" x14ac:dyDescent="0.2">
      <c r="A52" s="35" t="s">
        <v>217</v>
      </c>
      <c r="F52" s="71"/>
      <c r="G52" s="71"/>
      <c r="H52" s="71"/>
      <c r="I52" s="71"/>
      <c r="J52" s="74">
        <f>+[1]TB!C104</f>
        <v>-580411.04</v>
      </c>
      <c r="L52" s="74"/>
      <c r="N52" s="74"/>
    </row>
    <row r="53" spans="1:14" x14ac:dyDescent="0.2">
      <c r="C53" s="35" t="s">
        <v>216</v>
      </c>
      <c r="F53" s="71"/>
      <c r="G53" s="71"/>
      <c r="H53" s="71"/>
      <c r="I53" s="71"/>
      <c r="J53" s="76"/>
      <c r="K53" s="76">
        <f>SUM(J51:J53)</f>
        <v>30806175.940000001</v>
      </c>
      <c r="L53" s="74"/>
      <c r="M53" s="74">
        <f>+K50+K53</f>
        <v>144297618.43000001</v>
      </c>
      <c r="N53" s="74"/>
    </row>
    <row r="54" spans="1:14" x14ac:dyDescent="0.2">
      <c r="A54" s="58"/>
      <c r="F54" s="71"/>
      <c r="G54" s="71"/>
      <c r="H54" s="71"/>
      <c r="I54" s="71"/>
      <c r="J54" s="71"/>
      <c r="K54" s="74"/>
      <c r="L54" s="74"/>
      <c r="M54" s="74"/>
      <c r="N54" s="74"/>
    </row>
    <row r="55" spans="1:14" x14ac:dyDescent="0.2">
      <c r="A55" s="35" t="s">
        <v>215</v>
      </c>
      <c r="F55" s="71"/>
      <c r="G55" s="71"/>
      <c r="H55" s="71"/>
      <c r="I55" s="71"/>
      <c r="J55" s="71"/>
      <c r="K55" s="71"/>
      <c r="L55" s="74"/>
      <c r="M55" s="74">
        <f>[1]TB!C161</f>
        <v>0</v>
      </c>
      <c r="N55" s="57"/>
    </row>
    <row r="56" spans="1:14" x14ac:dyDescent="0.2">
      <c r="A56" s="35" t="s">
        <v>214</v>
      </c>
      <c r="F56" s="71"/>
      <c r="G56" s="71"/>
      <c r="H56" s="71"/>
      <c r="I56" s="71"/>
      <c r="J56" s="71"/>
      <c r="K56" s="71"/>
      <c r="L56" s="74"/>
      <c r="M56" s="74">
        <f>[1]TB!C102</f>
        <v>274041.27</v>
      </c>
      <c r="N56" s="57"/>
    </row>
    <row r="57" spans="1:14" x14ac:dyDescent="0.2">
      <c r="F57" s="71"/>
      <c r="G57" s="71"/>
      <c r="H57" s="71"/>
      <c r="I57" s="71"/>
      <c r="J57" s="71"/>
      <c r="K57" s="71"/>
      <c r="L57" s="74"/>
      <c r="M57" s="74"/>
      <c r="N57" s="57"/>
    </row>
    <row r="58" spans="1:14" x14ac:dyDescent="0.2">
      <c r="A58" s="35" t="s">
        <v>213</v>
      </c>
      <c r="F58" s="71"/>
      <c r="G58" s="71"/>
      <c r="H58" s="71"/>
      <c r="I58" s="71"/>
      <c r="J58" s="71"/>
      <c r="K58" s="71">
        <f>[1]TB!C118</f>
        <v>7561804.29</v>
      </c>
      <c r="L58" s="74"/>
      <c r="M58" s="74"/>
      <c r="N58" s="57"/>
    </row>
    <row r="59" spans="1:14" x14ac:dyDescent="0.2">
      <c r="A59" s="35" t="s">
        <v>212</v>
      </c>
      <c r="F59" s="71"/>
      <c r="G59" s="71"/>
      <c r="H59" s="71"/>
      <c r="I59" s="71"/>
      <c r="J59" s="71"/>
      <c r="K59" s="76">
        <f>[1]TB!C119</f>
        <v>-4445332.4400000004</v>
      </c>
      <c r="L59" s="74"/>
      <c r="M59" s="74">
        <f>K59+K58</f>
        <v>3116471.85</v>
      </c>
      <c r="N59" s="57"/>
    </row>
    <row r="60" spans="1:14" x14ac:dyDescent="0.2">
      <c r="F60" s="71"/>
      <c r="G60" s="71"/>
      <c r="H60" s="71"/>
      <c r="I60" s="71"/>
      <c r="J60" s="71"/>
      <c r="K60" s="74"/>
      <c r="L60" s="74"/>
      <c r="M60" s="74"/>
      <c r="N60" s="57"/>
    </row>
    <row r="61" spans="1:14" x14ac:dyDescent="0.2">
      <c r="A61" s="35" t="s">
        <v>211</v>
      </c>
      <c r="F61" s="71"/>
      <c r="G61" s="71"/>
      <c r="H61" s="71"/>
      <c r="I61" s="71"/>
      <c r="J61" s="71"/>
      <c r="K61" s="74"/>
      <c r="L61" s="74"/>
      <c r="M61" s="74">
        <f>+[1]TB!C130</f>
        <v>3178901.02</v>
      </c>
      <c r="N61" s="57"/>
    </row>
    <row r="62" spans="1:14" x14ac:dyDescent="0.2">
      <c r="F62" s="71"/>
      <c r="G62" s="71"/>
      <c r="H62" s="71"/>
      <c r="I62" s="71"/>
      <c r="J62" s="71"/>
      <c r="K62" s="74"/>
      <c r="L62" s="74"/>
      <c r="M62" s="74"/>
      <c r="N62" s="57"/>
    </row>
    <row r="63" spans="1:14" x14ac:dyDescent="0.2">
      <c r="A63" s="35" t="s">
        <v>210</v>
      </c>
      <c r="F63" s="71"/>
      <c r="G63" s="71"/>
      <c r="H63" s="71"/>
      <c r="I63" s="71"/>
      <c r="J63" s="71"/>
      <c r="K63" s="74"/>
      <c r="L63" s="74"/>
      <c r="M63" s="74">
        <f>+[1]TB!C131</f>
        <v>11933460</v>
      </c>
      <c r="N63" s="57"/>
    </row>
    <row r="64" spans="1:14" x14ac:dyDescent="0.2">
      <c r="F64" s="71"/>
      <c r="G64" s="71"/>
      <c r="H64" s="71"/>
      <c r="I64" s="71"/>
      <c r="J64" s="71"/>
      <c r="K64" s="74"/>
      <c r="L64" s="74"/>
      <c r="M64" s="74"/>
      <c r="N64" s="57"/>
    </row>
    <row r="65" spans="1:15" x14ac:dyDescent="0.2">
      <c r="A65" s="35" t="s">
        <v>209</v>
      </c>
      <c r="F65" s="71"/>
      <c r="G65" s="71"/>
      <c r="H65" s="71"/>
      <c r="I65" s="71"/>
      <c r="J65" s="71"/>
      <c r="K65" s="71">
        <f>[1]TB!C121+[1]TB!C127+[1]TB!C126+[1]TB!C120+[1]TB!C128+[1]TB!C129+[1]TB!C122+[1]TB!C123</f>
        <v>11754229.039999999</v>
      </c>
      <c r="L65" s="74"/>
      <c r="N65" s="74"/>
    </row>
    <row r="66" spans="1:15" x14ac:dyDescent="0.2">
      <c r="A66" s="35" t="s">
        <v>208</v>
      </c>
      <c r="F66" s="71"/>
      <c r="G66" s="71"/>
      <c r="H66" s="71"/>
      <c r="I66" s="71"/>
      <c r="J66" s="71"/>
      <c r="K66" s="71">
        <f>[1]TB!C124</f>
        <v>-1791907.64</v>
      </c>
      <c r="L66" s="74"/>
      <c r="N66" s="74"/>
    </row>
    <row r="67" spans="1:15" x14ac:dyDescent="0.2">
      <c r="A67" s="35" t="s">
        <v>207</v>
      </c>
      <c r="F67" s="71"/>
      <c r="G67" s="71"/>
      <c r="H67" s="71"/>
      <c r="I67" s="71"/>
      <c r="J67" s="71"/>
      <c r="K67" s="76">
        <f>+[1]TB!C125</f>
        <v>0</v>
      </c>
      <c r="L67" s="74"/>
      <c r="M67" s="74">
        <f>SUM(K65:K67)</f>
        <v>9962321.4000000004</v>
      </c>
      <c r="N67" s="74"/>
    </row>
    <row r="68" spans="1:15" ht="12" thickBot="1" x14ac:dyDescent="0.25">
      <c r="F68" s="71"/>
      <c r="G68" s="71"/>
      <c r="H68" s="71"/>
      <c r="I68" s="71"/>
      <c r="J68" s="71"/>
      <c r="K68" s="71"/>
      <c r="L68" s="74"/>
      <c r="N68" s="74"/>
    </row>
    <row r="69" spans="1:15" ht="12" thickBot="1" x14ac:dyDescent="0.25">
      <c r="A69" s="48" t="s">
        <v>206</v>
      </c>
      <c r="F69" s="89"/>
      <c r="G69" s="71"/>
      <c r="H69" s="71"/>
      <c r="I69" s="71"/>
      <c r="J69" s="71"/>
      <c r="K69" s="42"/>
      <c r="M69" s="90">
        <f>SUM(M11:M67)</f>
        <v>1514456172.4200001</v>
      </c>
      <c r="N69" s="85"/>
      <c r="O69" s="42">
        <f>+M69-[1]TB!C276</f>
        <v>0</v>
      </c>
    </row>
    <row r="70" spans="1:15" ht="9.75" customHeight="1" x14ac:dyDescent="0.2">
      <c r="A70" s="48"/>
      <c r="F70" s="71"/>
      <c r="G70" s="71"/>
      <c r="H70" s="71"/>
      <c r="I70" s="71"/>
      <c r="J70" s="71"/>
      <c r="K70" s="71"/>
      <c r="L70" s="74"/>
      <c r="M70" s="71"/>
      <c r="N70" s="71"/>
    </row>
    <row r="71" spans="1:15" x14ac:dyDescent="0.2">
      <c r="A71" s="48" t="s">
        <v>205</v>
      </c>
      <c r="F71" s="71"/>
      <c r="G71" s="71"/>
      <c r="H71" s="74"/>
      <c r="I71" s="71"/>
      <c r="J71" s="71"/>
      <c r="K71" s="71"/>
      <c r="L71" s="74"/>
      <c r="M71" s="71"/>
      <c r="N71" s="71"/>
    </row>
    <row r="72" spans="1:15" ht="7.5" customHeight="1" x14ac:dyDescent="0.2">
      <c r="H72" s="78"/>
      <c r="L72" s="78"/>
      <c r="M72" s="71"/>
      <c r="N72" s="71"/>
    </row>
    <row r="73" spans="1:15" x14ac:dyDescent="0.2">
      <c r="A73" s="35" t="s">
        <v>204</v>
      </c>
      <c r="H73" s="91"/>
      <c r="I73" s="77" t="s">
        <v>203</v>
      </c>
      <c r="J73" s="77" t="s">
        <v>202</v>
      </c>
      <c r="K73" s="77" t="s">
        <v>168</v>
      </c>
      <c r="L73" s="74"/>
      <c r="M73" s="71"/>
      <c r="N73" s="71"/>
    </row>
    <row r="74" spans="1:15" x14ac:dyDescent="0.2">
      <c r="B74" s="35" t="s">
        <v>201</v>
      </c>
      <c r="H74" s="92"/>
      <c r="I74" s="71">
        <f>-[1]TB!C132</f>
        <v>42132243.710000001</v>
      </c>
      <c r="J74" s="71">
        <f>-[1]TB!C133</f>
        <v>688314.17</v>
      </c>
      <c r="K74" s="71">
        <f>SUM(I74:J74)</f>
        <v>42820557.880000003</v>
      </c>
      <c r="L74" s="74"/>
    </row>
    <row r="75" spans="1:15" x14ac:dyDescent="0.2">
      <c r="B75" s="35" t="s">
        <v>121</v>
      </c>
      <c r="H75" s="92"/>
      <c r="I75" s="42">
        <f>-([1]TB!C134+[1]TB!C135+[1]TB!C136+[1]TB!C137+[1]TB!C138+[1]TB!C140)</f>
        <v>658310364.38</v>
      </c>
      <c r="J75" s="42">
        <f>-[1]TB!C141-[1]TB!C143-[1]TB!C142</f>
        <v>10625521.48</v>
      </c>
      <c r="K75" s="71">
        <f>SUM(I75:J75)</f>
        <v>668935885.86000001</v>
      </c>
      <c r="L75" s="74"/>
      <c r="M75" s="57"/>
    </row>
    <row r="76" spans="1:15" x14ac:dyDescent="0.2">
      <c r="A76" s="71"/>
      <c r="B76" s="35" t="s">
        <v>119</v>
      </c>
      <c r="H76" s="92"/>
      <c r="I76" s="42">
        <f>-[1]TB!C144</f>
        <v>92676.02</v>
      </c>
      <c r="J76" s="42">
        <f>-[1]TB!C145</f>
        <v>0</v>
      </c>
      <c r="K76" s="76">
        <f>SUM(I76:J76)</f>
        <v>92676.02</v>
      </c>
      <c r="L76" s="74"/>
      <c r="M76" s="74">
        <f>SUM(K74:K76)</f>
        <v>711849119.75999999</v>
      </c>
      <c r="N76" s="74"/>
    </row>
    <row r="77" spans="1:15" ht="7.5" customHeight="1" x14ac:dyDescent="0.2">
      <c r="F77" s="74"/>
      <c r="G77" s="71"/>
      <c r="I77" s="42"/>
      <c r="J77" s="71"/>
      <c r="K77" s="71"/>
      <c r="L77" s="74"/>
      <c r="M77" s="42"/>
      <c r="N77" s="71"/>
    </row>
    <row r="78" spans="1:15" x14ac:dyDescent="0.2">
      <c r="A78" s="35" t="s">
        <v>200</v>
      </c>
      <c r="F78" s="71"/>
      <c r="G78" s="93"/>
      <c r="H78" s="42"/>
      <c r="I78" s="42"/>
      <c r="J78" s="42"/>
      <c r="K78" s="71"/>
      <c r="L78" s="74"/>
      <c r="M78" s="71"/>
      <c r="N78" s="71"/>
    </row>
    <row r="79" spans="1:15" x14ac:dyDescent="0.2">
      <c r="B79" s="35" t="s">
        <v>199</v>
      </c>
      <c r="F79" s="71"/>
      <c r="G79" s="74"/>
      <c r="H79" s="74"/>
      <c r="I79" s="74"/>
      <c r="J79" s="71"/>
      <c r="K79" s="71">
        <f>-[1]TB!C146</f>
        <v>0</v>
      </c>
      <c r="L79" s="74"/>
      <c r="M79" s="71"/>
      <c r="N79" s="71"/>
    </row>
    <row r="80" spans="1:15" x14ac:dyDescent="0.2">
      <c r="B80" s="35" t="s">
        <v>198</v>
      </c>
      <c r="F80" s="71"/>
      <c r="G80" s="74"/>
      <c r="H80" s="74"/>
      <c r="I80" s="74"/>
      <c r="J80" s="71"/>
      <c r="K80" s="71">
        <f>-[1]TB!C147</f>
        <v>412921588.77999997</v>
      </c>
      <c r="L80" s="74"/>
      <c r="M80" s="71"/>
      <c r="N80" s="71"/>
    </row>
    <row r="81" spans="1:14" x14ac:dyDescent="0.2">
      <c r="B81" s="35" t="s">
        <v>197</v>
      </c>
      <c r="F81" s="71"/>
      <c r="G81" s="74"/>
      <c r="H81" s="74"/>
      <c r="I81" s="74"/>
      <c r="J81" s="71"/>
      <c r="K81" s="74">
        <f>-[1]TB!C149</f>
        <v>69417632</v>
      </c>
      <c r="L81" s="74"/>
      <c r="M81" s="74"/>
      <c r="N81" s="74"/>
    </row>
    <row r="82" spans="1:14" x14ac:dyDescent="0.2">
      <c r="B82" s="35" t="s">
        <v>196</v>
      </c>
      <c r="F82" s="71"/>
      <c r="G82" s="74"/>
      <c r="H82" s="74"/>
      <c r="I82" s="74"/>
      <c r="J82" s="71"/>
      <c r="K82" s="74">
        <f>-[1]TB!C150</f>
        <v>0</v>
      </c>
      <c r="L82" s="74"/>
      <c r="M82" s="74"/>
      <c r="N82" s="74"/>
    </row>
    <row r="83" spans="1:14" x14ac:dyDescent="0.2">
      <c r="B83" s="35" t="s">
        <v>195</v>
      </c>
      <c r="F83" s="71"/>
      <c r="G83" s="74"/>
      <c r="H83" s="74"/>
      <c r="I83" s="74"/>
      <c r="J83" s="71"/>
      <c r="K83" s="74">
        <f>-[1]TB!C151</f>
        <v>64115574.850000001</v>
      </c>
      <c r="L83" s="74"/>
      <c r="M83" s="74"/>
      <c r="N83" s="74"/>
    </row>
    <row r="84" spans="1:14" x14ac:dyDescent="0.2">
      <c r="B84" s="35" t="s">
        <v>194</v>
      </c>
      <c r="F84" s="71"/>
      <c r="G84" s="74"/>
      <c r="H84" s="74"/>
      <c r="I84" s="74"/>
      <c r="J84" s="71"/>
      <c r="K84" s="76">
        <f>-[1]TB!C148</f>
        <v>0</v>
      </c>
      <c r="L84" s="74"/>
      <c r="M84" s="74">
        <f>SUM(K79:K84)</f>
        <v>546454795.63</v>
      </c>
      <c r="N84" s="74"/>
    </row>
    <row r="85" spans="1:14" x14ac:dyDescent="0.2">
      <c r="F85" s="71"/>
      <c r="G85" s="74"/>
      <c r="H85" s="74"/>
      <c r="I85" s="74"/>
      <c r="J85" s="71"/>
      <c r="K85" s="74"/>
      <c r="L85" s="74"/>
      <c r="M85" s="74"/>
      <c r="N85" s="74"/>
    </row>
    <row r="86" spans="1:14" x14ac:dyDescent="0.2">
      <c r="A86" s="35" t="s">
        <v>193</v>
      </c>
      <c r="F86" s="71"/>
      <c r="G86" s="71"/>
      <c r="H86" s="71"/>
      <c r="I86" s="71"/>
      <c r="J86" s="71"/>
      <c r="K86" s="71"/>
      <c r="L86" s="74"/>
      <c r="M86" s="71"/>
      <c r="N86" s="71"/>
    </row>
    <row r="87" spans="1:14" x14ac:dyDescent="0.2">
      <c r="B87" s="35" t="s">
        <v>192</v>
      </c>
      <c r="F87" s="71"/>
      <c r="G87" s="71"/>
      <c r="H87" s="71"/>
      <c r="I87" s="71"/>
      <c r="J87" s="71"/>
      <c r="K87" s="71">
        <f>-[1]TB!C152</f>
        <v>2263840.63</v>
      </c>
      <c r="L87" s="74"/>
      <c r="M87" s="71"/>
      <c r="N87" s="71"/>
    </row>
    <row r="88" spans="1:14" x14ac:dyDescent="0.2">
      <c r="B88" s="35" t="s">
        <v>191</v>
      </c>
      <c r="F88" s="71"/>
      <c r="G88" s="71"/>
      <c r="H88" s="71"/>
      <c r="I88" s="71"/>
      <c r="J88" s="71"/>
      <c r="K88" s="76">
        <f>-[1]TB!C153</f>
        <v>42500</v>
      </c>
      <c r="L88" s="74"/>
      <c r="M88" s="71">
        <f>K88+K87</f>
        <v>2306340.63</v>
      </c>
      <c r="N88" s="71"/>
    </row>
    <row r="89" spans="1:14" ht="8.25" customHeight="1" x14ac:dyDescent="0.2">
      <c r="F89" s="71"/>
      <c r="G89" s="71"/>
      <c r="H89" s="71"/>
      <c r="I89" s="71"/>
      <c r="J89" s="71"/>
      <c r="K89" s="74"/>
      <c r="L89" s="74"/>
      <c r="M89" s="71"/>
      <c r="N89" s="71"/>
    </row>
    <row r="90" spans="1:14" x14ac:dyDescent="0.2">
      <c r="A90" s="35" t="s">
        <v>190</v>
      </c>
      <c r="F90" s="71"/>
      <c r="G90" s="71"/>
      <c r="H90" s="71"/>
      <c r="I90" s="71"/>
      <c r="J90" s="71"/>
      <c r="L90" s="74"/>
      <c r="M90" s="71">
        <f>-[1]TB!C154</f>
        <v>6231870.71</v>
      </c>
      <c r="N90" s="71"/>
    </row>
    <row r="91" spans="1:14" ht="7.5" customHeight="1" x14ac:dyDescent="0.2">
      <c r="F91" s="71"/>
      <c r="G91" s="71"/>
      <c r="H91" s="71"/>
      <c r="I91" s="71"/>
      <c r="J91" s="71"/>
      <c r="L91" s="74"/>
      <c r="M91" s="71"/>
      <c r="N91" s="71"/>
    </row>
    <row r="92" spans="1:14" x14ac:dyDescent="0.2">
      <c r="A92" s="35" t="s">
        <v>189</v>
      </c>
      <c r="F92" s="71"/>
      <c r="G92" s="71"/>
      <c r="H92" s="74"/>
      <c r="I92" s="74"/>
      <c r="J92" s="71"/>
      <c r="L92" s="74"/>
      <c r="N92" s="74"/>
    </row>
    <row r="93" spans="1:14" x14ac:dyDescent="0.2">
      <c r="B93" s="35" t="s">
        <v>188</v>
      </c>
      <c r="F93" s="71"/>
      <c r="G93" s="71"/>
      <c r="H93" s="74"/>
      <c r="I93" s="74"/>
      <c r="J93" s="71"/>
      <c r="K93" s="42">
        <f>-[1]TB!C162</f>
        <v>550219.6</v>
      </c>
      <c r="L93" s="74"/>
      <c r="M93" s="71"/>
      <c r="N93" s="74"/>
    </row>
    <row r="94" spans="1:14" x14ac:dyDescent="0.2">
      <c r="B94" s="35" t="s">
        <v>187</v>
      </c>
      <c r="F94" s="71"/>
      <c r="G94" s="71"/>
      <c r="H94" s="74"/>
      <c r="I94" s="74"/>
      <c r="J94" s="71"/>
      <c r="K94" s="42">
        <f>-[1]TB!C160</f>
        <v>1688109.8</v>
      </c>
      <c r="L94" s="74"/>
      <c r="M94" s="71">
        <f>SUM(K93:K94)</f>
        <v>2238329.4</v>
      </c>
      <c r="N94" s="74"/>
    </row>
    <row r="95" spans="1:14" ht="8.25" customHeight="1" x14ac:dyDescent="0.2">
      <c r="F95" s="71"/>
      <c r="G95" s="71"/>
      <c r="H95" s="74"/>
      <c r="I95" s="74"/>
      <c r="J95" s="71"/>
      <c r="L95" s="74"/>
      <c r="M95" s="71"/>
      <c r="N95" s="74"/>
    </row>
    <row r="96" spans="1:14" x14ac:dyDescent="0.2">
      <c r="A96" s="35" t="s">
        <v>186</v>
      </c>
      <c r="J96" s="71"/>
      <c r="M96" s="42">
        <f>-[1]TB!C155</f>
        <v>3802225.97</v>
      </c>
    </row>
    <row r="97" spans="1:15" x14ac:dyDescent="0.2">
      <c r="A97" s="35" t="s">
        <v>185</v>
      </c>
      <c r="J97" s="71"/>
      <c r="L97" s="74"/>
      <c r="M97" s="74">
        <f>-[1]TB!C156</f>
        <v>142919.29</v>
      </c>
      <c r="N97" s="57"/>
    </row>
    <row r="98" spans="1:15" x14ac:dyDescent="0.2">
      <c r="A98" s="35" t="s">
        <v>184</v>
      </c>
      <c r="J98" s="71"/>
      <c r="K98" s="74"/>
      <c r="M98" s="71">
        <f>-[1]TB!C164</f>
        <v>16179288.27</v>
      </c>
    </row>
    <row r="99" spans="1:15" x14ac:dyDescent="0.2">
      <c r="A99" s="35" t="s">
        <v>183</v>
      </c>
      <c r="J99" s="71"/>
      <c r="K99" s="74"/>
      <c r="M99" s="71">
        <f>-[1]TB!C165</f>
        <v>16618.18</v>
      </c>
    </row>
    <row r="100" spans="1:15" ht="8.25" customHeight="1" x14ac:dyDescent="0.2">
      <c r="J100" s="71"/>
      <c r="M100" s="42"/>
    </row>
    <row r="101" spans="1:15" x14ac:dyDescent="0.2">
      <c r="A101" s="35" t="s">
        <v>182</v>
      </c>
      <c r="F101" s="71"/>
      <c r="G101" s="71"/>
      <c r="H101" s="71"/>
      <c r="I101" s="71"/>
      <c r="J101" s="71"/>
      <c r="K101" s="71"/>
      <c r="L101" s="74"/>
      <c r="M101" s="71"/>
      <c r="N101" s="71"/>
    </row>
    <row r="102" spans="1:15" x14ac:dyDescent="0.2">
      <c r="B102" s="35" t="s">
        <v>181</v>
      </c>
      <c r="F102" s="71"/>
      <c r="G102" s="71"/>
      <c r="H102" s="71"/>
      <c r="I102" s="71"/>
      <c r="J102" s="71"/>
      <c r="K102" s="71">
        <f>-[1]TB!C157</f>
        <v>6239299.2000000002</v>
      </c>
      <c r="L102" s="74"/>
      <c r="M102" s="71"/>
      <c r="N102" s="71"/>
    </row>
    <row r="103" spans="1:15" x14ac:dyDescent="0.2">
      <c r="B103" s="35" t="s">
        <v>180</v>
      </c>
      <c r="F103" s="71"/>
      <c r="G103" s="71"/>
      <c r="H103" s="71"/>
      <c r="I103" s="71"/>
      <c r="J103" s="71"/>
      <c r="K103" s="71">
        <f>-[1]TB!C163</f>
        <v>746292.35</v>
      </c>
      <c r="L103" s="74"/>
      <c r="M103" s="71"/>
      <c r="N103" s="71"/>
    </row>
    <row r="104" spans="1:15" x14ac:dyDescent="0.2">
      <c r="B104" s="35" t="s">
        <v>179</v>
      </c>
      <c r="F104" s="71"/>
      <c r="G104" s="71"/>
      <c r="H104" s="71"/>
      <c r="I104" s="71"/>
      <c r="J104" s="71"/>
      <c r="K104" s="71">
        <f>-[1]TB!C158</f>
        <v>117439.62</v>
      </c>
      <c r="L104" s="74"/>
      <c r="M104" s="71"/>
      <c r="N104" s="71"/>
    </row>
    <row r="105" spans="1:15" x14ac:dyDescent="0.2">
      <c r="B105" s="35" t="s">
        <v>178</v>
      </c>
      <c r="F105" s="71"/>
      <c r="G105" s="71"/>
      <c r="H105" s="74"/>
      <c r="I105" s="74"/>
      <c r="J105" s="71"/>
      <c r="K105" s="71">
        <f>-[1]TB!C159</f>
        <v>221787.68</v>
      </c>
      <c r="L105" s="74"/>
      <c r="M105" s="71"/>
      <c r="N105" s="74"/>
    </row>
    <row r="106" spans="1:15" x14ac:dyDescent="0.2">
      <c r="B106" s="35" t="s">
        <v>177</v>
      </c>
      <c r="F106" s="71"/>
      <c r="G106" s="71"/>
      <c r="H106" s="71"/>
      <c r="I106" s="71"/>
      <c r="J106" s="71"/>
      <c r="K106" s="76">
        <f>-[1]TB!C166</f>
        <v>2052517.52</v>
      </c>
      <c r="L106" s="74"/>
      <c r="M106" s="74">
        <f>SUM(K102:K106)</f>
        <v>9377336.3699999992</v>
      </c>
      <c r="N106" s="71"/>
    </row>
    <row r="107" spans="1:15" ht="8.25" customHeight="1" x14ac:dyDescent="0.2">
      <c r="F107" s="71"/>
      <c r="G107" s="71"/>
      <c r="H107" s="71"/>
      <c r="I107" s="71"/>
      <c r="J107" s="71"/>
      <c r="L107" s="74"/>
      <c r="M107" s="71"/>
      <c r="N107" s="71"/>
    </row>
    <row r="108" spans="1:15" x14ac:dyDescent="0.2">
      <c r="A108" s="48" t="s">
        <v>176</v>
      </c>
      <c r="F108" s="71"/>
      <c r="G108" s="71"/>
      <c r="H108" s="71"/>
      <c r="I108" s="71"/>
      <c r="J108" s="71"/>
      <c r="K108" s="71"/>
      <c r="L108" s="74"/>
      <c r="M108" s="94">
        <f>SUM(M73:M107)</f>
        <v>1298598844.21</v>
      </c>
      <c r="N108" s="74"/>
      <c r="O108" s="42">
        <f>+M108-[1]TB!C277</f>
        <v>0</v>
      </c>
    </row>
    <row r="109" spans="1:15" x14ac:dyDescent="0.2">
      <c r="A109" s="48"/>
      <c r="F109" s="71"/>
      <c r="G109" s="71"/>
      <c r="H109" s="71"/>
      <c r="I109" s="71"/>
      <c r="J109" s="71"/>
      <c r="K109" s="71"/>
      <c r="L109" s="74"/>
      <c r="M109" s="74"/>
      <c r="N109" s="74"/>
    </row>
    <row r="110" spans="1:15" x14ac:dyDescent="0.2">
      <c r="A110" s="48"/>
      <c r="F110" s="71"/>
      <c r="G110" s="71"/>
      <c r="H110" s="71"/>
      <c r="I110" s="71"/>
      <c r="J110" s="71"/>
      <c r="K110" s="71"/>
      <c r="L110" s="74"/>
      <c r="M110" s="74"/>
      <c r="N110" s="74"/>
    </row>
    <row r="111" spans="1:15" x14ac:dyDescent="0.2">
      <c r="F111" s="71"/>
      <c r="G111" s="71"/>
      <c r="H111" s="71"/>
      <c r="I111" s="71"/>
      <c r="J111" s="71"/>
      <c r="K111" s="71"/>
      <c r="L111" s="74"/>
      <c r="M111" s="71"/>
      <c r="N111" s="71"/>
    </row>
    <row r="112" spans="1:15" x14ac:dyDescent="0.2">
      <c r="A112" s="48" t="s">
        <v>175</v>
      </c>
      <c r="F112" s="71"/>
      <c r="G112" s="71"/>
      <c r="H112" s="71"/>
      <c r="I112" s="71"/>
      <c r="J112" s="71"/>
      <c r="K112" s="71"/>
      <c r="L112" s="74"/>
      <c r="M112" s="71"/>
      <c r="N112" s="71"/>
    </row>
    <row r="113" spans="1:18" x14ac:dyDescent="0.2">
      <c r="F113" s="71"/>
      <c r="I113" s="77" t="s">
        <v>174</v>
      </c>
      <c r="J113" s="77" t="s">
        <v>173</v>
      </c>
      <c r="K113" s="77" t="s">
        <v>172</v>
      </c>
      <c r="L113" s="78"/>
      <c r="M113" s="71"/>
      <c r="N113" s="71"/>
    </row>
    <row r="114" spans="1:18" x14ac:dyDescent="0.2">
      <c r="A114" s="35" t="s">
        <v>171</v>
      </c>
      <c r="F114" s="71"/>
      <c r="I114" s="71"/>
      <c r="J114" s="71"/>
      <c r="K114" s="71"/>
      <c r="L114" s="74"/>
      <c r="M114" s="71"/>
      <c r="N114" s="71"/>
    </row>
    <row r="115" spans="1:18" x14ac:dyDescent="0.2">
      <c r="B115" s="35" t="s">
        <v>170</v>
      </c>
      <c r="F115" s="71"/>
      <c r="I115" s="71">
        <v>352000000</v>
      </c>
      <c r="J115" s="71">
        <f>K115</f>
        <v>130980600</v>
      </c>
      <c r="K115" s="71">
        <f>-[1]TB!C167</f>
        <v>130980600</v>
      </c>
      <c r="L115" s="74"/>
      <c r="M115" s="71"/>
      <c r="N115" s="71"/>
    </row>
    <row r="116" spans="1:18" x14ac:dyDescent="0.2">
      <c r="B116" s="35" t="s">
        <v>169</v>
      </c>
      <c r="F116" s="71"/>
      <c r="I116" s="71">
        <v>198000000</v>
      </c>
      <c r="J116" s="71">
        <f>38420000+5200000+20000+1000000+250000</f>
        <v>44890000</v>
      </c>
      <c r="K116" s="71">
        <f>-[1]TB!C169</f>
        <v>18190550</v>
      </c>
      <c r="L116" s="74"/>
      <c r="M116" s="74"/>
      <c r="N116" s="71"/>
      <c r="O116" s="95">
        <f>16890550+1000000+50000+250000</f>
        <v>18190550</v>
      </c>
      <c r="P116" s="37">
        <f>+K116-O116</f>
        <v>0</v>
      </c>
    </row>
    <row r="117" spans="1:18" x14ac:dyDescent="0.2">
      <c r="B117" s="35" t="s">
        <v>168</v>
      </c>
      <c r="F117" s="71"/>
      <c r="I117" s="79">
        <f>SUM(I115:I116)</f>
        <v>550000000</v>
      </c>
      <c r="J117" s="79">
        <f>SUM(J115:J116)</f>
        <v>175870600</v>
      </c>
      <c r="K117" s="79">
        <f>SUM(K115:K116)</f>
        <v>149171150</v>
      </c>
      <c r="L117" s="74"/>
      <c r="M117" s="74">
        <f>K117</f>
        <v>149171150</v>
      </c>
      <c r="N117" s="74"/>
    </row>
    <row r="118" spans="1:18" x14ac:dyDescent="0.2">
      <c r="F118" s="71"/>
      <c r="G118" s="74"/>
      <c r="H118" s="74"/>
      <c r="I118" s="71"/>
      <c r="J118" s="71"/>
      <c r="K118" s="74"/>
      <c r="L118" s="74"/>
      <c r="M118" s="74"/>
      <c r="N118" s="71"/>
    </row>
    <row r="119" spans="1:18" x14ac:dyDescent="0.2">
      <c r="A119" s="35" t="s">
        <v>167</v>
      </c>
      <c r="F119" s="71"/>
      <c r="G119" s="74"/>
      <c r="H119" s="74"/>
      <c r="I119" s="71"/>
      <c r="J119" s="71"/>
      <c r="K119" s="74"/>
      <c r="L119" s="74"/>
      <c r="M119" s="74">
        <f>-[1]TB!C168</f>
        <v>0</v>
      </c>
      <c r="N119" s="71"/>
    </row>
    <row r="120" spans="1:18" x14ac:dyDescent="0.2">
      <c r="F120" s="71"/>
      <c r="G120" s="74"/>
      <c r="H120" s="74"/>
      <c r="I120" s="71"/>
      <c r="J120" s="71"/>
      <c r="K120" s="74"/>
      <c r="L120" s="74"/>
      <c r="M120" s="74"/>
      <c r="N120" s="71"/>
    </row>
    <row r="121" spans="1:18" x14ac:dyDescent="0.2">
      <c r="A121" s="35" t="s">
        <v>166</v>
      </c>
      <c r="F121" s="71"/>
      <c r="G121" s="71"/>
      <c r="H121" s="71"/>
      <c r="I121" s="71"/>
      <c r="J121" s="71"/>
      <c r="K121" s="71"/>
      <c r="L121" s="74"/>
      <c r="M121" s="74"/>
      <c r="N121" s="71"/>
    </row>
    <row r="122" spans="1:18" x14ac:dyDescent="0.2">
      <c r="B122" s="35" t="s">
        <v>165</v>
      </c>
      <c r="F122" s="71"/>
      <c r="G122" s="71"/>
      <c r="H122" s="71"/>
      <c r="I122" s="71"/>
      <c r="J122" s="71"/>
      <c r="K122" s="74">
        <f>-[1]TB!C170</f>
        <v>49126558.229999997</v>
      </c>
      <c r="L122" s="74"/>
      <c r="N122" s="74"/>
    </row>
    <row r="123" spans="1:18" x14ac:dyDescent="0.2">
      <c r="B123" s="35" t="s">
        <v>164</v>
      </c>
      <c r="F123" s="71"/>
      <c r="G123" s="71"/>
      <c r="H123" s="71"/>
      <c r="I123" s="71"/>
      <c r="J123" s="71"/>
      <c r="K123" s="76">
        <f>-[1]TB!C171</f>
        <v>13000000</v>
      </c>
      <c r="L123" s="74"/>
      <c r="M123" s="42">
        <f>SUM(K122:K123)</f>
        <v>62126558.229999997</v>
      </c>
      <c r="N123" s="71"/>
    </row>
    <row r="124" spans="1:18" x14ac:dyDescent="0.2">
      <c r="F124" s="71"/>
      <c r="G124" s="71"/>
      <c r="H124" s="71"/>
      <c r="I124" s="71"/>
      <c r="J124" s="71"/>
      <c r="K124" s="71"/>
      <c r="L124" s="74"/>
      <c r="M124" s="74"/>
      <c r="N124" s="74"/>
    </row>
    <row r="125" spans="1:18" ht="11.25" hidden="1" customHeight="1" x14ac:dyDescent="0.2">
      <c r="F125" s="71"/>
      <c r="G125" s="71"/>
      <c r="H125" s="71"/>
      <c r="I125" s="71"/>
      <c r="J125" s="71"/>
      <c r="K125" s="74"/>
      <c r="L125" s="74"/>
      <c r="M125" s="74"/>
      <c r="N125" s="71"/>
    </row>
    <row r="126" spans="1:18" ht="12" hidden="1" customHeight="1" x14ac:dyDescent="0.2">
      <c r="A126" s="35" t="s">
        <v>163</v>
      </c>
      <c r="F126" s="71"/>
      <c r="G126" s="71"/>
      <c r="H126" s="71"/>
      <c r="I126" s="71"/>
      <c r="J126" s="71"/>
      <c r="K126" s="74"/>
      <c r="L126" s="74"/>
      <c r="M126" s="74">
        <v>0</v>
      </c>
      <c r="N126" s="71"/>
    </row>
    <row r="127" spans="1:18" x14ac:dyDescent="0.2">
      <c r="A127" s="35" t="s">
        <v>162</v>
      </c>
      <c r="F127" s="71"/>
      <c r="G127" s="71"/>
      <c r="H127" s="71"/>
      <c r="I127" s="71"/>
      <c r="J127" s="71"/>
      <c r="K127" s="36"/>
      <c r="L127" s="83"/>
      <c r="M127" s="74">
        <f>M269</f>
        <v>4559619.9800000004</v>
      </c>
      <c r="N127" s="74"/>
    </row>
    <row r="128" spans="1:18" x14ac:dyDescent="0.2">
      <c r="F128" s="71"/>
      <c r="G128" s="71"/>
      <c r="H128" s="71"/>
      <c r="I128" s="71"/>
      <c r="J128" s="71"/>
      <c r="K128" s="36"/>
      <c r="L128" s="74"/>
      <c r="M128" s="74"/>
      <c r="N128" s="74"/>
      <c r="P128" s="37" t="s">
        <v>161</v>
      </c>
      <c r="Q128" s="36" t="s">
        <v>160</v>
      </c>
      <c r="R128" s="35" t="s">
        <v>159</v>
      </c>
    </row>
    <row r="129" spans="1:18" x14ac:dyDescent="0.2">
      <c r="A129" s="48" t="s">
        <v>158</v>
      </c>
      <c r="F129" s="71"/>
      <c r="G129" s="71"/>
      <c r="H129" s="71"/>
      <c r="I129" s="71"/>
      <c r="J129" s="71"/>
      <c r="K129" s="36"/>
      <c r="L129" s="74"/>
      <c r="M129" s="94">
        <f>SUM(M117:M128)</f>
        <v>215857328.21000001</v>
      </c>
      <c r="N129" s="74"/>
      <c r="O129" s="42" t="s">
        <v>157</v>
      </c>
      <c r="P129" s="37">
        <f>+Q129*R129</f>
        <v>10000000</v>
      </c>
      <c r="Q129" s="36">
        <v>100000</v>
      </c>
      <c r="R129" s="42">
        <v>100</v>
      </c>
    </row>
    <row r="130" spans="1:18" ht="12" thickBot="1" x14ac:dyDescent="0.25">
      <c r="A130" s="48"/>
      <c r="F130" s="71"/>
      <c r="G130" s="71"/>
      <c r="H130" s="71"/>
      <c r="I130" s="71"/>
      <c r="J130" s="71"/>
      <c r="K130" s="36"/>
      <c r="L130" s="74"/>
      <c r="M130" s="74"/>
      <c r="N130" s="74"/>
      <c r="O130" s="35" t="s">
        <v>156</v>
      </c>
      <c r="P130" s="37">
        <f>+Q130*R130</f>
        <v>5000000</v>
      </c>
      <c r="Q130" s="36">
        <v>50000</v>
      </c>
      <c r="R130" s="35">
        <v>100</v>
      </c>
    </row>
    <row r="131" spans="1:18" ht="12" thickBot="1" x14ac:dyDescent="0.25">
      <c r="A131" s="48" t="s">
        <v>155</v>
      </c>
      <c r="F131" s="71"/>
      <c r="G131" s="71"/>
      <c r="H131" s="71"/>
      <c r="I131" s="71"/>
      <c r="J131" s="71"/>
      <c r="K131" s="36"/>
      <c r="L131" s="74"/>
      <c r="M131" s="90">
        <f>+M129+M108</f>
        <v>1514456172.4200001</v>
      </c>
      <c r="N131" s="85"/>
      <c r="O131" s="42">
        <f>M131-M69</f>
        <v>0</v>
      </c>
      <c r="P131" s="37">
        <f>SUM(P129:P130)</f>
        <v>15000000</v>
      </c>
      <c r="Q131" s="36">
        <f>SUM(Q129:Q130)</f>
        <v>150000</v>
      </c>
    </row>
    <row r="132" spans="1:18" x14ac:dyDescent="0.2">
      <c r="F132" s="71"/>
      <c r="G132" s="71"/>
      <c r="H132" s="71"/>
      <c r="I132" s="71"/>
      <c r="J132" s="71"/>
      <c r="K132" s="71"/>
      <c r="L132" s="74"/>
      <c r="M132" s="60"/>
      <c r="O132" s="42"/>
    </row>
    <row r="133" spans="1:18" x14ac:dyDescent="0.2">
      <c r="J133" s="71"/>
      <c r="M133" s="42"/>
      <c r="N133" s="59"/>
      <c r="P133" s="37">
        <f>+Q133*R133</f>
        <v>352000000</v>
      </c>
      <c r="Q133" s="36">
        <v>3520000</v>
      </c>
      <c r="R133" s="35">
        <v>100</v>
      </c>
    </row>
    <row r="134" spans="1:18" x14ac:dyDescent="0.2">
      <c r="E134" s="35"/>
      <c r="H134" s="71"/>
      <c r="L134" s="74"/>
      <c r="M134" s="96"/>
      <c r="N134" s="71"/>
      <c r="P134" s="37">
        <f>+Q134*R134</f>
        <v>48000000</v>
      </c>
      <c r="Q134" s="36">
        <v>480000</v>
      </c>
      <c r="R134" s="35">
        <v>100</v>
      </c>
    </row>
    <row r="135" spans="1:18" x14ac:dyDescent="0.2">
      <c r="E135" s="35"/>
      <c r="H135" s="71"/>
      <c r="L135" s="74"/>
      <c r="M135" s="71"/>
      <c r="N135" s="71"/>
      <c r="P135" s="37">
        <f>SUM(P133:P134)</f>
        <v>400000000</v>
      </c>
      <c r="Q135" s="36">
        <f>SUM(Q133:Q134)</f>
        <v>4000000</v>
      </c>
    </row>
    <row r="136" spans="1:18" x14ac:dyDescent="0.2">
      <c r="E136" s="35"/>
      <c r="H136" s="71"/>
      <c r="L136" s="74"/>
      <c r="M136" s="71"/>
      <c r="N136" s="71"/>
    </row>
    <row r="137" spans="1:18" x14ac:dyDescent="0.2">
      <c r="F137" s="71"/>
      <c r="G137" s="71"/>
      <c r="J137" s="74"/>
      <c r="K137" s="71"/>
      <c r="L137" s="35"/>
      <c r="N137" s="71"/>
      <c r="P137" s="37">
        <f>+P135-P131</f>
        <v>385000000</v>
      </c>
    </row>
    <row r="138" spans="1:18" x14ac:dyDescent="0.2">
      <c r="F138" s="71"/>
      <c r="G138" s="71"/>
      <c r="J138" s="74"/>
      <c r="K138" s="71"/>
      <c r="L138" s="35"/>
      <c r="N138" s="71"/>
    </row>
    <row r="139" spans="1:18" x14ac:dyDescent="0.2">
      <c r="F139" s="71"/>
      <c r="G139" s="71"/>
      <c r="J139" s="74"/>
      <c r="K139" s="71"/>
      <c r="L139" s="35"/>
      <c r="N139" s="71"/>
      <c r="P139" s="37" t="s">
        <v>154</v>
      </c>
    </row>
    <row r="140" spans="1:18" x14ac:dyDescent="0.2">
      <c r="F140" s="71"/>
      <c r="G140" s="71"/>
      <c r="J140" s="97"/>
      <c r="K140" s="97"/>
      <c r="L140" s="35"/>
      <c r="N140" s="97"/>
      <c r="P140" s="37">
        <f>+Q140*R140</f>
        <v>96500000</v>
      </c>
      <c r="Q140" s="36">
        <v>965000</v>
      </c>
      <c r="R140" s="35">
        <v>100</v>
      </c>
    </row>
    <row r="141" spans="1:18" x14ac:dyDescent="0.2">
      <c r="G141" s="71"/>
      <c r="J141" s="74"/>
      <c r="K141" s="98"/>
      <c r="L141" s="35"/>
      <c r="N141" s="71"/>
      <c r="Q141" s="36">
        <f>+Q140-1100000</f>
        <v>-135000</v>
      </c>
    </row>
    <row r="142" spans="1:18" x14ac:dyDescent="0.2">
      <c r="F142" s="71"/>
      <c r="G142" s="71"/>
      <c r="H142" s="71"/>
      <c r="I142" s="71"/>
      <c r="J142" s="71"/>
      <c r="K142" s="53"/>
      <c r="L142" s="74"/>
      <c r="M142" s="71"/>
      <c r="N142" s="71"/>
      <c r="P142" s="37">
        <f>+P137-P140</f>
        <v>288500000</v>
      </c>
      <c r="Q142" s="36">
        <f>+M117/Q140</f>
        <v>154.58000000000001</v>
      </c>
    </row>
    <row r="143" spans="1:18" x14ac:dyDescent="0.2">
      <c r="C143" s="99" t="s">
        <v>4</v>
      </c>
      <c r="F143" s="71"/>
      <c r="G143" s="71"/>
      <c r="H143" s="99" t="s">
        <v>153</v>
      </c>
      <c r="J143" s="71"/>
      <c r="K143" s="100" t="s">
        <v>82</v>
      </c>
      <c r="L143" s="74"/>
      <c r="M143" s="71"/>
      <c r="N143" s="71"/>
    </row>
    <row r="144" spans="1:18" x14ac:dyDescent="0.2">
      <c r="C144" s="101"/>
      <c r="F144" s="71"/>
      <c r="G144" s="71"/>
      <c r="H144" s="71"/>
      <c r="J144" s="71"/>
      <c r="K144" s="98"/>
      <c r="L144" s="74"/>
      <c r="M144" s="71"/>
      <c r="N144" s="71"/>
      <c r="P144" s="37">
        <f>110000000/1100000</f>
        <v>100</v>
      </c>
    </row>
    <row r="145" spans="3:17" x14ac:dyDescent="0.2">
      <c r="C145" s="71"/>
      <c r="F145" s="71"/>
      <c r="G145" s="71"/>
      <c r="H145" s="71"/>
      <c r="J145" s="71"/>
      <c r="K145" s="98"/>
      <c r="L145" s="74"/>
      <c r="M145" s="71"/>
      <c r="N145" s="71"/>
    </row>
    <row r="146" spans="3:17" s="48" customFormat="1" x14ac:dyDescent="0.2">
      <c r="C146" s="51" t="s">
        <v>278</v>
      </c>
      <c r="E146" s="52"/>
      <c r="F146" s="51"/>
      <c r="G146" s="51"/>
      <c r="H146" s="49" t="s">
        <v>151</v>
      </c>
      <c r="J146" s="102"/>
      <c r="K146" s="54" t="s">
        <v>81</v>
      </c>
      <c r="N146" s="85"/>
      <c r="P146" s="50"/>
      <c r="Q146" s="49"/>
    </row>
    <row r="147" spans="3:17" x14ac:dyDescent="0.2">
      <c r="C147" s="36" t="s">
        <v>1</v>
      </c>
      <c r="G147" s="44"/>
      <c r="H147" s="36" t="s">
        <v>0</v>
      </c>
      <c r="J147" s="74"/>
      <c r="K147" s="53" t="s">
        <v>80</v>
      </c>
      <c r="L147" s="35"/>
      <c r="N147" s="74"/>
    </row>
    <row r="148" spans="3:17" x14ac:dyDescent="0.2">
      <c r="F148" s="44"/>
      <c r="G148" s="44"/>
      <c r="H148" s="44"/>
      <c r="I148" s="71"/>
      <c r="J148" s="71"/>
      <c r="K148" s="98"/>
      <c r="L148" s="74"/>
      <c r="M148" s="71"/>
      <c r="N148" s="71"/>
    </row>
    <row r="149" spans="3:17" x14ac:dyDescent="0.2">
      <c r="F149" s="44"/>
      <c r="G149" s="44"/>
      <c r="H149" s="44"/>
      <c r="I149" s="71"/>
      <c r="J149" s="71"/>
      <c r="K149" s="98"/>
      <c r="L149" s="74"/>
      <c r="M149" s="71"/>
      <c r="N149" s="71"/>
    </row>
    <row r="150" spans="3:17" s="48" customFormat="1" x14ac:dyDescent="0.2">
      <c r="C150" s="49" t="s">
        <v>279</v>
      </c>
      <c r="E150" s="52"/>
      <c r="F150" s="51"/>
      <c r="G150" s="51"/>
      <c r="H150" s="51"/>
      <c r="I150" s="84"/>
      <c r="J150" s="84"/>
      <c r="K150" s="103"/>
      <c r="L150" s="85"/>
      <c r="M150" s="84"/>
      <c r="N150" s="84"/>
      <c r="P150" s="50"/>
      <c r="Q150" s="49"/>
    </row>
    <row r="151" spans="3:17" x14ac:dyDescent="0.2">
      <c r="C151" s="36" t="s">
        <v>1</v>
      </c>
      <c r="F151" s="44"/>
      <c r="G151" s="44"/>
      <c r="H151" s="44"/>
      <c r="I151" s="71"/>
      <c r="J151" s="71"/>
      <c r="K151" s="71"/>
      <c r="L151" s="74"/>
      <c r="M151" s="71"/>
      <c r="N151" s="71"/>
    </row>
    <row r="152" spans="3:17" x14ac:dyDescent="0.2">
      <c r="F152" s="71"/>
      <c r="G152" s="71"/>
      <c r="H152" s="71"/>
      <c r="I152" s="71"/>
      <c r="J152" s="71"/>
      <c r="K152" s="71"/>
      <c r="L152" s="74"/>
      <c r="M152" s="71"/>
      <c r="N152" s="71"/>
    </row>
    <row r="153" spans="3:17" x14ac:dyDescent="0.2">
      <c r="F153" s="71"/>
      <c r="G153" s="71"/>
      <c r="H153" s="71"/>
      <c r="I153" s="71"/>
      <c r="J153" s="71"/>
      <c r="K153" s="71"/>
      <c r="L153" s="74"/>
      <c r="M153" s="71"/>
      <c r="N153" s="71"/>
    </row>
    <row r="154" spans="3:17" x14ac:dyDescent="0.2">
      <c r="F154" s="71"/>
      <c r="G154" s="71"/>
      <c r="H154" s="71"/>
      <c r="I154" s="71"/>
      <c r="J154" s="71"/>
      <c r="K154" s="71"/>
      <c r="L154" s="74"/>
      <c r="M154" s="71"/>
      <c r="N154" s="71"/>
    </row>
    <row r="155" spans="3:17" x14ac:dyDescent="0.2">
      <c r="F155" s="71"/>
      <c r="G155" s="71"/>
      <c r="H155" s="71"/>
      <c r="I155" s="71"/>
      <c r="J155" s="71"/>
      <c r="K155" s="71"/>
      <c r="L155" s="74"/>
      <c r="M155" s="71"/>
      <c r="N155" s="71"/>
    </row>
    <row r="156" spans="3:17" x14ac:dyDescent="0.2">
      <c r="F156" s="71"/>
      <c r="G156" s="71"/>
      <c r="H156" s="71"/>
      <c r="I156" s="71"/>
      <c r="J156" s="71"/>
      <c r="K156" s="71"/>
      <c r="L156" s="74"/>
      <c r="M156" s="71"/>
      <c r="N156" s="71"/>
    </row>
    <row r="157" spans="3:17" x14ac:dyDescent="0.2">
      <c r="F157" s="71"/>
      <c r="G157" s="71"/>
      <c r="H157" s="71"/>
      <c r="I157" s="71"/>
      <c r="J157" s="71"/>
      <c r="K157" s="71"/>
      <c r="L157" s="74"/>
      <c r="M157" s="71"/>
      <c r="N157" s="71"/>
    </row>
    <row r="158" spans="3:17" x14ac:dyDescent="0.2">
      <c r="F158" s="71"/>
      <c r="G158" s="71"/>
      <c r="H158" s="71"/>
      <c r="I158" s="71"/>
      <c r="J158" s="71"/>
      <c r="K158" s="71"/>
      <c r="L158" s="74"/>
      <c r="M158" s="71"/>
      <c r="N158" s="71"/>
    </row>
    <row r="159" spans="3:17" x14ac:dyDescent="0.2">
      <c r="F159" s="71"/>
      <c r="G159" s="71"/>
      <c r="H159" s="71"/>
      <c r="I159" s="71"/>
      <c r="J159" s="71"/>
      <c r="K159" s="71"/>
      <c r="L159" s="74"/>
      <c r="M159" s="71"/>
      <c r="N159" s="71"/>
    </row>
    <row r="160" spans="3:17" x14ac:dyDescent="0.2">
      <c r="F160" s="71"/>
      <c r="G160" s="71"/>
      <c r="H160" s="71"/>
      <c r="I160" s="71"/>
      <c r="J160" s="71"/>
      <c r="K160" s="71"/>
      <c r="L160" s="74"/>
      <c r="M160" s="71"/>
      <c r="N160" s="71"/>
    </row>
    <row r="161" spans="6:14" x14ac:dyDescent="0.2">
      <c r="F161" s="71"/>
      <c r="G161" s="71"/>
      <c r="H161" s="71"/>
      <c r="I161" s="71"/>
      <c r="J161" s="71"/>
      <c r="K161" s="71"/>
      <c r="L161" s="74"/>
      <c r="M161" s="71"/>
      <c r="N161" s="71"/>
    </row>
    <row r="162" spans="6:14" x14ac:dyDescent="0.2">
      <c r="F162" s="71"/>
      <c r="G162" s="71"/>
      <c r="H162" s="71"/>
      <c r="I162" s="71"/>
      <c r="J162" s="71"/>
      <c r="K162" s="71"/>
      <c r="L162" s="74"/>
      <c r="M162" s="71"/>
      <c r="N162" s="71"/>
    </row>
    <row r="163" spans="6:14" x14ac:dyDescent="0.2">
      <c r="F163" s="71"/>
      <c r="G163" s="71"/>
      <c r="H163" s="71"/>
      <c r="I163" s="71"/>
      <c r="J163" s="71"/>
      <c r="K163" s="71"/>
      <c r="L163" s="74"/>
      <c r="M163" s="71"/>
      <c r="N163" s="71"/>
    </row>
    <row r="164" spans="6:14" x14ac:dyDescent="0.2">
      <c r="F164" s="71"/>
      <c r="G164" s="71"/>
      <c r="H164" s="71"/>
      <c r="I164" s="71"/>
      <c r="J164" s="71"/>
      <c r="K164" s="71"/>
      <c r="L164" s="74"/>
      <c r="M164" s="71"/>
      <c r="N164" s="71"/>
    </row>
    <row r="165" spans="6:14" x14ac:dyDescent="0.2">
      <c r="F165" s="71"/>
      <c r="G165" s="71"/>
      <c r="H165" s="71"/>
      <c r="I165" s="71"/>
      <c r="J165" s="71"/>
      <c r="K165" s="71"/>
      <c r="L165" s="74"/>
      <c r="M165" s="71"/>
      <c r="N165" s="71"/>
    </row>
    <row r="166" spans="6:14" x14ac:dyDescent="0.2">
      <c r="F166" s="71"/>
      <c r="G166" s="71"/>
      <c r="H166" s="71"/>
      <c r="I166" s="71"/>
      <c r="J166" s="71"/>
      <c r="K166" s="71"/>
      <c r="L166" s="74"/>
      <c r="M166" s="71"/>
      <c r="N166" s="71"/>
    </row>
    <row r="167" spans="6:14" x14ac:dyDescent="0.2">
      <c r="F167" s="71"/>
      <c r="G167" s="71"/>
      <c r="H167" s="71"/>
      <c r="I167" s="71"/>
      <c r="J167" s="71"/>
      <c r="K167" s="71"/>
      <c r="L167" s="74"/>
      <c r="M167" s="71"/>
      <c r="N167" s="71"/>
    </row>
    <row r="168" spans="6:14" x14ac:dyDescent="0.2">
      <c r="F168" s="71"/>
      <c r="G168" s="71"/>
      <c r="H168" s="71"/>
      <c r="I168" s="71"/>
      <c r="J168" s="71"/>
      <c r="K168" s="71"/>
      <c r="L168" s="74"/>
      <c r="M168" s="71"/>
      <c r="N168" s="71"/>
    </row>
    <row r="169" spans="6:14" x14ac:dyDescent="0.2">
      <c r="F169" s="71"/>
      <c r="G169" s="71"/>
      <c r="H169" s="71"/>
      <c r="I169" s="71"/>
      <c r="J169" s="71"/>
      <c r="K169" s="71"/>
      <c r="L169" s="74"/>
      <c r="M169" s="71"/>
      <c r="N169" s="71"/>
    </row>
    <row r="170" spans="6:14" x14ac:dyDescent="0.2">
      <c r="F170" s="71"/>
      <c r="G170" s="71"/>
      <c r="H170" s="71"/>
      <c r="I170" s="71"/>
      <c r="J170" s="71"/>
      <c r="K170" s="71"/>
      <c r="L170" s="74"/>
      <c r="M170" s="71"/>
      <c r="N170" s="71"/>
    </row>
    <row r="171" spans="6:14" x14ac:dyDescent="0.2">
      <c r="F171" s="71"/>
      <c r="G171" s="71"/>
      <c r="H171" s="71"/>
      <c r="I171" s="71"/>
      <c r="J171" s="71"/>
      <c r="K171" s="71"/>
      <c r="L171" s="74"/>
      <c r="M171" s="71"/>
      <c r="N171" s="71"/>
    </row>
    <row r="172" spans="6:14" x14ac:dyDescent="0.2">
      <c r="F172" s="71"/>
      <c r="G172" s="71"/>
      <c r="H172" s="71"/>
      <c r="I172" s="71"/>
      <c r="J172" s="71"/>
      <c r="K172" s="71"/>
      <c r="L172" s="74"/>
      <c r="M172" s="71"/>
      <c r="N172" s="71"/>
    </row>
    <row r="173" spans="6:14" x14ac:dyDescent="0.2">
      <c r="F173" s="71"/>
      <c r="G173" s="71"/>
      <c r="H173" s="71"/>
      <c r="I173" s="71"/>
      <c r="J173" s="71"/>
      <c r="K173" s="71"/>
      <c r="L173" s="74"/>
      <c r="M173" s="71"/>
      <c r="N173" s="71"/>
    </row>
    <row r="174" spans="6:14" x14ac:dyDescent="0.2">
      <c r="F174" s="71"/>
      <c r="G174" s="71"/>
      <c r="H174" s="71"/>
      <c r="I174" s="71"/>
      <c r="J174" s="71"/>
      <c r="K174" s="71"/>
      <c r="L174" s="74"/>
      <c r="M174" s="71"/>
      <c r="N174" s="71"/>
    </row>
    <row r="175" spans="6:14" x14ac:dyDescent="0.2">
      <c r="F175" s="71"/>
      <c r="G175" s="71"/>
      <c r="H175" s="71"/>
      <c r="I175" s="71"/>
      <c r="J175" s="71"/>
      <c r="K175" s="71"/>
      <c r="L175" s="74"/>
      <c r="M175" s="71"/>
      <c r="N175" s="71"/>
    </row>
    <row r="176" spans="6:14" x14ac:dyDescent="0.2">
      <c r="F176" s="71"/>
      <c r="G176" s="71"/>
      <c r="H176" s="71"/>
      <c r="I176" s="71"/>
      <c r="J176" s="71"/>
      <c r="K176" s="71"/>
      <c r="L176" s="74"/>
      <c r="M176" s="71"/>
      <c r="N176" s="71"/>
    </row>
    <row r="177" spans="1:14" x14ac:dyDescent="0.2">
      <c r="F177" s="71"/>
      <c r="G177" s="71"/>
      <c r="H177" s="71"/>
      <c r="I177" s="71"/>
      <c r="J177" s="71"/>
      <c r="K177" s="71"/>
      <c r="L177" s="74"/>
      <c r="M177" s="71"/>
      <c r="N177" s="71"/>
    </row>
    <row r="178" spans="1:14" x14ac:dyDescent="0.2">
      <c r="F178" s="71"/>
      <c r="G178" s="71"/>
      <c r="H178" s="71"/>
      <c r="I178" s="71"/>
      <c r="J178" s="71"/>
      <c r="K178" s="71"/>
      <c r="L178" s="74"/>
      <c r="M178" s="71"/>
      <c r="N178" s="71"/>
    </row>
    <row r="179" spans="1:14" x14ac:dyDescent="0.2">
      <c r="F179" s="71"/>
      <c r="G179" s="71"/>
      <c r="H179" s="71"/>
      <c r="I179" s="71"/>
      <c r="J179" s="71"/>
      <c r="K179" s="71"/>
      <c r="L179" s="74"/>
      <c r="M179" s="71"/>
      <c r="N179" s="71"/>
    </row>
    <row r="180" spans="1:14" x14ac:dyDescent="0.2">
      <c r="F180" s="71"/>
      <c r="G180" s="71"/>
      <c r="H180" s="71"/>
      <c r="I180" s="71"/>
      <c r="J180" s="71"/>
      <c r="K180" s="71"/>
      <c r="L180" s="74"/>
      <c r="M180" s="71"/>
      <c r="N180" s="71"/>
    </row>
    <row r="181" spans="1:14" x14ac:dyDescent="0.2">
      <c r="F181" s="71"/>
      <c r="G181" s="71"/>
      <c r="H181" s="71"/>
      <c r="I181" s="71"/>
      <c r="J181" s="71"/>
      <c r="K181" s="71"/>
      <c r="L181" s="74"/>
      <c r="M181" s="71"/>
      <c r="N181" s="71"/>
    </row>
    <row r="182" spans="1:14" x14ac:dyDescent="0.2">
      <c r="F182" s="71"/>
      <c r="G182" s="71"/>
      <c r="H182" s="71"/>
      <c r="I182" s="71"/>
      <c r="J182" s="71"/>
      <c r="K182" s="71"/>
      <c r="L182" s="74"/>
      <c r="M182" s="71"/>
      <c r="N182" s="71"/>
    </row>
    <row r="183" spans="1:14" x14ac:dyDescent="0.2">
      <c r="F183" s="71"/>
      <c r="G183" s="71"/>
      <c r="H183" s="71"/>
      <c r="I183" s="71"/>
      <c r="J183" s="71"/>
      <c r="K183" s="71"/>
      <c r="L183" s="74"/>
      <c r="M183" s="71"/>
      <c r="N183" s="71"/>
    </row>
    <row r="184" spans="1:14" ht="12" hidden="1" customHeight="1" x14ac:dyDescent="0.2">
      <c r="F184" s="71"/>
      <c r="G184" s="71"/>
      <c r="H184" s="71"/>
      <c r="I184" s="71"/>
      <c r="J184" s="71"/>
      <c r="K184" s="71"/>
      <c r="L184" s="74"/>
      <c r="M184" s="71"/>
      <c r="N184" s="71"/>
    </row>
    <row r="185" spans="1:14" ht="12" hidden="1" customHeight="1" x14ac:dyDescent="0.2">
      <c r="F185" s="71"/>
      <c r="G185" s="71"/>
      <c r="H185" s="71"/>
      <c r="I185" s="71"/>
      <c r="J185" s="71"/>
      <c r="K185" s="71"/>
      <c r="L185" s="74"/>
      <c r="M185" s="71"/>
      <c r="N185" s="71"/>
    </row>
    <row r="186" spans="1:14" x14ac:dyDescent="0.2">
      <c r="F186" s="71"/>
      <c r="G186" s="71"/>
      <c r="H186" s="71"/>
      <c r="I186" s="71"/>
      <c r="J186" s="71"/>
      <c r="K186" s="71"/>
      <c r="L186" s="74"/>
      <c r="M186" s="71"/>
      <c r="N186" s="71"/>
    </row>
    <row r="187" spans="1:14" x14ac:dyDescent="0.2">
      <c r="A187" s="102" t="s">
        <v>150</v>
      </c>
      <c r="B187" s="104"/>
      <c r="C187" s="104"/>
      <c r="D187" s="104"/>
      <c r="E187" s="105"/>
      <c r="F187" s="104"/>
      <c r="G187" s="104"/>
      <c r="H187" s="104"/>
      <c r="I187" s="104"/>
      <c r="J187" s="104"/>
      <c r="K187" s="104"/>
      <c r="L187" s="106"/>
      <c r="M187" s="71"/>
      <c r="N187" s="71"/>
    </row>
    <row r="188" spans="1:14" x14ac:dyDescent="0.2">
      <c r="A188" s="102" t="s">
        <v>149</v>
      </c>
      <c r="B188" s="104"/>
      <c r="C188" s="104"/>
      <c r="D188" s="104"/>
      <c r="E188" s="105"/>
      <c r="F188" s="104"/>
      <c r="G188" s="104"/>
      <c r="H188" s="104"/>
      <c r="I188" s="104"/>
      <c r="J188" s="104"/>
      <c r="K188" s="104"/>
      <c r="L188" s="106"/>
      <c r="M188" s="71"/>
      <c r="N188" s="71"/>
    </row>
    <row r="189" spans="1:14" x14ac:dyDescent="0.2">
      <c r="A189" s="102" t="str">
        <f>+A3</f>
        <v>As of February 28, 2019</v>
      </c>
      <c r="B189" s="104"/>
      <c r="C189" s="104"/>
      <c r="D189" s="104"/>
      <c r="E189" s="105"/>
      <c r="F189" s="104"/>
      <c r="G189" s="104"/>
      <c r="H189" s="104"/>
      <c r="I189" s="104"/>
      <c r="J189" s="104"/>
      <c r="K189" s="104"/>
      <c r="L189" s="106"/>
      <c r="M189" s="71"/>
      <c r="N189" s="71"/>
    </row>
    <row r="190" spans="1:14" x14ac:dyDescent="0.2">
      <c r="F190" s="71"/>
      <c r="G190" s="71"/>
      <c r="H190" s="71"/>
      <c r="I190" s="71"/>
      <c r="J190" s="71"/>
      <c r="K190" s="71"/>
      <c r="L190" s="74"/>
      <c r="M190" s="71"/>
      <c r="N190" s="71"/>
    </row>
    <row r="191" spans="1:14" ht="12.75" x14ac:dyDescent="0.3">
      <c r="F191" s="71"/>
      <c r="G191" s="71"/>
      <c r="H191" s="71"/>
      <c r="I191" s="71"/>
      <c r="J191" s="71"/>
      <c r="K191" s="72"/>
      <c r="L191" s="73"/>
      <c r="M191" s="71"/>
      <c r="N191" s="71"/>
    </row>
    <row r="192" spans="1:14" x14ac:dyDescent="0.2">
      <c r="A192" s="102" t="s">
        <v>148</v>
      </c>
      <c r="B192" s="104"/>
      <c r="C192" s="104"/>
      <c r="D192" s="104"/>
      <c r="E192" s="105"/>
      <c r="F192" s="104"/>
      <c r="G192" s="104"/>
      <c r="H192" s="104"/>
      <c r="I192" s="104"/>
      <c r="J192" s="104"/>
      <c r="K192" s="104"/>
      <c r="L192" s="106"/>
      <c r="M192" s="71"/>
      <c r="N192" s="71"/>
    </row>
    <row r="193" spans="1:14" x14ac:dyDescent="0.2">
      <c r="A193" s="35" t="s">
        <v>147</v>
      </c>
      <c r="F193" s="71"/>
      <c r="G193" s="71"/>
      <c r="H193" s="71"/>
      <c r="I193" s="71"/>
      <c r="J193" s="71"/>
      <c r="K193" s="71"/>
      <c r="L193" s="74"/>
      <c r="M193" s="71"/>
      <c r="N193" s="71"/>
    </row>
    <row r="194" spans="1:14" x14ac:dyDescent="0.2">
      <c r="B194" s="35" t="s">
        <v>146</v>
      </c>
      <c r="F194" s="78"/>
      <c r="G194" s="78"/>
      <c r="H194" s="78"/>
      <c r="I194" s="78"/>
      <c r="J194" s="78"/>
      <c r="K194" s="78"/>
      <c r="L194" s="78"/>
      <c r="M194" s="74"/>
      <c r="N194" s="71"/>
    </row>
    <row r="195" spans="1:14" x14ac:dyDescent="0.2">
      <c r="C195" s="35" t="s">
        <v>145</v>
      </c>
      <c r="F195" s="74"/>
      <c r="G195" s="74"/>
      <c r="H195" s="74"/>
      <c r="I195" s="74"/>
      <c r="J195" s="74"/>
      <c r="K195" s="74">
        <f>-[1]TB!C175</f>
        <v>1966232.03</v>
      </c>
      <c r="L195" s="74"/>
      <c r="M195" s="74"/>
      <c r="N195" s="71"/>
    </row>
    <row r="196" spans="1:14" x14ac:dyDescent="0.2">
      <c r="C196" s="35" t="s">
        <v>144</v>
      </c>
      <c r="F196" s="74"/>
      <c r="G196" s="74"/>
      <c r="H196" s="74"/>
      <c r="I196" s="74"/>
      <c r="J196" s="74"/>
      <c r="K196" s="74">
        <f>-[1]TB!C174</f>
        <v>311725.88</v>
      </c>
      <c r="L196" s="74"/>
      <c r="M196" s="74"/>
      <c r="N196" s="71"/>
    </row>
    <row r="197" spans="1:14" x14ac:dyDescent="0.2">
      <c r="C197" s="35" t="s">
        <v>143</v>
      </c>
      <c r="F197" s="74"/>
      <c r="G197" s="74"/>
      <c r="H197" s="74"/>
      <c r="I197" s="74"/>
      <c r="J197" s="74"/>
      <c r="K197" s="74">
        <f>-[1]TB!C183</f>
        <v>5388643.7599999998</v>
      </c>
      <c r="L197" s="74"/>
      <c r="M197" s="74"/>
      <c r="N197" s="71"/>
    </row>
    <row r="198" spans="1:14" x14ac:dyDescent="0.2">
      <c r="C198" s="35" t="s">
        <v>142</v>
      </c>
      <c r="F198" s="74"/>
      <c r="G198" s="74"/>
      <c r="H198" s="74"/>
      <c r="I198" s="74"/>
      <c r="J198" s="74"/>
      <c r="K198" s="74">
        <f>-[1]TB!C178</f>
        <v>6898028.4400000004</v>
      </c>
      <c r="L198" s="74"/>
      <c r="M198" s="74"/>
      <c r="N198" s="71"/>
    </row>
    <row r="199" spans="1:14" x14ac:dyDescent="0.2">
      <c r="C199" s="35" t="s">
        <v>141</v>
      </c>
      <c r="F199" s="74"/>
      <c r="G199" s="74"/>
      <c r="H199" s="74"/>
      <c r="I199" s="74"/>
      <c r="J199" s="74"/>
      <c r="K199" s="74">
        <f>-[1]TB!C179</f>
        <v>110812.34</v>
      </c>
      <c r="L199" s="74"/>
      <c r="M199" s="74"/>
      <c r="N199" s="71"/>
    </row>
    <row r="200" spans="1:14" x14ac:dyDescent="0.2">
      <c r="C200" s="35" t="s">
        <v>140</v>
      </c>
      <c r="F200" s="74"/>
      <c r="G200" s="74"/>
      <c r="H200" s="74"/>
      <c r="I200" s="74"/>
      <c r="J200" s="74"/>
      <c r="K200" s="74">
        <f>-[1]TB!C181</f>
        <v>2035181.91</v>
      </c>
      <c r="L200" s="74"/>
      <c r="M200" s="74"/>
      <c r="N200" s="71"/>
    </row>
    <row r="201" spans="1:14" x14ac:dyDescent="0.2">
      <c r="C201" s="35" t="s">
        <v>139</v>
      </c>
      <c r="F201" s="74"/>
      <c r="G201" s="74"/>
      <c r="H201" s="74"/>
      <c r="I201" s="74"/>
      <c r="J201" s="74"/>
      <c r="K201" s="74">
        <f>-[1]TB!C182</f>
        <v>2339455.23</v>
      </c>
      <c r="L201" s="74"/>
      <c r="M201" s="74"/>
      <c r="N201" s="71"/>
    </row>
    <row r="202" spans="1:14" ht="15" hidden="1" customHeight="1" x14ac:dyDescent="0.2">
      <c r="C202" s="35" t="s">
        <v>138</v>
      </c>
      <c r="F202" s="74"/>
      <c r="G202" s="74"/>
      <c r="H202" s="74"/>
      <c r="I202" s="74"/>
      <c r="J202" s="74"/>
      <c r="K202" s="74">
        <f>-[1]TB!C176</f>
        <v>0</v>
      </c>
      <c r="L202" s="74"/>
      <c r="M202" s="74"/>
      <c r="N202" s="71"/>
    </row>
    <row r="203" spans="1:14" x14ac:dyDescent="0.2">
      <c r="C203" s="35" t="s">
        <v>137</v>
      </c>
      <c r="F203" s="74"/>
      <c r="G203" s="74"/>
      <c r="H203" s="74"/>
      <c r="I203" s="74"/>
      <c r="J203" s="74"/>
      <c r="K203" s="74">
        <f>-[1]TB!C177</f>
        <v>487733.86</v>
      </c>
      <c r="L203" s="74"/>
      <c r="M203" s="71"/>
      <c r="N203" s="71"/>
    </row>
    <row r="204" spans="1:14" x14ac:dyDescent="0.2">
      <c r="C204" s="35" t="s">
        <v>136</v>
      </c>
      <c r="F204" s="74"/>
      <c r="G204" s="74"/>
      <c r="H204" s="74"/>
      <c r="I204" s="74"/>
      <c r="J204" s="74"/>
      <c r="K204" s="74">
        <f>-[1]TB!C186</f>
        <v>0</v>
      </c>
      <c r="L204" s="74"/>
      <c r="M204" s="71"/>
      <c r="N204" s="71"/>
    </row>
    <row r="205" spans="1:14" x14ac:dyDescent="0.2">
      <c r="C205" s="35" t="s">
        <v>135</v>
      </c>
      <c r="F205" s="74"/>
      <c r="G205" s="74"/>
      <c r="H205" s="74"/>
      <c r="I205" s="74"/>
      <c r="J205" s="74"/>
      <c r="K205" s="74">
        <f>-[1]TB!C180</f>
        <v>795203.78</v>
      </c>
      <c r="L205" s="74"/>
      <c r="M205" s="71"/>
      <c r="N205" s="71"/>
    </row>
    <row r="206" spans="1:14" ht="11.25" hidden="1" customHeight="1" x14ac:dyDescent="0.2">
      <c r="C206" s="35" t="s">
        <v>134</v>
      </c>
      <c r="F206" s="74"/>
      <c r="G206" s="74"/>
      <c r="H206" s="74"/>
      <c r="I206" s="74"/>
      <c r="J206" s="74"/>
      <c r="K206" s="74">
        <v>0</v>
      </c>
      <c r="L206" s="74"/>
      <c r="M206" s="71"/>
      <c r="N206" s="71"/>
    </row>
    <row r="207" spans="1:14" x14ac:dyDescent="0.2">
      <c r="C207" s="35" t="s">
        <v>133</v>
      </c>
      <c r="F207" s="74"/>
      <c r="G207" s="74"/>
      <c r="H207" s="74"/>
      <c r="I207" s="74"/>
      <c r="J207" s="74"/>
      <c r="K207" s="74">
        <f>-[1]TB!C187</f>
        <v>2784560.86</v>
      </c>
      <c r="L207" s="74"/>
      <c r="N207" s="71"/>
    </row>
    <row r="208" spans="1:14" x14ac:dyDescent="0.2">
      <c r="C208" s="35" t="s">
        <v>132</v>
      </c>
      <c r="F208" s="74"/>
      <c r="G208" s="74"/>
      <c r="H208" s="74"/>
      <c r="I208" s="74"/>
      <c r="J208" s="74"/>
      <c r="K208" s="76">
        <f>-[1]TB!C191</f>
        <v>881149.56</v>
      </c>
      <c r="L208" s="74"/>
      <c r="M208" s="71">
        <f>SUM(K195:K208)</f>
        <v>23998727.649999999</v>
      </c>
      <c r="N208" s="71"/>
    </row>
    <row r="209" spans="1:15" x14ac:dyDescent="0.2">
      <c r="B209" s="35" t="s">
        <v>131</v>
      </c>
      <c r="F209" s="71"/>
      <c r="G209" s="71"/>
      <c r="H209" s="71"/>
      <c r="I209" s="71"/>
      <c r="J209" s="71"/>
      <c r="K209" s="74"/>
      <c r="L209" s="74"/>
      <c r="M209" s="71">
        <f>-[1]TB!C188-[1]TB!C189</f>
        <v>542194.07999999996</v>
      </c>
      <c r="N209" s="71"/>
    </row>
    <row r="210" spans="1:15" x14ac:dyDescent="0.2">
      <c r="B210" s="35" t="s">
        <v>130</v>
      </c>
      <c r="F210" s="71"/>
      <c r="G210" s="71"/>
      <c r="H210" s="71"/>
      <c r="I210" s="71"/>
      <c r="J210" s="71"/>
      <c r="K210" s="74"/>
      <c r="L210" s="74"/>
      <c r="M210" s="71">
        <f>-[1]TB!C190</f>
        <v>0</v>
      </c>
      <c r="N210" s="71"/>
    </row>
    <row r="211" spans="1:15" x14ac:dyDescent="0.2">
      <c r="B211" s="35" t="s">
        <v>129</v>
      </c>
      <c r="F211" s="71"/>
      <c r="G211" s="71"/>
      <c r="H211" s="71"/>
      <c r="I211" s="71"/>
      <c r="J211" s="71"/>
      <c r="K211" s="74"/>
      <c r="L211" s="74"/>
      <c r="M211" s="71">
        <f>IF([1]TB!C226&gt;0,0,-[1]TB!C226)</f>
        <v>0</v>
      </c>
      <c r="N211" s="71"/>
      <c r="O211" s="35" t="s">
        <v>128</v>
      </c>
    </row>
    <row r="212" spans="1:15" x14ac:dyDescent="0.2">
      <c r="F212" s="71"/>
      <c r="G212" s="71"/>
      <c r="H212" s="71"/>
      <c r="I212" s="71"/>
      <c r="J212" s="71"/>
      <c r="K212" s="74"/>
      <c r="L212" s="74"/>
      <c r="M212" s="71"/>
      <c r="N212" s="71"/>
    </row>
    <row r="213" spans="1:15" x14ac:dyDescent="0.2">
      <c r="A213" s="35" t="s">
        <v>127</v>
      </c>
      <c r="F213" s="71"/>
      <c r="G213" s="71"/>
      <c r="H213" s="71"/>
      <c r="I213" s="71"/>
      <c r="J213" s="71"/>
      <c r="K213" s="71"/>
      <c r="L213" s="74"/>
      <c r="M213" s="71">
        <f>-[1]TB!C192</f>
        <v>5426089.3700000001</v>
      </c>
      <c r="N213" s="71"/>
    </row>
    <row r="214" spans="1:15" x14ac:dyDescent="0.2">
      <c r="A214" s="35" t="s">
        <v>126</v>
      </c>
      <c r="F214" s="71"/>
      <c r="G214" s="71"/>
      <c r="H214" s="71"/>
      <c r="I214" s="71"/>
      <c r="J214" s="71"/>
      <c r="K214" s="71"/>
      <c r="L214" s="74"/>
      <c r="M214" s="71">
        <f>-[1]TB!C194</f>
        <v>3412170.95</v>
      </c>
      <c r="N214" s="71"/>
    </row>
    <row r="215" spans="1:15" x14ac:dyDescent="0.2">
      <c r="F215" s="71"/>
      <c r="G215" s="71"/>
      <c r="H215" s="71"/>
      <c r="I215" s="71"/>
      <c r="J215" s="71"/>
      <c r="K215" s="71"/>
      <c r="L215" s="74"/>
      <c r="M215" s="71"/>
      <c r="N215" s="71"/>
    </row>
    <row r="216" spans="1:15" x14ac:dyDescent="0.2">
      <c r="A216" s="48" t="s">
        <v>125</v>
      </c>
      <c r="F216" s="71"/>
      <c r="G216" s="71"/>
      <c r="H216" s="71"/>
      <c r="I216" s="71"/>
      <c r="J216" s="71"/>
      <c r="K216" s="71"/>
      <c r="L216" s="74"/>
      <c r="M216" s="94">
        <f>SUM(M194:M214)</f>
        <v>33379182.050000001</v>
      </c>
      <c r="N216" s="85"/>
    </row>
    <row r="217" spans="1:15" x14ac:dyDescent="0.2">
      <c r="F217" s="71"/>
      <c r="G217" s="71"/>
      <c r="H217" s="71"/>
      <c r="I217" s="71"/>
      <c r="J217" s="71"/>
      <c r="K217" s="71"/>
      <c r="L217" s="74"/>
      <c r="M217" s="71"/>
      <c r="N217" s="71"/>
    </row>
    <row r="218" spans="1:15" x14ac:dyDescent="0.2">
      <c r="A218" s="102" t="s">
        <v>124</v>
      </c>
      <c r="B218" s="104"/>
      <c r="C218" s="104"/>
      <c r="D218" s="104"/>
      <c r="E218" s="105"/>
      <c r="F218" s="104"/>
      <c r="G218" s="104"/>
      <c r="H218" s="104"/>
      <c r="I218" s="104"/>
      <c r="J218" s="104"/>
      <c r="K218" s="104"/>
      <c r="L218" s="106"/>
      <c r="M218" s="71"/>
      <c r="N218" s="71"/>
    </row>
    <row r="219" spans="1:15" x14ac:dyDescent="0.2">
      <c r="A219" s="107" t="s">
        <v>123</v>
      </c>
      <c r="B219" s="104"/>
      <c r="C219" s="104"/>
      <c r="D219" s="104"/>
      <c r="E219" s="105"/>
      <c r="F219" s="104"/>
      <c r="G219" s="104"/>
      <c r="H219" s="104"/>
      <c r="I219" s="104"/>
      <c r="J219" s="104"/>
      <c r="K219" s="104"/>
      <c r="L219" s="106"/>
      <c r="M219" s="71"/>
      <c r="N219" s="71"/>
    </row>
    <row r="220" spans="1:15" x14ac:dyDescent="0.2">
      <c r="B220" s="35" t="s">
        <v>122</v>
      </c>
      <c r="F220" s="71"/>
      <c r="G220" s="71"/>
      <c r="H220" s="71"/>
      <c r="I220" s="71"/>
      <c r="J220" s="71"/>
      <c r="K220" s="71"/>
      <c r="L220" s="74"/>
      <c r="M220" s="71"/>
      <c r="N220" s="71"/>
    </row>
    <row r="221" spans="1:15" x14ac:dyDescent="0.2">
      <c r="C221" s="35" t="s">
        <v>121</v>
      </c>
      <c r="F221" s="71"/>
      <c r="G221" s="71"/>
      <c r="H221" s="71"/>
      <c r="I221" s="71"/>
      <c r="J221" s="71">
        <f>[1]TB!C196</f>
        <v>1334.4</v>
      </c>
      <c r="K221" s="42"/>
      <c r="L221" s="57"/>
      <c r="M221" s="71"/>
      <c r="N221" s="71"/>
    </row>
    <row r="222" spans="1:15" x14ac:dyDescent="0.2">
      <c r="C222" s="35" t="s">
        <v>120</v>
      </c>
      <c r="F222" s="71"/>
      <c r="G222" s="71"/>
      <c r="H222" s="71"/>
      <c r="I222" s="71"/>
      <c r="J222" s="71">
        <f>[1]TB!C198+[1]TB!C197+[1]TB!C199+[1]TB!C200</f>
        <v>2581503.6</v>
      </c>
      <c r="K222" s="42"/>
      <c r="L222" s="57"/>
      <c r="M222" s="71"/>
      <c r="N222" s="71"/>
    </row>
    <row r="223" spans="1:15" x14ac:dyDescent="0.2">
      <c r="C223" s="35" t="s">
        <v>119</v>
      </c>
      <c r="F223" s="71"/>
      <c r="G223" s="71"/>
      <c r="H223" s="71"/>
      <c r="I223" s="71"/>
      <c r="J223" s="76">
        <f>[1]TB!C201</f>
        <v>0</v>
      </c>
      <c r="K223" s="71">
        <f>J223+J222+J221</f>
        <v>2582838</v>
      </c>
      <c r="L223" s="74"/>
    </row>
    <row r="224" spans="1:15" x14ac:dyDescent="0.2">
      <c r="F224" s="71"/>
      <c r="G224" s="71"/>
      <c r="H224" s="71"/>
      <c r="I224" s="71"/>
      <c r="J224" s="74"/>
      <c r="K224" s="71"/>
      <c r="L224" s="74"/>
    </row>
    <row r="225" spans="1:14" x14ac:dyDescent="0.2">
      <c r="B225" s="35" t="s">
        <v>118</v>
      </c>
      <c r="F225" s="71"/>
      <c r="G225" s="71"/>
      <c r="H225" s="71"/>
      <c r="I225" s="71"/>
      <c r="J225" s="74">
        <f>[1]TB!C204</f>
        <v>2388551.21</v>
      </c>
      <c r="L225" s="74"/>
      <c r="M225" s="42"/>
      <c r="N225" s="42"/>
    </row>
    <row r="226" spans="1:14" x14ac:dyDescent="0.2">
      <c r="B226" s="35" t="s">
        <v>117</v>
      </c>
      <c r="F226" s="71"/>
      <c r="G226" s="71"/>
      <c r="H226" s="71"/>
      <c r="I226" s="71"/>
      <c r="J226" s="74">
        <f>[1]TB!C203</f>
        <v>0</v>
      </c>
      <c r="L226" s="74"/>
      <c r="M226" s="42"/>
      <c r="N226" s="42"/>
    </row>
    <row r="227" spans="1:14" x14ac:dyDescent="0.2">
      <c r="B227" s="35" t="s">
        <v>116</v>
      </c>
      <c r="F227" s="71"/>
      <c r="G227" s="71"/>
      <c r="H227" s="71"/>
      <c r="I227" s="71"/>
      <c r="J227" s="71">
        <f>[1]TB!C202</f>
        <v>626536.39</v>
      </c>
      <c r="L227" s="74"/>
      <c r="M227" s="42"/>
      <c r="N227" s="42"/>
    </row>
    <row r="228" spans="1:14" x14ac:dyDescent="0.2">
      <c r="B228" s="35" t="s">
        <v>115</v>
      </c>
      <c r="F228" s="71"/>
      <c r="G228" s="71"/>
      <c r="H228" s="71"/>
      <c r="I228" s="71"/>
      <c r="J228" s="74">
        <f>[1]TB!C205</f>
        <v>0</v>
      </c>
      <c r="K228" s="42"/>
      <c r="L228" s="74"/>
      <c r="M228" s="42"/>
      <c r="N228" s="42"/>
    </row>
    <row r="229" spans="1:14" x14ac:dyDescent="0.2">
      <c r="B229" s="35" t="s">
        <v>114</v>
      </c>
      <c r="F229" s="71"/>
      <c r="G229" s="71"/>
      <c r="H229" s="71"/>
      <c r="I229" s="71"/>
      <c r="J229" s="74">
        <f>[1]TB!C206</f>
        <v>0</v>
      </c>
      <c r="K229" s="42"/>
      <c r="L229" s="74"/>
      <c r="M229" s="42"/>
      <c r="N229" s="42"/>
    </row>
    <row r="230" spans="1:14" x14ac:dyDescent="0.2">
      <c r="B230" s="35" t="s">
        <v>113</v>
      </c>
      <c r="F230" s="71"/>
      <c r="G230" s="71"/>
      <c r="H230" s="71"/>
      <c r="I230" s="71"/>
      <c r="J230" s="76">
        <f>[1]TB!C207</f>
        <v>41119.919999999998</v>
      </c>
      <c r="K230" s="42">
        <f>SUM(J225:J230)</f>
        <v>3056207.52</v>
      </c>
      <c r="L230" s="74"/>
      <c r="M230" s="42">
        <f>+K230+K223</f>
        <v>5639045.5199999996</v>
      </c>
      <c r="N230" s="42"/>
    </row>
    <row r="231" spans="1:14" x14ac:dyDescent="0.2">
      <c r="F231" s="71"/>
      <c r="G231" s="71"/>
      <c r="H231" s="71"/>
      <c r="I231" s="71"/>
      <c r="J231" s="71"/>
      <c r="K231" s="74"/>
      <c r="L231" s="74"/>
      <c r="M231" s="42"/>
      <c r="N231" s="42"/>
    </row>
    <row r="232" spans="1:14" x14ac:dyDescent="0.2">
      <c r="A232" s="35" t="s">
        <v>112</v>
      </c>
      <c r="F232" s="71"/>
      <c r="G232" s="71"/>
      <c r="H232" s="71"/>
      <c r="I232" s="71"/>
      <c r="J232" s="71"/>
      <c r="K232" s="71"/>
      <c r="L232" s="74"/>
      <c r="M232" s="71"/>
      <c r="N232" s="71"/>
    </row>
    <row r="233" spans="1:14" x14ac:dyDescent="0.2">
      <c r="B233" s="35" t="s">
        <v>111</v>
      </c>
      <c r="F233" s="71"/>
      <c r="G233" s="71"/>
      <c r="H233" s="71"/>
      <c r="I233" s="71"/>
      <c r="J233" s="71"/>
      <c r="K233" s="71">
        <f>[1]TB!C208</f>
        <v>5957769.6600000001</v>
      </c>
      <c r="L233" s="74"/>
      <c r="M233" s="71"/>
      <c r="N233" s="71"/>
    </row>
    <row r="234" spans="1:14" x14ac:dyDescent="0.2">
      <c r="B234" s="35" t="s">
        <v>110</v>
      </c>
      <c r="F234" s="71"/>
      <c r="G234" s="71"/>
      <c r="H234" s="71"/>
      <c r="I234" s="71"/>
      <c r="J234" s="71"/>
      <c r="K234" s="71">
        <f>[1]TB!C209</f>
        <v>1721231.11</v>
      </c>
      <c r="L234" s="74"/>
      <c r="M234" s="71"/>
      <c r="N234" s="71"/>
    </row>
    <row r="235" spans="1:14" x14ac:dyDescent="0.2">
      <c r="B235" s="35" t="s">
        <v>109</v>
      </c>
      <c r="F235" s="71"/>
      <c r="G235" s="71"/>
      <c r="H235" s="71"/>
      <c r="I235" s="71"/>
      <c r="J235" s="71"/>
      <c r="K235" s="71">
        <f>[1]TB!C213</f>
        <v>636532.09</v>
      </c>
      <c r="L235" s="74"/>
      <c r="M235" s="71"/>
      <c r="N235" s="71"/>
    </row>
    <row r="236" spans="1:14" x14ac:dyDescent="0.2">
      <c r="B236" s="35" t="s">
        <v>108</v>
      </c>
      <c r="F236" s="71"/>
      <c r="G236" s="71"/>
      <c r="H236" s="71"/>
      <c r="I236" s="71"/>
      <c r="J236" s="71"/>
      <c r="K236" s="71">
        <f>[1]TB!C214</f>
        <v>516964.45</v>
      </c>
      <c r="L236" s="74"/>
      <c r="M236" s="71"/>
      <c r="N236" s="71"/>
    </row>
    <row r="237" spans="1:14" x14ac:dyDescent="0.2">
      <c r="B237" s="35" t="s">
        <v>107</v>
      </c>
      <c r="F237" s="71"/>
      <c r="G237" s="71"/>
      <c r="H237" s="71"/>
      <c r="I237" s="71"/>
      <c r="J237" s="71"/>
      <c r="K237" s="71">
        <f>[1]TB!C216</f>
        <v>500346.09</v>
      </c>
      <c r="L237" s="74"/>
      <c r="M237" s="71"/>
      <c r="N237" s="71"/>
    </row>
    <row r="238" spans="1:14" x14ac:dyDescent="0.2">
      <c r="B238" s="35" t="s">
        <v>106</v>
      </c>
      <c r="F238" s="71"/>
      <c r="G238" s="71"/>
      <c r="H238" s="71"/>
      <c r="I238" s="71"/>
      <c r="J238" s="71"/>
      <c r="K238" s="76">
        <f>[1]TB!C210+[1]TB!C211</f>
        <v>328800</v>
      </c>
      <c r="L238" s="74"/>
      <c r="M238" s="71">
        <f>SUM(K233:K238)</f>
        <v>9661643.4000000004</v>
      </c>
      <c r="N238" s="71"/>
    </row>
    <row r="239" spans="1:14" x14ac:dyDescent="0.2">
      <c r="F239" s="71"/>
      <c r="G239" s="71"/>
      <c r="H239" s="71"/>
      <c r="I239" s="71"/>
      <c r="J239" s="71"/>
      <c r="K239" s="74"/>
      <c r="L239" s="74"/>
      <c r="M239" s="71"/>
      <c r="N239" s="71"/>
    </row>
    <row r="240" spans="1:14" x14ac:dyDescent="0.2">
      <c r="A240" s="35" t="s">
        <v>105</v>
      </c>
      <c r="F240" s="71"/>
      <c r="G240" s="71"/>
      <c r="H240" s="71"/>
      <c r="I240" s="71"/>
      <c r="J240" s="71"/>
      <c r="K240" s="74"/>
      <c r="L240" s="74"/>
      <c r="M240" s="71">
        <f>[1]TB!C218</f>
        <v>2078532.39</v>
      </c>
      <c r="N240" s="71"/>
    </row>
    <row r="241" spans="1:15" x14ac:dyDescent="0.2">
      <c r="F241" s="71"/>
      <c r="G241" s="71"/>
      <c r="H241" s="71"/>
      <c r="I241" s="71"/>
      <c r="J241" s="71"/>
      <c r="K241" s="74"/>
      <c r="L241" s="74"/>
      <c r="M241" s="71"/>
      <c r="N241" s="71"/>
    </row>
    <row r="242" spans="1:15" x14ac:dyDescent="0.2">
      <c r="A242" s="35" t="s">
        <v>104</v>
      </c>
      <c r="F242" s="71"/>
      <c r="G242" s="71"/>
      <c r="H242" s="71"/>
      <c r="I242" s="71"/>
      <c r="J242" s="71"/>
      <c r="K242" s="74"/>
      <c r="L242" s="74"/>
      <c r="M242" s="71"/>
      <c r="N242" s="71"/>
    </row>
    <row r="243" spans="1:15" x14ac:dyDescent="0.2">
      <c r="B243" s="35" t="s">
        <v>103</v>
      </c>
      <c r="F243" s="71"/>
      <c r="G243" s="71"/>
      <c r="H243" s="71"/>
      <c r="I243" s="71"/>
      <c r="J243" s="71"/>
      <c r="K243" s="71">
        <f>[1]TB!C220</f>
        <v>240000</v>
      </c>
      <c r="L243" s="74"/>
      <c r="M243" s="71"/>
      <c r="N243" s="71"/>
    </row>
    <row r="244" spans="1:15" x14ac:dyDescent="0.2">
      <c r="B244" s="35" t="s">
        <v>102</v>
      </c>
      <c r="F244" s="71"/>
      <c r="G244" s="71"/>
      <c r="H244" s="71"/>
      <c r="I244" s="71"/>
      <c r="J244" s="71"/>
      <c r="K244" s="76">
        <f>[1]TB!C221+[1]TB!C222</f>
        <v>475861.46</v>
      </c>
      <c r="L244" s="74"/>
      <c r="M244" s="71">
        <f>SUM(K243:K244)</f>
        <v>715861.46</v>
      </c>
      <c r="N244" s="71"/>
    </row>
    <row r="245" spans="1:15" x14ac:dyDescent="0.2">
      <c r="F245" s="71"/>
      <c r="G245" s="71"/>
      <c r="H245" s="71"/>
      <c r="I245" s="71"/>
      <c r="J245" s="71"/>
      <c r="K245" s="74"/>
      <c r="L245" s="74"/>
      <c r="M245" s="71"/>
      <c r="N245" s="71"/>
    </row>
    <row r="246" spans="1:15" x14ac:dyDescent="0.2">
      <c r="A246" s="35" t="s">
        <v>101</v>
      </c>
      <c r="F246" s="71"/>
      <c r="G246" s="71"/>
      <c r="H246" s="71"/>
      <c r="I246" s="71"/>
      <c r="J246" s="71"/>
      <c r="K246" s="71"/>
      <c r="L246" s="74"/>
      <c r="M246" s="71">
        <f>[1]TB!C243+[1]TB!C244+[1]TB!C246+[1]TB!C245+[1]TB!C247+[1]TB!C248</f>
        <v>2579209.04</v>
      </c>
      <c r="N246" s="71"/>
    </row>
    <row r="247" spans="1:15" x14ac:dyDescent="0.2">
      <c r="F247" s="71"/>
      <c r="G247" s="71"/>
      <c r="H247" s="71"/>
      <c r="I247" s="71"/>
      <c r="J247" s="71"/>
      <c r="K247" s="71"/>
      <c r="L247" s="74"/>
      <c r="M247" s="71"/>
      <c r="N247" s="71"/>
    </row>
    <row r="248" spans="1:15" x14ac:dyDescent="0.2">
      <c r="A248" s="35" t="s">
        <v>100</v>
      </c>
      <c r="F248" s="71"/>
      <c r="G248" s="71"/>
      <c r="H248" s="71"/>
      <c r="I248" s="71"/>
      <c r="J248" s="71"/>
      <c r="K248" s="71"/>
      <c r="L248" s="74"/>
      <c r="M248" s="71">
        <f>IF([1]TB!C226&lt;0,0,-[1]TB!C226)*-1</f>
        <v>1472.38</v>
      </c>
      <c r="N248" s="71"/>
      <c r="O248" s="35" t="s">
        <v>99</v>
      </c>
    </row>
    <row r="249" spans="1:15" x14ac:dyDescent="0.2">
      <c r="F249" s="71"/>
      <c r="G249" s="71"/>
      <c r="H249" s="71"/>
      <c r="I249" s="71"/>
      <c r="J249" s="71"/>
      <c r="K249" s="71"/>
      <c r="L249" s="74"/>
      <c r="M249" s="71"/>
      <c r="N249" s="71"/>
    </row>
    <row r="250" spans="1:15" x14ac:dyDescent="0.2">
      <c r="A250" s="35" t="s">
        <v>98</v>
      </c>
      <c r="F250" s="71"/>
      <c r="G250" s="71"/>
      <c r="H250" s="71"/>
      <c r="I250" s="71"/>
      <c r="J250" s="71"/>
      <c r="K250" s="71"/>
      <c r="L250" s="74"/>
      <c r="M250" s="71">
        <f>[1]TB!C224</f>
        <v>0</v>
      </c>
      <c r="N250" s="71"/>
    </row>
    <row r="251" spans="1:15" x14ac:dyDescent="0.2">
      <c r="F251" s="71"/>
      <c r="G251" s="71"/>
      <c r="H251" s="71"/>
      <c r="I251" s="71"/>
      <c r="J251" s="71"/>
      <c r="K251" s="71"/>
      <c r="L251" s="74"/>
      <c r="M251" s="71"/>
      <c r="N251" s="71"/>
    </row>
    <row r="252" spans="1:15" x14ac:dyDescent="0.2">
      <c r="A252" s="35" t="s">
        <v>97</v>
      </c>
      <c r="F252" s="71"/>
      <c r="G252" s="71"/>
      <c r="H252" s="71"/>
      <c r="I252" s="71"/>
      <c r="J252" s="71"/>
      <c r="K252" s="71"/>
      <c r="L252" s="74"/>
      <c r="M252" s="71"/>
      <c r="N252" s="71"/>
    </row>
    <row r="253" spans="1:15" x14ac:dyDescent="0.2">
      <c r="B253" s="35" t="s">
        <v>96</v>
      </c>
      <c r="F253" s="71"/>
      <c r="G253" s="71"/>
      <c r="H253" s="71"/>
      <c r="I253" s="71"/>
      <c r="J253" s="71"/>
      <c r="K253" s="71">
        <f>[1]TB!C249</f>
        <v>3391075</v>
      </c>
      <c r="L253" s="74"/>
      <c r="M253" s="71"/>
      <c r="N253" s="71"/>
    </row>
    <row r="254" spans="1:15" x14ac:dyDescent="0.2">
      <c r="B254" s="35" t="s">
        <v>95</v>
      </c>
      <c r="F254" s="71"/>
      <c r="G254" s="71"/>
      <c r="H254" s="71"/>
      <c r="I254" s="71"/>
      <c r="J254" s="71"/>
      <c r="K254" s="76">
        <v>0</v>
      </c>
      <c r="L254" s="74"/>
      <c r="M254" s="71">
        <f>+K253+K254</f>
        <v>3391075</v>
      </c>
      <c r="N254" s="71"/>
    </row>
    <row r="255" spans="1:15" x14ac:dyDescent="0.2">
      <c r="F255" s="71"/>
      <c r="G255" s="71"/>
      <c r="H255" s="71"/>
      <c r="I255" s="71"/>
      <c r="J255" s="71"/>
      <c r="K255" s="74"/>
      <c r="L255" s="74"/>
      <c r="M255" s="71"/>
      <c r="N255" s="71"/>
    </row>
    <row r="256" spans="1:15" x14ac:dyDescent="0.2">
      <c r="A256" s="35" t="s">
        <v>94</v>
      </c>
      <c r="F256" s="71"/>
      <c r="G256" s="71"/>
      <c r="H256" s="71"/>
      <c r="I256" s="71"/>
      <c r="J256" s="71"/>
      <c r="K256" s="74"/>
      <c r="L256" s="74"/>
      <c r="M256" s="71"/>
      <c r="N256" s="71"/>
    </row>
    <row r="257" spans="1:18" x14ac:dyDescent="0.2">
      <c r="B257" s="35" t="s">
        <v>93</v>
      </c>
      <c r="F257" s="71"/>
      <c r="G257" s="71"/>
      <c r="H257" s="71"/>
      <c r="I257" s="71"/>
      <c r="J257" s="71"/>
      <c r="K257" s="71">
        <f>[1]TB!C223</f>
        <v>222777.78</v>
      </c>
      <c r="L257" s="74"/>
      <c r="N257" s="71"/>
    </row>
    <row r="258" spans="1:18" x14ac:dyDescent="0.2">
      <c r="B258" s="35" t="s">
        <v>92</v>
      </c>
      <c r="F258" s="71"/>
      <c r="G258" s="71"/>
      <c r="H258" s="71"/>
      <c r="I258" s="71"/>
      <c r="J258" s="71"/>
      <c r="K258" s="71">
        <f>[1]TB!C217</f>
        <v>100000</v>
      </c>
      <c r="L258" s="74"/>
      <c r="N258" s="71"/>
    </row>
    <row r="259" spans="1:18" x14ac:dyDescent="0.2">
      <c r="B259" s="35" t="s">
        <v>91</v>
      </c>
      <c r="F259" s="71"/>
      <c r="G259" s="71"/>
      <c r="H259" s="71"/>
      <c r="I259" s="71"/>
      <c r="J259" s="71"/>
      <c r="K259" s="71">
        <f>[1]TB!C219</f>
        <v>150</v>
      </c>
      <c r="L259" s="74"/>
      <c r="N259" s="71"/>
    </row>
    <row r="260" spans="1:18" x14ac:dyDescent="0.2">
      <c r="B260" s="35" t="s">
        <v>90</v>
      </c>
      <c r="F260" s="71"/>
      <c r="G260" s="71"/>
      <c r="H260" s="71"/>
      <c r="I260" s="71"/>
      <c r="J260" s="71"/>
      <c r="K260" s="71">
        <f>[1]TB!C242</f>
        <v>0</v>
      </c>
      <c r="L260" s="74"/>
      <c r="M260" s="71"/>
      <c r="N260" s="71"/>
    </row>
    <row r="261" spans="1:18" x14ac:dyDescent="0.2">
      <c r="B261" s="35" t="s">
        <v>89</v>
      </c>
      <c r="F261" s="71"/>
      <c r="G261" s="71"/>
      <c r="H261" s="71"/>
      <c r="I261" s="71"/>
      <c r="J261" s="71"/>
      <c r="K261" s="71">
        <f>+[1]TB!C227+[1]TB!C228+[1]TB!C229+[1]TB!C230+[1]TB!C231+[1]TB!C232+[1]TB!C233+[1]TB!C234+[1]TB!C235+[1]TB!C236+[1]TB!C237+[1]TB!C238+[1]TB!C241+[1]TB!C239+[1]TB!C240+[1]TB!C251+[1]TB!C225+[1]TB!C212+[1]TB!C215</f>
        <v>7139576.71</v>
      </c>
      <c r="L261" s="74"/>
      <c r="M261" s="42">
        <f>SUM(K257:K261)</f>
        <v>7462504.4900000002</v>
      </c>
      <c r="N261" s="71"/>
    </row>
    <row r="262" spans="1:18" x14ac:dyDescent="0.2">
      <c r="F262" s="71"/>
      <c r="G262" s="71"/>
      <c r="H262" s="71"/>
      <c r="I262" s="71"/>
      <c r="J262" s="71"/>
      <c r="K262" s="71"/>
      <c r="L262" s="74"/>
      <c r="M262" s="71"/>
      <c r="N262" s="71"/>
    </row>
    <row r="263" spans="1:18" x14ac:dyDescent="0.2">
      <c r="A263" s="48" t="s">
        <v>88</v>
      </c>
      <c r="F263" s="71"/>
      <c r="G263" s="71"/>
      <c r="H263" s="71"/>
      <c r="I263" s="71"/>
      <c r="J263" s="71"/>
      <c r="K263" s="71"/>
      <c r="L263" s="74"/>
      <c r="M263" s="94">
        <f>SUM(M220:M261)</f>
        <v>31529343.68</v>
      </c>
      <c r="N263" s="85"/>
    </row>
    <row r="264" spans="1:18" x14ac:dyDescent="0.2">
      <c r="F264" s="71"/>
      <c r="G264" s="71"/>
      <c r="H264" s="71"/>
      <c r="I264" s="71"/>
      <c r="J264" s="71"/>
      <c r="K264" s="71"/>
      <c r="L264" s="74"/>
      <c r="M264" s="85"/>
      <c r="N264" s="85"/>
    </row>
    <row r="265" spans="1:18" x14ac:dyDescent="0.2">
      <c r="A265" s="35" t="s">
        <v>87</v>
      </c>
      <c r="F265" s="71"/>
      <c r="G265" s="71"/>
      <c r="H265" s="71"/>
      <c r="I265" s="71"/>
      <c r="J265" s="71"/>
      <c r="K265" s="71"/>
      <c r="L265" s="74"/>
      <c r="M265" s="71">
        <f>M216-M263</f>
        <v>1849838.37</v>
      </c>
      <c r="N265" s="71"/>
    </row>
    <row r="266" spans="1:18" x14ac:dyDescent="0.2">
      <c r="A266" s="35" t="s">
        <v>86</v>
      </c>
      <c r="F266" s="71"/>
      <c r="G266" s="71"/>
      <c r="H266" s="71"/>
      <c r="I266" s="71"/>
      <c r="J266" s="71"/>
      <c r="K266" s="71"/>
      <c r="L266" s="74"/>
      <c r="M266" s="76">
        <f>-[1]TB!C193</f>
        <v>4209781.6100000003</v>
      </c>
      <c r="N266" s="74"/>
    </row>
    <row r="267" spans="1:18" x14ac:dyDescent="0.2">
      <c r="A267" s="35" t="s">
        <v>85</v>
      </c>
      <c r="F267" s="71"/>
      <c r="G267" s="71"/>
      <c r="H267" s="71"/>
      <c r="I267" s="71"/>
      <c r="J267" s="71"/>
      <c r="K267" s="71"/>
      <c r="L267" s="74"/>
      <c r="M267" s="71">
        <f>+M265+M266</f>
        <v>6059619.9800000004</v>
      </c>
      <c r="N267" s="71"/>
    </row>
    <row r="268" spans="1:18" ht="12" thickBot="1" x14ac:dyDescent="0.25">
      <c r="A268" s="35" t="s">
        <v>84</v>
      </c>
      <c r="F268" s="71"/>
      <c r="G268" s="71"/>
      <c r="H268" s="71"/>
      <c r="I268" s="71"/>
      <c r="J268" s="71"/>
      <c r="K268" s="71"/>
      <c r="L268" s="74"/>
      <c r="M268" s="71">
        <f>[1]TB!C250</f>
        <v>1500000</v>
      </c>
      <c r="N268" s="71"/>
    </row>
    <row r="269" spans="1:18" ht="12" thickBot="1" x14ac:dyDescent="0.25">
      <c r="A269" s="48" t="s">
        <v>83</v>
      </c>
      <c r="F269" s="71"/>
      <c r="G269" s="71"/>
      <c r="H269" s="71"/>
      <c r="I269" s="71"/>
      <c r="J269" s="71"/>
      <c r="K269" s="71"/>
      <c r="L269" s="74"/>
      <c r="M269" s="90">
        <f>+M267-M268</f>
        <v>4559619.9800000004</v>
      </c>
      <c r="N269" s="85"/>
      <c r="O269" s="85">
        <f>M269-M127</f>
        <v>0</v>
      </c>
      <c r="R269" s="42"/>
    </row>
    <row r="270" spans="1:18" x14ac:dyDescent="0.2">
      <c r="F270" s="71"/>
      <c r="G270" s="71"/>
      <c r="H270" s="71"/>
      <c r="I270" s="71"/>
      <c r="J270" s="71"/>
      <c r="K270" s="71"/>
      <c r="L270" s="74"/>
      <c r="M270" s="85"/>
      <c r="N270" s="85"/>
    </row>
    <row r="271" spans="1:18" x14ac:dyDescent="0.2">
      <c r="F271" s="71"/>
      <c r="G271" s="71"/>
      <c r="H271" s="71"/>
      <c r="I271" s="71"/>
      <c r="J271" s="71"/>
      <c r="K271" s="71"/>
      <c r="L271" s="74"/>
      <c r="M271" s="71"/>
      <c r="N271" s="71"/>
    </row>
    <row r="272" spans="1:18" x14ac:dyDescent="0.2">
      <c r="A272" s="38"/>
      <c r="B272" s="38"/>
      <c r="C272" s="38"/>
      <c r="D272" s="38"/>
      <c r="E272" s="56"/>
      <c r="F272" s="74"/>
      <c r="G272" s="74"/>
      <c r="H272" s="74"/>
      <c r="I272" s="74"/>
      <c r="J272" s="74"/>
      <c r="K272" s="74"/>
      <c r="L272" s="74"/>
      <c r="M272" s="55"/>
      <c r="N272" s="55"/>
    </row>
    <row r="273" spans="3:17" x14ac:dyDescent="0.2">
      <c r="C273" s="108" t="str">
        <f>C143</f>
        <v>Prepared by:</v>
      </c>
      <c r="F273" s="71"/>
      <c r="G273" s="71"/>
      <c r="H273" s="108" t="str">
        <f>H143</f>
        <v>Checked and Reviewed by:</v>
      </c>
      <c r="J273" s="71"/>
      <c r="K273" s="100" t="s">
        <v>82</v>
      </c>
      <c r="L273" s="35"/>
      <c r="M273" s="42"/>
      <c r="N273" s="74"/>
    </row>
    <row r="274" spans="3:17" x14ac:dyDescent="0.2">
      <c r="C274" s="71"/>
      <c r="F274" s="71"/>
      <c r="G274" s="71"/>
      <c r="H274" s="71"/>
      <c r="K274" s="98"/>
      <c r="L274" s="35"/>
      <c r="N274" s="74"/>
      <c r="O274" s="42"/>
    </row>
    <row r="275" spans="3:17" x14ac:dyDescent="0.2">
      <c r="C275" s="109"/>
      <c r="F275" s="71"/>
      <c r="G275" s="71"/>
      <c r="H275" s="71"/>
      <c r="K275" s="98"/>
      <c r="L275" s="35"/>
      <c r="N275" s="85"/>
    </row>
    <row r="276" spans="3:17" s="48" customFormat="1" x14ac:dyDescent="0.2">
      <c r="C276" s="49" t="str">
        <f>C146</f>
        <v>Mariel Joyce Reyes</v>
      </c>
      <c r="E276" s="52"/>
      <c r="F276" s="51"/>
      <c r="G276" s="51"/>
      <c r="H276" s="49" t="str">
        <f>H146</f>
        <v>Mary Joy Pangilinan</v>
      </c>
      <c r="K276" s="54" t="s">
        <v>81</v>
      </c>
      <c r="N276" s="85"/>
      <c r="P276" s="50"/>
      <c r="Q276" s="49"/>
    </row>
    <row r="277" spans="3:17" x14ac:dyDescent="0.2">
      <c r="C277" s="36" t="str">
        <f>C147</f>
        <v>Accounting Assistant</v>
      </c>
      <c r="G277" s="44"/>
      <c r="H277" s="36" t="str">
        <f>H147</f>
        <v>AVP - Accounting Department Head</v>
      </c>
      <c r="K277" s="53" t="s">
        <v>80</v>
      </c>
      <c r="L277" s="35"/>
      <c r="N277" s="74"/>
    </row>
    <row r="278" spans="3:17" x14ac:dyDescent="0.2">
      <c r="F278" s="44"/>
      <c r="G278" s="44"/>
      <c r="H278" s="44"/>
      <c r="J278" s="71"/>
      <c r="K278" s="71"/>
      <c r="L278" s="74"/>
      <c r="M278" s="71"/>
      <c r="N278" s="74"/>
    </row>
    <row r="279" spans="3:17" x14ac:dyDescent="0.2">
      <c r="F279" s="44"/>
      <c r="G279" s="44"/>
      <c r="H279" s="44"/>
      <c r="I279" s="71"/>
      <c r="J279" s="71"/>
      <c r="K279" s="71"/>
      <c r="L279" s="74"/>
      <c r="M279" s="71"/>
      <c r="N279" s="74"/>
    </row>
    <row r="280" spans="3:17" s="48" customFormat="1" x14ac:dyDescent="0.2">
      <c r="C280" s="49" t="str">
        <f>C150</f>
        <v>Jayson Naguimbing</v>
      </c>
      <c r="E280" s="52"/>
      <c r="F280" s="51"/>
      <c r="G280" s="51"/>
      <c r="H280" s="51"/>
      <c r="I280" s="84"/>
      <c r="J280" s="84"/>
      <c r="K280" s="84"/>
      <c r="L280" s="85"/>
      <c r="M280" s="85"/>
      <c r="N280" s="85"/>
      <c r="P280" s="50"/>
      <c r="Q280" s="49"/>
    </row>
    <row r="281" spans="3:17" x14ac:dyDescent="0.2">
      <c r="C281" s="36" t="str">
        <f>C151</f>
        <v>Accounting Assistant</v>
      </c>
      <c r="F281" s="44"/>
      <c r="G281" s="44"/>
      <c r="H281" s="44"/>
      <c r="I281" s="71"/>
      <c r="J281" s="71"/>
      <c r="K281" s="71"/>
      <c r="L281" s="74"/>
      <c r="M281" s="74"/>
      <c r="N281" s="74"/>
    </row>
    <row r="282" spans="3:17" x14ac:dyDescent="0.2">
      <c r="C282" s="41" t="s">
        <v>79</v>
      </c>
      <c r="D282" s="40"/>
      <c r="E282" s="40"/>
      <c r="F282" s="71"/>
      <c r="G282" s="71"/>
      <c r="H282" s="71"/>
      <c r="I282" s="71"/>
      <c r="J282" s="71"/>
      <c r="K282" s="71">
        <f>M267</f>
        <v>6059619.9800000004</v>
      </c>
      <c r="L282" s="74"/>
      <c r="N282" s="85"/>
    </row>
    <row r="283" spans="3:17" x14ac:dyDescent="0.2">
      <c r="C283" s="41" t="s">
        <v>78</v>
      </c>
      <c r="D283" s="40"/>
      <c r="E283" s="40"/>
      <c r="F283" s="71"/>
      <c r="G283" s="71"/>
      <c r="H283" s="71"/>
      <c r="I283" s="71"/>
      <c r="J283" s="71"/>
      <c r="K283" s="71"/>
      <c r="L283" s="74"/>
      <c r="M283" s="85"/>
      <c r="N283" s="85"/>
    </row>
    <row r="284" spans="3:17" x14ac:dyDescent="0.2">
      <c r="C284" s="41"/>
      <c r="D284" s="40" t="s">
        <v>77</v>
      </c>
      <c r="E284" s="40"/>
      <c r="F284" s="71"/>
      <c r="G284" s="71"/>
      <c r="H284" s="71"/>
      <c r="I284" s="71"/>
      <c r="J284" s="71">
        <f>-M209</f>
        <v>-542194.07999999996</v>
      </c>
      <c r="K284" s="71"/>
      <c r="L284" s="74"/>
      <c r="M284" s="85"/>
      <c r="N284" s="85"/>
    </row>
    <row r="285" spans="3:17" x14ac:dyDescent="0.2">
      <c r="C285" s="41"/>
      <c r="D285" s="40" t="s">
        <v>76</v>
      </c>
      <c r="E285" s="40"/>
      <c r="F285" s="71"/>
      <c r="G285" s="71"/>
      <c r="H285" s="71"/>
      <c r="I285" s="71"/>
      <c r="J285" s="76">
        <v>0</v>
      </c>
      <c r="K285" s="71">
        <f>J284+J285</f>
        <v>-542194.07999999996</v>
      </c>
      <c r="L285" s="74"/>
      <c r="M285" s="85"/>
      <c r="N285" s="85"/>
    </row>
    <row r="286" spans="3:17" x14ac:dyDescent="0.2">
      <c r="C286" s="41" t="s">
        <v>75</v>
      </c>
      <c r="D286" s="40"/>
      <c r="E286" s="40"/>
      <c r="F286" s="71"/>
      <c r="G286" s="71"/>
      <c r="H286" s="71"/>
      <c r="I286" s="71"/>
      <c r="J286" s="71"/>
      <c r="K286" s="71"/>
      <c r="L286" s="74"/>
      <c r="M286" s="85"/>
      <c r="N286" s="85"/>
    </row>
    <row r="287" spans="3:17" x14ac:dyDescent="0.2">
      <c r="C287" s="41"/>
      <c r="D287" s="40" t="s">
        <v>74</v>
      </c>
      <c r="E287" s="40"/>
      <c r="F287" s="71"/>
      <c r="G287" s="71"/>
      <c r="H287" s="71"/>
      <c r="I287" s="71"/>
      <c r="J287" s="71"/>
      <c r="K287" s="76">
        <f>-K285*33%</f>
        <v>178924.05</v>
      </c>
      <c r="L287" s="74"/>
      <c r="M287" s="85"/>
      <c r="N287" s="85"/>
    </row>
    <row r="288" spans="3:17" x14ac:dyDescent="0.2">
      <c r="C288" s="41" t="s">
        <v>71</v>
      </c>
      <c r="D288" s="40"/>
      <c r="E288" s="40"/>
      <c r="F288" s="71"/>
      <c r="G288" s="71"/>
      <c r="H288" s="71"/>
      <c r="I288" s="71"/>
      <c r="J288" s="71"/>
      <c r="K288" s="71">
        <f>SUM(K282:K287)</f>
        <v>5696349.9500000002</v>
      </c>
      <c r="L288" s="74"/>
      <c r="M288" s="85"/>
      <c r="N288" s="85"/>
    </row>
    <row r="289" spans="3:17" x14ac:dyDescent="0.2">
      <c r="C289" s="41" t="s">
        <v>73</v>
      </c>
      <c r="D289" s="40"/>
      <c r="E289" s="40"/>
      <c r="F289" s="71"/>
      <c r="G289" s="71"/>
      <c r="H289" s="71"/>
      <c r="I289" s="71"/>
      <c r="J289" s="71"/>
      <c r="K289" s="71"/>
      <c r="L289" s="74"/>
      <c r="M289" s="85"/>
      <c r="N289" s="85"/>
    </row>
    <row r="290" spans="3:17" x14ac:dyDescent="0.2">
      <c r="C290" s="41"/>
      <c r="D290" s="40" t="s">
        <v>72</v>
      </c>
      <c r="E290" s="40"/>
      <c r="F290" s="71"/>
      <c r="G290" s="71"/>
      <c r="H290" s="71"/>
      <c r="I290" s="71"/>
      <c r="J290" s="71"/>
      <c r="K290" s="76">
        <f>-M254*2</f>
        <v>-6782150</v>
      </c>
      <c r="L290" s="74"/>
      <c r="M290" s="85"/>
      <c r="N290" s="85"/>
    </row>
    <row r="291" spans="3:17" x14ac:dyDescent="0.2">
      <c r="C291" s="41" t="s">
        <v>71</v>
      </c>
      <c r="D291" s="40"/>
      <c r="E291" s="40"/>
      <c r="F291" s="71"/>
      <c r="G291" s="71"/>
      <c r="H291" s="71"/>
      <c r="I291" s="71"/>
      <c r="J291" s="71"/>
      <c r="K291" s="71">
        <f>SUM(K288:K290)</f>
        <v>-1085800.05</v>
      </c>
      <c r="L291" s="74"/>
      <c r="M291" s="71"/>
      <c r="N291" s="71"/>
    </row>
    <row r="292" spans="3:17" x14ac:dyDescent="0.2">
      <c r="C292" s="41" t="s">
        <v>70</v>
      </c>
      <c r="D292" s="40"/>
      <c r="E292" s="40"/>
      <c r="F292" s="71"/>
      <c r="G292" s="71"/>
      <c r="H292" s="71"/>
      <c r="I292" s="71"/>
      <c r="J292" s="71"/>
      <c r="K292" s="47">
        <v>0.3</v>
      </c>
      <c r="M292" s="71"/>
      <c r="N292" s="71"/>
    </row>
    <row r="293" spans="3:17" x14ac:dyDescent="0.2">
      <c r="C293" s="41" t="s">
        <v>69</v>
      </c>
      <c r="D293" s="40"/>
      <c r="E293" s="40"/>
      <c r="F293" s="71"/>
      <c r="G293" s="71"/>
      <c r="H293" s="71"/>
      <c r="I293" s="71"/>
      <c r="J293" s="71"/>
      <c r="K293" s="42">
        <f>K291*K292</f>
        <v>-325740.02</v>
      </c>
      <c r="M293" s="71"/>
      <c r="N293" s="71"/>
    </row>
    <row r="294" spans="3:17" x14ac:dyDescent="0.2">
      <c r="C294" s="41" t="s">
        <v>68</v>
      </c>
      <c r="D294" s="40"/>
      <c r="E294" s="40"/>
      <c r="F294" s="71"/>
      <c r="G294" s="71"/>
      <c r="H294" s="71"/>
      <c r="I294" s="71"/>
      <c r="J294" s="71"/>
      <c r="M294" s="71"/>
      <c r="N294" s="71"/>
    </row>
    <row r="295" spans="3:17" s="45" customFormat="1" x14ac:dyDescent="0.2">
      <c r="C295" s="41" t="s">
        <v>67</v>
      </c>
      <c r="D295" s="40"/>
      <c r="E295" s="40"/>
      <c r="F295" s="110"/>
      <c r="G295" s="110"/>
      <c r="H295" s="110"/>
      <c r="I295" s="110"/>
      <c r="J295" s="110"/>
      <c r="L295" s="46"/>
      <c r="M295" s="110"/>
      <c r="N295" s="110"/>
      <c r="P295" s="37"/>
      <c r="Q295" s="36"/>
    </row>
    <row r="296" spans="3:17" s="45" customFormat="1" x14ac:dyDescent="0.2">
      <c r="C296" s="41" t="s">
        <v>66</v>
      </c>
      <c r="D296" s="40"/>
      <c r="E296" s="40"/>
      <c r="F296" s="110"/>
      <c r="G296" s="110"/>
      <c r="H296" s="110"/>
      <c r="I296" s="110"/>
      <c r="J296" s="110"/>
      <c r="L296" s="46"/>
      <c r="M296" s="110"/>
      <c r="N296" s="110"/>
      <c r="P296" s="37"/>
      <c r="Q296" s="36"/>
    </row>
    <row r="297" spans="3:17" s="45" customFormat="1" x14ac:dyDescent="0.2">
      <c r="C297" s="41"/>
      <c r="D297" s="40" t="s">
        <v>65</v>
      </c>
      <c r="E297" s="40"/>
      <c r="F297" s="110"/>
      <c r="G297" s="110"/>
      <c r="H297" s="110"/>
      <c r="I297" s="110"/>
      <c r="J297" s="110">
        <v>0</v>
      </c>
      <c r="L297" s="46"/>
      <c r="M297" s="110"/>
      <c r="N297" s="110"/>
      <c r="P297" s="37"/>
      <c r="Q297" s="36"/>
    </row>
    <row r="298" spans="3:17" x14ac:dyDescent="0.2">
      <c r="C298" s="41"/>
      <c r="D298" s="40" t="s">
        <v>64</v>
      </c>
      <c r="E298" s="40"/>
      <c r="G298" s="71"/>
      <c r="H298" s="71"/>
      <c r="I298" s="71"/>
      <c r="J298" s="110">
        <v>0</v>
      </c>
      <c r="M298" s="71"/>
      <c r="N298" s="71"/>
    </row>
    <row r="299" spans="3:17" x14ac:dyDescent="0.2">
      <c r="C299" s="41"/>
      <c r="D299" s="40" t="s">
        <v>63</v>
      </c>
      <c r="E299" s="40"/>
      <c r="F299" s="71"/>
      <c r="G299" s="71"/>
      <c r="H299" s="71"/>
      <c r="I299" s="71"/>
      <c r="J299" s="110">
        <v>0</v>
      </c>
      <c r="K299" s="71"/>
      <c r="L299" s="74"/>
      <c r="M299" s="71"/>
      <c r="N299" s="71"/>
    </row>
    <row r="300" spans="3:17" x14ac:dyDescent="0.2">
      <c r="C300" s="41"/>
      <c r="D300" s="40" t="s">
        <v>62</v>
      </c>
      <c r="E300" s="40"/>
      <c r="J300" s="111">
        <v>0</v>
      </c>
      <c r="K300" s="43">
        <f>SUM(J297:J300)</f>
        <v>0</v>
      </c>
    </row>
    <row r="301" spans="3:17" x14ac:dyDescent="0.2">
      <c r="C301" s="41" t="s">
        <v>61</v>
      </c>
      <c r="D301" s="40"/>
      <c r="E301" s="40"/>
      <c r="K301" s="42">
        <f>K293-K300</f>
        <v>-325740.02</v>
      </c>
    </row>
    <row r="302" spans="3:17" x14ac:dyDescent="0.2">
      <c r="C302" s="41" t="s">
        <v>60</v>
      </c>
      <c r="D302" s="40"/>
      <c r="E302" s="40"/>
    </row>
    <row r="303" spans="3:17" x14ac:dyDescent="0.2">
      <c r="C303" s="36" t="s">
        <v>59</v>
      </c>
    </row>
  </sheetData>
  <mergeCells count="1">
    <mergeCell ref="E13:F13"/>
  </mergeCells>
  <pageMargins left="0.45" right="0" top="0.24" bottom="0.14000000000000001" header="0.14000000000000001" footer="0"/>
  <pageSetup paperSize="10000" scale="76" orientation="portrait" r:id="rId1"/>
  <headerFooter alignWithMargins="0"/>
  <rowBreaks count="2" manualBreakCount="2">
    <brk id="108" max="12" man="1"/>
    <brk id="185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03"/>
  <sheetViews>
    <sheetView view="pageBreakPreview" zoomScaleSheetLayoutView="100" workbookViewId="0"/>
  </sheetViews>
  <sheetFormatPr defaultRowHeight="11.25" x14ac:dyDescent="0.2"/>
  <cols>
    <col min="1" max="1" customWidth="true" style="35" width="1.42578125" collapsed="true"/>
    <col min="2" max="2" customWidth="true" style="35" width="2.85546875" collapsed="true"/>
    <col min="3" max="3" style="35" width="9.140625" collapsed="true"/>
    <col min="4" max="4" customWidth="true" style="35" width="15.0" collapsed="true"/>
    <col min="5" max="5" customWidth="true" style="39" width="6.0" collapsed="true"/>
    <col min="6" max="6" customWidth="true" style="35" width="3.85546875" collapsed="true"/>
    <col min="7" max="7" customWidth="true" style="35" width="7.42578125" collapsed="true"/>
    <col min="8" max="9" bestFit="true" customWidth="true" style="35" width="14.5703125" collapsed="true"/>
    <col min="10" max="10" bestFit="true" customWidth="true" style="35" width="15.85546875" collapsed="true"/>
    <col min="11" max="11" customWidth="true" style="35" width="15.5703125" collapsed="true"/>
    <col min="12" max="12" customWidth="true" style="38" width="0.28515625" collapsed="true"/>
    <col min="13" max="13" customWidth="true" style="35" width="16.28515625" collapsed="true"/>
    <col min="14" max="14" customWidth="true" style="35" width="0.42578125" collapsed="true"/>
    <col min="15" max="15" bestFit="true" customWidth="true" style="35" width="15.140625" collapsed="true"/>
    <col min="16" max="16" bestFit="true" customWidth="true" style="37" width="14.5703125" collapsed="true"/>
    <col min="17" max="17" bestFit="true" customWidth="true" style="36" width="13.5703125" collapsed="true"/>
    <col min="18" max="16384" style="35" width="9.140625" collapsed="true"/>
  </cols>
  <sheetData>
    <row r="1" spans="1:17" x14ac:dyDescent="0.2">
      <c r="A1" s="66" t="s">
        <v>150</v>
      </c>
      <c r="B1" s="68"/>
      <c r="C1" s="68"/>
      <c r="D1" s="68"/>
      <c r="E1" s="52"/>
      <c r="F1" s="68"/>
      <c r="G1" s="68"/>
      <c r="H1" s="68"/>
      <c r="I1" s="68"/>
      <c r="J1" s="68"/>
      <c r="K1" s="68"/>
      <c r="L1" s="69"/>
      <c r="M1" s="68"/>
      <c r="N1" s="68"/>
      <c r="O1" s="42">
        <f>M64-M131</f>
        <v>0</v>
      </c>
    </row>
    <row r="2" spans="1:17" x14ac:dyDescent="0.2">
      <c r="A2" s="66" t="s">
        <v>270</v>
      </c>
      <c r="B2" s="68"/>
      <c r="C2" s="68"/>
      <c r="D2" s="68"/>
      <c r="E2" s="52"/>
      <c r="F2" s="68"/>
      <c r="G2" s="68"/>
      <c r="H2" s="68"/>
      <c r="I2" s="68"/>
      <c r="J2" s="68"/>
      <c r="K2" s="68"/>
      <c r="L2" s="69"/>
      <c r="M2" s="68"/>
      <c r="N2" s="68"/>
    </row>
    <row r="3" spans="1:17" x14ac:dyDescent="0.2">
      <c r="A3" s="70" t="str">
        <f>+[2]TB!A3</f>
        <v>As of February 28, 2018</v>
      </c>
      <c r="B3" s="68"/>
      <c r="C3" s="68"/>
      <c r="D3" s="68"/>
      <c r="E3" s="52"/>
      <c r="F3" s="68"/>
      <c r="G3" s="68"/>
      <c r="H3" s="68"/>
      <c r="I3" s="68"/>
      <c r="J3" s="68"/>
      <c r="K3" s="68"/>
      <c r="L3" s="69"/>
      <c r="M3" s="68"/>
      <c r="N3" s="68"/>
      <c r="P3" s="37" t="s">
        <v>269</v>
      </c>
      <c r="Q3" s="36">
        <f>K69*0.05</f>
        <v>1542455.64</v>
      </c>
    </row>
    <row r="4" spans="1:17" ht="12.75" customHeight="1" x14ac:dyDescent="0.2">
      <c r="A4" s="66"/>
      <c r="B4" s="68"/>
      <c r="C4" s="68"/>
      <c r="D4" s="68"/>
      <c r="E4" s="52"/>
      <c r="F4" s="68"/>
      <c r="G4" s="68"/>
      <c r="H4" s="68"/>
      <c r="I4" s="68"/>
      <c r="J4" s="68"/>
      <c r="K4" s="68"/>
      <c r="L4" s="69"/>
      <c r="M4" s="68"/>
      <c r="N4" s="68"/>
      <c r="P4" s="37" t="s">
        <v>268</v>
      </c>
      <c r="Q4" s="36">
        <f>K70*0.03</f>
        <v>16576307.390000001</v>
      </c>
    </row>
    <row r="5" spans="1:17" s="67" customFormat="1" x14ac:dyDescent="0.2">
      <c r="A5" s="66" t="s">
        <v>267</v>
      </c>
      <c r="B5" s="68"/>
      <c r="C5" s="68"/>
      <c r="D5" s="68"/>
      <c r="E5" s="52"/>
      <c r="F5" s="68"/>
      <c r="G5" s="68"/>
      <c r="H5" s="68"/>
      <c r="I5" s="68"/>
      <c r="J5" s="68"/>
      <c r="K5" s="68"/>
      <c r="L5" s="69"/>
      <c r="M5" s="68"/>
      <c r="N5" s="68"/>
      <c r="P5" s="37" t="s">
        <v>266</v>
      </c>
      <c r="Q5" s="36">
        <f>K71*0.03</f>
        <v>2780.28</v>
      </c>
    </row>
    <row r="6" spans="1:17" ht="7.15" customHeight="1" x14ac:dyDescent="0.3">
      <c r="A6" s="66"/>
      <c r="B6" s="48"/>
      <c r="C6" s="48"/>
      <c r="D6" s="48"/>
      <c r="F6" s="71"/>
      <c r="G6" s="71"/>
      <c r="H6" s="71"/>
      <c r="I6" s="71"/>
      <c r="J6" s="71"/>
      <c r="K6" s="72"/>
      <c r="L6" s="73"/>
      <c r="M6" s="71"/>
      <c r="N6" s="71"/>
    </row>
    <row r="7" spans="1:17" ht="12" thickBot="1" x14ac:dyDescent="0.25">
      <c r="A7" s="35" t="s">
        <v>265</v>
      </c>
      <c r="F7" s="71"/>
      <c r="G7" s="71"/>
      <c r="H7" s="71"/>
      <c r="I7" s="71"/>
      <c r="J7" s="71"/>
      <c r="K7" s="71"/>
      <c r="L7" s="74"/>
      <c r="M7" s="71"/>
      <c r="N7" s="71"/>
      <c r="P7" s="37" t="s">
        <v>264</v>
      </c>
      <c r="Q7" s="49">
        <f>SUM(Q3:Q6)</f>
        <v>18121543.309999999</v>
      </c>
    </row>
    <row r="8" spans="1:17" ht="12" thickBot="1" x14ac:dyDescent="0.25">
      <c r="B8" s="35" t="s">
        <v>263</v>
      </c>
      <c r="F8" s="71"/>
      <c r="G8" s="71"/>
      <c r="H8" s="71"/>
      <c r="I8" s="71"/>
      <c r="J8" s="75"/>
      <c r="K8" s="71">
        <f>[2]TB!C7</f>
        <v>47842879.100000001</v>
      </c>
      <c r="L8" s="74"/>
      <c r="M8" s="71"/>
      <c r="N8" s="71"/>
      <c r="P8" s="37" t="s">
        <v>262</v>
      </c>
      <c r="Q8" s="65">
        <f>K10-Q7</f>
        <v>1876770.2</v>
      </c>
    </row>
    <row r="9" spans="1:17" x14ac:dyDescent="0.2">
      <c r="B9" s="35" t="s">
        <v>261</v>
      </c>
      <c r="F9" s="71"/>
      <c r="G9" s="71"/>
      <c r="H9" s="71"/>
      <c r="I9" s="71"/>
      <c r="J9" s="75"/>
      <c r="K9" s="71">
        <f>[2]TB!C8</f>
        <v>881801.46</v>
      </c>
      <c r="L9" s="74"/>
      <c r="M9" s="71"/>
      <c r="N9" s="71"/>
    </row>
    <row r="10" spans="1:17" x14ac:dyDescent="0.2">
      <c r="B10" s="35" t="s">
        <v>260</v>
      </c>
      <c r="F10" s="71"/>
      <c r="G10" s="71"/>
      <c r="H10" s="71"/>
      <c r="I10" s="71"/>
      <c r="J10" s="75"/>
      <c r="K10" s="71">
        <f>[2]TB!C9</f>
        <v>19998313.510000002</v>
      </c>
      <c r="L10" s="74"/>
      <c r="M10" s="71"/>
      <c r="N10" s="71"/>
    </row>
    <row r="11" spans="1:17" x14ac:dyDescent="0.2">
      <c r="B11" s="35" t="s">
        <v>259</v>
      </c>
      <c r="F11" s="71"/>
      <c r="G11" s="71"/>
      <c r="H11" s="71"/>
      <c r="I11" s="71"/>
      <c r="J11" s="75"/>
      <c r="K11" s="76">
        <f>[2]TB!C10</f>
        <v>149444143.18000001</v>
      </c>
      <c r="L11" s="74"/>
      <c r="M11" s="85">
        <f>SUM(K8:K11)</f>
        <v>218167137.25</v>
      </c>
      <c r="N11" s="74"/>
    </row>
    <row r="12" spans="1:17" ht="11.25" customHeight="1" x14ac:dyDescent="0.2">
      <c r="J12" s="71"/>
      <c r="K12" s="71"/>
      <c r="L12" s="74"/>
      <c r="M12" s="71"/>
      <c r="N12" s="71"/>
      <c r="O12" s="64"/>
    </row>
    <row r="13" spans="1:17" x14ac:dyDescent="0.2">
      <c r="A13" s="35" t="s">
        <v>258</v>
      </c>
      <c r="E13" s="128"/>
      <c r="F13" s="128"/>
      <c r="H13" s="77" t="s">
        <v>257</v>
      </c>
      <c r="I13" s="77" t="s">
        <v>256</v>
      </c>
      <c r="J13" s="77" t="s">
        <v>255</v>
      </c>
      <c r="K13" s="77" t="s">
        <v>168</v>
      </c>
      <c r="L13" s="78"/>
      <c r="M13" s="71"/>
      <c r="N13" s="71"/>
      <c r="O13" s="64"/>
    </row>
    <row r="14" spans="1:17" x14ac:dyDescent="0.2">
      <c r="B14" s="35" t="s">
        <v>254</v>
      </c>
      <c r="C14" s="113"/>
      <c r="D14" s="113"/>
      <c r="E14" s="35"/>
      <c r="H14" s="71">
        <f>[2]TB!C17+[2]TB!C52+[2]TB!C18+[2]TB!C53</f>
        <v>235235108.41</v>
      </c>
      <c r="I14" s="71">
        <f>[2]TB!C29+[2]TB!C63+[2]TB!C30+[2]TB!C64+[2]TB!C75+[2]TB!C86+[2]TB!C91+[2]TB!C92+[2]TB!C93+[2]TB!C94</f>
        <v>19858504.010000002</v>
      </c>
      <c r="J14" s="71">
        <f>[2]TB!C41+[2]TB!C43</f>
        <v>0</v>
      </c>
      <c r="K14" s="71">
        <f t="shared" ref="K14:K23" si="0">SUM(H14:J14)</f>
        <v>255093612.41999999</v>
      </c>
      <c r="L14" s="74"/>
      <c r="M14" s="71"/>
      <c r="N14" s="71"/>
      <c r="O14" s="64"/>
    </row>
    <row r="15" spans="1:17" x14ac:dyDescent="0.2">
      <c r="B15" s="35" t="s">
        <v>253</v>
      </c>
      <c r="C15" s="113"/>
      <c r="D15" s="113"/>
      <c r="E15" s="35"/>
      <c r="H15" s="71">
        <f>[2]TB!C19</f>
        <v>5960000</v>
      </c>
      <c r="I15" s="71">
        <f>+[2]TB!C31+[2]TB!C76+[2]TB!C87</f>
        <v>0</v>
      </c>
      <c r="J15" s="71">
        <f>[2]TB!C42+[2]TB!C44</f>
        <v>0</v>
      </c>
      <c r="K15" s="71">
        <f t="shared" si="0"/>
        <v>5960000</v>
      </c>
      <c r="L15" s="74"/>
      <c r="M15" s="71"/>
      <c r="N15" s="71"/>
    </row>
    <row r="16" spans="1:17" x14ac:dyDescent="0.2">
      <c r="B16" s="35" t="s">
        <v>252</v>
      </c>
      <c r="C16" s="113"/>
      <c r="D16" s="113"/>
      <c r="E16" s="35"/>
      <c r="H16" s="71">
        <f>[2]TB!C20+[2]TB!C54</f>
        <v>14297116.25</v>
      </c>
      <c r="I16" s="71">
        <f>[2]TB!C33+[2]TB!C65+[2]TB!C77+[2]TB!C88</f>
        <v>50001</v>
      </c>
      <c r="J16" s="71">
        <f>[2]TB!C43</f>
        <v>0</v>
      </c>
      <c r="K16" s="71">
        <f t="shared" si="0"/>
        <v>14347117.25</v>
      </c>
      <c r="L16" s="74"/>
      <c r="M16" s="71"/>
      <c r="N16" s="71"/>
    </row>
    <row r="17" spans="1:17" x14ac:dyDescent="0.2">
      <c r="B17" s="35" t="s">
        <v>251</v>
      </c>
      <c r="C17" s="113"/>
      <c r="D17" s="113"/>
      <c r="E17" s="35"/>
      <c r="G17" s="42"/>
      <c r="H17" s="71">
        <f>[2]TB!C22+[2]TB!C55</f>
        <v>75568235.439999998</v>
      </c>
      <c r="I17" s="71">
        <f>[2]TB!C34+[2]TB!C66+[2]TB!C79+[2]TB!C90</f>
        <v>10888120.93</v>
      </c>
      <c r="J17" s="71">
        <f>[2]TB!C44</f>
        <v>0</v>
      </c>
      <c r="K17" s="71">
        <f t="shared" si="0"/>
        <v>86456356.370000005</v>
      </c>
      <c r="L17" s="74"/>
      <c r="M17" s="71"/>
      <c r="N17" s="71"/>
    </row>
    <row r="18" spans="1:17" ht="12" hidden="1" customHeight="1" x14ac:dyDescent="0.2">
      <c r="B18" s="35" t="s">
        <v>250</v>
      </c>
      <c r="C18" s="113"/>
      <c r="D18" s="113"/>
      <c r="E18" s="35"/>
      <c r="H18" s="71">
        <f>[2]TB!C15+[2]TB!C56</f>
        <v>0</v>
      </c>
      <c r="I18" s="71">
        <f>[2]TB!C27+[2]TB!C67+[2]TB!C73+[2]TB!C84</f>
        <v>0</v>
      </c>
      <c r="J18" s="71">
        <f>[2]TB!C45</f>
        <v>0</v>
      </c>
      <c r="K18" s="71">
        <f t="shared" si="0"/>
        <v>0</v>
      </c>
      <c r="L18" s="74"/>
      <c r="M18" s="71"/>
      <c r="N18" s="71"/>
    </row>
    <row r="19" spans="1:17" x14ac:dyDescent="0.2">
      <c r="B19" s="35" t="s">
        <v>249</v>
      </c>
      <c r="C19" s="113"/>
      <c r="D19" s="113"/>
      <c r="E19" s="35"/>
      <c r="H19" s="71">
        <f>[2]TB!C16+[2]TB!C57</f>
        <v>18474149.25</v>
      </c>
      <c r="I19" s="71">
        <f>[2]TB!C28+[2]TB!C68+[2]TB!C74+[2]TB!C85</f>
        <v>8142406.3600000003</v>
      </c>
      <c r="J19" s="71">
        <f>[2]TB!C46</f>
        <v>0</v>
      </c>
      <c r="K19" s="71">
        <f t="shared" si="0"/>
        <v>26616555.609999999</v>
      </c>
      <c r="L19" s="74"/>
      <c r="M19" s="71"/>
      <c r="N19" s="71"/>
    </row>
    <row r="20" spans="1:17" ht="14.25" customHeight="1" x14ac:dyDescent="0.2">
      <c r="B20" s="35" t="s">
        <v>248</v>
      </c>
      <c r="C20" s="113"/>
      <c r="D20" s="113"/>
      <c r="E20" s="35"/>
      <c r="G20" s="42"/>
      <c r="H20" s="71">
        <f>[2]TB!C13+[2]TB!C49</f>
        <v>10175000.01</v>
      </c>
      <c r="I20" s="71">
        <f>[2]TB!C25+[2]TB!C60+[2]TB!C71+[2]TB!C82</f>
        <v>149140.31</v>
      </c>
      <c r="J20" s="71">
        <f>[2]TB!C38</f>
        <v>0</v>
      </c>
      <c r="K20" s="71">
        <f t="shared" si="0"/>
        <v>10324140.32</v>
      </c>
      <c r="L20" s="74"/>
      <c r="M20" s="71"/>
      <c r="N20" s="71"/>
    </row>
    <row r="21" spans="1:17" x14ac:dyDescent="0.2">
      <c r="B21" s="35" t="s">
        <v>247</v>
      </c>
      <c r="E21" s="35"/>
      <c r="G21" s="42"/>
      <c r="H21" s="71">
        <f>[2]TB!C14+[2]TB!C48</f>
        <v>104143876.43000001</v>
      </c>
      <c r="I21" s="71">
        <f>[2]TB!C26+[2]TB!C59+[2]TB!C72+[2]TB!C83</f>
        <v>11612537.869999999</v>
      </c>
      <c r="J21" s="71">
        <f>[2]TB!C37</f>
        <v>0</v>
      </c>
      <c r="K21" s="71">
        <f t="shared" si="0"/>
        <v>115756414.3</v>
      </c>
      <c r="L21" s="74"/>
      <c r="M21" s="71"/>
      <c r="N21" s="71"/>
    </row>
    <row r="22" spans="1:17" x14ac:dyDescent="0.2">
      <c r="B22" s="35" t="s">
        <v>246</v>
      </c>
      <c r="C22" s="113"/>
      <c r="D22" s="113"/>
      <c r="E22" s="35"/>
      <c r="G22" s="42"/>
      <c r="H22" s="71">
        <f>[2]TB!C23+[2]TB!C50</f>
        <v>217417152.69999999</v>
      </c>
      <c r="I22" s="71">
        <f>[2]TB!C35+[2]TB!C61+[2]TB!C80</f>
        <v>57574126.450000003</v>
      </c>
      <c r="J22" s="71">
        <f>[2]TB!C39</f>
        <v>0</v>
      </c>
      <c r="K22" s="71">
        <f t="shared" si="0"/>
        <v>274991279.14999998</v>
      </c>
      <c r="L22" s="74"/>
      <c r="M22" s="71"/>
      <c r="N22" s="71"/>
    </row>
    <row r="23" spans="1:17" x14ac:dyDescent="0.2">
      <c r="B23" s="35" t="s">
        <v>245</v>
      </c>
      <c r="C23" s="113"/>
      <c r="D23" s="113"/>
      <c r="E23" s="35"/>
      <c r="H23" s="71">
        <f>[2]TB!C21+[2]TB!C58</f>
        <v>39810135.100000001</v>
      </c>
      <c r="I23" s="71">
        <f>[2]TB!C32+[2]TB!C69+[2]TB!C78+[2]TB!C89</f>
        <v>11533861.73</v>
      </c>
      <c r="J23" s="71">
        <f>[2]TB!C47</f>
        <v>0</v>
      </c>
      <c r="K23" s="71">
        <f t="shared" si="0"/>
        <v>51343996.829999998</v>
      </c>
      <c r="L23" s="74"/>
      <c r="M23" s="71"/>
      <c r="N23" s="71"/>
    </row>
    <row r="24" spans="1:17" x14ac:dyDescent="0.2">
      <c r="A24" s="35" t="s">
        <v>244</v>
      </c>
      <c r="F24" s="39"/>
      <c r="H24" s="79">
        <f>SUM(H14:H23)</f>
        <v>721080773.59000003</v>
      </c>
      <c r="I24" s="79">
        <f>SUM(I14:I23)</f>
        <v>119808698.66</v>
      </c>
      <c r="J24" s="79">
        <f>SUM(J14:J23)</f>
        <v>0</v>
      </c>
      <c r="K24" s="79">
        <f>SUM(K14:K23)</f>
        <v>840889472.25</v>
      </c>
      <c r="L24" s="74"/>
      <c r="M24" s="71"/>
      <c r="N24" s="71"/>
      <c r="O24" s="42"/>
    </row>
    <row r="25" spans="1:17" x14ac:dyDescent="0.2">
      <c r="B25" s="35" t="s">
        <v>243</v>
      </c>
      <c r="F25" s="80"/>
      <c r="G25" s="74"/>
      <c r="H25" s="74"/>
      <c r="I25" s="74"/>
      <c r="J25" s="74"/>
      <c r="K25" s="74">
        <f>[2]TB!C98+[2]TB!C100</f>
        <v>-7184346.1399999997</v>
      </c>
      <c r="L25" s="74"/>
      <c r="N25" s="71"/>
    </row>
    <row r="26" spans="1:17" x14ac:dyDescent="0.2">
      <c r="C26" s="35" t="s">
        <v>242</v>
      </c>
      <c r="F26" s="71"/>
      <c r="G26" s="82"/>
      <c r="H26" s="71"/>
      <c r="I26" s="71"/>
      <c r="J26" s="71"/>
      <c r="K26" s="74">
        <f>[2]TB!C99+[2]TB!C101</f>
        <v>-24191171.829999998</v>
      </c>
      <c r="L26" s="74"/>
      <c r="N26" s="71"/>
    </row>
    <row r="27" spans="1:17" x14ac:dyDescent="0.2">
      <c r="A27" s="35" t="s">
        <v>241</v>
      </c>
      <c r="F27" s="71"/>
      <c r="G27" s="82"/>
      <c r="H27" s="71"/>
      <c r="I27" s="71"/>
      <c r="J27" s="71"/>
      <c r="K27" s="74">
        <f>SUM(K24:K26)</f>
        <v>809513954.27999997</v>
      </c>
      <c r="L27" s="83"/>
      <c r="N27" s="74"/>
    </row>
    <row r="28" spans="1:17" x14ac:dyDescent="0.2">
      <c r="A28" s="35" t="s">
        <v>240</v>
      </c>
      <c r="F28" s="71"/>
      <c r="G28" s="82"/>
      <c r="H28" s="71"/>
      <c r="I28" s="71"/>
      <c r="J28" s="71"/>
      <c r="K28" s="76">
        <f>[2]TB!C97</f>
        <v>-15294540</v>
      </c>
      <c r="L28" s="83"/>
      <c r="M28" s="85">
        <f>SUM(K27:K28)</f>
        <v>794219414.27999997</v>
      </c>
      <c r="N28" s="74"/>
    </row>
    <row r="29" spans="1:17" s="48" customFormat="1" x14ac:dyDescent="0.2">
      <c r="E29" s="52"/>
      <c r="F29" s="84"/>
      <c r="G29" s="84"/>
      <c r="H29" s="84"/>
      <c r="I29" s="84"/>
      <c r="J29" s="85"/>
      <c r="K29" s="85"/>
      <c r="L29" s="85"/>
      <c r="M29" s="84"/>
      <c r="N29" s="84"/>
      <c r="P29" s="50"/>
      <c r="Q29" s="49"/>
    </row>
    <row r="30" spans="1:17" x14ac:dyDescent="0.2">
      <c r="A30" s="35" t="s">
        <v>239</v>
      </c>
      <c r="F30" s="71"/>
      <c r="G30" s="71"/>
      <c r="H30" s="71"/>
      <c r="I30" s="86" t="s">
        <v>238</v>
      </c>
      <c r="J30" s="78" t="s">
        <v>237</v>
      </c>
      <c r="K30" s="63" t="s">
        <v>168</v>
      </c>
      <c r="L30" s="78"/>
      <c r="M30" s="71"/>
      <c r="N30" s="71"/>
    </row>
    <row r="31" spans="1:17" x14ac:dyDescent="0.2">
      <c r="A31" s="35" t="s">
        <v>236</v>
      </c>
      <c r="F31" s="71"/>
      <c r="G31" s="71"/>
      <c r="I31" s="79">
        <f>+[2]TB!C11</f>
        <v>26000000</v>
      </c>
      <c r="J31" s="79">
        <v>0</v>
      </c>
      <c r="K31" s="79">
        <f>J31+I31</f>
        <v>26000000</v>
      </c>
      <c r="L31" s="74"/>
      <c r="M31" s="71"/>
      <c r="N31" s="71"/>
      <c r="O31" s="42">
        <f>K31-J31-I31</f>
        <v>0</v>
      </c>
    </row>
    <row r="32" spans="1:17" x14ac:dyDescent="0.2">
      <c r="A32" s="35" t="s">
        <v>235</v>
      </c>
      <c r="C32" s="35" t="s">
        <v>234</v>
      </c>
      <c r="F32" s="71"/>
      <c r="G32" s="71"/>
      <c r="I32" s="74">
        <f>-[2]TB!C12</f>
        <v>175214.53</v>
      </c>
      <c r="J32" s="74"/>
      <c r="K32" s="74">
        <f>J32+I32</f>
        <v>175214.53</v>
      </c>
      <c r="L32" s="74"/>
      <c r="M32" s="71"/>
      <c r="N32" s="71"/>
      <c r="O32" s="42"/>
    </row>
    <row r="33" spans="1:15" x14ac:dyDescent="0.2">
      <c r="C33" s="35" t="s">
        <v>233</v>
      </c>
      <c r="F33" s="71"/>
      <c r="G33" s="71"/>
      <c r="I33" s="62"/>
      <c r="J33" s="76"/>
      <c r="K33" s="76">
        <f>J33+I33</f>
        <v>0</v>
      </c>
      <c r="L33" s="74"/>
      <c r="M33" s="85">
        <f>K31-K33-K32</f>
        <v>25824785.469999999</v>
      </c>
      <c r="N33" s="74"/>
    </row>
    <row r="34" spans="1:15" x14ac:dyDescent="0.2">
      <c r="F34" s="71"/>
      <c r="G34" s="87"/>
      <c r="H34" s="71"/>
      <c r="I34" s="71"/>
      <c r="J34" s="71"/>
      <c r="K34" s="71"/>
      <c r="L34" s="74"/>
      <c r="M34" s="71"/>
      <c r="N34" s="71"/>
    </row>
    <row r="35" spans="1:15" x14ac:dyDescent="0.2">
      <c r="A35" s="35" t="s">
        <v>232</v>
      </c>
      <c r="F35" s="39"/>
      <c r="I35" s="74"/>
      <c r="J35" s="74"/>
      <c r="K35" s="74">
        <f>[2]TB!C95</f>
        <v>303500</v>
      </c>
      <c r="L35" s="74"/>
      <c r="M35" s="71"/>
      <c r="N35" s="71"/>
    </row>
    <row r="36" spans="1:15" x14ac:dyDescent="0.2">
      <c r="A36" s="35" t="s">
        <v>231</v>
      </c>
      <c r="F36" s="39"/>
      <c r="I36" s="74"/>
      <c r="J36" s="74"/>
      <c r="K36" s="76">
        <f>[2]TB!C96</f>
        <v>-303500</v>
      </c>
      <c r="L36" s="74"/>
      <c r="M36" s="71">
        <f>K35+K36</f>
        <v>0</v>
      </c>
      <c r="N36" s="71"/>
    </row>
    <row r="37" spans="1:15" x14ac:dyDescent="0.2">
      <c r="F37" s="39"/>
      <c r="I37" s="74"/>
      <c r="J37" s="74"/>
      <c r="K37" s="74"/>
      <c r="L37" s="74"/>
      <c r="M37" s="71"/>
      <c r="N37" s="71"/>
    </row>
    <row r="38" spans="1:15" x14ac:dyDescent="0.2">
      <c r="A38" s="35" t="s">
        <v>230</v>
      </c>
      <c r="F38" s="71"/>
      <c r="G38" s="71"/>
      <c r="H38" s="74"/>
      <c r="I38" s="74"/>
      <c r="J38" s="74"/>
      <c r="K38" s="74"/>
      <c r="L38" s="74"/>
      <c r="M38" s="71"/>
      <c r="N38" s="71"/>
    </row>
    <row r="39" spans="1:15" x14ac:dyDescent="0.2">
      <c r="F39" s="71"/>
      <c r="I39" s="77" t="s">
        <v>229</v>
      </c>
      <c r="J39" s="77" t="s">
        <v>228</v>
      </c>
      <c r="K39" s="77" t="s">
        <v>227</v>
      </c>
      <c r="L39" s="78"/>
      <c r="M39" s="71"/>
      <c r="N39" s="71"/>
    </row>
    <row r="40" spans="1:15" x14ac:dyDescent="0.2">
      <c r="B40" s="35" t="s">
        <v>226</v>
      </c>
      <c r="F40" s="71"/>
      <c r="G40" s="71"/>
      <c r="I40" s="88">
        <f>[2]TB!C105</f>
        <v>13694252.75</v>
      </c>
      <c r="J40" s="88">
        <v>0</v>
      </c>
      <c r="K40" s="71">
        <f t="shared" ref="K40:K45" si="1">+I40-J40</f>
        <v>13694252.75</v>
      </c>
      <c r="L40" s="74"/>
      <c r="M40" s="71"/>
      <c r="N40" s="71"/>
    </row>
    <row r="41" spans="1:15" x14ac:dyDescent="0.2">
      <c r="B41" s="35" t="s">
        <v>225</v>
      </c>
      <c r="F41" s="71"/>
      <c r="G41" s="71"/>
      <c r="I41" s="71">
        <f>[2]TB!C106</f>
        <v>41175462.280000001</v>
      </c>
      <c r="J41" s="71">
        <f>-[2]TB!C107</f>
        <v>11429558.74</v>
      </c>
      <c r="K41" s="71">
        <f t="shared" si="1"/>
        <v>29745903.539999999</v>
      </c>
      <c r="L41" s="74"/>
    </row>
    <row r="42" spans="1:15" x14ac:dyDescent="0.2">
      <c r="B42" s="35" t="s">
        <v>224</v>
      </c>
      <c r="F42" s="71"/>
      <c r="G42" s="71"/>
      <c r="I42" s="71">
        <f>[2]TB!C108</f>
        <v>31980629.030000001</v>
      </c>
      <c r="J42" s="71">
        <f>-[2]TB!C109</f>
        <v>16158544.130000001</v>
      </c>
      <c r="K42" s="71">
        <f t="shared" si="1"/>
        <v>15822084.9</v>
      </c>
      <c r="L42" s="74"/>
    </row>
    <row r="43" spans="1:15" x14ac:dyDescent="0.2">
      <c r="B43" s="35" t="s">
        <v>223</v>
      </c>
      <c r="F43" s="71"/>
      <c r="G43" s="71"/>
      <c r="I43" s="71">
        <f>[2]TB!C110</f>
        <v>32948886.149999999</v>
      </c>
      <c r="J43" s="71">
        <f>-[2]TB!C111</f>
        <v>25176626.199999999</v>
      </c>
      <c r="K43" s="71">
        <f t="shared" si="1"/>
        <v>7772259.9500000002</v>
      </c>
      <c r="L43" s="74"/>
    </row>
    <row r="44" spans="1:15" x14ac:dyDescent="0.2">
      <c r="B44" s="35" t="s">
        <v>222</v>
      </c>
      <c r="F44" s="71"/>
      <c r="I44" s="76">
        <f>[2]TB!C112</f>
        <v>14776028.439999999</v>
      </c>
      <c r="J44" s="76">
        <f>-[2]TB!C113</f>
        <v>10400769.5</v>
      </c>
      <c r="K44" s="76">
        <f t="shared" si="1"/>
        <v>4375258.9400000004</v>
      </c>
      <c r="L44" s="74"/>
    </row>
    <row r="45" spans="1:15" x14ac:dyDescent="0.2">
      <c r="F45" s="71"/>
      <c r="I45" s="74">
        <f>SUM(I40:I44)</f>
        <v>134575258.65000001</v>
      </c>
      <c r="J45" s="74">
        <f>SUM(J40:J44)</f>
        <v>63165498.57</v>
      </c>
      <c r="K45" s="74">
        <f t="shared" si="1"/>
        <v>71409760.079999998</v>
      </c>
      <c r="L45" s="74"/>
      <c r="M45" s="85">
        <f>+K45</f>
        <v>71409760.079999998</v>
      </c>
      <c r="N45" s="74"/>
      <c r="O45" s="61">
        <f>M45/M129</f>
        <v>0.35239999999999999</v>
      </c>
    </row>
    <row r="46" spans="1:15" x14ac:dyDescent="0.2">
      <c r="F46" s="74"/>
      <c r="G46" s="74"/>
      <c r="H46" s="74"/>
      <c r="I46" s="74"/>
      <c r="J46" s="71"/>
      <c r="K46" s="71"/>
      <c r="L46" s="74"/>
      <c r="M46" s="74"/>
      <c r="N46" s="74"/>
    </row>
    <row r="47" spans="1:15" x14ac:dyDescent="0.2">
      <c r="A47" s="107" t="s">
        <v>221</v>
      </c>
      <c r="B47" s="71"/>
      <c r="C47" s="71"/>
      <c r="D47" s="71"/>
      <c r="E47" s="80"/>
      <c r="F47" s="74"/>
      <c r="G47" s="71"/>
      <c r="H47" s="71"/>
      <c r="I47" s="71"/>
      <c r="J47" s="42"/>
      <c r="K47" s="71">
        <f>[2]TB!C114</f>
        <v>134199683.8</v>
      </c>
      <c r="L47" s="74"/>
      <c r="M47" s="71"/>
      <c r="N47" s="71"/>
    </row>
    <row r="48" spans="1:15" x14ac:dyDescent="0.2">
      <c r="A48" s="35" t="s">
        <v>220</v>
      </c>
      <c r="B48" s="71"/>
      <c r="C48" s="71"/>
      <c r="D48" s="71"/>
      <c r="E48" s="80"/>
      <c r="F48" s="71"/>
      <c r="G48" s="71"/>
      <c r="H48" s="71"/>
      <c r="I48" s="71"/>
      <c r="K48" s="74">
        <f>[2]TB!C116</f>
        <v>-86352.11</v>
      </c>
      <c r="L48" s="74"/>
      <c r="M48" s="71"/>
      <c r="N48" s="71"/>
    </row>
    <row r="49" spans="1:15" x14ac:dyDescent="0.2">
      <c r="B49" s="71"/>
      <c r="C49" s="35" t="s">
        <v>219</v>
      </c>
      <c r="D49" s="71"/>
      <c r="E49" s="80"/>
      <c r="F49" s="71"/>
      <c r="G49" s="71"/>
      <c r="H49" s="71"/>
      <c r="I49" s="71"/>
      <c r="K49" s="76">
        <f>[2]TB!C115</f>
        <v>-8460655.1099999994</v>
      </c>
      <c r="L49" s="74"/>
      <c r="M49" s="71"/>
      <c r="N49" s="71"/>
    </row>
    <row r="50" spans="1:15" x14ac:dyDescent="0.2">
      <c r="A50" s="107" t="s">
        <v>168</v>
      </c>
      <c r="B50" s="71"/>
      <c r="C50" s="71"/>
      <c r="D50" s="71"/>
      <c r="E50" s="80"/>
      <c r="F50" s="71"/>
      <c r="G50" s="71"/>
      <c r="H50" s="71"/>
      <c r="I50" s="71"/>
      <c r="K50" s="71">
        <f>SUM(K47:K49)</f>
        <v>125652676.58</v>
      </c>
      <c r="L50" s="74"/>
      <c r="M50" s="71"/>
      <c r="N50" s="71"/>
    </row>
    <row r="51" spans="1:15" x14ac:dyDescent="0.2">
      <c r="A51" s="107" t="s">
        <v>218</v>
      </c>
      <c r="F51" s="71"/>
      <c r="G51" s="71"/>
      <c r="H51" s="71"/>
      <c r="I51" s="71"/>
      <c r="J51" s="74">
        <f>[2]TB!C103</f>
        <v>19889131.859999999</v>
      </c>
      <c r="L51" s="74"/>
      <c r="N51" s="74"/>
    </row>
    <row r="52" spans="1:15" x14ac:dyDescent="0.2">
      <c r="A52" s="35" t="s">
        <v>276</v>
      </c>
      <c r="F52" s="71"/>
      <c r="G52" s="71"/>
      <c r="H52" s="71"/>
      <c r="I52" s="71"/>
      <c r="J52" s="76">
        <f>+[2]TB!C104</f>
        <v>0</v>
      </c>
      <c r="K52" s="76">
        <f>J51+J52</f>
        <v>19889131.859999999</v>
      </c>
      <c r="L52" s="74"/>
      <c r="M52" s="85">
        <f>+K50+K52</f>
        <v>145541808.44</v>
      </c>
      <c r="N52" s="74"/>
    </row>
    <row r="53" spans="1:15" x14ac:dyDescent="0.2">
      <c r="A53" s="107"/>
      <c r="F53" s="71"/>
      <c r="G53" s="71"/>
      <c r="H53" s="71"/>
      <c r="I53" s="71"/>
      <c r="J53" s="71"/>
      <c r="K53" s="74"/>
      <c r="L53" s="74"/>
      <c r="M53" s="74"/>
      <c r="N53" s="74"/>
    </row>
    <row r="54" spans="1:15" x14ac:dyDescent="0.2">
      <c r="A54" s="35" t="s">
        <v>215</v>
      </c>
      <c r="F54" s="71"/>
      <c r="G54" s="71"/>
      <c r="H54" s="71"/>
      <c r="I54" s="71"/>
      <c r="J54" s="71"/>
      <c r="K54" s="71"/>
      <c r="L54" s="74"/>
      <c r="M54" s="85">
        <f>[2]TB!C156</f>
        <v>0</v>
      </c>
      <c r="N54" s="57"/>
    </row>
    <row r="55" spans="1:15" x14ac:dyDescent="0.2">
      <c r="A55" s="35" t="s">
        <v>214</v>
      </c>
      <c r="F55" s="71"/>
      <c r="G55" s="71"/>
      <c r="H55" s="71"/>
      <c r="I55" s="71"/>
      <c r="J55" s="71"/>
      <c r="K55" s="71"/>
      <c r="L55" s="74"/>
      <c r="M55" s="85">
        <f>[2]TB!C102</f>
        <v>14388.93</v>
      </c>
      <c r="N55" s="57"/>
    </row>
    <row r="56" spans="1:15" x14ac:dyDescent="0.2">
      <c r="F56" s="71"/>
      <c r="G56" s="71"/>
      <c r="H56" s="71"/>
      <c r="I56" s="71"/>
      <c r="J56" s="71"/>
      <c r="K56" s="71"/>
      <c r="L56" s="74"/>
      <c r="M56" s="85"/>
      <c r="N56" s="57"/>
    </row>
    <row r="57" spans="1:15" x14ac:dyDescent="0.2">
      <c r="A57" s="35" t="s">
        <v>213</v>
      </c>
      <c r="F57" s="71"/>
      <c r="G57" s="71"/>
      <c r="H57" s="71"/>
      <c r="I57" s="71"/>
      <c r="J57" s="71"/>
      <c r="K57" s="71">
        <f>[2]TB!C117</f>
        <v>7358705.3099999996</v>
      </c>
      <c r="L57" s="74"/>
      <c r="M57" s="74"/>
      <c r="N57" s="57"/>
    </row>
    <row r="58" spans="1:15" x14ac:dyDescent="0.2">
      <c r="A58" s="35" t="s">
        <v>212</v>
      </c>
      <c r="F58" s="71"/>
      <c r="G58" s="71"/>
      <c r="H58" s="71"/>
      <c r="I58" s="71"/>
      <c r="J58" s="71"/>
      <c r="K58" s="76">
        <f>[2]TB!C118</f>
        <v>-3363571.27</v>
      </c>
      <c r="L58" s="74"/>
      <c r="M58" s="85">
        <f>K58+K57</f>
        <v>3995134.04</v>
      </c>
      <c r="N58" s="57"/>
    </row>
    <row r="59" spans="1:15" x14ac:dyDescent="0.2">
      <c r="F59" s="71"/>
      <c r="G59" s="71"/>
      <c r="H59" s="71"/>
      <c r="I59" s="71"/>
      <c r="J59" s="71"/>
      <c r="K59" s="74"/>
      <c r="L59" s="74"/>
      <c r="M59" s="85"/>
      <c r="N59" s="57"/>
    </row>
    <row r="60" spans="1:15" x14ac:dyDescent="0.2">
      <c r="A60" s="35" t="s">
        <v>209</v>
      </c>
      <c r="F60" s="71"/>
      <c r="G60" s="71"/>
      <c r="H60" s="71"/>
      <c r="I60" s="71"/>
      <c r="J60" s="71"/>
      <c r="K60" s="71">
        <f>[2]TB!C122+[2]TB!C120+[2]TB!C126+[2]TB!C125+[2]TB!C119+[2]TB!C127+[2]TB!C128+[2]TB!C129+[2]TB!C121</f>
        <v>24996070.649999999</v>
      </c>
      <c r="L60" s="74"/>
      <c r="N60" s="74"/>
    </row>
    <row r="61" spans="1:15" x14ac:dyDescent="0.2">
      <c r="A61" s="35" t="s">
        <v>208</v>
      </c>
      <c r="F61" s="71"/>
      <c r="G61" s="71"/>
      <c r="H61" s="71"/>
      <c r="I61" s="71"/>
      <c r="J61" s="71"/>
      <c r="K61" s="71">
        <f>[2]TB!C123</f>
        <v>-1951108.46</v>
      </c>
      <c r="L61" s="74"/>
      <c r="M61" s="85"/>
      <c r="N61" s="74"/>
    </row>
    <row r="62" spans="1:15" x14ac:dyDescent="0.2">
      <c r="C62" s="35" t="s">
        <v>275</v>
      </c>
      <c r="F62" s="71"/>
      <c r="G62" s="71"/>
      <c r="H62" s="71"/>
      <c r="I62" s="71"/>
      <c r="J62" s="71"/>
      <c r="K62" s="76">
        <f>+[2]TB!C124</f>
        <v>0</v>
      </c>
      <c r="L62" s="74"/>
      <c r="M62" s="85">
        <f>SUM(K60:K62)</f>
        <v>23044962.190000001</v>
      </c>
      <c r="N62" s="74"/>
    </row>
    <row r="63" spans="1:15" ht="12" thickBot="1" x14ac:dyDescent="0.25">
      <c r="F63" s="71"/>
      <c r="G63" s="71"/>
      <c r="H63" s="71"/>
      <c r="I63" s="71"/>
      <c r="J63" s="71"/>
      <c r="K63" s="71"/>
      <c r="L63" s="74"/>
      <c r="N63" s="74"/>
    </row>
    <row r="64" spans="1:15" ht="12" thickBot="1" x14ac:dyDescent="0.25">
      <c r="A64" s="48" t="s">
        <v>206</v>
      </c>
      <c r="F64" s="89"/>
      <c r="G64" s="71"/>
      <c r="H64" s="71"/>
      <c r="I64" s="71"/>
      <c r="J64" s="71"/>
      <c r="K64" s="42"/>
      <c r="M64" s="90">
        <f>SUM(M11:M62)</f>
        <v>1282217390.6800001</v>
      </c>
      <c r="N64" s="85"/>
      <c r="O64" s="42">
        <f>+M64-[2]TB!C267</f>
        <v>0</v>
      </c>
    </row>
    <row r="65" spans="1:14" ht="9.75" customHeight="1" x14ac:dyDescent="0.2">
      <c r="A65" s="48"/>
      <c r="F65" s="71"/>
      <c r="G65" s="71"/>
      <c r="H65" s="71"/>
      <c r="I65" s="71"/>
      <c r="J65" s="71"/>
      <c r="K65" s="71"/>
      <c r="L65" s="74"/>
      <c r="M65" s="71"/>
      <c r="N65" s="71"/>
    </row>
    <row r="66" spans="1:14" x14ac:dyDescent="0.2">
      <c r="A66" s="48" t="s">
        <v>205</v>
      </c>
      <c r="F66" s="71"/>
      <c r="G66" s="71"/>
      <c r="H66" s="74"/>
      <c r="I66" s="71"/>
      <c r="J66" s="71"/>
      <c r="K66" s="71"/>
      <c r="L66" s="74"/>
      <c r="M66" s="71"/>
      <c r="N66" s="71"/>
    </row>
    <row r="67" spans="1:14" ht="7.5" customHeight="1" x14ac:dyDescent="0.2">
      <c r="H67" s="78"/>
      <c r="L67" s="78"/>
      <c r="M67" s="71"/>
      <c r="N67" s="71"/>
    </row>
    <row r="68" spans="1:14" x14ac:dyDescent="0.2">
      <c r="A68" s="35" t="s">
        <v>204</v>
      </c>
      <c r="H68" s="91"/>
      <c r="I68" s="77" t="s">
        <v>203</v>
      </c>
      <c r="J68" s="77" t="s">
        <v>202</v>
      </c>
      <c r="K68" s="77" t="s">
        <v>168</v>
      </c>
      <c r="L68" s="74"/>
      <c r="M68" s="71"/>
      <c r="N68" s="71"/>
    </row>
    <row r="69" spans="1:14" x14ac:dyDescent="0.2">
      <c r="B69" s="35" t="s">
        <v>201</v>
      </c>
      <c r="H69" s="92"/>
      <c r="I69" s="71">
        <f>-[2]TB!C130</f>
        <v>30136209.170000002</v>
      </c>
      <c r="J69" s="71">
        <f>-[2]TB!C131</f>
        <v>712903.7</v>
      </c>
      <c r="K69" s="71">
        <f>SUM(I69:J69)</f>
        <v>30849112.870000001</v>
      </c>
      <c r="L69" s="74"/>
    </row>
    <row r="70" spans="1:14" x14ac:dyDescent="0.2">
      <c r="B70" s="35" t="s">
        <v>121</v>
      </c>
      <c r="H70" s="92"/>
      <c r="I70" s="42">
        <f>-([2]TB!C132+[2]TB!C133+[2]TB!C134+[2]TB!C135)</f>
        <v>545800456.5</v>
      </c>
      <c r="J70" s="42">
        <f>-[2]TB!C136-[2]TB!C138-[2]TB!C137</f>
        <v>6743123.0800000001</v>
      </c>
      <c r="K70" s="71">
        <f>SUM(I70:J70)</f>
        <v>552543579.58000004</v>
      </c>
      <c r="L70" s="74"/>
      <c r="M70" s="57"/>
    </row>
    <row r="71" spans="1:14" x14ac:dyDescent="0.2">
      <c r="A71" s="71"/>
      <c r="B71" s="35" t="s">
        <v>119</v>
      </c>
      <c r="H71" s="92"/>
      <c r="I71" s="42">
        <f>-[2]TB!C139</f>
        <v>92676.02</v>
      </c>
      <c r="J71" s="42">
        <f>-[2]TB!C140</f>
        <v>0</v>
      </c>
      <c r="K71" s="76">
        <f>SUM(I71:J71)</f>
        <v>92676.02</v>
      </c>
      <c r="L71" s="74"/>
      <c r="M71" s="74">
        <f>SUM(K69:K71)</f>
        <v>583485368.47000003</v>
      </c>
      <c r="N71" s="74"/>
    </row>
    <row r="72" spans="1:14" ht="7.5" customHeight="1" x14ac:dyDescent="0.2">
      <c r="F72" s="74"/>
      <c r="G72" s="71"/>
      <c r="I72" s="42"/>
      <c r="J72" s="71"/>
      <c r="K72" s="71"/>
      <c r="L72" s="74"/>
      <c r="M72" s="42"/>
      <c r="N72" s="71"/>
    </row>
    <row r="73" spans="1:14" x14ac:dyDescent="0.2">
      <c r="A73" s="35" t="s">
        <v>200</v>
      </c>
      <c r="F73" s="71"/>
      <c r="G73" s="93"/>
      <c r="H73" s="42"/>
      <c r="I73" s="42"/>
      <c r="J73" s="42"/>
      <c r="K73" s="71"/>
      <c r="L73" s="74"/>
      <c r="M73" s="71"/>
      <c r="N73" s="71"/>
    </row>
    <row r="74" spans="1:14" x14ac:dyDescent="0.2">
      <c r="B74" s="35" t="s">
        <v>199</v>
      </c>
      <c r="F74" s="71"/>
      <c r="G74" s="74"/>
      <c r="H74" s="74"/>
      <c r="I74" s="74"/>
      <c r="J74" s="71"/>
      <c r="K74" s="71">
        <f>-[2]TB!C141</f>
        <v>0</v>
      </c>
      <c r="L74" s="74"/>
      <c r="M74" s="71"/>
      <c r="N74" s="71"/>
    </row>
    <row r="75" spans="1:14" x14ac:dyDescent="0.2">
      <c r="B75" s="35" t="s">
        <v>198</v>
      </c>
      <c r="F75" s="71"/>
      <c r="G75" s="74"/>
      <c r="H75" s="74"/>
      <c r="I75" s="74"/>
      <c r="J75" s="71"/>
      <c r="K75" s="71">
        <f>-[2]TB!C142</f>
        <v>328441560.04000002</v>
      </c>
      <c r="L75" s="74"/>
      <c r="M75" s="71"/>
      <c r="N75" s="71"/>
    </row>
    <row r="76" spans="1:14" x14ac:dyDescent="0.2">
      <c r="B76" s="35" t="s">
        <v>197</v>
      </c>
      <c r="F76" s="71"/>
      <c r="G76" s="74"/>
      <c r="H76" s="74"/>
      <c r="I76" s="74"/>
      <c r="J76" s="71"/>
      <c r="K76" s="74">
        <f>-[2]TB!C144</f>
        <v>49818448.100000001</v>
      </c>
      <c r="L76" s="74"/>
      <c r="M76" s="74"/>
      <c r="N76" s="74"/>
    </row>
    <row r="77" spans="1:14" x14ac:dyDescent="0.2">
      <c r="B77" s="35" t="s">
        <v>196</v>
      </c>
      <c r="F77" s="71"/>
      <c r="G77" s="74"/>
      <c r="H77" s="74"/>
      <c r="I77" s="74"/>
      <c r="J77" s="71"/>
      <c r="K77" s="74">
        <f>-[2]TB!C145</f>
        <v>65000000</v>
      </c>
      <c r="L77" s="74"/>
      <c r="M77" s="74"/>
      <c r="N77" s="74"/>
    </row>
    <row r="78" spans="1:14" x14ac:dyDescent="0.2">
      <c r="B78" s="35" t="s">
        <v>195</v>
      </c>
      <c r="F78" s="71"/>
      <c r="G78" s="74"/>
      <c r="H78" s="74"/>
      <c r="I78" s="74"/>
      <c r="J78" s="71"/>
      <c r="K78" s="74">
        <f>-[2]TB!C146</f>
        <v>13700000</v>
      </c>
      <c r="L78" s="74"/>
      <c r="M78" s="74"/>
      <c r="N78" s="74"/>
    </row>
    <row r="79" spans="1:14" x14ac:dyDescent="0.2">
      <c r="B79" s="35" t="s">
        <v>194</v>
      </c>
      <c r="F79" s="71"/>
      <c r="G79" s="74"/>
      <c r="H79" s="74"/>
      <c r="I79" s="74"/>
      <c r="J79" s="71"/>
      <c r="K79" s="76">
        <f>-[2]TB!C143</f>
        <v>0</v>
      </c>
      <c r="L79" s="74"/>
      <c r="M79" s="74">
        <f>SUM(K74:K79)</f>
        <v>456960008.13999999</v>
      </c>
      <c r="N79" s="74"/>
    </row>
    <row r="80" spans="1:14" x14ac:dyDescent="0.2">
      <c r="F80" s="71"/>
      <c r="G80" s="74"/>
      <c r="H80" s="74"/>
      <c r="I80" s="74"/>
      <c r="J80" s="71"/>
      <c r="K80" s="74"/>
      <c r="L80" s="74"/>
      <c r="M80" s="74"/>
      <c r="N80" s="74"/>
    </row>
    <row r="81" spans="1:14" ht="8.25" customHeight="1" x14ac:dyDescent="0.2">
      <c r="F81" s="71"/>
      <c r="G81" s="71"/>
      <c r="H81" s="71"/>
      <c r="I81" s="71"/>
      <c r="J81" s="71"/>
      <c r="K81" s="71"/>
      <c r="L81" s="74"/>
      <c r="M81" s="71"/>
      <c r="N81" s="71"/>
    </row>
    <row r="82" spans="1:14" x14ac:dyDescent="0.2">
      <c r="A82" s="35" t="s">
        <v>193</v>
      </c>
      <c r="F82" s="71"/>
      <c r="G82" s="71"/>
      <c r="H82" s="71"/>
      <c r="I82" s="71"/>
      <c r="J82" s="71"/>
      <c r="K82" s="71"/>
      <c r="L82" s="74"/>
      <c r="M82" s="71"/>
      <c r="N82" s="71"/>
    </row>
    <row r="83" spans="1:14" x14ac:dyDescent="0.2">
      <c r="B83" s="35" t="s">
        <v>192</v>
      </c>
      <c r="F83" s="71"/>
      <c r="G83" s="71"/>
      <c r="H83" s="71"/>
      <c r="I83" s="71"/>
      <c r="J83" s="71"/>
      <c r="K83" s="71">
        <f>-[2]TB!C147</f>
        <v>1655606</v>
      </c>
      <c r="L83" s="74"/>
      <c r="M83" s="71"/>
      <c r="N83" s="71"/>
    </row>
    <row r="84" spans="1:14" x14ac:dyDescent="0.2">
      <c r="B84" s="35" t="s">
        <v>191</v>
      </c>
      <c r="F84" s="71"/>
      <c r="G84" s="71"/>
      <c r="H84" s="71"/>
      <c r="I84" s="71"/>
      <c r="J84" s="71"/>
      <c r="K84" s="76">
        <f>-[2]TB!C148</f>
        <v>0</v>
      </c>
      <c r="L84" s="74"/>
      <c r="M84" s="71">
        <f>K84+K83</f>
        <v>1655606</v>
      </c>
      <c r="N84" s="71"/>
    </row>
    <row r="85" spans="1:14" ht="8.25" customHeight="1" x14ac:dyDescent="0.2">
      <c r="F85" s="71"/>
      <c r="G85" s="71"/>
      <c r="H85" s="71"/>
      <c r="I85" s="71"/>
      <c r="J85" s="71"/>
      <c r="K85" s="74"/>
      <c r="L85" s="74"/>
      <c r="M85" s="71"/>
      <c r="N85" s="71"/>
    </row>
    <row r="86" spans="1:14" x14ac:dyDescent="0.2">
      <c r="A86" s="35" t="s">
        <v>190</v>
      </c>
      <c r="F86" s="71"/>
      <c r="G86" s="71"/>
      <c r="H86" s="71"/>
      <c r="I86" s="71"/>
      <c r="J86" s="71"/>
      <c r="L86" s="74"/>
      <c r="M86" s="71">
        <f>-[2]TB!C149</f>
        <v>5903056.1799999997</v>
      </c>
      <c r="N86" s="71"/>
    </row>
    <row r="87" spans="1:14" ht="7.5" customHeight="1" x14ac:dyDescent="0.2">
      <c r="F87" s="71"/>
      <c r="G87" s="71"/>
      <c r="H87" s="71"/>
      <c r="I87" s="71"/>
      <c r="J87" s="71"/>
      <c r="L87" s="74"/>
      <c r="M87" s="71"/>
      <c r="N87" s="71"/>
    </row>
    <row r="88" spans="1:14" x14ac:dyDescent="0.2">
      <c r="A88" s="35" t="s">
        <v>189</v>
      </c>
      <c r="F88" s="71"/>
      <c r="G88" s="71"/>
      <c r="H88" s="74"/>
      <c r="I88" s="74"/>
      <c r="J88" s="71"/>
      <c r="L88" s="74"/>
      <c r="N88" s="74"/>
    </row>
    <row r="89" spans="1:14" x14ac:dyDescent="0.2">
      <c r="B89" s="35" t="s">
        <v>178</v>
      </c>
      <c r="F89" s="71"/>
      <c r="G89" s="71"/>
      <c r="H89" s="74"/>
      <c r="I89" s="74"/>
      <c r="J89" s="71"/>
      <c r="K89" s="71">
        <f>-[2]TB!C154</f>
        <v>264177.15999999997</v>
      </c>
      <c r="L89" s="74"/>
      <c r="M89" s="71"/>
      <c r="N89" s="74"/>
    </row>
    <row r="90" spans="1:14" x14ac:dyDescent="0.2">
      <c r="B90" s="35" t="s">
        <v>188</v>
      </c>
      <c r="F90" s="71"/>
      <c r="G90" s="71"/>
      <c r="H90" s="74"/>
      <c r="I90" s="74"/>
      <c r="J90" s="71"/>
      <c r="K90" s="42">
        <f>-[2]TB!C157</f>
        <v>409454.89</v>
      </c>
      <c r="L90" s="74"/>
      <c r="M90" s="71"/>
      <c r="N90" s="74"/>
    </row>
    <row r="91" spans="1:14" x14ac:dyDescent="0.2">
      <c r="B91" s="35" t="s">
        <v>187</v>
      </c>
      <c r="F91" s="71"/>
      <c r="G91" s="71"/>
      <c r="H91" s="74"/>
      <c r="I91" s="74"/>
      <c r="J91" s="71"/>
      <c r="K91" s="42">
        <f>-[2]TB!C155</f>
        <v>2210162.08</v>
      </c>
      <c r="L91" s="74"/>
      <c r="M91" s="71">
        <f>SUM(K89:K91)</f>
        <v>2883794.13</v>
      </c>
      <c r="N91" s="74"/>
    </row>
    <row r="92" spans="1:14" ht="8.25" customHeight="1" x14ac:dyDescent="0.2">
      <c r="F92" s="71"/>
      <c r="G92" s="71"/>
      <c r="H92" s="74"/>
      <c r="I92" s="74"/>
      <c r="J92" s="71"/>
      <c r="L92" s="74"/>
      <c r="M92" s="71"/>
      <c r="N92" s="74"/>
    </row>
    <row r="93" spans="1:14" x14ac:dyDescent="0.2">
      <c r="A93" s="35" t="s">
        <v>186</v>
      </c>
      <c r="J93" s="71"/>
      <c r="M93" s="42">
        <f>-[2]TB!C150</f>
        <v>4094028.25</v>
      </c>
    </row>
    <row r="94" spans="1:14" x14ac:dyDescent="0.2">
      <c r="A94" s="35" t="s">
        <v>185</v>
      </c>
      <c r="J94" s="71"/>
      <c r="L94" s="74"/>
      <c r="M94" s="74">
        <f>-[2]TB!C151</f>
        <v>127807.03999999999</v>
      </c>
      <c r="N94" s="57"/>
    </row>
    <row r="95" spans="1:14" x14ac:dyDescent="0.2">
      <c r="A95" s="35" t="s">
        <v>184</v>
      </c>
      <c r="J95" s="71"/>
      <c r="K95" s="74"/>
      <c r="M95" s="71">
        <f>-[2]TB!C159</f>
        <v>15643760.77</v>
      </c>
    </row>
    <row r="96" spans="1:14" ht="8.25" customHeight="1" x14ac:dyDescent="0.2">
      <c r="J96" s="71"/>
      <c r="M96" s="42"/>
    </row>
    <row r="97" spans="1:15" x14ac:dyDescent="0.2">
      <c r="A97" s="35" t="s">
        <v>182</v>
      </c>
      <c r="F97" s="71"/>
      <c r="G97" s="71"/>
      <c r="H97" s="71"/>
      <c r="I97" s="71"/>
      <c r="J97" s="71"/>
      <c r="K97" s="71"/>
      <c r="L97" s="74"/>
      <c r="M97" s="71"/>
      <c r="N97" s="71"/>
    </row>
    <row r="98" spans="1:15" x14ac:dyDescent="0.2">
      <c r="B98" s="35" t="s">
        <v>181</v>
      </c>
      <c r="F98" s="71"/>
      <c r="G98" s="71"/>
      <c r="H98" s="71"/>
      <c r="I98" s="71"/>
      <c r="J98" s="71"/>
      <c r="K98" s="71">
        <f>-[2]TB!C152</f>
        <v>4700917.8899999997</v>
      </c>
      <c r="L98" s="74"/>
      <c r="M98" s="71"/>
      <c r="N98" s="71"/>
    </row>
    <row r="99" spans="1:15" x14ac:dyDescent="0.2">
      <c r="B99" s="35" t="s">
        <v>180</v>
      </c>
      <c r="F99" s="71"/>
      <c r="G99" s="71"/>
      <c r="H99" s="71"/>
      <c r="I99" s="71"/>
      <c r="J99" s="71"/>
      <c r="K99" s="71">
        <f>-[2]TB!C158</f>
        <v>689926.47</v>
      </c>
      <c r="L99" s="74"/>
      <c r="M99" s="71"/>
      <c r="N99" s="71"/>
    </row>
    <row r="100" spans="1:15" x14ac:dyDescent="0.2">
      <c r="B100" s="35" t="s">
        <v>179</v>
      </c>
      <c r="F100" s="71"/>
      <c r="G100" s="71"/>
      <c r="H100" s="71"/>
      <c r="I100" s="71"/>
      <c r="J100" s="71"/>
      <c r="K100" s="71">
        <f>-[2]TB!C153</f>
        <v>45887.03</v>
      </c>
      <c r="L100" s="74"/>
      <c r="M100" s="71"/>
      <c r="N100" s="71"/>
    </row>
    <row r="101" spans="1:15" x14ac:dyDescent="0.2">
      <c r="B101" s="35" t="s">
        <v>177</v>
      </c>
      <c r="F101" s="71"/>
      <c r="G101" s="71"/>
      <c r="H101" s="71"/>
      <c r="I101" s="71"/>
      <c r="J101" s="71"/>
      <c r="K101" s="76">
        <f>-[2]TB!C160</f>
        <v>3369781.67</v>
      </c>
      <c r="L101" s="74"/>
      <c r="M101" s="74">
        <f>SUM(K98:K101)</f>
        <v>8806513.0600000005</v>
      </c>
      <c r="N101" s="71"/>
    </row>
    <row r="102" spans="1:15" ht="8.25" customHeight="1" x14ac:dyDescent="0.2">
      <c r="F102" s="71"/>
      <c r="G102" s="71"/>
      <c r="H102" s="71"/>
      <c r="I102" s="71"/>
      <c r="J102" s="71"/>
      <c r="L102" s="74"/>
      <c r="M102" s="71"/>
      <c r="N102" s="71"/>
    </row>
    <row r="103" spans="1:15" x14ac:dyDescent="0.2">
      <c r="A103" s="48" t="s">
        <v>176</v>
      </c>
      <c r="F103" s="71"/>
      <c r="G103" s="71"/>
      <c r="H103" s="71"/>
      <c r="I103" s="71"/>
      <c r="J103" s="71"/>
      <c r="K103" s="71"/>
      <c r="L103" s="74"/>
      <c r="M103" s="94">
        <f>SUM(M68:M102)</f>
        <v>1079559942.04</v>
      </c>
      <c r="N103" s="74"/>
      <c r="O103" s="42">
        <f>+M103-[2]TB!C268</f>
        <v>0</v>
      </c>
    </row>
    <row r="104" spans="1:15" x14ac:dyDescent="0.2">
      <c r="A104" s="48"/>
      <c r="F104" s="71"/>
      <c r="G104" s="71"/>
      <c r="H104" s="71"/>
      <c r="I104" s="71"/>
      <c r="J104" s="71"/>
      <c r="K104" s="71"/>
      <c r="L104" s="74"/>
      <c r="M104" s="74"/>
      <c r="N104" s="74"/>
    </row>
    <row r="105" spans="1:15" x14ac:dyDescent="0.2">
      <c r="F105" s="71"/>
      <c r="G105" s="71"/>
      <c r="H105" s="71"/>
      <c r="I105" s="71"/>
      <c r="J105" s="71"/>
      <c r="K105" s="71"/>
      <c r="L105" s="74"/>
      <c r="M105" s="71"/>
      <c r="N105" s="71"/>
    </row>
    <row r="106" spans="1:15" x14ac:dyDescent="0.2">
      <c r="F106" s="71"/>
      <c r="G106" s="71"/>
      <c r="H106" s="71"/>
      <c r="I106" s="71"/>
      <c r="J106" s="71"/>
      <c r="K106" s="71"/>
      <c r="L106" s="74"/>
      <c r="M106" s="71"/>
      <c r="N106" s="71"/>
    </row>
    <row r="107" spans="1:15" x14ac:dyDescent="0.2">
      <c r="F107" s="71"/>
      <c r="G107" s="71"/>
      <c r="H107" s="71"/>
      <c r="I107" s="71"/>
      <c r="J107" s="71"/>
      <c r="K107" s="71"/>
      <c r="L107" s="74"/>
      <c r="M107" s="71"/>
      <c r="N107" s="71"/>
    </row>
    <row r="108" spans="1:15" x14ac:dyDescent="0.2">
      <c r="F108" s="71"/>
      <c r="G108" s="71"/>
      <c r="H108" s="71"/>
      <c r="I108" s="71"/>
      <c r="J108" s="71"/>
      <c r="K108" s="71"/>
      <c r="L108" s="74"/>
      <c r="M108" s="71"/>
      <c r="N108" s="71"/>
    </row>
    <row r="109" spans="1:15" x14ac:dyDescent="0.2">
      <c r="F109" s="71"/>
      <c r="G109" s="71"/>
      <c r="H109" s="71"/>
      <c r="I109" s="71"/>
      <c r="J109" s="71"/>
      <c r="K109" s="71"/>
      <c r="L109" s="74"/>
      <c r="M109" s="71"/>
      <c r="N109" s="71"/>
    </row>
    <row r="110" spans="1:15" x14ac:dyDescent="0.2">
      <c r="F110" s="71"/>
      <c r="G110" s="71"/>
      <c r="H110" s="71"/>
      <c r="I110" s="71"/>
      <c r="J110" s="71"/>
      <c r="K110" s="71"/>
      <c r="L110" s="74"/>
      <c r="M110" s="71"/>
      <c r="N110" s="71"/>
    </row>
    <row r="111" spans="1:15" x14ac:dyDescent="0.2">
      <c r="F111" s="71"/>
      <c r="G111" s="71"/>
      <c r="H111" s="71"/>
      <c r="I111" s="71"/>
      <c r="J111" s="71"/>
      <c r="K111" s="71"/>
      <c r="L111" s="74"/>
      <c r="M111" s="71"/>
      <c r="N111" s="71"/>
    </row>
    <row r="112" spans="1:15" x14ac:dyDescent="0.2">
      <c r="A112" s="48" t="s">
        <v>175</v>
      </c>
      <c r="F112" s="71"/>
      <c r="G112" s="71"/>
      <c r="H112" s="71"/>
      <c r="I112" s="71"/>
      <c r="J112" s="71"/>
      <c r="K112" s="71"/>
      <c r="L112" s="74"/>
      <c r="M112" s="71"/>
      <c r="N112" s="71"/>
    </row>
    <row r="113" spans="1:18" x14ac:dyDescent="0.2">
      <c r="F113" s="71"/>
      <c r="I113" s="77" t="s">
        <v>174</v>
      </c>
      <c r="J113" s="77" t="s">
        <v>173</v>
      </c>
      <c r="K113" s="77" t="s">
        <v>172</v>
      </c>
      <c r="L113" s="78"/>
      <c r="M113" s="71"/>
      <c r="N113" s="71"/>
    </row>
    <row r="114" spans="1:18" x14ac:dyDescent="0.2">
      <c r="A114" s="35" t="s">
        <v>171</v>
      </c>
      <c r="F114" s="71"/>
      <c r="I114" s="71"/>
      <c r="J114" s="71"/>
      <c r="K114" s="71"/>
      <c r="L114" s="74"/>
      <c r="M114" s="71"/>
      <c r="N114" s="71"/>
    </row>
    <row r="115" spans="1:18" x14ac:dyDescent="0.2">
      <c r="B115" s="35" t="s">
        <v>170</v>
      </c>
      <c r="F115" s="71"/>
      <c r="I115" s="71">
        <v>352000000</v>
      </c>
      <c r="J115" s="71">
        <v>126500000</v>
      </c>
      <c r="K115" s="71">
        <f>-[2]TB!C161</f>
        <v>126500000</v>
      </c>
      <c r="L115" s="74"/>
      <c r="M115" s="71"/>
      <c r="N115" s="71"/>
    </row>
    <row r="116" spans="1:18" x14ac:dyDescent="0.2">
      <c r="B116" s="35" t="s">
        <v>169</v>
      </c>
      <c r="F116" s="71"/>
      <c r="I116" s="71">
        <v>198000000</v>
      </c>
      <c r="J116" s="71">
        <v>38420000</v>
      </c>
      <c r="K116" s="71">
        <f>-[2]TB!C163</f>
        <v>11545550</v>
      </c>
      <c r="L116" s="74"/>
      <c r="M116" s="74"/>
      <c r="N116" s="71"/>
    </row>
    <row r="117" spans="1:18" x14ac:dyDescent="0.2">
      <c r="B117" s="35" t="s">
        <v>168</v>
      </c>
      <c r="F117" s="71"/>
      <c r="I117" s="79">
        <f>SUM(I115:I116)</f>
        <v>550000000</v>
      </c>
      <c r="J117" s="79">
        <f>SUM(J115:J116)</f>
        <v>164920000</v>
      </c>
      <c r="K117" s="79">
        <f>SUM(K115:K116)</f>
        <v>138045550</v>
      </c>
      <c r="L117" s="74"/>
      <c r="M117" s="74">
        <f>K117</f>
        <v>138045550</v>
      </c>
      <c r="N117" s="74"/>
    </row>
    <row r="118" spans="1:18" x14ac:dyDescent="0.2">
      <c r="F118" s="71"/>
      <c r="G118" s="74"/>
      <c r="H118" s="74"/>
      <c r="I118" s="71"/>
      <c r="J118" s="71"/>
      <c r="K118" s="74"/>
      <c r="L118" s="74"/>
      <c r="M118" s="74"/>
      <c r="N118" s="71"/>
    </row>
    <row r="119" spans="1:18" x14ac:dyDescent="0.2">
      <c r="A119" s="35" t="s">
        <v>167</v>
      </c>
      <c r="F119" s="71"/>
      <c r="G119" s="74"/>
      <c r="H119" s="74"/>
      <c r="I119" s="71"/>
      <c r="J119" s="71"/>
      <c r="K119" s="74"/>
      <c r="L119" s="74"/>
      <c r="M119" s="74">
        <f>-[2]TB!C162</f>
        <v>0</v>
      </c>
      <c r="N119" s="71"/>
    </row>
    <row r="120" spans="1:18" x14ac:dyDescent="0.2">
      <c r="F120" s="71"/>
      <c r="G120" s="74"/>
      <c r="H120" s="74"/>
      <c r="I120" s="71"/>
      <c r="J120" s="71"/>
      <c r="K120" s="74"/>
      <c r="L120" s="74"/>
      <c r="M120" s="74"/>
      <c r="N120" s="71"/>
    </row>
    <row r="121" spans="1:18" x14ac:dyDescent="0.2">
      <c r="A121" s="35" t="s">
        <v>166</v>
      </c>
      <c r="F121" s="71"/>
      <c r="G121" s="71"/>
      <c r="H121" s="71"/>
      <c r="I121" s="71"/>
      <c r="J121" s="71"/>
      <c r="K121" s="71"/>
      <c r="L121" s="74"/>
      <c r="M121" s="74"/>
      <c r="N121" s="71"/>
    </row>
    <row r="122" spans="1:18" x14ac:dyDescent="0.2">
      <c r="B122" s="35" t="s">
        <v>165</v>
      </c>
      <c r="F122" s="71"/>
      <c r="G122" s="71"/>
      <c r="H122" s="71"/>
      <c r="I122" s="71"/>
      <c r="J122" s="71"/>
      <c r="K122" s="74">
        <f>-[2]TB!C164</f>
        <v>37254218.25</v>
      </c>
      <c r="L122" s="74"/>
      <c r="N122" s="74"/>
    </row>
    <row r="123" spans="1:18" x14ac:dyDescent="0.2">
      <c r="B123" s="35" t="s">
        <v>164</v>
      </c>
      <c r="F123" s="71"/>
      <c r="G123" s="71"/>
      <c r="H123" s="71"/>
      <c r="I123" s="71"/>
      <c r="J123" s="71"/>
      <c r="K123" s="76">
        <f>-[2]TB!C165</f>
        <v>13000000</v>
      </c>
      <c r="L123" s="74"/>
      <c r="M123" s="42">
        <f>SUM(K122:K123)</f>
        <v>50254218.25</v>
      </c>
      <c r="N123" s="71"/>
    </row>
    <row r="124" spans="1:18" x14ac:dyDescent="0.2">
      <c r="F124" s="71"/>
      <c r="G124" s="71"/>
      <c r="H124" s="71"/>
      <c r="I124" s="71"/>
      <c r="J124" s="71"/>
      <c r="K124" s="71"/>
      <c r="L124" s="74"/>
      <c r="M124" s="74"/>
      <c r="N124" s="74"/>
    </row>
    <row r="125" spans="1:18" hidden="1" x14ac:dyDescent="0.2">
      <c r="A125" s="35" t="s">
        <v>162</v>
      </c>
      <c r="F125" s="71"/>
      <c r="G125" s="71"/>
      <c r="H125" s="71"/>
      <c r="I125" s="71"/>
      <c r="J125" s="71"/>
      <c r="K125" s="74"/>
      <c r="L125" s="74"/>
      <c r="M125" s="74">
        <f>-[2]TB!C166</f>
        <v>0</v>
      </c>
      <c r="N125" s="71"/>
    </row>
    <row r="126" spans="1:18" ht="12" hidden="1" customHeight="1" x14ac:dyDescent="0.2">
      <c r="A126" s="35" t="s">
        <v>163</v>
      </c>
      <c r="F126" s="71"/>
      <c r="G126" s="71"/>
      <c r="H126" s="71"/>
      <c r="I126" s="71"/>
      <c r="J126" s="71"/>
      <c r="K126" s="74"/>
      <c r="L126" s="74"/>
      <c r="M126" s="74">
        <v>0</v>
      </c>
      <c r="N126" s="71"/>
    </row>
    <row r="127" spans="1:18" x14ac:dyDescent="0.2">
      <c r="A127" s="35" t="s">
        <v>162</v>
      </c>
      <c r="F127" s="71"/>
      <c r="G127" s="71"/>
      <c r="H127" s="71"/>
      <c r="I127" s="71"/>
      <c r="J127" s="71"/>
      <c r="K127" s="36"/>
      <c r="L127" s="83"/>
      <c r="M127" s="74">
        <f>M269</f>
        <v>14357680.390000001</v>
      </c>
      <c r="N127" s="74"/>
    </row>
    <row r="128" spans="1:18" x14ac:dyDescent="0.2">
      <c r="F128" s="71"/>
      <c r="G128" s="71"/>
      <c r="H128" s="71"/>
      <c r="I128" s="71"/>
      <c r="J128" s="71"/>
      <c r="K128" s="36"/>
      <c r="L128" s="74"/>
      <c r="M128" s="74"/>
      <c r="N128" s="74"/>
      <c r="P128" s="37" t="s">
        <v>161</v>
      </c>
      <c r="Q128" s="36" t="s">
        <v>160</v>
      </c>
      <c r="R128" s="35" t="s">
        <v>159</v>
      </c>
    </row>
    <row r="129" spans="1:18" x14ac:dyDescent="0.2">
      <c r="A129" s="48" t="s">
        <v>158</v>
      </c>
      <c r="F129" s="71"/>
      <c r="G129" s="71"/>
      <c r="H129" s="71"/>
      <c r="I129" s="71"/>
      <c r="J129" s="71"/>
      <c r="K129" s="36"/>
      <c r="L129" s="74"/>
      <c r="M129" s="94">
        <f>SUM(M117:M128)</f>
        <v>202657448.63999999</v>
      </c>
      <c r="N129" s="74"/>
      <c r="O129" s="42" t="s">
        <v>157</v>
      </c>
      <c r="P129" s="37">
        <f>+Q129*R129</f>
        <v>10000000</v>
      </c>
      <c r="Q129" s="36">
        <v>100000</v>
      </c>
      <c r="R129" s="42">
        <v>100</v>
      </c>
    </row>
    <row r="130" spans="1:18" ht="12" thickBot="1" x14ac:dyDescent="0.25">
      <c r="A130" s="48"/>
      <c r="F130" s="71"/>
      <c r="G130" s="71"/>
      <c r="H130" s="71"/>
      <c r="I130" s="71"/>
      <c r="J130" s="71"/>
      <c r="K130" s="36"/>
      <c r="L130" s="74"/>
      <c r="M130" s="74"/>
      <c r="N130" s="74"/>
      <c r="O130" s="35" t="s">
        <v>156</v>
      </c>
      <c r="P130" s="37">
        <f>+Q130*R130</f>
        <v>5000000</v>
      </c>
      <c r="Q130" s="36">
        <v>50000</v>
      </c>
      <c r="R130" s="35">
        <v>100</v>
      </c>
    </row>
    <row r="131" spans="1:18" ht="12" thickBot="1" x14ac:dyDescent="0.25">
      <c r="A131" s="48" t="s">
        <v>155</v>
      </c>
      <c r="F131" s="71"/>
      <c r="G131" s="71"/>
      <c r="H131" s="71"/>
      <c r="I131" s="71"/>
      <c r="J131" s="71"/>
      <c r="K131" s="36"/>
      <c r="L131" s="74"/>
      <c r="M131" s="90">
        <f>+M129+M103</f>
        <v>1282217390.6800001</v>
      </c>
      <c r="N131" s="85"/>
      <c r="O131" s="42">
        <f>M131-M64</f>
        <v>0</v>
      </c>
      <c r="P131" s="37">
        <f>SUM(P129:P130)</f>
        <v>15000000</v>
      </c>
      <c r="Q131" s="36">
        <f>SUM(Q129:Q130)</f>
        <v>150000</v>
      </c>
    </row>
    <row r="132" spans="1:18" x14ac:dyDescent="0.2">
      <c r="F132" s="71"/>
      <c r="G132" s="71"/>
      <c r="H132" s="71"/>
      <c r="I132" s="71"/>
      <c r="J132" s="71"/>
      <c r="K132" s="71"/>
      <c r="L132" s="74"/>
      <c r="M132" s="60"/>
      <c r="O132" s="42"/>
    </row>
    <row r="133" spans="1:18" x14ac:dyDescent="0.2">
      <c r="J133" s="71"/>
      <c r="M133" s="42"/>
      <c r="N133" s="59"/>
      <c r="P133" s="37">
        <f>+Q133*R133</f>
        <v>352000000</v>
      </c>
      <c r="Q133" s="36">
        <v>3520000</v>
      </c>
      <c r="R133" s="35">
        <v>100</v>
      </c>
    </row>
    <row r="134" spans="1:18" x14ac:dyDescent="0.2">
      <c r="E134" s="35"/>
      <c r="H134" s="71"/>
      <c r="L134" s="74"/>
      <c r="M134" s="96"/>
      <c r="N134" s="71"/>
      <c r="P134" s="37">
        <f>+Q134*R134</f>
        <v>48000000</v>
      </c>
      <c r="Q134" s="36">
        <v>480000</v>
      </c>
      <c r="R134" s="35">
        <v>100</v>
      </c>
    </row>
    <row r="135" spans="1:18" x14ac:dyDescent="0.2">
      <c r="E135" s="35"/>
      <c r="H135" s="71"/>
      <c r="L135" s="74"/>
      <c r="M135" s="71"/>
      <c r="N135" s="71"/>
      <c r="P135" s="37">
        <f>SUM(P133:P134)</f>
        <v>400000000</v>
      </c>
      <c r="Q135" s="36">
        <f>SUM(Q133:Q134)</f>
        <v>4000000</v>
      </c>
    </row>
    <row r="136" spans="1:18" x14ac:dyDescent="0.2">
      <c r="E136" s="35"/>
      <c r="H136" s="71"/>
      <c r="L136" s="74"/>
      <c r="M136" s="71"/>
      <c r="N136" s="71"/>
    </row>
    <row r="137" spans="1:18" x14ac:dyDescent="0.2">
      <c r="F137" s="71"/>
      <c r="G137" s="71"/>
      <c r="J137" s="74"/>
      <c r="K137" s="71"/>
      <c r="L137" s="35"/>
      <c r="N137" s="71"/>
      <c r="P137" s="37">
        <f>+P135-P131</f>
        <v>385000000</v>
      </c>
    </row>
    <row r="138" spans="1:18" x14ac:dyDescent="0.2">
      <c r="F138" s="71"/>
      <c r="G138" s="71"/>
      <c r="J138" s="74"/>
      <c r="K138" s="71"/>
      <c r="L138" s="35"/>
      <c r="N138" s="71"/>
    </row>
    <row r="139" spans="1:18" x14ac:dyDescent="0.2">
      <c r="F139" s="71"/>
      <c r="G139" s="71"/>
      <c r="J139" s="74"/>
      <c r="K139" s="71"/>
      <c r="L139" s="35"/>
      <c r="N139" s="71"/>
      <c r="P139" s="37" t="s">
        <v>154</v>
      </c>
    </row>
    <row r="140" spans="1:18" x14ac:dyDescent="0.2">
      <c r="F140" s="71"/>
      <c r="G140" s="71"/>
      <c r="J140" s="97"/>
      <c r="K140" s="97"/>
      <c r="L140" s="35"/>
      <c r="N140" s="97"/>
      <c r="P140" s="37">
        <f>+Q140*R140</f>
        <v>96500000</v>
      </c>
      <c r="Q140" s="36">
        <v>965000</v>
      </c>
      <c r="R140" s="35">
        <v>100</v>
      </c>
    </row>
    <row r="141" spans="1:18" x14ac:dyDescent="0.2">
      <c r="G141" s="71"/>
      <c r="J141" s="74"/>
      <c r="K141" s="98"/>
      <c r="L141" s="35"/>
      <c r="N141" s="71"/>
      <c r="Q141" s="36">
        <f>+Q140-1100000</f>
        <v>-135000</v>
      </c>
    </row>
    <row r="142" spans="1:18" x14ac:dyDescent="0.2">
      <c r="F142" s="71"/>
      <c r="G142" s="71"/>
      <c r="H142" s="71"/>
      <c r="I142" s="71"/>
      <c r="J142" s="71"/>
      <c r="K142" s="53"/>
      <c r="L142" s="74"/>
      <c r="M142" s="71"/>
      <c r="N142" s="71"/>
      <c r="P142" s="37">
        <f>+P137-P140</f>
        <v>288500000</v>
      </c>
      <c r="Q142" s="36">
        <f>+M117/Q140</f>
        <v>143.05000000000001</v>
      </c>
    </row>
    <row r="143" spans="1:18" x14ac:dyDescent="0.2">
      <c r="C143" s="99" t="s">
        <v>4</v>
      </c>
      <c r="F143" s="71"/>
      <c r="G143" s="71"/>
      <c r="H143" s="99" t="s">
        <v>153</v>
      </c>
      <c r="J143" s="71"/>
      <c r="K143" s="100" t="s">
        <v>82</v>
      </c>
      <c r="L143" s="74"/>
      <c r="M143" s="71"/>
      <c r="N143" s="71"/>
    </row>
    <row r="144" spans="1:18" x14ac:dyDescent="0.2">
      <c r="C144" s="101"/>
      <c r="F144" s="71"/>
      <c r="G144" s="71"/>
      <c r="H144" s="71"/>
      <c r="J144" s="71"/>
      <c r="K144" s="98"/>
      <c r="L144" s="74"/>
      <c r="M144" s="71"/>
      <c r="N144" s="71"/>
      <c r="P144" s="37">
        <f>110000000/1100000</f>
        <v>100</v>
      </c>
    </row>
    <row r="145" spans="3:17" x14ac:dyDescent="0.2">
      <c r="C145" s="71"/>
      <c r="F145" s="71"/>
      <c r="G145" s="71"/>
      <c r="H145" s="71"/>
      <c r="J145" s="71"/>
      <c r="K145" s="98"/>
      <c r="L145" s="74"/>
      <c r="M145" s="71"/>
      <c r="N145" s="71"/>
    </row>
    <row r="146" spans="3:17" s="48" customFormat="1" x14ac:dyDescent="0.2">
      <c r="C146" s="51" t="s">
        <v>152</v>
      </c>
      <c r="E146" s="52"/>
      <c r="F146" s="51"/>
      <c r="G146" s="51"/>
      <c r="H146" s="49" t="s">
        <v>151</v>
      </c>
      <c r="J146" s="102"/>
      <c r="K146" s="54" t="s">
        <v>81</v>
      </c>
      <c r="N146" s="85"/>
      <c r="P146" s="50"/>
      <c r="Q146" s="49"/>
    </row>
    <row r="147" spans="3:17" x14ac:dyDescent="0.2">
      <c r="C147" s="36" t="s">
        <v>1</v>
      </c>
      <c r="G147" s="44"/>
      <c r="H147" s="36" t="s">
        <v>272</v>
      </c>
      <c r="J147" s="74"/>
      <c r="K147" s="53" t="s">
        <v>80</v>
      </c>
      <c r="L147" s="35"/>
      <c r="N147" s="74"/>
    </row>
    <row r="148" spans="3:17" x14ac:dyDescent="0.2">
      <c r="F148" s="44"/>
      <c r="G148" s="44"/>
      <c r="H148" s="44"/>
      <c r="I148" s="71"/>
      <c r="J148" s="71"/>
      <c r="K148" s="98"/>
      <c r="L148" s="74"/>
      <c r="M148" s="71"/>
      <c r="N148" s="71"/>
    </row>
    <row r="149" spans="3:17" x14ac:dyDescent="0.2">
      <c r="F149" s="44"/>
      <c r="G149" s="44"/>
      <c r="H149" s="44"/>
      <c r="I149" s="71"/>
      <c r="J149" s="71"/>
      <c r="K149" s="98"/>
      <c r="L149" s="74"/>
      <c r="M149" s="71"/>
      <c r="N149" s="71"/>
    </row>
    <row r="150" spans="3:17" s="48" customFormat="1" x14ac:dyDescent="0.2">
      <c r="C150" s="49" t="s">
        <v>271</v>
      </c>
      <c r="E150" s="52"/>
      <c r="F150" s="51"/>
      <c r="G150" s="51"/>
      <c r="H150" s="51"/>
      <c r="I150" s="84"/>
      <c r="J150" s="84"/>
      <c r="K150" s="103"/>
      <c r="L150" s="85"/>
      <c r="M150" s="84"/>
      <c r="N150" s="84"/>
      <c r="P150" s="50"/>
      <c r="Q150" s="49"/>
    </row>
    <row r="151" spans="3:17" x14ac:dyDescent="0.2">
      <c r="C151" s="36" t="s">
        <v>1</v>
      </c>
      <c r="F151" s="44"/>
      <c r="G151" s="44"/>
      <c r="H151" s="44"/>
      <c r="I151" s="71"/>
      <c r="J151" s="71"/>
      <c r="K151" s="71"/>
      <c r="L151" s="74"/>
      <c r="M151" s="71"/>
      <c r="N151" s="71"/>
    </row>
    <row r="152" spans="3:17" x14ac:dyDescent="0.2">
      <c r="F152" s="71"/>
      <c r="G152" s="71"/>
      <c r="H152" s="71"/>
      <c r="I152" s="71"/>
      <c r="J152" s="71"/>
      <c r="K152" s="71"/>
      <c r="L152" s="74"/>
      <c r="M152" s="71"/>
      <c r="N152" s="71"/>
    </row>
    <row r="153" spans="3:17" x14ac:dyDescent="0.2">
      <c r="F153" s="71"/>
      <c r="G153" s="71"/>
      <c r="H153" s="71"/>
      <c r="I153" s="71"/>
      <c r="J153" s="71"/>
      <c r="K153" s="71"/>
      <c r="L153" s="74"/>
      <c r="M153" s="71"/>
      <c r="N153" s="71"/>
    </row>
    <row r="154" spans="3:17" x14ac:dyDescent="0.2">
      <c r="F154" s="71"/>
      <c r="G154" s="71"/>
      <c r="H154" s="71"/>
      <c r="I154" s="71"/>
      <c r="J154" s="71"/>
      <c r="K154" s="71"/>
      <c r="L154" s="74"/>
      <c r="M154" s="71"/>
      <c r="N154" s="71"/>
    </row>
    <row r="155" spans="3:17" x14ac:dyDescent="0.2">
      <c r="F155" s="71"/>
      <c r="G155" s="71"/>
      <c r="H155" s="71"/>
      <c r="I155" s="71"/>
      <c r="J155" s="71"/>
      <c r="K155" s="71"/>
      <c r="L155" s="74"/>
      <c r="M155" s="71"/>
      <c r="N155" s="71"/>
    </row>
    <row r="156" spans="3:17" x14ac:dyDescent="0.2">
      <c r="F156" s="71"/>
      <c r="G156" s="71"/>
      <c r="H156" s="71"/>
      <c r="I156" s="71"/>
      <c r="J156" s="71"/>
      <c r="K156" s="71"/>
      <c r="L156" s="74"/>
      <c r="M156" s="71"/>
      <c r="N156" s="71"/>
    </row>
    <row r="157" spans="3:17" x14ac:dyDescent="0.2">
      <c r="F157" s="71"/>
      <c r="G157" s="71"/>
      <c r="H157" s="71"/>
      <c r="I157" s="71"/>
      <c r="J157" s="71"/>
      <c r="K157" s="71"/>
      <c r="L157" s="74"/>
      <c r="M157" s="71"/>
      <c r="N157" s="71"/>
    </row>
    <row r="158" spans="3:17" x14ac:dyDescent="0.2">
      <c r="F158" s="71"/>
      <c r="G158" s="71"/>
      <c r="H158" s="71"/>
      <c r="I158" s="71"/>
      <c r="J158" s="71"/>
      <c r="K158" s="71"/>
      <c r="L158" s="74"/>
      <c r="M158" s="71"/>
      <c r="N158" s="71"/>
    </row>
    <row r="159" spans="3:17" x14ac:dyDescent="0.2">
      <c r="F159" s="71"/>
      <c r="G159" s="71"/>
      <c r="H159" s="71"/>
      <c r="I159" s="71"/>
      <c r="J159" s="71"/>
      <c r="K159" s="71"/>
      <c r="L159" s="74"/>
      <c r="M159" s="71"/>
      <c r="N159" s="71"/>
    </row>
    <row r="160" spans="3:17" x14ac:dyDescent="0.2">
      <c r="F160" s="71"/>
      <c r="G160" s="71"/>
      <c r="H160" s="71"/>
      <c r="I160" s="71"/>
      <c r="J160" s="71"/>
      <c r="K160" s="71"/>
      <c r="L160" s="74"/>
      <c r="M160" s="71"/>
      <c r="N160" s="71"/>
    </row>
    <row r="161" spans="6:14" x14ac:dyDescent="0.2">
      <c r="F161" s="71"/>
      <c r="G161" s="71"/>
      <c r="H161" s="71"/>
      <c r="I161" s="71"/>
      <c r="J161" s="71"/>
      <c r="K161" s="71"/>
      <c r="L161" s="74"/>
      <c r="M161" s="71"/>
      <c r="N161" s="71"/>
    </row>
    <row r="162" spans="6:14" x14ac:dyDescent="0.2">
      <c r="F162" s="71"/>
      <c r="G162" s="71"/>
      <c r="H162" s="71"/>
      <c r="I162" s="71"/>
      <c r="J162" s="71"/>
      <c r="K162" s="71"/>
      <c r="L162" s="74"/>
      <c r="M162" s="71"/>
      <c r="N162" s="71"/>
    </row>
    <row r="163" spans="6:14" x14ac:dyDescent="0.2">
      <c r="F163" s="71"/>
      <c r="G163" s="71"/>
      <c r="H163" s="71"/>
      <c r="I163" s="71"/>
      <c r="J163" s="71"/>
      <c r="K163" s="71"/>
      <c r="L163" s="74"/>
      <c r="M163" s="71"/>
      <c r="N163" s="71"/>
    </row>
    <row r="164" spans="6:14" x14ac:dyDescent="0.2">
      <c r="F164" s="71"/>
      <c r="G164" s="71"/>
      <c r="H164" s="71"/>
      <c r="I164" s="71"/>
      <c r="J164" s="71"/>
      <c r="K164" s="71"/>
      <c r="L164" s="74"/>
      <c r="M164" s="71"/>
      <c r="N164" s="71"/>
    </row>
    <row r="165" spans="6:14" x14ac:dyDescent="0.2">
      <c r="F165" s="71"/>
      <c r="G165" s="71"/>
      <c r="H165" s="71"/>
      <c r="I165" s="71"/>
      <c r="J165" s="71"/>
      <c r="K165" s="71"/>
      <c r="L165" s="74"/>
      <c r="M165" s="71"/>
      <c r="N165" s="71"/>
    </row>
    <row r="166" spans="6:14" x14ac:dyDescent="0.2">
      <c r="F166" s="71"/>
      <c r="G166" s="71"/>
      <c r="H166" s="71"/>
      <c r="I166" s="71"/>
      <c r="J166" s="71"/>
      <c r="K166" s="71"/>
      <c r="L166" s="74"/>
      <c r="M166" s="71"/>
      <c r="N166" s="71"/>
    </row>
    <row r="167" spans="6:14" x14ac:dyDescent="0.2">
      <c r="F167" s="71"/>
      <c r="G167" s="71"/>
      <c r="H167" s="71"/>
      <c r="I167" s="71"/>
      <c r="J167" s="71"/>
      <c r="K167" s="71"/>
      <c r="L167" s="74"/>
      <c r="M167" s="71"/>
      <c r="N167" s="71"/>
    </row>
    <row r="168" spans="6:14" x14ac:dyDescent="0.2">
      <c r="F168" s="71"/>
      <c r="G168" s="71"/>
      <c r="H168" s="71"/>
      <c r="I168" s="71"/>
      <c r="J168" s="71"/>
      <c r="K168" s="71"/>
      <c r="L168" s="74"/>
      <c r="M168" s="71"/>
      <c r="N168" s="71"/>
    </row>
    <row r="169" spans="6:14" x14ac:dyDescent="0.2">
      <c r="F169" s="71"/>
      <c r="G169" s="71"/>
      <c r="H169" s="71"/>
      <c r="I169" s="71"/>
      <c r="J169" s="71"/>
      <c r="K169" s="71"/>
      <c r="L169" s="74"/>
      <c r="M169" s="71"/>
      <c r="N169" s="71"/>
    </row>
    <row r="170" spans="6:14" x14ac:dyDescent="0.2">
      <c r="F170" s="71"/>
      <c r="G170" s="71"/>
      <c r="H170" s="71"/>
      <c r="I170" s="71"/>
      <c r="J170" s="71"/>
      <c r="K170" s="71"/>
      <c r="L170" s="74"/>
      <c r="M170" s="71"/>
      <c r="N170" s="71"/>
    </row>
    <row r="171" spans="6:14" x14ac:dyDescent="0.2">
      <c r="F171" s="71"/>
      <c r="G171" s="71"/>
      <c r="H171" s="71"/>
      <c r="I171" s="71"/>
      <c r="J171" s="71"/>
      <c r="K171" s="71"/>
      <c r="L171" s="74"/>
      <c r="M171" s="71"/>
      <c r="N171" s="71"/>
    </row>
    <row r="172" spans="6:14" x14ac:dyDescent="0.2">
      <c r="F172" s="71"/>
      <c r="G172" s="71"/>
      <c r="H172" s="71"/>
      <c r="I172" s="71"/>
      <c r="J172" s="71"/>
      <c r="K172" s="71"/>
      <c r="L172" s="74"/>
      <c r="M172" s="71"/>
      <c r="N172" s="71"/>
    </row>
    <row r="173" spans="6:14" x14ac:dyDescent="0.2">
      <c r="F173" s="71"/>
      <c r="G173" s="71"/>
      <c r="H173" s="71"/>
      <c r="I173" s="71"/>
      <c r="J173" s="71"/>
      <c r="K173" s="71"/>
      <c r="L173" s="74"/>
      <c r="M173" s="71"/>
      <c r="N173" s="71"/>
    </row>
    <row r="174" spans="6:14" x14ac:dyDescent="0.2">
      <c r="F174" s="71"/>
      <c r="G174" s="71"/>
      <c r="H174" s="71"/>
      <c r="I174" s="71"/>
      <c r="J174" s="71"/>
      <c r="K174" s="71"/>
      <c r="L174" s="74"/>
      <c r="M174" s="71"/>
      <c r="N174" s="71"/>
    </row>
    <row r="175" spans="6:14" x14ac:dyDescent="0.2">
      <c r="F175" s="71"/>
      <c r="G175" s="71"/>
      <c r="H175" s="71"/>
      <c r="I175" s="71"/>
      <c r="J175" s="71"/>
      <c r="K175" s="71"/>
      <c r="L175" s="74"/>
      <c r="M175" s="71"/>
      <c r="N175" s="71"/>
    </row>
    <row r="176" spans="6:14" x14ac:dyDescent="0.2">
      <c r="F176" s="71"/>
      <c r="G176" s="71"/>
      <c r="H176" s="71"/>
      <c r="I176" s="71"/>
      <c r="J176" s="71"/>
      <c r="K176" s="71"/>
      <c r="L176" s="74"/>
      <c r="M176" s="71"/>
      <c r="N176" s="71"/>
    </row>
    <row r="177" spans="1:14" x14ac:dyDescent="0.2">
      <c r="F177" s="71"/>
      <c r="G177" s="71"/>
      <c r="H177" s="71"/>
      <c r="I177" s="71"/>
      <c r="J177" s="71"/>
      <c r="K177" s="71"/>
      <c r="L177" s="74"/>
      <c r="M177" s="71"/>
      <c r="N177" s="71"/>
    </row>
    <row r="178" spans="1:14" x14ac:dyDescent="0.2">
      <c r="F178" s="71"/>
      <c r="G178" s="71"/>
      <c r="H178" s="71"/>
      <c r="I178" s="71"/>
      <c r="J178" s="71"/>
      <c r="K178" s="71"/>
      <c r="L178" s="74"/>
      <c r="M178" s="71"/>
      <c r="N178" s="71"/>
    </row>
    <row r="179" spans="1:14" x14ac:dyDescent="0.2">
      <c r="F179" s="71"/>
      <c r="G179" s="71"/>
      <c r="H179" s="71"/>
      <c r="I179" s="71"/>
      <c r="J179" s="71"/>
      <c r="K179" s="71"/>
      <c r="L179" s="74"/>
      <c r="M179" s="71"/>
      <c r="N179" s="71"/>
    </row>
    <row r="180" spans="1:14" x14ac:dyDescent="0.2">
      <c r="F180" s="71"/>
      <c r="G180" s="71"/>
      <c r="H180" s="71"/>
      <c r="I180" s="71"/>
      <c r="J180" s="71"/>
      <c r="K180" s="71"/>
      <c r="L180" s="74"/>
      <c r="M180" s="71"/>
      <c r="N180" s="71"/>
    </row>
    <row r="181" spans="1:14" x14ac:dyDescent="0.2">
      <c r="F181" s="71"/>
      <c r="G181" s="71"/>
      <c r="H181" s="71"/>
      <c r="I181" s="71"/>
      <c r="J181" s="71"/>
      <c r="K181" s="71"/>
      <c r="L181" s="74"/>
      <c r="M181" s="71"/>
      <c r="N181" s="71"/>
    </row>
    <row r="182" spans="1:14" x14ac:dyDescent="0.2">
      <c r="F182" s="71"/>
      <c r="G182" s="71"/>
      <c r="H182" s="71"/>
      <c r="I182" s="71"/>
      <c r="J182" s="71"/>
      <c r="K182" s="71"/>
      <c r="L182" s="74"/>
      <c r="M182" s="71"/>
      <c r="N182" s="71"/>
    </row>
    <row r="183" spans="1:14" x14ac:dyDescent="0.2">
      <c r="F183" s="71"/>
      <c r="G183" s="71"/>
      <c r="H183" s="71"/>
      <c r="I183" s="71"/>
      <c r="J183" s="71"/>
      <c r="K183" s="71"/>
      <c r="L183" s="74"/>
      <c r="M183" s="71"/>
      <c r="N183" s="71"/>
    </row>
    <row r="184" spans="1:14" ht="12" hidden="1" customHeight="1" x14ac:dyDescent="0.2">
      <c r="F184" s="71"/>
      <c r="G184" s="71"/>
      <c r="H184" s="71"/>
      <c r="I184" s="71"/>
      <c r="J184" s="71"/>
      <c r="K184" s="71"/>
      <c r="L184" s="74"/>
      <c r="M184" s="71"/>
      <c r="N184" s="71"/>
    </row>
    <row r="185" spans="1:14" ht="12" hidden="1" customHeight="1" x14ac:dyDescent="0.2">
      <c r="F185" s="71"/>
      <c r="G185" s="71"/>
      <c r="H185" s="71"/>
      <c r="I185" s="71"/>
      <c r="J185" s="71"/>
      <c r="K185" s="71"/>
      <c r="L185" s="74"/>
      <c r="M185" s="71"/>
      <c r="N185" s="71"/>
    </row>
    <row r="186" spans="1:14" x14ac:dyDescent="0.2">
      <c r="F186" s="71"/>
      <c r="G186" s="71"/>
      <c r="H186" s="71"/>
      <c r="I186" s="71"/>
      <c r="J186" s="71"/>
      <c r="K186" s="71"/>
      <c r="L186" s="74"/>
      <c r="M186" s="71"/>
      <c r="N186" s="71"/>
    </row>
    <row r="187" spans="1:14" x14ac:dyDescent="0.2">
      <c r="A187" s="102" t="s">
        <v>150</v>
      </c>
      <c r="B187" s="104"/>
      <c r="C187" s="104"/>
      <c r="D187" s="104"/>
      <c r="E187" s="105"/>
      <c r="F187" s="104"/>
      <c r="G187" s="104"/>
      <c r="H187" s="104"/>
      <c r="I187" s="104"/>
      <c r="J187" s="104"/>
      <c r="K187" s="104"/>
      <c r="L187" s="106"/>
      <c r="M187" s="71"/>
      <c r="N187" s="71"/>
    </row>
    <row r="188" spans="1:14" x14ac:dyDescent="0.2">
      <c r="A188" s="102" t="s">
        <v>149</v>
      </c>
      <c r="B188" s="104"/>
      <c r="C188" s="104"/>
      <c r="D188" s="104"/>
      <c r="E188" s="105"/>
      <c r="F188" s="104"/>
      <c r="G188" s="104"/>
      <c r="H188" s="104"/>
      <c r="I188" s="104"/>
      <c r="J188" s="104"/>
      <c r="K188" s="104"/>
      <c r="L188" s="106"/>
      <c r="M188" s="71"/>
      <c r="N188" s="71"/>
    </row>
    <row r="189" spans="1:14" x14ac:dyDescent="0.2">
      <c r="A189" s="102" t="str">
        <f>+A3</f>
        <v>As of February 28, 2018</v>
      </c>
      <c r="B189" s="104"/>
      <c r="C189" s="104"/>
      <c r="D189" s="104"/>
      <c r="E189" s="105"/>
      <c r="F189" s="104"/>
      <c r="G189" s="104"/>
      <c r="H189" s="104"/>
      <c r="I189" s="104"/>
      <c r="J189" s="104"/>
      <c r="K189" s="104"/>
      <c r="L189" s="106"/>
      <c r="M189" s="71"/>
      <c r="N189" s="71"/>
    </row>
    <row r="190" spans="1:14" x14ac:dyDescent="0.2">
      <c r="F190" s="71"/>
      <c r="G190" s="71"/>
      <c r="H190" s="71"/>
      <c r="I190" s="71"/>
      <c r="J190" s="71"/>
      <c r="K190" s="71"/>
      <c r="L190" s="74"/>
      <c r="M190" s="71"/>
      <c r="N190" s="71"/>
    </row>
    <row r="191" spans="1:14" ht="12.75" x14ac:dyDescent="0.3">
      <c r="F191" s="71"/>
      <c r="G191" s="71"/>
      <c r="H191" s="71"/>
      <c r="I191" s="71"/>
      <c r="J191" s="71"/>
      <c r="K191" s="72"/>
      <c r="L191" s="73"/>
      <c r="M191" s="71"/>
      <c r="N191" s="71"/>
    </row>
    <row r="192" spans="1:14" x14ac:dyDescent="0.2">
      <c r="A192" s="102" t="s">
        <v>148</v>
      </c>
      <c r="B192" s="104"/>
      <c r="C192" s="104"/>
      <c r="D192" s="104"/>
      <c r="E192" s="105"/>
      <c r="F192" s="104"/>
      <c r="G192" s="104"/>
      <c r="H192" s="104"/>
      <c r="I192" s="104"/>
      <c r="J192" s="104"/>
      <c r="K192" s="104"/>
      <c r="L192" s="106"/>
      <c r="M192" s="71"/>
      <c r="N192" s="71"/>
    </row>
    <row r="193" spans="1:14" x14ac:dyDescent="0.2">
      <c r="A193" s="35" t="s">
        <v>147</v>
      </c>
      <c r="F193" s="71"/>
      <c r="G193" s="71"/>
      <c r="H193" s="71"/>
      <c r="I193" s="71"/>
      <c r="J193" s="71"/>
      <c r="K193" s="71"/>
      <c r="L193" s="74"/>
      <c r="M193" s="71"/>
      <c r="N193" s="71"/>
    </row>
    <row r="194" spans="1:14" x14ac:dyDescent="0.2">
      <c r="B194" s="35" t="s">
        <v>146</v>
      </c>
      <c r="F194" s="78"/>
      <c r="G194" s="78"/>
      <c r="H194" s="78"/>
      <c r="I194" s="78"/>
      <c r="J194" s="78"/>
      <c r="K194" s="78"/>
      <c r="L194" s="78"/>
      <c r="M194" s="74"/>
      <c r="N194" s="71"/>
    </row>
    <row r="195" spans="1:14" x14ac:dyDescent="0.2">
      <c r="C195" s="35" t="s">
        <v>145</v>
      </c>
      <c r="F195" s="74"/>
      <c r="G195" s="74"/>
      <c r="H195" s="74"/>
      <c r="I195" s="74"/>
      <c r="J195" s="74"/>
      <c r="K195" s="74">
        <f>-[2]TB!C169</f>
        <v>1969798.95</v>
      </c>
      <c r="L195" s="74"/>
      <c r="M195" s="74"/>
      <c r="N195" s="71"/>
    </row>
    <row r="196" spans="1:14" x14ac:dyDescent="0.2">
      <c r="C196" s="35" t="s">
        <v>144</v>
      </c>
      <c r="F196" s="74"/>
      <c r="G196" s="74"/>
      <c r="H196" s="74"/>
      <c r="I196" s="74"/>
      <c r="J196" s="74"/>
      <c r="K196" s="74">
        <f>-[2]TB!C168</f>
        <v>0</v>
      </c>
      <c r="L196" s="74"/>
      <c r="M196" s="74"/>
      <c r="N196" s="71"/>
    </row>
    <row r="197" spans="1:14" x14ac:dyDescent="0.2">
      <c r="C197" s="35" t="s">
        <v>143</v>
      </c>
      <c r="F197" s="74"/>
      <c r="G197" s="74"/>
      <c r="H197" s="74"/>
      <c r="I197" s="74"/>
      <c r="J197" s="74"/>
      <c r="K197" s="74">
        <f>-[2]TB!C177</f>
        <v>8715723.8699999992</v>
      </c>
      <c r="L197" s="74"/>
      <c r="M197" s="74"/>
      <c r="N197" s="71"/>
    </row>
    <row r="198" spans="1:14" x14ac:dyDescent="0.2">
      <c r="C198" s="35" t="s">
        <v>142</v>
      </c>
      <c r="F198" s="74"/>
      <c r="G198" s="74"/>
      <c r="H198" s="74"/>
      <c r="I198" s="74"/>
      <c r="J198" s="74"/>
      <c r="K198" s="74">
        <f>-[2]TB!C172</f>
        <v>5378529.1500000004</v>
      </c>
      <c r="L198" s="74"/>
      <c r="M198" s="74"/>
      <c r="N198" s="71"/>
    </row>
    <row r="199" spans="1:14" x14ac:dyDescent="0.2">
      <c r="C199" s="35" t="s">
        <v>141</v>
      </c>
      <c r="F199" s="74"/>
      <c r="G199" s="74"/>
      <c r="H199" s="74"/>
      <c r="I199" s="74"/>
      <c r="J199" s="74"/>
      <c r="K199" s="74">
        <f>-[2]TB!C173</f>
        <v>172101.25</v>
      </c>
      <c r="L199" s="74"/>
      <c r="M199" s="74"/>
      <c r="N199" s="71"/>
    </row>
    <row r="200" spans="1:14" x14ac:dyDescent="0.2">
      <c r="C200" s="35" t="s">
        <v>140</v>
      </c>
      <c r="F200" s="74"/>
      <c r="G200" s="74"/>
      <c r="H200" s="74"/>
      <c r="I200" s="74"/>
      <c r="J200" s="74"/>
      <c r="K200" s="74">
        <f>-[2]TB!C175</f>
        <v>305330.24</v>
      </c>
      <c r="L200" s="74"/>
      <c r="M200" s="74"/>
      <c r="N200" s="71"/>
    </row>
    <row r="201" spans="1:14" x14ac:dyDescent="0.2">
      <c r="C201" s="35" t="s">
        <v>139</v>
      </c>
      <c r="F201" s="74"/>
      <c r="G201" s="74"/>
      <c r="H201" s="74"/>
      <c r="I201" s="74"/>
      <c r="J201" s="74"/>
      <c r="K201" s="74">
        <f>-[2]TB!C176</f>
        <v>2299316.15</v>
      </c>
      <c r="L201" s="74"/>
      <c r="M201" s="74"/>
      <c r="N201" s="71"/>
    </row>
    <row r="202" spans="1:14" ht="15" hidden="1" customHeight="1" x14ac:dyDescent="0.2">
      <c r="C202" s="35" t="s">
        <v>138</v>
      </c>
      <c r="F202" s="74"/>
      <c r="G202" s="74"/>
      <c r="H202" s="74"/>
      <c r="I202" s="74"/>
      <c r="J202" s="74"/>
      <c r="K202" s="74">
        <f>-[2]TB!C170</f>
        <v>0</v>
      </c>
      <c r="L202" s="74"/>
      <c r="M202" s="74"/>
      <c r="N202" s="71"/>
    </row>
    <row r="203" spans="1:14" x14ac:dyDescent="0.2">
      <c r="C203" s="35" t="s">
        <v>137</v>
      </c>
      <c r="F203" s="74"/>
      <c r="G203" s="74"/>
      <c r="H203" s="74"/>
      <c r="I203" s="74"/>
      <c r="J203" s="74"/>
      <c r="K203" s="74">
        <f>-[2]TB!C171</f>
        <v>778796.79</v>
      </c>
      <c r="L203" s="74"/>
      <c r="M203" s="71"/>
      <c r="N203" s="71"/>
    </row>
    <row r="204" spans="1:14" x14ac:dyDescent="0.2">
      <c r="C204" s="35" t="s">
        <v>136</v>
      </c>
      <c r="F204" s="74"/>
      <c r="G204" s="74"/>
      <c r="H204" s="74"/>
      <c r="I204" s="74"/>
      <c r="J204" s="74"/>
      <c r="K204" s="74">
        <f>-[2]TB!C180</f>
        <v>0</v>
      </c>
      <c r="L204" s="74"/>
      <c r="M204" s="71"/>
      <c r="N204" s="71"/>
    </row>
    <row r="205" spans="1:14" x14ac:dyDescent="0.2">
      <c r="C205" s="35" t="s">
        <v>135</v>
      </c>
      <c r="F205" s="74"/>
      <c r="G205" s="74"/>
      <c r="H205" s="74"/>
      <c r="I205" s="74"/>
      <c r="J205" s="74"/>
      <c r="K205" s="74">
        <f>-[2]TB!C174</f>
        <v>1251817.5</v>
      </c>
      <c r="L205" s="74"/>
      <c r="M205" s="71"/>
      <c r="N205" s="71"/>
    </row>
    <row r="206" spans="1:14" ht="11.25" hidden="1" customHeight="1" x14ac:dyDescent="0.2">
      <c r="C206" s="35" t="s">
        <v>134</v>
      </c>
      <c r="F206" s="74"/>
      <c r="G206" s="74"/>
      <c r="H206" s="74"/>
      <c r="I206" s="74"/>
      <c r="J206" s="74"/>
      <c r="K206" s="74">
        <v>0</v>
      </c>
      <c r="L206" s="74"/>
      <c r="M206" s="71"/>
      <c r="N206" s="71"/>
    </row>
    <row r="207" spans="1:14" x14ac:dyDescent="0.2">
      <c r="C207" s="35" t="s">
        <v>133</v>
      </c>
      <c r="F207" s="74"/>
      <c r="G207" s="74"/>
      <c r="H207" s="74"/>
      <c r="I207" s="74"/>
      <c r="J207" s="74"/>
      <c r="K207" s="74">
        <f>-[2]TB!C181</f>
        <v>1325312.77</v>
      </c>
      <c r="L207" s="74"/>
      <c r="N207" s="71"/>
    </row>
    <row r="208" spans="1:14" x14ac:dyDescent="0.2">
      <c r="C208" s="35" t="s">
        <v>132</v>
      </c>
      <c r="F208" s="74"/>
      <c r="G208" s="74"/>
      <c r="H208" s="74"/>
      <c r="I208" s="74"/>
      <c r="J208" s="74"/>
      <c r="K208" s="74">
        <f>-[2]TB!C185</f>
        <v>157393.73000000001</v>
      </c>
      <c r="L208" s="74"/>
      <c r="M208" s="71">
        <f>SUM(K195:K208)</f>
        <v>22354120.399999999</v>
      </c>
      <c r="N208" s="71"/>
    </row>
    <row r="209" spans="1:15" x14ac:dyDescent="0.2">
      <c r="B209" s="35" t="s">
        <v>131</v>
      </c>
      <c r="F209" s="71"/>
      <c r="G209" s="71"/>
      <c r="H209" s="71"/>
      <c r="I209" s="71"/>
      <c r="J209" s="71"/>
      <c r="K209" s="74"/>
      <c r="L209" s="74"/>
      <c r="M209" s="71">
        <f>-[2]TB!C182-[2]TB!C183</f>
        <v>189019.28</v>
      </c>
      <c r="N209" s="71"/>
    </row>
    <row r="210" spans="1:15" x14ac:dyDescent="0.2">
      <c r="B210" s="35" t="s">
        <v>130</v>
      </c>
      <c r="F210" s="71"/>
      <c r="G210" s="71"/>
      <c r="H210" s="71"/>
      <c r="I210" s="71"/>
      <c r="J210" s="71"/>
      <c r="K210" s="74"/>
      <c r="L210" s="74"/>
      <c r="M210" s="71">
        <f>-[2]TB!C184</f>
        <v>0</v>
      </c>
      <c r="N210" s="71"/>
    </row>
    <row r="211" spans="1:15" x14ac:dyDescent="0.2">
      <c r="B211" s="35" t="s">
        <v>129</v>
      </c>
      <c r="F211" s="71"/>
      <c r="G211" s="71"/>
      <c r="H211" s="71"/>
      <c r="I211" s="71"/>
      <c r="J211" s="71"/>
      <c r="K211" s="74"/>
      <c r="L211" s="74"/>
      <c r="M211" s="71">
        <f>IF([2]TB!C218&gt;0,0,-[2]TB!C218)</f>
        <v>15705.25</v>
      </c>
      <c r="N211" s="71"/>
      <c r="O211" s="35" t="s">
        <v>128</v>
      </c>
    </row>
    <row r="212" spans="1:15" x14ac:dyDescent="0.2">
      <c r="F212" s="71"/>
      <c r="G212" s="71"/>
      <c r="H212" s="71"/>
      <c r="I212" s="71"/>
      <c r="J212" s="71"/>
      <c r="K212" s="74"/>
      <c r="L212" s="74"/>
      <c r="M212" s="71"/>
      <c r="N212" s="71"/>
    </row>
    <row r="213" spans="1:15" x14ac:dyDescent="0.2">
      <c r="A213" s="35" t="s">
        <v>127</v>
      </c>
      <c r="F213" s="71"/>
      <c r="G213" s="71"/>
      <c r="H213" s="71"/>
      <c r="I213" s="71"/>
      <c r="J213" s="71"/>
      <c r="K213" s="71"/>
      <c r="L213" s="74"/>
      <c r="M213" s="71">
        <f>-[2]TB!C186</f>
        <v>7118913.29</v>
      </c>
      <c r="N213" s="71"/>
    </row>
    <row r="214" spans="1:15" x14ac:dyDescent="0.2">
      <c r="A214" s="35" t="s">
        <v>126</v>
      </c>
      <c r="F214" s="71"/>
      <c r="G214" s="71"/>
      <c r="H214" s="71"/>
      <c r="I214" s="71"/>
      <c r="J214" s="71"/>
      <c r="K214" s="71"/>
      <c r="L214" s="74"/>
      <c r="M214" s="71">
        <f>-[2]TB!C188</f>
        <v>2032894.66</v>
      </c>
      <c r="N214" s="71"/>
    </row>
    <row r="215" spans="1:15" x14ac:dyDescent="0.2">
      <c r="F215" s="71"/>
      <c r="G215" s="71"/>
      <c r="H215" s="71"/>
      <c r="I215" s="71"/>
      <c r="J215" s="71"/>
      <c r="K215" s="71"/>
      <c r="L215" s="74"/>
      <c r="M215" s="71"/>
      <c r="N215" s="71"/>
    </row>
    <row r="216" spans="1:15" x14ac:dyDescent="0.2">
      <c r="A216" s="48" t="s">
        <v>125</v>
      </c>
      <c r="F216" s="71"/>
      <c r="G216" s="71"/>
      <c r="H216" s="71"/>
      <c r="I216" s="71"/>
      <c r="J216" s="71"/>
      <c r="K216" s="71"/>
      <c r="L216" s="74"/>
      <c r="M216" s="94">
        <f>SUM(M194:M214)</f>
        <v>31710652.879999999</v>
      </c>
      <c r="N216" s="85"/>
    </row>
    <row r="217" spans="1:15" x14ac:dyDescent="0.2">
      <c r="F217" s="71"/>
      <c r="G217" s="71"/>
      <c r="H217" s="71"/>
      <c r="I217" s="71"/>
      <c r="J217" s="71"/>
      <c r="K217" s="71"/>
      <c r="L217" s="74"/>
      <c r="M217" s="71"/>
      <c r="N217" s="71"/>
    </row>
    <row r="218" spans="1:15" x14ac:dyDescent="0.2">
      <c r="A218" s="102" t="s">
        <v>124</v>
      </c>
      <c r="B218" s="104"/>
      <c r="C218" s="104"/>
      <c r="D218" s="104"/>
      <c r="E218" s="105"/>
      <c r="F218" s="104"/>
      <c r="G218" s="104"/>
      <c r="H218" s="104"/>
      <c r="I218" s="104"/>
      <c r="J218" s="104"/>
      <c r="K218" s="104"/>
      <c r="L218" s="106"/>
      <c r="M218" s="71"/>
      <c r="N218" s="71"/>
    </row>
    <row r="219" spans="1:15" x14ac:dyDescent="0.2">
      <c r="A219" s="107" t="s">
        <v>123</v>
      </c>
      <c r="B219" s="104"/>
      <c r="C219" s="104"/>
      <c r="D219" s="104"/>
      <c r="E219" s="105"/>
      <c r="F219" s="104"/>
      <c r="G219" s="104"/>
      <c r="H219" s="104"/>
      <c r="I219" s="104"/>
      <c r="J219" s="104"/>
      <c r="K219" s="104"/>
      <c r="L219" s="106"/>
      <c r="M219" s="71"/>
      <c r="N219" s="71"/>
    </row>
    <row r="220" spans="1:15" x14ac:dyDescent="0.2">
      <c r="B220" s="35" t="s">
        <v>122</v>
      </c>
      <c r="F220" s="71"/>
      <c r="G220" s="71"/>
      <c r="H220" s="71"/>
      <c r="I220" s="71"/>
      <c r="J220" s="71"/>
      <c r="K220" s="71"/>
      <c r="L220" s="74"/>
      <c r="M220" s="71"/>
      <c r="N220" s="71"/>
    </row>
    <row r="221" spans="1:15" x14ac:dyDescent="0.2">
      <c r="C221" s="35" t="s">
        <v>121</v>
      </c>
      <c r="F221" s="71"/>
      <c r="G221" s="71"/>
      <c r="H221" s="71"/>
      <c r="I221" s="71"/>
      <c r="J221" s="71">
        <f>[2]TB!C190</f>
        <v>200220.2</v>
      </c>
      <c r="K221" s="42"/>
      <c r="L221" s="57"/>
      <c r="M221" s="71"/>
      <c r="N221" s="71"/>
    </row>
    <row r="222" spans="1:15" x14ac:dyDescent="0.2">
      <c r="C222" s="35" t="s">
        <v>120</v>
      </c>
      <c r="F222" s="71"/>
      <c r="G222" s="71"/>
      <c r="H222" s="71"/>
      <c r="I222" s="71"/>
      <c r="J222" s="71">
        <f>[2]TB!C192+[2]TB!C191</f>
        <v>2551663.2799999998</v>
      </c>
      <c r="K222" s="42"/>
      <c r="L222" s="57"/>
      <c r="M222" s="71"/>
      <c r="N222" s="71"/>
    </row>
    <row r="223" spans="1:15" x14ac:dyDescent="0.2">
      <c r="C223" s="35" t="s">
        <v>119</v>
      </c>
      <c r="F223" s="71"/>
      <c r="G223" s="71"/>
      <c r="H223" s="71"/>
      <c r="I223" s="71"/>
      <c r="J223" s="76">
        <f>[2]TB!C193</f>
        <v>0</v>
      </c>
      <c r="K223" s="71">
        <f>J223+J222+J221</f>
        <v>2751883.48</v>
      </c>
      <c r="L223" s="74"/>
    </row>
    <row r="224" spans="1:15" x14ac:dyDescent="0.2">
      <c r="F224" s="71"/>
      <c r="G224" s="71"/>
      <c r="H224" s="71"/>
      <c r="I224" s="71"/>
      <c r="J224" s="74"/>
      <c r="K224" s="71"/>
      <c r="L224" s="74"/>
    </row>
    <row r="225" spans="1:14" x14ac:dyDescent="0.2">
      <c r="B225" s="35" t="s">
        <v>118</v>
      </c>
      <c r="F225" s="71"/>
      <c r="G225" s="71"/>
      <c r="H225" s="71"/>
      <c r="I225" s="71"/>
      <c r="J225" s="74">
        <f>[2]TB!C196</f>
        <v>2363358.44</v>
      </c>
      <c r="L225" s="74"/>
      <c r="M225" s="42"/>
      <c r="N225" s="42"/>
    </row>
    <row r="226" spans="1:14" x14ac:dyDescent="0.2">
      <c r="B226" s="35" t="s">
        <v>117</v>
      </c>
      <c r="F226" s="71"/>
      <c r="G226" s="71"/>
      <c r="H226" s="71"/>
      <c r="I226" s="71"/>
      <c r="J226" s="74">
        <f>[2]TB!C195</f>
        <v>0</v>
      </c>
      <c r="L226" s="74"/>
      <c r="M226" s="42"/>
      <c r="N226" s="42"/>
    </row>
    <row r="227" spans="1:14" x14ac:dyDescent="0.2">
      <c r="B227" s="35" t="s">
        <v>116</v>
      </c>
      <c r="F227" s="71"/>
      <c r="G227" s="71"/>
      <c r="H227" s="71"/>
      <c r="I227" s="71"/>
      <c r="J227" s="71">
        <f>[2]TB!C194</f>
        <v>439402.28</v>
      </c>
      <c r="L227" s="74"/>
      <c r="M227" s="42"/>
      <c r="N227" s="42"/>
    </row>
    <row r="228" spans="1:14" x14ac:dyDescent="0.2">
      <c r="B228" s="35" t="s">
        <v>115</v>
      </c>
      <c r="F228" s="71"/>
      <c r="G228" s="71"/>
      <c r="H228" s="71"/>
      <c r="I228" s="71"/>
      <c r="J228" s="74">
        <f>[2]TB!C197</f>
        <v>0</v>
      </c>
      <c r="K228" s="42"/>
      <c r="L228" s="74"/>
      <c r="M228" s="42"/>
      <c r="N228" s="42"/>
    </row>
    <row r="229" spans="1:14" x14ac:dyDescent="0.2">
      <c r="B229" s="35" t="s">
        <v>114</v>
      </c>
      <c r="F229" s="71"/>
      <c r="G229" s="71"/>
      <c r="H229" s="71"/>
      <c r="I229" s="71"/>
      <c r="J229" s="74">
        <f>[2]TB!C198</f>
        <v>581388.88</v>
      </c>
      <c r="K229" s="42"/>
      <c r="L229" s="74"/>
      <c r="M229" s="42"/>
      <c r="N229" s="42"/>
    </row>
    <row r="230" spans="1:14" x14ac:dyDescent="0.2">
      <c r="B230" s="35" t="s">
        <v>113</v>
      </c>
      <c r="F230" s="71"/>
      <c r="G230" s="71"/>
      <c r="H230" s="71"/>
      <c r="I230" s="71"/>
      <c r="J230" s="76">
        <f>[2]TB!C199</f>
        <v>52943.51</v>
      </c>
      <c r="K230" s="42">
        <f>SUM(J225:J230)</f>
        <v>3437093.11</v>
      </c>
      <c r="L230" s="74"/>
      <c r="M230" s="42">
        <f>+K230+K223</f>
        <v>6188976.5899999999</v>
      </c>
      <c r="N230" s="42"/>
    </row>
    <row r="231" spans="1:14" x14ac:dyDescent="0.2">
      <c r="F231" s="71"/>
      <c r="G231" s="71"/>
      <c r="H231" s="71"/>
      <c r="I231" s="71"/>
      <c r="J231" s="71"/>
      <c r="K231" s="74"/>
      <c r="L231" s="74"/>
      <c r="M231" s="42"/>
      <c r="N231" s="42"/>
    </row>
    <row r="232" spans="1:14" x14ac:dyDescent="0.2">
      <c r="A232" s="35" t="s">
        <v>112</v>
      </c>
      <c r="F232" s="71"/>
      <c r="G232" s="71"/>
      <c r="H232" s="71"/>
      <c r="I232" s="71"/>
      <c r="J232" s="71"/>
      <c r="K232" s="71"/>
      <c r="L232" s="74"/>
      <c r="M232" s="71"/>
      <c r="N232" s="71"/>
    </row>
    <row r="233" spans="1:14" x14ac:dyDescent="0.2">
      <c r="B233" s="35" t="s">
        <v>111</v>
      </c>
      <c r="F233" s="71"/>
      <c r="G233" s="71"/>
      <c r="H233" s="71"/>
      <c r="I233" s="71"/>
      <c r="J233" s="71"/>
      <c r="K233" s="71">
        <f>[2]TB!C200</f>
        <v>5111692.71</v>
      </c>
      <c r="L233" s="74"/>
      <c r="M233" s="71"/>
      <c r="N233" s="71"/>
    </row>
    <row r="234" spans="1:14" x14ac:dyDescent="0.2">
      <c r="B234" s="35" t="s">
        <v>110</v>
      </c>
      <c r="F234" s="71"/>
      <c r="G234" s="71"/>
      <c r="H234" s="71"/>
      <c r="I234" s="71"/>
      <c r="J234" s="71"/>
      <c r="K234" s="71">
        <f>[2]TB!C201</f>
        <v>3192709.42</v>
      </c>
      <c r="L234" s="74"/>
      <c r="M234" s="71"/>
      <c r="N234" s="71"/>
    </row>
    <row r="235" spans="1:14" x14ac:dyDescent="0.2">
      <c r="B235" s="35" t="s">
        <v>109</v>
      </c>
      <c r="F235" s="71"/>
      <c r="G235" s="71"/>
      <c r="H235" s="71"/>
      <c r="I235" s="71"/>
      <c r="J235" s="71"/>
      <c r="K235" s="71">
        <f>[2]TB!C205</f>
        <v>438977.71</v>
      </c>
      <c r="L235" s="74"/>
      <c r="M235" s="71"/>
      <c r="N235" s="71"/>
    </row>
    <row r="236" spans="1:14" x14ac:dyDescent="0.2">
      <c r="B236" s="35" t="s">
        <v>108</v>
      </c>
      <c r="F236" s="71"/>
      <c r="G236" s="71"/>
      <c r="H236" s="71"/>
      <c r="I236" s="71"/>
      <c r="J236" s="71"/>
      <c r="K236" s="71">
        <f>[2]TB!C206</f>
        <v>445479.01</v>
      </c>
      <c r="L236" s="74"/>
      <c r="M236" s="71"/>
      <c r="N236" s="71"/>
    </row>
    <row r="237" spans="1:14" x14ac:dyDescent="0.2">
      <c r="B237" s="35" t="s">
        <v>107</v>
      </c>
      <c r="F237" s="71"/>
      <c r="G237" s="71"/>
      <c r="H237" s="71"/>
      <c r="I237" s="71"/>
      <c r="J237" s="71"/>
      <c r="K237" s="71">
        <f>[2]TB!C208</f>
        <v>15408.14</v>
      </c>
      <c r="L237" s="74"/>
      <c r="M237" s="71"/>
      <c r="N237" s="71"/>
    </row>
    <row r="238" spans="1:14" x14ac:dyDescent="0.2">
      <c r="B238" s="35" t="s">
        <v>106</v>
      </c>
      <c r="F238" s="71"/>
      <c r="G238" s="71"/>
      <c r="H238" s="71"/>
      <c r="I238" s="71"/>
      <c r="J238" s="71"/>
      <c r="K238" s="76">
        <f>[2]TB!C202+[2]TB!C203</f>
        <v>667652.78</v>
      </c>
      <c r="L238" s="74"/>
      <c r="M238" s="71">
        <f>SUM(K233:K238)</f>
        <v>9871919.7699999996</v>
      </c>
      <c r="N238" s="71"/>
    </row>
    <row r="239" spans="1:14" x14ac:dyDescent="0.2">
      <c r="F239" s="71"/>
      <c r="G239" s="71"/>
      <c r="H239" s="71"/>
      <c r="I239" s="71"/>
      <c r="J239" s="71"/>
      <c r="K239" s="74"/>
      <c r="L239" s="74"/>
      <c r="M239" s="71"/>
      <c r="N239" s="71"/>
    </row>
    <row r="240" spans="1:14" x14ac:dyDescent="0.2">
      <c r="A240" s="35" t="s">
        <v>105</v>
      </c>
      <c r="F240" s="71"/>
      <c r="G240" s="71"/>
      <c r="H240" s="71"/>
      <c r="I240" s="71"/>
      <c r="J240" s="71"/>
      <c r="K240" s="74"/>
      <c r="L240" s="74"/>
      <c r="M240" s="71">
        <f>[2]TB!C210</f>
        <v>2432344.5</v>
      </c>
      <c r="N240" s="71"/>
    </row>
    <row r="241" spans="1:15" x14ac:dyDescent="0.2">
      <c r="F241" s="71"/>
      <c r="G241" s="71"/>
      <c r="H241" s="71"/>
      <c r="I241" s="71"/>
      <c r="J241" s="71"/>
      <c r="K241" s="74"/>
      <c r="L241" s="74"/>
      <c r="M241" s="71"/>
      <c r="N241" s="71"/>
    </row>
    <row r="242" spans="1:15" x14ac:dyDescent="0.2">
      <c r="A242" s="35" t="s">
        <v>104</v>
      </c>
      <c r="F242" s="71"/>
      <c r="G242" s="71"/>
      <c r="H242" s="71"/>
      <c r="I242" s="71"/>
      <c r="J242" s="71"/>
      <c r="K242" s="74"/>
      <c r="L242" s="74"/>
      <c r="M242" s="71"/>
      <c r="N242" s="71"/>
    </row>
    <row r="243" spans="1:15" x14ac:dyDescent="0.2">
      <c r="B243" s="35" t="s">
        <v>103</v>
      </c>
      <c r="F243" s="71"/>
      <c r="G243" s="71"/>
      <c r="H243" s="71"/>
      <c r="I243" s="71"/>
      <c r="J243" s="71"/>
      <c r="K243" s="71">
        <f>[2]TB!C212</f>
        <v>200000</v>
      </c>
      <c r="L243" s="74"/>
      <c r="M243" s="71"/>
      <c r="N243" s="71"/>
    </row>
    <row r="244" spans="1:15" x14ac:dyDescent="0.2">
      <c r="B244" s="35" t="s">
        <v>102</v>
      </c>
      <c r="F244" s="71"/>
      <c r="G244" s="71"/>
      <c r="H244" s="71"/>
      <c r="I244" s="71"/>
      <c r="J244" s="71"/>
      <c r="K244" s="76">
        <f>[2]TB!C213+[2]TB!C214</f>
        <v>592244.15</v>
      </c>
      <c r="L244" s="74"/>
      <c r="M244" s="71">
        <f>SUM(K243:K244)</f>
        <v>792244.15</v>
      </c>
      <c r="N244" s="71"/>
    </row>
    <row r="245" spans="1:15" x14ac:dyDescent="0.2">
      <c r="F245" s="71"/>
      <c r="G245" s="71"/>
      <c r="H245" s="71"/>
      <c r="I245" s="71"/>
      <c r="J245" s="71"/>
      <c r="K245" s="74"/>
      <c r="L245" s="74"/>
      <c r="M245" s="71"/>
      <c r="N245" s="71"/>
    </row>
    <row r="246" spans="1:15" x14ac:dyDescent="0.2">
      <c r="A246" s="35" t="s">
        <v>101</v>
      </c>
      <c r="F246" s="71"/>
      <c r="G246" s="71"/>
      <c r="H246" s="71"/>
      <c r="I246" s="71"/>
      <c r="J246" s="71"/>
      <c r="K246" s="71"/>
      <c r="L246" s="74"/>
      <c r="M246" s="71">
        <f>[2]TB!C235+[2]TB!C236+[2]TB!C238+[2]TB!C237+[2]TB!C239</f>
        <v>2007669.93</v>
      </c>
      <c r="N246" s="71"/>
    </row>
    <row r="247" spans="1:15" x14ac:dyDescent="0.2">
      <c r="F247" s="71"/>
      <c r="G247" s="71"/>
      <c r="H247" s="71"/>
      <c r="I247" s="71"/>
      <c r="J247" s="71"/>
      <c r="K247" s="71"/>
      <c r="L247" s="74"/>
      <c r="M247" s="71"/>
      <c r="N247" s="71"/>
    </row>
    <row r="248" spans="1:15" x14ac:dyDescent="0.2">
      <c r="A248" s="35" t="s">
        <v>100</v>
      </c>
      <c r="F248" s="71"/>
      <c r="G248" s="71"/>
      <c r="H248" s="71"/>
      <c r="I248" s="71"/>
      <c r="J248" s="71"/>
      <c r="K248" s="71"/>
      <c r="L248" s="74"/>
      <c r="M248" s="71">
        <f>IF([2]TB!C218&lt;0,0,-[2]TB!C218)*-1</f>
        <v>0</v>
      </c>
      <c r="N248" s="71"/>
      <c r="O248" s="35" t="s">
        <v>99</v>
      </c>
    </row>
    <row r="249" spans="1:15" x14ac:dyDescent="0.2">
      <c r="F249" s="71"/>
      <c r="G249" s="71"/>
      <c r="H249" s="71"/>
      <c r="I249" s="71"/>
      <c r="J249" s="71"/>
      <c r="K249" s="71"/>
      <c r="L249" s="74"/>
      <c r="M249" s="71"/>
      <c r="N249" s="71"/>
    </row>
    <row r="250" spans="1:15" x14ac:dyDescent="0.2">
      <c r="A250" s="35" t="s">
        <v>98</v>
      </c>
      <c r="F250" s="71"/>
      <c r="G250" s="71"/>
      <c r="H250" s="71"/>
      <c r="I250" s="71"/>
      <c r="J250" s="71"/>
      <c r="K250" s="71"/>
      <c r="L250" s="74"/>
      <c r="M250" s="71">
        <f>[2]TB!C216</f>
        <v>0</v>
      </c>
      <c r="N250" s="71"/>
    </row>
    <row r="251" spans="1:15" x14ac:dyDescent="0.2">
      <c r="F251" s="71"/>
      <c r="G251" s="71"/>
      <c r="H251" s="71"/>
      <c r="I251" s="71"/>
      <c r="J251" s="71"/>
      <c r="K251" s="71"/>
      <c r="L251" s="74"/>
      <c r="M251" s="71"/>
      <c r="N251" s="71"/>
    </row>
    <row r="252" spans="1:15" x14ac:dyDescent="0.2">
      <c r="A252" s="35" t="s">
        <v>97</v>
      </c>
      <c r="F252" s="71"/>
      <c r="G252" s="71"/>
      <c r="H252" s="71"/>
      <c r="I252" s="71"/>
      <c r="J252" s="71"/>
      <c r="K252" s="71"/>
      <c r="L252" s="74"/>
      <c r="M252" s="71"/>
      <c r="N252" s="71"/>
    </row>
    <row r="253" spans="1:15" x14ac:dyDescent="0.2">
      <c r="B253" s="35" t="s">
        <v>96</v>
      </c>
      <c r="F253" s="71"/>
      <c r="G253" s="71"/>
      <c r="H253" s="71"/>
      <c r="I253" s="71"/>
      <c r="J253" s="71"/>
      <c r="K253" s="71">
        <f>[2]TB!C240</f>
        <v>1420850</v>
      </c>
      <c r="L253" s="74"/>
      <c r="M253" s="71"/>
      <c r="N253" s="71"/>
    </row>
    <row r="254" spans="1:15" x14ac:dyDescent="0.2">
      <c r="B254" s="35" t="s">
        <v>95</v>
      </c>
      <c r="F254" s="71"/>
      <c r="G254" s="71"/>
      <c r="H254" s="71"/>
      <c r="I254" s="71"/>
      <c r="J254" s="71"/>
      <c r="K254" s="76">
        <v>0</v>
      </c>
      <c r="L254" s="74"/>
      <c r="M254" s="71">
        <f>+K253+K254</f>
        <v>1420850</v>
      </c>
      <c r="N254" s="71"/>
    </row>
    <row r="255" spans="1:15" x14ac:dyDescent="0.2">
      <c r="F255" s="71"/>
      <c r="G255" s="71"/>
      <c r="H255" s="71"/>
      <c r="I255" s="71"/>
      <c r="J255" s="71"/>
      <c r="K255" s="74"/>
      <c r="L255" s="74"/>
      <c r="M255" s="71"/>
      <c r="N255" s="71"/>
    </row>
    <row r="256" spans="1:15" x14ac:dyDescent="0.2">
      <c r="A256" s="35" t="s">
        <v>94</v>
      </c>
      <c r="F256" s="71"/>
      <c r="G256" s="71"/>
      <c r="H256" s="71"/>
      <c r="I256" s="71"/>
      <c r="J256" s="71"/>
      <c r="K256" s="74"/>
      <c r="L256" s="74"/>
      <c r="M256" s="71"/>
      <c r="N256" s="71"/>
    </row>
    <row r="257" spans="1:18" x14ac:dyDescent="0.2">
      <c r="B257" s="35" t="s">
        <v>93</v>
      </c>
      <c r="F257" s="71"/>
      <c r="G257" s="71"/>
      <c r="H257" s="71"/>
      <c r="I257" s="71"/>
      <c r="J257" s="71"/>
      <c r="K257" s="71">
        <f>[2]TB!C215</f>
        <v>181133.98</v>
      </c>
      <c r="L257" s="74"/>
      <c r="N257" s="71"/>
    </row>
    <row r="258" spans="1:18" x14ac:dyDescent="0.2">
      <c r="B258" s="35" t="s">
        <v>92</v>
      </c>
      <c r="F258" s="71"/>
      <c r="G258" s="71"/>
      <c r="H258" s="71"/>
      <c r="I258" s="71"/>
      <c r="J258" s="71"/>
      <c r="K258" s="71">
        <f>[2]TB!C209</f>
        <v>30000</v>
      </c>
      <c r="L258" s="74"/>
      <c r="N258" s="71"/>
    </row>
    <row r="259" spans="1:18" x14ac:dyDescent="0.2">
      <c r="B259" s="35" t="s">
        <v>91</v>
      </c>
      <c r="F259" s="71"/>
      <c r="G259" s="71"/>
      <c r="H259" s="71"/>
      <c r="I259" s="71"/>
      <c r="J259" s="71"/>
      <c r="K259" s="71">
        <f>[2]TB!C211</f>
        <v>22000</v>
      </c>
      <c r="L259" s="74"/>
      <c r="N259" s="71"/>
    </row>
    <row r="260" spans="1:18" x14ac:dyDescent="0.2">
      <c r="B260" s="35" t="s">
        <v>90</v>
      </c>
      <c r="F260" s="71"/>
      <c r="G260" s="71"/>
      <c r="H260" s="71"/>
      <c r="I260" s="71"/>
      <c r="J260" s="71"/>
      <c r="K260" s="71">
        <f>[2]TB!C234</f>
        <v>65585.06</v>
      </c>
      <c r="L260" s="74"/>
      <c r="M260" s="71"/>
      <c r="N260" s="71"/>
    </row>
    <row r="261" spans="1:18" x14ac:dyDescent="0.2">
      <c r="B261" s="35" t="s">
        <v>89</v>
      </c>
      <c r="F261" s="71"/>
      <c r="G261" s="71"/>
      <c r="H261" s="71"/>
      <c r="I261" s="71"/>
      <c r="J261" s="71"/>
      <c r="K261" s="71">
        <f>+[2]TB!C219+[2]TB!C220+[2]TB!C221+[2]TB!C222+[2]TB!C223+[2]TB!C224+[2]TB!C225+[2]TB!C226+[2]TB!C227+[2]TB!C228+[2]TB!C229+[2]TB!C230+[2]TB!C233+[2]TB!C231+[2]TB!C232+[2]TB!C242+[2]TB!C217+[2]TB!C204+[2]TB!C207</f>
        <v>6286034.5300000003</v>
      </c>
      <c r="L261" s="74"/>
      <c r="M261" s="42">
        <f>SUM(K257:K261)</f>
        <v>6584753.5700000003</v>
      </c>
      <c r="N261" s="71"/>
    </row>
    <row r="262" spans="1:18" x14ac:dyDescent="0.2">
      <c r="F262" s="71"/>
      <c r="G262" s="71"/>
      <c r="H262" s="71"/>
      <c r="I262" s="71"/>
      <c r="J262" s="71"/>
      <c r="K262" s="71"/>
      <c r="L262" s="74"/>
      <c r="M262" s="71"/>
      <c r="N262" s="71"/>
    </row>
    <row r="263" spans="1:18" x14ac:dyDescent="0.2">
      <c r="A263" s="48" t="s">
        <v>88</v>
      </c>
      <c r="F263" s="71"/>
      <c r="G263" s="71"/>
      <c r="H263" s="71"/>
      <c r="I263" s="71"/>
      <c r="J263" s="71"/>
      <c r="K263" s="71"/>
      <c r="L263" s="74"/>
      <c r="M263" s="94">
        <f>SUM(M220:M261)</f>
        <v>29298758.510000002</v>
      </c>
      <c r="N263" s="85"/>
    </row>
    <row r="264" spans="1:18" x14ac:dyDescent="0.2">
      <c r="F264" s="71"/>
      <c r="G264" s="71"/>
      <c r="H264" s="71"/>
      <c r="I264" s="71"/>
      <c r="J264" s="71"/>
      <c r="K264" s="71"/>
      <c r="L264" s="74"/>
      <c r="M264" s="85"/>
      <c r="N264" s="85"/>
    </row>
    <row r="265" spans="1:18" x14ac:dyDescent="0.2">
      <c r="A265" s="35" t="s">
        <v>87</v>
      </c>
      <c r="F265" s="71"/>
      <c r="G265" s="71"/>
      <c r="H265" s="71"/>
      <c r="I265" s="71"/>
      <c r="J265" s="71"/>
      <c r="K265" s="71"/>
      <c r="L265" s="74"/>
      <c r="M265" s="71">
        <f>M216-M263</f>
        <v>2411894.37</v>
      </c>
      <c r="N265" s="71"/>
    </row>
    <row r="266" spans="1:18" x14ac:dyDescent="0.2">
      <c r="A266" s="35" t="s">
        <v>86</v>
      </c>
      <c r="F266" s="71"/>
      <c r="G266" s="71"/>
      <c r="H266" s="71"/>
      <c r="I266" s="71"/>
      <c r="J266" s="71"/>
      <c r="K266" s="71"/>
      <c r="L266" s="74"/>
      <c r="M266" s="76">
        <f>-[2]TB!C187</f>
        <v>13295786.02</v>
      </c>
      <c r="N266" s="74"/>
    </row>
    <row r="267" spans="1:18" x14ac:dyDescent="0.2">
      <c r="A267" s="35" t="s">
        <v>85</v>
      </c>
      <c r="F267" s="71"/>
      <c r="G267" s="71"/>
      <c r="H267" s="71"/>
      <c r="I267" s="71"/>
      <c r="J267" s="71"/>
      <c r="K267" s="71"/>
      <c r="L267" s="74"/>
      <c r="M267" s="71">
        <f>+M265+M266</f>
        <v>15707680.390000001</v>
      </c>
      <c r="N267" s="71"/>
      <c r="P267" s="37" t="s">
        <v>274</v>
      </c>
    </row>
    <row r="268" spans="1:18" ht="12" thickBot="1" x14ac:dyDescent="0.25">
      <c r="A268" s="35" t="s">
        <v>84</v>
      </c>
      <c r="F268" s="71"/>
      <c r="G268" s="71"/>
      <c r="H268" s="71"/>
      <c r="I268" s="71"/>
      <c r="J268" s="71"/>
      <c r="K268" s="71"/>
      <c r="L268" s="74"/>
      <c r="M268" s="71">
        <f>[2]TB!C241</f>
        <v>1350000</v>
      </c>
      <c r="N268" s="71"/>
      <c r="P268" s="37" t="s">
        <v>273</v>
      </c>
    </row>
    <row r="269" spans="1:18" ht="12" thickBot="1" x14ac:dyDescent="0.25">
      <c r="A269" s="48" t="s">
        <v>83</v>
      </c>
      <c r="F269" s="71"/>
      <c r="G269" s="71"/>
      <c r="H269" s="71"/>
      <c r="I269" s="71"/>
      <c r="J269" s="71"/>
      <c r="K269" s="71"/>
      <c r="L269" s="74"/>
      <c r="M269" s="90">
        <f>+M267-M268</f>
        <v>14357680.390000001</v>
      </c>
      <c r="N269" s="85"/>
      <c r="O269" s="85">
        <f>M269-M127</f>
        <v>0</v>
      </c>
      <c r="P269" s="37">
        <v>7645.75</v>
      </c>
      <c r="R269" s="42"/>
    </row>
    <row r="270" spans="1:18" x14ac:dyDescent="0.2">
      <c r="F270" s="71"/>
      <c r="G270" s="71"/>
      <c r="H270" s="71"/>
      <c r="I270" s="71"/>
      <c r="J270" s="71"/>
      <c r="K270" s="71"/>
      <c r="L270" s="74"/>
      <c r="M270" s="85"/>
      <c r="N270" s="85"/>
      <c r="P270" s="37">
        <v>15156.29</v>
      </c>
    </row>
    <row r="271" spans="1:18" x14ac:dyDescent="0.2">
      <c r="F271" s="71"/>
      <c r="G271" s="71"/>
      <c r="H271" s="71"/>
      <c r="I271" s="71"/>
      <c r="J271" s="71"/>
      <c r="K271" s="71"/>
      <c r="L271" s="74"/>
      <c r="M271" s="71"/>
      <c r="N271" s="71"/>
    </row>
    <row r="272" spans="1:18" x14ac:dyDescent="0.2">
      <c r="A272" s="38"/>
      <c r="B272" s="38"/>
      <c r="C272" s="38"/>
      <c r="D272" s="38"/>
      <c r="E272" s="56"/>
      <c r="F272" s="74"/>
      <c r="G272" s="74"/>
      <c r="H272" s="74"/>
      <c r="I272" s="74"/>
      <c r="J272" s="74"/>
      <c r="K272" s="74"/>
      <c r="L272" s="74"/>
      <c r="M272" s="55"/>
      <c r="N272" s="55"/>
    </row>
    <row r="273" spans="3:17" x14ac:dyDescent="0.2">
      <c r="C273" s="108" t="str">
        <f>C143</f>
        <v>Prepared by:</v>
      </c>
      <c r="F273" s="71"/>
      <c r="G273" s="71"/>
      <c r="H273" s="108" t="str">
        <f>H143</f>
        <v>Checked and Reviewed by:</v>
      </c>
      <c r="J273" s="71"/>
      <c r="K273" s="100" t="s">
        <v>82</v>
      </c>
      <c r="L273" s="35"/>
      <c r="M273" s="42"/>
      <c r="N273" s="74"/>
    </row>
    <row r="274" spans="3:17" x14ac:dyDescent="0.2">
      <c r="C274" s="71"/>
      <c r="F274" s="71"/>
      <c r="G274" s="71"/>
      <c r="H274" s="71"/>
      <c r="K274" s="98"/>
      <c r="L274" s="35"/>
      <c r="N274" s="74"/>
      <c r="O274" s="42"/>
    </row>
    <row r="275" spans="3:17" x14ac:dyDescent="0.2">
      <c r="C275" s="109"/>
      <c r="F275" s="71"/>
      <c r="G275" s="71"/>
      <c r="H275" s="71"/>
      <c r="K275" s="98"/>
      <c r="L275" s="35"/>
      <c r="N275" s="85"/>
    </row>
    <row r="276" spans="3:17" s="48" customFormat="1" x14ac:dyDescent="0.2">
      <c r="C276" s="51" t="s">
        <v>152</v>
      </c>
      <c r="E276" s="52"/>
      <c r="F276" s="51"/>
      <c r="G276" s="51"/>
      <c r="H276" s="49" t="s">
        <v>151</v>
      </c>
      <c r="K276" s="54" t="s">
        <v>81</v>
      </c>
      <c r="N276" s="85"/>
      <c r="P276" s="50"/>
      <c r="Q276" s="49"/>
    </row>
    <row r="277" spans="3:17" x14ac:dyDescent="0.2">
      <c r="C277" s="36" t="s">
        <v>1</v>
      </c>
      <c r="G277" s="44"/>
      <c r="H277" s="36" t="s">
        <v>272</v>
      </c>
      <c r="K277" s="53" t="s">
        <v>80</v>
      </c>
      <c r="L277" s="35"/>
      <c r="N277" s="74"/>
    </row>
    <row r="278" spans="3:17" x14ac:dyDescent="0.2">
      <c r="F278" s="44"/>
      <c r="G278" s="44"/>
      <c r="H278" s="44"/>
      <c r="J278" s="71"/>
      <c r="K278" s="71"/>
      <c r="L278" s="74"/>
      <c r="M278" s="71"/>
      <c r="N278" s="74"/>
    </row>
    <row r="279" spans="3:17" x14ac:dyDescent="0.2">
      <c r="F279" s="44"/>
      <c r="G279" s="44"/>
      <c r="H279" s="44"/>
      <c r="I279" s="71"/>
      <c r="J279" s="71"/>
      <c r="K279" s="71"/>
      <c r="L279" s="74"/>
      <c r="M279" s="71"/>
      <c r="N279" s="74"/>
    </row>
    <row r="280" spans="3:17" s="48" customFormat="1" x14ac:dyDescent="0.2">
      <c r="C280" s="49" t="s">
        <v>271</v>
      </c>
      <c r="E280" s="52"/>
      <c r="F280" s="51"/>
      <c r="G280" s="51"/>
      <c r="H280" s="51"/>
      <c r="I280" s="84"/>
      <c r="J280" s="84"/>
      <c r="K280" s="84"/>
      <c r="L280" s="85"/>
      <c r="M280" s="85"/>
      <c r="N280" s="85"/>
      <c r="P280" s="50"/>
      <c r="Q280" s="49"/>
    </row>
    <row r="281" spans="3:17" x14ac:dyDescent="0.2">
      <c r="C281" s="36" t="s">
        <v>1</v>
      </c>
      <c r="F281" s="44"/>
      <c r="G281" s="44"/>
      <c r="H281" s="44"/>
      <c r="I281" s="71"/>
      <c r="J281" s="71"/>
      <c r="K281" s="71"/>
      <c r="L281" s="74"/>
      <c r="M281" s="74"/>
      <c r="N281" s="74"/>
    </row>
    <row r="282" spans="3:17" x14ac:dyDescent="0.2">
      <c r="C282" s="41" t="s">
        <v>79</v>
      </c>
      <c r="D282" s="40"/>
      <c r="E282" s="40"/>
      <c r="F282" s="71"/>
      <c r="G282" s="71"/>
      <c r="H282" s="71"/>
      <c r="I282" s="71"/>
      <c r="J282" s="71"/>
      <c r="K282" s="71">
        <f>M267</f>
        <v>15707680.390000001</v>
      </c>
      <c r="L282" s="74"/>
      <c r="N282" s="85"/>
    </row>
    <row r="283" spans="3:17" x14ac:dyDescent="0.2">
      <c r="C283" s="41" t="s">
        <v>78</v>
      </c>
      <c r="D283" s="40"/>
      <c r="E283" s="40"/>
      <c r="F283" s="71"/>
      <c r="G283" s="71"/>
      <c r="H283" s="71"/>
      <c r="I283" s="71"/>
      <c r="J283" s="71"/>
      <c r="K283" s="71"/>
      <c r="L283" s="74"/>
      <c r="M283" s="85"/>
      <c r="N283" s="85"/>
    </row>
    <row r="284" spans="3:17" x14ac:dyDescent="0.2">
      <c r="C284" s="41"/>
      <c r="D284" s="40" t="s">
        <v>77</v>
      </c>
      <c r="E284" s="40"/>
      <c r="F284" s="71"/>
      <c r="G284" s="71"/>
      <c r="H284" s="71"/>
      <c r="I284" s="71"/>
      <c r="J284" s="71">
        <f>-M209</f>
        <v>-189019.28</v>
      </c>
      <c r="K284" s="71"/>
      <c r="L284" s="74"/>
      <c r="M284" s="85"/>
      <c r="N284" s="85"/>
    </row>
    <row r="285" spans="3:17" x14ac:dyDescent="0.2">
      <c r="C285" s="41"/>
      <c r="D285" s="40" t="s">
        <v>76</v>
      </c>
      <c r="E285" s="40"/>
      <c r="F285" s="71"/>
      <c r="G285" s="71"/>
      <c r="H285" s="71"/>
      <c r="I285" s="71"/>
      <c r="J285" s="76">
        <v>0</v>
      </c>
      <c r="K285" s="71">
        <f>J284+J285</f>
        <v>-189019.28</v>
      </c>
      <c r="L285" s="74"/>
      <c r="M285" s="85"/>
      <c r="N285" s="85"/>
    </row>
    <row r="286" spans="3:17" x14ac:dyDescent="0.2">
      <c r="C286" s="41" t="s">
        <v>75</v>
      </c>
      <c r="D286" s="40"/>
      <c r="E286" s="40"/>
      <c r="F286" s="71"/>
      <c r="G286" s="71"/>
      <c r="H286" s="71"/>
      <c r="I286" s="71"/>
      <c r="J286" s="71"/>
      <c r="K286" s="71"/>
      <c r="L286" s="74"/>
      <c r="M286" s="85"/>
      <c r="N286" s="85"/>
    </row>
    <row r="287" spans="3:17" x14ac:dyDescent="0.2">
      <c r="C287" s="41"/>
      <c r="D287" s="40" t="s">
        <v>74</v>
      </c>
      <c r="E287" s="40"/>
      <c r="F287" s="71"/>
      <c r="G287" s="71"/>
      <c r="H287" s="71"/>
      <c r="I287" s="71"/>
      <c r="J287" s="71"/>
      <c r="K287" s="76">
        <f>-K285*33%</f>
        <v>62376.36</v>
      </c>
      <c r="L287" s="74"/>
      <c r="M287" s="85"/>
      <c r="N287" s="85"/>
    </row>
    <row r="288" spans="3:17" x14ac:dyDescent="0.2">
      <c r="C288" s="41" t="s">
        <v>71</v>
      </c>
      <c r="D288" s="40"/>
      <c r="E288" s="40"/>
      <c r="F288" s="71"/>
      <c r="G288" s="71"/>
      <c r="H288" s="71"/>
      <c r="I288" s="71"/>
      <c r="J288" s="71"/>
      <c r="K288" s="71">
        <f>SUM(K282:K287)</f>
        <v>15581037.470000001</v>
      </c>
      <c r="L288" s="74"/>
      <c r="M288" s="85"/>
      <c r="N288" s="85"/>
    </row>
    <row r="289" spans="3:17" x14ac:dyDescent="0.2">
      <c r="C289" s="41" t="s">
        <v>73</v>
      </c>
      <c r="D289" s="40"/>
      <c r="E289" s="40"/>
      <c r="F289" s="71"/>
      <c r="G289" s="71"/>
      <c r="H289" s="71"/>
      <c r="I289" s="71"/>
      <c r="J289" s="71"/>
      <c r="K289" s="71"/>
      <c r="L289" s="74"/>
      <c r="M289" s="85"/>
      <c r="N289" s="85"/>
    </row>
    <row r="290" spans="3:17" x14ac:dyDescent="0.2">
      <c r="C290" s="41"/>
      <c r="D290" s="40" t="s">
        <v>72</v>
      </c>
      <c r="E290" s="40"/>
      <c r="F290" s="71"/>
      <c r="G290" s="71"/>
      <c r="H290" s="71"/>
      <c r="I290" s="71"/>
      <c r="J290" s="71"/>
      <c r="K290" s="76">
        <f>-M254*2</f>
        <v>-2841700</v>
      </c>
      <c r="L290" s="74"/>
      <c r="M290" s="85"/>
      <c r="N290" s="85"/>
    </row>
    <row r="291" spans="3:17" x14ac:dyDescent="0.2">
      <c r="C291" s="41" t="s">
        <v>71</v>
      </c>
      <c r="D291" s="40"/>
      <c r="E291" s="40"/>
      <c r="F291" s="71"/>
      <c r="G291" s="71"/>
      <c r="H291" s="71"/>
      <c r="I291" s="71"/>
      <c r="J291" s="71"/>
      <c r="K291" s="71">
        <f>SUM(K288:K290)</f>
        <v>12739337.470000001</v>
      </c>
      <c r="L291" s="74"/>
      <c r="M291" s="71"/>
      <c r="N291" s="71"/>
    </row>
    <row r="292" spans="3:17" x14ac:dyDescent="0.2">
      <c r="C292" s="41" t="s">
        <v>70</v>
      </c>
      <c r="D292" s="40"/>
      <c r="E292" s="40"/>
      <c r="F292" s="71"/>
      <c r="G292" s="71"/>
      <c r="H292" s="71"/>
      <c r="I292" s="71"/>
      <c r="J292" s="71"/>
      <c r="K292" s="47">
        <v>0.3</v>
      </c>
      <c r="M292" s="71"/>
      <c r="N292" s="71"/>
    </row>
    <row r="293" spans="3:17" x14ac:dyDescent="0.2">
      <c r="C293" s="41" t="s">
        <v>69</v>
      </c>
      <c r="D293" s="40"/>
      <c r="E293" s="40"/>
      <c r="F293" s="71"/>
      <c r="G293" s="71"/>
      <c r="H293" s="71"/>
      <c r="I293" s="71"/>
      <c r="J293" s="71"/>
      <c r="K293" s="42">
        <f>K291*K292</f>
        <v>3821801.24</v>
      </c>
      <c r="M293" s="71"/>
      <c r="N293" s="71"/>
    </row>
    <row r="294" spans="3:17" x14ac:dyDescent="0.2">
      <c r="C294" s="41" t="s">
        <v>68</v>
      </c>
      <c r="D294" s="40"/>
      <c r="E294" s="40"/>
      <c r="F294" s="71"/>
      <c r="G294" s="71"/>
      <c r="H294" s="71"/>
      <c r="I294" s="71"/>
      <c r="J294" s="71"/>
      <c r="M294" s="71"/>
      <c r="N294" s="71"/>
    </row>
    <row r="295" spans="3:17" s="45" customFormat="1" x14ac:dyDescent="0.2">
      <c r="C295" s="41" t="s">
        <v>67</v>
      </c>
      <c r="D295" s="40"/>
      <c r="E295" s="40"/>
      <c r="F295" s="110"/>
      <c r="G295" s="110"/>
      <c r="H295" s="110"/>
      <c r="I295" s="110"/>
      <c r="J295" s="110"/>
      <c r="L295" s="46"/>
      <c r="M295" s="110"/>
      <c r="N295" s="110"/>
      <c r="P295" s="37"/>
      <c r="Q295" s="36"/>
    </row>
    <row r="296" spans="3:17" s="45" customFormat="1" x14ac:dyDescent="0.2">
      <c r="C296" s="41" t="s">
        <v>66</v>
      </c>
      <c r="D296" s="40"/>
      <c r="E296" s="40"/>
      <c r="F296" s="110"/>
      <c r="G296" s="110"/>
      <c r="H296" s="110"/>
      <c r="I296" s="110"/>
      <c r="J296" s="110"/>
      <c r="L296" s="46"/>
      <c r="M296" s="110"/>
      <c r="N296" s="110"/>
      <c r="P296" s="37"/>
      <c r="Q296" s="36"/>
    </row>
    <row r="297" spans="3:17" s="45" customFormat="1" x14ac:dyDescent="0.2">
      <c r="C297" s="41"/>
      <c r="D297" s="40" t="s">
        <v>65</v>
      </c>
      <c r="E297" s="40"/>
      <c r="F297" s="110"/>
      <c r="G297" s="110"/>
      <c r="H297" s="110"/>
      <c r="I297" s="110"/>
      <c r="J297" s="110">
        <v>0</v>
      </c>
      <c r="L297" s="46"/>
      <c r="M297" s="110"/>
      <c r="N297" s="110"/>
      <c r="P297" s="37"/>
      <c r="Q297" s="36"/>
    </row>
    <row r="298" spans="3:17" x14ac:dyDescent="0.2">
      <c r="C298" s="41"/>
      <c r="D298" s="40" t="s">
        <v>64</v>
      </c>
      <c r="E298" s="40"/>
      <c r="G298" s="71"/>
      <c r="H298" s="71"/>
      <c r="I298" s="71"/>
      <c r="J298" s="110">
        <v>0</v>
      </c>
      <c r="M298" s="71"/>
      <c r="N298" s="71"/>
    </row>
    <row r="299" spans="3:17" x14ac:dyDescent="0.2">
      <c r="C299" s="41"/>
      <c r="D299" s="40" t="s">
        <v>63</v>
      </c>
      <c r="E299" s="40"/>
      <c r="F299" s="71"/>
      <c r="G299" s="71"/>
      <c r="H299" s="71"/>
      <c r="I299" s="71"/>
      <c r="J299" s="110">
        <v>0</v>
      </c>
      <c r="K299" s="71"/>
      <c r="L299" s="74"/>
      <c r="M299" s="71"/>
      <c r="N299" s="71"/>
    </row>
    <row r="300" spans="3:17" x14ac:dyDescent="0.2">
      <c r="C300" s="41"/>
      <c r="D300" s="40" t="s">
        <v>62</v>
      </c>
      <c r="E300" s="40"/>
      <c r="J300" s="111">
        <v>0</v>
      </c>
      <c r="K300" s="43">
        <f>SUM(J297:J300)</f>
        <v>0</v>
      </c>
    </row>
    <row r="301" spans="3:17" x14ac:dyDescent="0.2">
      <c r="C301" s="41" t="s">
        <v>61</v>
      </c>
      <c r="D301" s="40"/>
      <c r="E301" s="40"/>
      <c r="K301" s="42">
        <f>K293-K300</f>
        <v>3821801.24</v>
      </c>
    </row>
    <row r="302" spans="3:17" x14ac:dyDescent="0.2">
      <c r="C302" s="41" t="s">
        <v>60</v>
      </c>
      <c r="D302" s="40"/>
      <c r="E302" s="40"/>
    </row>
    <row r="303" spans="3:17" x14ac:dyDescent="0.2">
      <c r="C303" s="36" t="s">
        <v>59</v>
      </c>
    </row>
  </sheetData>
  <mergeCells count="1">
    <mergeCell ref="E13:F13"/>
  </mergeCells>
  <pageMargins left="0.45" right="0" top="0.4" bottom="0.42" header="0.37" footer="0"/>
  <pageSetup paperSize="5" scale="77" orientation="portrait" r:id="rId1"/>
  <headerFooter alignWithMargins="0"/>
  <rowBreaks count="2" manualBreakCount="2">
    <brk id="103" max="13" man="1"/>
    <brk id="185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tabSelected="1" workbookViewId="0">
      <selection activeCell="B2" sqref="B2"/>
    </sheetView>
  </sheetViews>
  <sheetFormatPr defaultRowHeight="12.75" x14ac:dyDescent="0.2"/>
  <cols>
    <col min="1" max="1" customWidth="true" width="4.85546875" collapsed="true"/>
    <col min="2" max="2" customWidth="true" width="12.85546875" collapsed="true"/>
    <col min="3" max="3" customWidth="true" width="31.5703125" collapsed="true"/>
    <col min="4" max="4" customWidth="true" width="90.7109375" collapsed="true"/>
    <col min="5" max="5" customWidth="true" width="23.28515625" collapsed="true"/>
    <col min="6" max="6" customWidth="true" width="22.42578125" collapsed="true"/>
  </cols>
  <sheetData>
    <row r="1" spans="2:6" x14ac:dyDescent="0.2">
      <c r="B1" t="s">
        <v>281</v>
      </c>
      <c r="C1" t="s">
        <v>282</v>
      </c>
      <c r="D1" t="s">
        <v>283</v>
      </c>
      <c r="E1" t="s">
        <v>284</v>
      </c>
      <c r="F1" t="s">
        <v>285</v>
      </c>
    </row>
    <row r="2">
      <c r="B2" t="s">
        <v>286</v>
      </c>
      <c r="C2" t="s">
        <v>287</v>
      </c>
      <c r="D2" t="s">
        <v>288</v>
      </c>
      <c r="E2" t="n">
        <v>6.597036094E7</v>
      </c>
      <c r="F2" t="n">
        <v>0.0</v>
      </c>
    </row>
    <row r="3">
      <c r="B3" t="s">
        <v>286</v>
      </c>
      <c r="C3" t="s">
        <v>289</v>
      </c>
      <c r="D3" t="s">
        <v>290</v>
      </c>
      <c r="E3" t="n">
        <v>1271013.0699999998</v>
      </c>
      <c r="F3" t="n">
        <v>0.0</v>
      </c>
    </row>
    <row r="4">
      <c r="B4" t="s">
        <v>286</v>
      </c>
      <c r="C4" t="s">
        <v>291</v>
      </c>
      <c r="D4" t="s">
        <v>292</v>
      </c>
      <c r="E4" t="n">
        <v>2.521370898E7</v>
      </c>
      <c r="F4" t="n">
        <v>0.0</v>
      </c>
    </row>
    <row r="5">
      <c r="B5" t="s">
        <v>286</v>
      </c>
      <c r="C5" t="s">
        <v>293</v>
      </c>
      <c r="D5" t="s">
        <v>294</v>
      </c>
      <c r="E5" t="n">
        <v>9.203066965E7</v>
      </c>
      <c r="F5" t="n">
        <v>0.0</v>
      </c>
    </row>
    <row r="6">
      <c r="B6" t="s">
        <v>286</v>
      </c>
      <c r="C6" t="s">
        <v>295</v>
      </c>
      <c r="D6" t="s">
        <v>296</v>
      </c>
      <c r="E6" t="n">
        <v>8.65E7</v>
      </c>
      <c r="F6" t="n">
        <v>0.0</v>
      </c>
    </row>
    <row r="7">
      <c r="B7" t="s">
        <v>286</v>
      </c>
      <c r="C7" t="s">
        <v>297</v>
      </c>
      <c r="D7" t="s">
        <v>298</v>
      </c>
      <c r="E7" t="n">
        <v>0.0</v>
      </c>
      <c r="F7" t="n">
        <v>827992.76</v>
      </c>
    </row>
    <row r="8">
      <c r="B8" t="s">
        <v>286</v>
      </c>
      <c r="C8" t="s">
        <v>299</v>
      </c>
      <c r="D8" t="s">
        <v>300</v>
      </c>
      <c r="E8" t="n">
        <v>1.187853743E7</v>
      </c>
      <c r="F8" t="n">
        <v>0.0</v>
      </c>
    </row>
    <row r="9">
      <c r="B9" t="s">
        <v>286</v>
      </c>
      <c r="C9" t="s">
        <v>301</v>
      </c>
      <c r="D9" t="s">
        <v>302</v>
      </c>
      <c r="E9" t="n">
        <v>1.3986012419E8</v>
      </c>
      <c r="F9" t="n">
        <v>0.0</v>
      </c>
    </row>
    <row r="10">
      <c r="B10" t="s">
        <v>286</v>
      </c>
      <c r="C10" t="s">
        <v>303</v>
      </c>
      <c r="D10" t="s">
        <v>304</v>
      </c>
      <c r="E10" t="n">
        <v>5398818.41</v>
      </c>
      <c r="F10" t="n">
        <v>0.0</v>
      </c>
    </row>
    <row r="11">
      <c r="B11" t="s">
        <v>286</v>
      </c>
      <c r="C11" t="s">
        <v>305</v>
      </c>
      <c r="D11" t="s">
        <v>306</v>
      </c>
      <c r="E11" t="n">
        <v>3.385294852E7</v>
      </c>
      <c r="F11" t="n">
        <v>0.0</v>
      </c>
    </row>
    <row r="12">
      <c r="B12" t="s">
        <v>286</v>
      </c>
      <c r="C12" t="s">
        <v>307</v>
      </c>
      <c r="D12" t="s">
        <v>308</v>
      </c>
      <c r="E12" t="n">
        <v>0.0</v>
      </c>
      <c r="F12" t="n">
        <v>0.0</v>
      </c>
    </row>
    <row r="13">
      <c r="B13" t="s">
        <v>286</v>
      </c>
      <c r="C13" t="s">
        <v>309</v>
      </c>
      <c r="D13" t="s">
        <v>310</v>
      </c>
      <c r="E13" t="n">
        <v>0.0</v>
      </c>
      <c r="F13" t="n">
        <v>0.0</v>
      </c>
    </row>
    <row r="14">
      <c r="B14" t="s">
        <v>286</v>
      </c>
      <c r="C14" t="s">
        <v>311</v>
      </c>
      <c r="D14" t="s">
        <v>312</v>
      </c>
      <c r="E14" t="n">
        <v>0.0</v>
      </c>
      <c r="F14" t="n">
        <v>7096053.359999999</v>
      </c>
    </row>
    <row r="15">
      <c r="B15" t="s">
        <v>286</v>
      </c>
      <c r="C15" t="s">
        <v>313</v>
      </c>
      <c r="D15" t="s">
        <v>314</v>
      </c>
      <c r="E15" t="n">
        <v>0.0</v>
      </c>
      <c r="F15" t="n">
        <v>1334447.1</v>
      </c>
    </row>
    <row r="16">
      <c r="B16" t="s">
        <v>286</v>
      </c>
      <c r="C16" t="s">
        <v>315</v>
      </c>
      <c r="D16" t="s">
        <v>316</v>
      </c>
      <c r="E16" t="n">
        <v>1.2319034073E8</v>
      </c>
      <c r="F16" t="n">
        <v>0.0</v>
      </c>
    </row>
    <row r="17">
      <c r="B17" t="s">
        <v>286</v>
      </c>
      <c r="C17" t="s">
        <v>317</v>
      </c>
      <c r="D17" t="s">
        <v>318</v>
      </c>
      <c r="E17" t="n">
        <v>2644506.04</v>
      </c>
      <c r="F17" t="n">
        <v>0.0</v>
      </c>
    </row>
    <row r="18">
      <c r="B18" t="s">
        <v>286</v>
      </c>
      <c r="C18" t="s">
        <v>319</v>
      </c>
      <c r="D18" t="s">
        <v>320</v>
      </c>
      <c r="E18" t="n">
        <v>7299430.79</v>
      </c>
      <c r="F18" t="n">
        <v>0.0</v>
      </c>
    </row>
    <row r="19">
      <c r="B19" t="s">
        <v>286</v>
      </c>
      <c r="C19" t="s">
        <v>321</v>
      </c>
      <c r="D19" t="s">
        <v>322</v>
      </c>
      <c r="E19" t="n">
        <v>0.0</v>
      </c>
      <c r="F19" t="n">
        <v>0.0</v>
      </c>
    </row>
    <row r="20">
      <c r="B20" t="s">
        <v>286</v>
      </c>
      <c r="C20" t="s">
        <v>323</v>
      </c>
      <c r="D20" t="s">
        <v>324</v>
      </c>
      <c r="E20" t="n">
        <v>0.0</v>
      </c>
      <c r="F20" t="n">
        <v>1052623.12</v>
      </c>
    </row>
    <row r="21">
      <c r="B21" t="s">
        <v>286</v>
      </c>
      <c r="C21" t="s">
        <v>325</v>
      </c>
      <c r="D21" t="s">
        <v>326</v>
      </c>
      <c r="E21" t="n">
        <v>0.0</v>
      </c>
      <c r="F21" t="n">
        <v>8459323.53</v>
      </c>
    </row>
    <row r="22">
      <c r="B22" t="s">
        <v>286</v>
      </c>
      <c r="C22" t="s">
        <v>327</v>
      </c>
      <c r="D22" t="s">
        <v>328</v>
      </c>
      <c r="E22" t="n">
        <v>9174374.4</v>
      </c>
      <c r="F22" t="n">
        <v>0.0</v>
      </c>
    </row>
    <row r="23">
      <c r="B23" t="s">
        <v>286</v>
      </c>
      <c r="C23" t="s">
        <v>329</v>
      </c>
      <c r="D23" t="s">
        <v>330</v>
      </c>
      <c r="E23" t="n">
        <v>0.0</v>
      </c>
      <c r="F23" t="n">
        <v>0.0</v>
      </c>
    </row>
    <row r="24">
      <c r="B24" t="s">
        <v>286</v>
      </c>
      <c r="C24" t="s">
        <v>331</v>
      </c>
      <c r="D24" t="s">
        <v>332</v>
      </c>
      <c r="E24" t="n">
        <v>9204893.17</v>
      </c>
      <c r="F24" t="n">
        <v>0.0</v>
      </c>
    </row>
    <row r="25">
      <c r="B25" t="s">
        <v>286</v>
      </c>
      <c r="C25" t="s">
        <v>333</v>
      </c>
      <c r="D25" t="s">
        <v>334</v>
      </c>
      <c r="E25" t="n">
        <v>0.0</v>
      </c>
      <c r="F25" t="n">
        <v>0.0</v>
      </c>
    </row>
    <row r="26">
      <c r="B26" t="s">
        <v>286</v>
      </c>
      <c r="C26" t="s">
        <v>335</v>
      </c>
      <c r="D26" t="s">
        <v>336</v>
      </c>
      <c r="E26" t="n">
        <v>0.0</v>
      </c>
      <c r="F26" t="n">
        <v>300895.45999999996</v>
      </c>
    </row>
    <row r="27">
      <c r="B27" t="s">
        <v>286</v>
      </c>
      <c r="C27" t="s">
        <v>337</v>
      </c>
      <c r="D27" t="s">
        <v>338</v>
      </c>
      <c r="E27" t="n">
        <v>0.0</v>
      </c>
      <c r="F27" t="n">
        <v>159525.04</v>
      </c>
    </row>
    <row r="28">
      <c r="B28" t="s">
        <v>286</v>
      </c>
      <c r="C28" t="s">
        <v>339</v>
      </c>
      <c r="D28" t="s">
        <v>340</v>
      </c>
      <c r="E28" t="n">
        <v>0.0</v>
      </c>
      <c r="F28" t="n">
        <v>0.0</v>
      </c>
    </row>
    <row r="29">
      <c r="B29" t="s">
        <v>286</v>
      </c>
      <c r="C29" t="s">
        <v>341</v>
      </c>
      <c r="D29" t="s">
        <v>342</v>
      </c>
      <c r="E29" t="n">
        <v>0.0</v>
      </c>
      <c r="F29" t="n">
        <v>0.0</v>
      </c>
    </row>
    <row r="30">
      <c r="B30" t="s">
        <v>286</v>
      </c>
      <c r="C30" t="s">
        <v>343</v>
      </c>
      <c r="D30" t="s">
        <v>344</v>
      </c>
      <c r="E30" t="n">
        <v>1.6913973725E8</v>
      </c>
      <c r="F30" t="n">
        <v>0.0</v>
      </c>
    </row>
    <row r="31">
      <c r="B31" t="s">
        <v>286</v>
      </c>
      <c r="C31" t="s">
        <v>345</v>
      </c>
      <c r="D31" t="s">
        <v>346</v>
      </c>
      <c r="E31" t="n">
        <v>9491749.75</v>
      </c>
      <c r="F31" t="n">
        <v>0.0</v>
      </c>
    </row>
    <row r="32">
      <c r="B32" t="s">
        <v>286</v>
      </c>
      <c r="C32" t="s">
        <v>347</v>
      </c>
      <c r="D32" t="s">
        <v>348</v>
      </c>
      <c r="E32" t="n">
        <v>1.915577466E7</v>
      </c>
      <c r="F32" t="n">
        <v>0.0</v>
      </c>
    </row>
    <row r="33">
      <c r="B33" t="s">
        <v>286</v>
      </c>
      <c r="C33" t="s">
        <v>349</v>
      </c>
      <c r="D33" t="s">
        <v>350</v>
      </c>
      <c r="E33" t="n">
        <v>0.0</v>
      </c>
      <c r="F33" t="n">
        <v>0.0</v>
      </c>
    </row>
    <row r="34">
      <c r="B34" t="s">
        <v>286</v>
      </c>
      <c r="C34" t="s">
        <v>351</v>
      </c>
      <c r="D34" t="s">
        <v>352</v>
      </c>
      <c r="E34" t="n">
        <v>0.0</v>
      </c>
      <c r="F34" t="n">
        <v>684516.81</v>
      </c>
    </row>
    <row r="35">
      <c r="B35" t="s">
        <v>286</v>
      </c>
      <c r="C35" t="s">
        <v>353</v>
      </c>
      <c r="D35" t="s">
        <v>354</v>
      </c>
      <c r="E35" t="n">
        <v>0.0</v>
      </c>
      <c r="F35" t="n">
        <v>9774372.85</v>
      </c>
    </row>
    <row r="36">
      <c r="B36" t="s">
        <v>286</v>
      </c>
      <c r="C36" t="s">
        <v>355</v>
      </c>
      <c r="D36" t="s">
        <v>356</v>
      </c>
      <c r="E36" t="n">
        <v>1.3394751694E8</v>
      </c>
      <c r="F36" t="n">
        <v>0.0</v>
      </c>
    </row>
    <row r="37">
      <c r="B37" t="s">
        <v>286</v>
      </c>
      <c r="C37" t="s">
        <v>357</v>
      </c>
      <c r="D37" t="s">
        <v>358</v>
      </c>
      <c r="E37" t="n">
        <v>0.0</v>
      </c>
      <c r="F37" t="n">
        <v>0.0</v>
      </c>
    </row>
    <row r="38">
      <c r="B38" t="s">
        <v>286</v>
      </c>
      <c r="C38" t="s">
        <v>359</v>
      </c>
      <c r="D38" t="s">
        <v>360</v>
      </c>
      <c r="E38" t="n">
        <v>8300000.0</v>
      </c>
      <c r="F38" t="n">
        <v>0.0</v>
      </c>
    </row>
    <row r="39">
      <c r="B39" t="s">
        <v>286</v>
      </c>
      <c r="C39" t="s">
        <v>361</v>
      </c>
      <c r="D39" t="s">
        <v>362</v>
      </c>
      <c r="E39" t="n">
        <v>0.0</v>
      </c>
      <c r="F39" t="n">
        <v>0.0</v>
      </c>
    </row>
    <row r="40">
      <c r="B40" t="s">
        <v>286</v>
      </c>
      <c r="C40" t="s">
        <v>363</v>
      </c>
      <c r="D40" t="s">
        <v>364</v>
      </c>
      <c r="E40" t="n">
        <v>0.0</v>
      </c>
      <c r="F40" t="n">
        <v>24018.370000000003</v>
      </c>
    </row>
    <row r="41">
      <c r="B41" t="s">
        <v>286</v>
      </c>
      <c r="C41" t="s">
        <v>365</v>
      </c>
      <c r="D41" t="s">
        <v>366</v>
      </c>
      <c r="E41" t="n">
        <v>0.0</v>
      </c>
      <c r="F41" t="n">
        <v>8674930.49</v>
      </c>
    </row>
    <row r="42">
      <c r="B42" t="s">
        <v>286</v>
      </c>
      <c r="C42" t="s">
        <v>367</v>
      </c>
      <c r="D42" t="s">
        <v>368</v>
      </c>
      <c r="E42" t="n">
        <v>0.0</v>
      </c>
      <c r="F42" t="n">
        <v>0.0</v>
      </c>
    </row>
    <row r="43">
      <c r="B43" t="s">
        <v>286</v>
      </c>
      <c r="C43" t="s">
        <v>369</v>
      </c>
      <c r="D43" t="s">
        <v>370</v>
      </c>
      <c r="E43" t="n">
        <v>0.0</v>
      </c>
      <c r="F43" t="n">
        <v>0.0</v>
      </c>
    </row>
    <row r="44">
      <c r="B44" t="s">
        <v>286</v>
      </c>
      <c r="C44" t="s">
        <v>371</v>
      </c>
      <c r="D44" t="s">
        <v>372</v>
      </c>
      <c r="E44" t="n">
        <v>0.0</v>
      </c>
      <c r="F44" t="n">
        <v>0.0</v>
      </c>
    </row>
    <row r="45">
      <c r="B45" t="s">
        <v>286</v>
      </c>
      <c r="C45" t="s">
        <v>373</v>
      </c>
      <c r="D45" t="s">
        <v>374</v>
      </c>
      <c r="E45" t="n">
        <v>0.0</v>
      </c>
      <c r="F45" t="n">
        <v>0.0</v>
      </c>
    </row>
    <row r="46">
      <c r="B46" t="s">
        <v>286</v>
      </c>
      <c r="C46" t="s">
        <v>375</v>
      </c>
      <c r="D46" t="s">
        <v>376</v>
      </c>
      <c r="E46" t="n">
        <v>0.0</v>
      </c>
      <c r="F46" t="n">
        <v>0.0</v>
      </c>
    </row>
    <row r="47">
      <c r="B47" t="s">
        <v>286</v>
      </c>
      <c r="C47" t="s">
        <v>377</v>
      </c>
      <c r="D47" t="s">
        <v>378</v>
      </c>
      <c r="E47" t="n">
        <v>2.30867375E7</v>
      </c>
      <c r="F47" t="n">
        <v>0.0</v>
      </c>
    </row>
    <row r="48">
      <c r="B48" t="s">
        <v>286</v>
      </c>
      <c r="C48" t="s">
        <v>379</v>
      </c>
      <c r="D48" t="s">
        <v>380</v>
      </c>
      <c r="E48" t="n">
        <v>0.0</v>
      </c>
      <c r="F48" t="n">
        <v>0.0</v>
      </c>
    </row>
    <row r="49">
      <c r="B49" t="s">
        <v>286</v>
      </c>
      <c r="C49" t="s">
        <v>381</v>
      </c>
      <c r="D49" t="s">
        <v>382</v>
      </c>
      <c r="E49" t="n">
        <v>0.0</v>
      </c>
      <c r="F49" t="n">
        <v>0.0</v>
      </c>
    </row>
    <row r="50">
      <c r="B50" t="s">
        <v>286</v>
      </c>
      <c r="C50" t="s">
        <v>383</v>
      </c>
      <c r="D50" t="s">
        <v>384</v>
      </c>
      <c r="E50" t="n">
        <v>0.0</v>
      </c>
      <c r="F50" t="n">
        <v>562414.8999999999</v>
      </c>
    </row>
    <row r="51">
      <c r="B51" t="s">
        <v>286</v>
      </c>
      <c r="C51" t="s">
        <v>385</v>
      </c>
      <c r="D51" t="s">
        <v>386</v>
      </c>
      <c r="E51" t="n">
        <v>0.0</v>
      </c>
      <c r="F51" t="n">
        <v>0.0</v>
      </c>
    </row>
    <row r="52">
      <c r="B52" t="s">
        <v>286</v>
      </c>
      <c r="C52" t="s">
        <v>387</v>
      </c>
      <c r="D52" t="s">
        <v>388</v>
      </c>
      <c r="E52" t="n">
        <v>9.513392246E7</v>
      </c>
      <c r="F52" t="n">
        <v>0.0</v>
      </c>
    </row>
    <row r="53">
      <c r="B53" t="s">
        <v>286</v>
      </c>
      <c r="C53" t="s">
        <v>389</v>
      </c>
      <c r="D53" t="s">
        <v>390</v>
      </c>
      <c r="E53" t="n">
        <v>7482453.05</v>
      </c>
      <c r="F53" t="n">
        <v>0.0</v>
      </c>
    </row>
    <row r="54">
      <c r="B54" t="s">
        <v>286</v>
      </c>
      <c r="C54" t="s">
        <v>391</v>
      </c>
      <c r="D54" t="s">
        <v>392</v>
      </c>
      <c r="E54" t="n">
        <v>6789364.38</v>
      </c>
      <c r="F54" t="n">
        <v>0.0</v>
      </c>
    </row>
    <row r="55">
      <c r="B55" t="s">
        <v>286</v>
      </c>
      <c r="C55" t="s">
        <v>393</v>
      </c>
      <c r="D55" t="s">
        <v>394</v>
      </c>
      <c r="E55" t="n">
        <v>0.0</v>
      </c>
      <c r="F55" t="n">
        <v>0.0</v>
      </c>
    </row>
    <row r="56">
      <c r="B56" t="s">
        <v>286</v>
      </c>
      <c r="C56" t="s">
        <v>395</v>
      </c>
      <c r="D56" t="s">
        <v>396</v>
      </c>
      <c r="E56" t="n">
        <v>0.0</v>
      </c>
      <c r="F56" t="n">
        <v>1236005.33</v>
      </c>
    </row>
    <row r="57">
      <c r="B57" t="s">
        <v>286</v>
      </c>
      <c r="C57" t="s">
        <v>397</v>
      </c>
      <c r="D57" t="s">
        <v>398</v>
      </c>
      <c r="E57" t="n">
        <v>0.0</v>
      </c>
      <c r="F57" t="n">
        <v>363437.92</v>
      </c>
    </row>
    <row r="58">
      <c r="B58" t="s">
        <v>286</v>
      </c>
      <c r="C58" t="s">
        <v>399</v>
      </c>
      <c r="D58" t="s">
        <v>400</v>
      </c>
      <c r="E58" t="n">
        <v>0.0</v>
      </c>
      <c r="F58" t="n">
        <v>0.0</v>
      </c>
    </row>
    <row r="59">
      <c r="B59" t="s">
        <v>286</v>
      </c>
      <c r="C59" t="s">
        <v>401</v>
      </c>
      <c r="D59" t="s">
        <v>402</v>
      </c>
      <c r="E59" t="n">
        <v>0.0</v>
      </c>
      <c r="F59" t="n">
        <v>0.0</v>
      </c>
    </row>
    <row r="60">
      <c r="B60" t="s">
        <v>286</v>
      </c>
      <c r="C60" t="s">
        <v>403</v>
      </c>
      <c r="D60" t="s">
        <v>404</v>
      </c>
      <c r="E60" t="n">
        <v>0.0</v>
      </c>
      <c r="F60" t="n">
        <v>0.0</v>
      </c>
    </row>
    <row r="61">
      <c r="B61" t="s">
        <v>286</v>
      </c>
      <c r="C61" t="s">
        <v>405</v>
      </c>
      <c r="D61" t="s">
        <v>406</v>
      </c>
      <c r="E61" t="n">
        <v>0.0</v>
      </c>
      <c r="F61" t="n">
        <v>0.0</v>
      </c>
    </row>
    <row r="62">
      <c r="B62" t="s">
        <v>286</v>
      </c>
      <c r="C62" t="s">
        <v>407</v>
      </c>
      <c r="D62" t="s">
        <v>408</v>
      </c>
      <c r="E62" t="n">
        <v>0.0</v>
      </c>
      <c r="F62" t="n">
        <v>0.0</v>
      </c>
    </row>
    <row r="63">
      <c r="B63" t="s">
        <v>286</v>
      </c>
      <c r="C63" t="s">
        <v>409</v>
      </c>
      <c r="D63" t="s">
        <v>410</v>
      </c>
      <c r="E63" t="n">
        <v>0.0</v>
      </c>
      <c r="F63" t="n">
        <v>0.0</v>
      </c>
    </row>
    <row r="64">
      <c r="B64" t="s">
        <v>286</v>
      </c>
      <c r="C64" t="s">
        <v>411</v>
      </c>
      <c r="D64" t="s">
        <v>412</v>
      </c>
      <c r="E64" t="n">
        <v>0.0</v>
      </c>
      <c r="F64" t="n">
        <v>0.0</v>
      </c>
    </row>
    <row r="65">
      <c r="B65" t="s">
        <v>286</v>
      </c>
      <c r="C65" t="s">
        <v>413</v>
      </c>
      <c r="D65" t="s">
        <v>414</v>
      </c>
      <c r="E65" t="n">
        <v>0.0</v>
      </c>
      <c r="F65" t="n">
        <v>0.0</v>
      </c>
    </row>
    <row r="66">
      <c r="B66" t="s">
        <v>286</v>
      </c>
      <c r="C66" t="s">
        <v>415</v>
      </c>
      <c r="D66" t="s">
        <v>416</v>
      </c>
      <c r="E66" t="n">
        <v>0.0</v>
      </c>
      <c r="F66" t="n">
        <v>0.0</v>
      </c>
    </row>
    <row r="67">
      <c r="B67" t="s">
        <v>286</v>
      </c>
      <c r="C67" t="s">
        <v>417</v>
      </c>
      <c r="D67" t="s">
        <v>418</v>
      </c>
      <c r="E67" t="n">
        <v>0.0</v>
      </c>
      <c r="F67" t="n">
        <v>0.0</v>
      </c>
    </row>
    <row r="68">
      <c r="B68" t="s">
        <v>286</v>
      </c>
      <c r="C68" t="s">
        <v>419</v>
      </c>
      <c r="D68" t="s">
        <v>420</v>
      </c>
      <c r="E68" t="n">
        <v>0.0</v>
      </c>
      <c r="F68" t="n">
        <v>0.0</v>
      </c>
    </row>
    <row r="69">
      <c r="B69" t="s">
        <v>286</v>
      </c>
      <c r="C69" t="s">
        <v>421</v>
      </c>
      <c r="D69" t="s">
        <v>422</v>
      </c>
      <c r="E69" t="n">
        <v>0.0</v>
      </c>
      <c r="F69" t="n">
        <v>0.0</v>
      </c>
    </row>
    <row r="70">
      <c r="B70" t="s">
        <v>286</v>
      </c>
      <c r="C70" t="s">
        <v>423</v>
      </c>
      <c r="D70" t="s">
        <v>424</v>
      </c>
      <c r="E70" t="n">
        <v>202250.08</v>
      </c>
      <c r="F70" t="n">
        <v>0.0</v>
      </c>
    </row>
    <row r="71">
      <c r="B71" t="s">
        <v>286</v>
      </c>
      <c r="C71" t="s">
        <v>425</v>
      </c>
      <c r="D71" t="s">
        <v>426</v>
      </c>
      <c r="E71" t="n">
        <v>0.0</v>
      </c>
      <c r="F71" t="n">
        <v>0.0</v>
      </c>
    </row>
    <row r="72">
      <c r="B72" t="s">
        <v>286</v>
      </c>
      <c r="C72" t="s">
        <v>427</v>
      </c>
      <c r="D72" t="s">
        <v>428</v>
      </c>
      <c r="E72" t="n">
        <v>0.0</v>
      </c>
      <c r="F72" t="n">
        <v>0.0</v>
      </c>
    </row>
    <row r="73">
      <c r="B73" t="s">
        <v>286</v>
      </c>
      <c r="C73" t="s">
        <v>429</v>
      </c>
      <c r="D73" t="s">
        <v>430</v>
      </c>
      <c r="E73" t="n">
        <v>0.0</v>
      </c>
      <c r="F73" t="n">
        <v>0.0</v>
      </c>
    </row>
    <row r="74">
      <c r="B74" t="s">
        <v>286</v>
      </c>
      <c r="C74" t="s">
        <v>431</v>
      </c>
      <c r="D74" t="s">
        <v>432</v>
      </c>
      <c r="E74" t="n">
        <v>0.0</v>
      </c>
      <c r="F74" t="n">
        <v>0.0</v>
      </c>
    </row>
    <row r="75">
      <c r="B75" t="s">
        <v>286</v>
      </c>
      <c r="C75" t="s">
        <v>433</v>
      </c>
      <c r="D75" t="s">
        <v>434</v>
      </c>
      <c r="E75" t="n">
        <v>0.0</v>
      </c>
      <c r="F75" t="n">
        <v>0.0</v>
      </c>
    </row>
    <row r="76">
      <c r="B76" t="s">
        <v>286</v>
      </c>
      <c r="C76" t="s">
        <v>435</v>
      </c>
      <c r="D76" t="s">
        <v>436</v>
      </c>
      <c r="E76" t="n">
        <v>7797211.2</v>
      </c>
      <c r="F76" t="n">
        <v>0.0</v>
      </c>
    </row>
    <row r="77">
      <c r="B77" t="s">
        <v>286</v>
      </c>
      <c r="C77" t="s">
        <v>437</v>
      </c>
      <c r="D77" t="s">
        <v>438</v>
      </c>
      <c r="E77" t="n">
        <v>208026.73</v>
      </c>
      <c r="F77" t="n">
        <v>0.0</v>
      </c>
    </row>
    <row r="78">
      <c r="B78" t="s">
        <v>286</v>
      </c>
      <c r="C78" t="s">
        <v>439</v>
      </c>
      <c r="D78" t="s">
        <v>440</v>
      </c>
      <c r="E78" t="n">
        <v>1894268.59</v>
      </c>
      <c r="F78" t="n">
        <v>0.0</v>
      </c>
    </row>
    <row r="79">
      <c r="B79" t="s">
        <v>286</v>
      </c>
      <c r="C79" t="s">
        <v>441</v>
      </c>
      <c r="D79" t="s">
        <v>442</v>
      </c>
      <c r="E79" t="n">
        <v>0.0</v>
      </c>
      <c r="F79" t="n">
        <v>0.0</v>
      </c>
    </row>
    <row r="80">
      <c r="B80" t="s">
        <v>286</v>
      </c>
      <c r="C80" t="s">
        <v>443</v>
      </c>
      <c r="D80" t="s">
        <v>444</v>
      </c>
      <c r="E80" t="n">
        <v>0.0</v>
      </c>
      <c r="F80" t="n">
        <v>31051.170000000002</v>
      </c>
    </row>
    <row r="81">
      <c r="B81" t="s">
        <v>286</v>
      </c>
      <c r="C81" t="s">
        <v>445</v>
      </c>
      <c r="D81" t="s">
        <v>446</v>
      </c>
      <c r="E81" t="n">
        <v>0.0</v>
      </c>
      <c r="F81" t="n">
        <v>0.0</v>
      </c>
    </row>
    <row r="82">
      <c r="B82" t="s">
        <v>286</v>
      </c>
      <c r="C82" t="s">
        <v>447</v>
      </c>
      <c r="D82" t="s">
        <v>448</v>
      </c>
      <c r="E82" t="n">
        <v>2.033846287E7</v>
      </c>
      <c r="F82" t="n">
        <v>0.0</v>
      </c>
    </row>
    <row r="83">
      <c r="B83" t="s">
        <v>286</v>
      </c>
      <c r="C83" t="s">
        <v>449</v>
      </c>
      <c r="D83" t="s">
        <v>450</v>
      </c>
      <c r="E83" t="n">
        <v>899860.72</v>
      </c>
      <c r="F83" t="n">
        <v>0.0</v>
      </c>
    </row>
    <row r="84">
      <c r="B84" t="s">
        <v>286</v>
      </c>
      <c r="C84" t="s">
        <v>451</v>
      </c>
      <c r="D84" t="s">
        <v>452</v>
      </c>
      <c r="E84" t="n">
        <v>6813484.23</v>
      </c>
      <c r="F84" t="n">
        <v>0.0</v>
      </c>
    </row>
    <row r="85">
      <c r="B85" t="s">
        <v>286</v>
      </c>
      <c r="C85" t="s">
        <v>453</v>
      </c>
      <c r="D85" t="s">
        <v>454</v>
      </c>
      <c r="E85" t="n">
        <v>0.0</v>
      </c>
      <c r="F85" t="n">
        <v>0.0</v>
      </c>
    </row>
    <row r="86">
      <c r="B86" t="s">
        <v>286</v>
      </c>
      <c r="C86" t="s">
        <v>455</v>
      </c>
      <c r="D86" t="s">
        <v>456</v>
      </c>
      <c r="E86" t="n">
        <v>0.0</v>
      </c>
      <c r="F86" t="n">
        <v>62142.94</v>
      </c>
    </row>
    <row r="87">
      <c r="B87" t="s">
        <v>286</v>
      </c>
      <c r="C87" t="s">
        <v>457</v>
      </c>
      <c r="D87" t="s">
        <v>458</v>
      </c>
      <c r="E87" t="n">
        <v>0.0</v>
      </c>
      <c r="F87" t="n">
        <v>6285.55</v>
      </c>
    </row>
    <row r="88">
      <c r="B88" t="s">
        <v>286</v>
      </c>
      <c r="C88" t="s">
        <v>459</v>
      </c>
      <c r="D88" t="s">
        <v>460</v>
      </c>
      <c r="E88" t="n">
        <v>8.121240702E7</v>
      </c>
      <c r="F88" t="n">
        <v>0.0</v>
      </c>
    </row>
    <row r="89">
      <c r="B89" t="s">
        <v>286</v>
      </c>
      <c r="C89" t="s">
        <v>461</v>
      </c>
      <c r="D89" t="s">
        <v>462</v>
      </c>
      <c r="E89" t="n">
        <v>4498745.54</v>
      </c>
      <c r="F89" t="n">
        <v>0.0</v>
      </c>
    </row>
    <row r="90">
      <c r="B90" t="s">
        <v>286</v>
      </c>
      <c r="C90" t="s">
        <v>463</v>
      </c>
      <c r="D90" t="s">
        <v>464</v>
      </c>
      <c r="E90" t="n">
        <v>1.535905195E7</v>
      </c>
      <c r="F90" t="n">
        <v>0.0</v>
      </c>
    </row>
    <row r="91">
      <c r="B91" t="s">
        <v>286</v>
      </c>
      <c r="C91" t="s">
        <v>465</v>
      </c>
      <c r="D91" t="s">
        <v>466</v>
      </c>
      <c r="E91" t="n">
        <v>0.0</v>
      </c>
      <c r="F91" t="n">
        <v>0.0</v>
      </c>
    </row>
    <row r="92">
      <c r="B92" t="s">
        <v>286</v>
      </c>
      <c r="C92" t="s">
        <v>467</v>
      </c>
      <c r="D92" t="s">
        <v>468</v>
      </c>
      <c r="E92" t="n">
        <v>0.0</v>
      </c>
      <c r="F92" t="n">
        <v>200565.93000000002</v>
      </c>
    </row>
    <row r="93">
      <c r="B93" t="s">
        <v>286</v>
      </c>
      <c r="C93" t="s">
        <v>469</v>
      </c>
      <c r="D93" t="s">
        <v>470</v>
      </c>
      <c r="E93" t="n">
        <v>0.0</v>
      </c>
      <c r="F93" t="n">
        <v>1422519.13</v>
      </c>
    </row>
    <row r="94">
      <c r="B94" t="s">
        <v>286</v>
      </c>
      <c r="C94" t="s">
        <v>471</v>
      </c>
      <c r="D94" t="s">
        <v>472</v>
      </c>
      <c r="E94" t="n">
        <v>4430325.35</v>
      </c>
      <c r="F94" t="n">
        <v>0.0</v>
      </c>
    </row>
    <row r="95">
      <c r="B95" t="s">
        <v>286</v>
      </c>
      <c r="C95" t="s">
        <v>473</v>
      </c>
      <c r="D95" t="s">
        <v>474</v>
      </c>
      <c r="E95" t="n">
        <v>4.0</v>
      </c>
      <c r="F95" t="n">
        <v>0.0</v>
      </c>
    </row>
    <row r="96">
      <c r="B96" t="s">
        <v>286</v>
      </c>
      <c r="C96" t="s">
        <v>475</v>
      </c>
      <c r="D96" t="s">
        <v>476</v>
      </c>
      <c r="E96" t="n">
        <v>0.0</v>
      </c>
      <c r="F96" t="n">
        <v>1.0</v>
      </c>
    </row>
    <row r="97">
      <c r="B97" t="s">
        <v>286</v>
      </c>
      <c r="C97" t="s">
        <v>477</v>
      </c>
      <c r="D97" t="s">
        <v>478</v>
      </c>
      <c r="E97" t="n">
        <v>0.0</v>
      </c>
      <c r="F97" t="n">
        <v>1.0</v>
      </c>
    </row>
    <row r="98">
      <c r="B98" t="s">
        <v>286</v>
      </c>
      <c r="C98" t="s">
        <v>479</v>
      </c>
      <c r="D98" t="s">
        <v>480</v>
      </c>
      <c r="E98" t="n">
        <v>6172613.94</v>
      </c>
      <c r="F98" t="n">
        <v>0.0</v>
      </c>
    </row>
    <row r="99">
      <c r="B99" t="s">
        <v>286</v>
      </c>
      <c r="C99" t="s">
        <v>481</v>
      </c>
      <c r="D99" t="s">
        <v>482</v>
      </c>
      <c r="E99" t="n">
        <v>1273675.0</v>
      </c>
      <c r="F99" t="n">
        <v>0.0</v>
      </c>
    </row>
    <row r="100">
      <c r="B100" t="s">
        <v>286</v>
      </c>
      <c r="C100" t="s">
        <v>483</v>
      </c>
      <c r="D100" t="s">
        <v>484</v>
      </c>
      <c r="E100" t="n">
        <v>13.0</v>
      </c>
      <c r="F100" t="n">
        <v>0.0</v>
      </c>
    </row>
    <row r="101">
      <c r="B101" t="s">
        <v>286</v>
      </c>
      <c r="C101" t="s">
        <v>485</v>
      </c>
      <c r="D101" t="s">
        <v>486</v>
      </c>
      <c r="E101" t="n">
        <v>0.0</v>
      </c>
      <c r="F101" t="n">
        <v>1.0</v>
      </c>
    </row>
    <row r="102">
      <c r="B102" t="s">
        <v>286</v>
      </c>
      <c r="C102" t="s">
        <v>487</v>
      </c>
      <c r="D102" t="s">
        <v>488</v>
      </c>
      <c r="E102" t="n">
        <v>0.0</v>
      </c>
      <c r="F102" t="n">
        <v>9892439.96</v>
      </c>
    </row>
    <row r="103">
      <c r="B103" t="s">
        <v>286</v>
      </c>
      <c r="C103" t="s">
        <v>489</v>
      </c>
      <c r="D103" t="s">
        <v>490</v>
      </c>
      <c r="E103" t="n">
        <v>2.759658698E7</v>
      </c>
      <c r="F103" t="n">
        <v>0.0</v>
      </c>
    </row>
    <row r="104">
      <c r="B104" t="s">
        <v>286</v>
      </c>
      <c r="C104" t="s">
        <v>491</v>
      </c>
      <c r="D104" t="s">
        <v>492</v>
      </c>
      <c r="E104" t="n">
        <v>3790000.0</v>
      </c>
      <c r="F104" t="n">
        <v>0.0</v>
      </c>
    </row>
    <row r="105">
      <c r="B105" t="s">
        <v>286</v>
      </c>
      <c r="C105" t="s">
        <v>493</v>
      </c>
      <c r="D105" t="s">
        <v>494</v>
      </c>
      <c r="E105" t="n">
        <v>0.0</v>
      </c>
      <c r="F105" t="n">
        <v>580411.04</v>
      </c>
    </row>
    <row r="106">
      <c r="B106" t="s">
        <v>286</v>
      </c>
      <c r="C106" t="s">
        <v>495</v>
      </c>
      <c r="D106" t="s">
        <v>496</v>
      </c>
      <c r="E106" t="n">
        <v>0.0</v>
      </c>
      <c r="F106" t="n">
        <v>0.0</v>
      </c>
    </row>
    <row r="107">
      <c r="B107" t="s">
        <v>286</v>
      </c>
      <c r="C107" t="s">
        <v>497</v>
      </c>
      <c r="D107" t="s">
        <v>498</v>
      </c>
      <c r="E107" t="n">
        <v>274041.27</v>
      </c>
      <c r="F107" t="n">
        <v>0.0</v>
      </c>
    </row>
    <row r="108">
      <c r="B108" t="s">
        <v>286</v>
      </c>
      <c r="C108" t="s">
        <v>499</v>
      </c>
      <c r="D108" t="s">
        <v>500</v>
      </c>
      <c r="E108" t="n">
        <v>1.372536002E7</v>
      </c>
      <c r="F108" t="n">
        <v>0.0</v>
      </c>
    </row>
    <row r="109">
      <c r="B109" t="s">
        <v>286</v>
      </c>
      <c r="C109" t="s">
        <v>501</v>
      </c>
      <c r="D109" t="s">
        <v>502</v>
      </c>
      <c r="E109" t="n">
        <v>4.54691893E7</v>
      </c>
      <c r="F109" t="n">
        <v>0.0</v>
      </c>
    </row>
    <row r="110">
      <c r="B110" t="s">
        <v>286</v>
      </c>
      <c r="C110" t="s">
        <v>503</v>
      </c>
      <c r="D110" t="s">
        <v>504</v>
      </c>
      <c r="E110" t="n">
        <v>4.046856406E7</v>
      </c>
      <c r="F110" t="n">
        <v>0.0</v>
      </c>
    </row>
    <row r="111">
      <c r="B111" t="s">
        <v>286</v>
      </c>
      <c r="C111" t="s">
        <v>505</v>
      </c>
      <c r="D111" t="s">
        <v>506</v>
      </c>
      <c r="E111" t="n">
        <v>0.0</v>
      </c>
      <c r="F111" t="n">
        <v>0.0</v>
      </c>
    </row>
    <row r="112">
      <c r="B112" t="s">
        <v>286</v>
      </c>
      <c r="C112" t="s">
        <v>507</v>
      </c>
      <c r="D112" t="s">
        <v>508</v>
      </c>
      <c r="E112" t="n">
        <v>0.0</v>
      </c>
      <c r="F112" t="n">
        <v>0.0</v>
      </c>
    </row>
    <row r="113">
      <c r="B113" t="s">
        <v>286</v>
      </c>
      <c r="C113" t="s">
        <v>509</v>
      </c>
      <c r="D113" t="s">
        <v>510</v>
      </c>
      <c r="E113" t="n">
        <v>1.698376354E7</v>
      </c>
      <c r="F113" t="n">
        <v>0.0</v>
      </c>
    </row>
    <row r="114">
      <c r="B114" t="s">
        <v>286</v>
      </c>
      <c r="C114" t="s">
        <v>511</v>
      </c>
      <c r="D114" t="s">
        <v>512</v>
      </c>
      <c r="E114" t="n">
        <v>3.862549418E7</v>
      </c>
      <c r="F114" t="n">
        <v>0.0</v>
      </c>
    </row>
    <row r="115">
      <c r="B115" t="s">
        <v>286</v>
      </c>
      <c r="C115" t="s">
        <v>513</v>
      </c>
      <c r="D115" t="s">
        <v>514</v>
      </c>
      <c r="E115" t="n">
        <v>0.0</v>
      </c>
      <c r="F115" t="n">
        <v>0.0</v>
      </c>
    </row>
    <row r="116">
      <c r="B116" t="s">
        <v>286</v>
      </c>
      <c r="C116" t="s">
        <v>515</v>
      </c>
      <c r="D116" t="s">
        <v>516</v>
      </c>
      <c r="E116" t="n">
        <v>0.0</v>
      </c>
      <c r="F116" t="n">
        <v>1.347321525E7</v>
      </c>
    </row>
    <row r="117">
      <c r="B117" t="s">
        <v>286</v>
      </c>
      <c r="C117" t="s">
        <v>517</v>
      </c>
      <c r="D117" t="s">
        <v>518</v>
      </c>
      <c r="E117" t="n">
        <v>0.0</v>
      </c>
      <c r="F117" t="n">
        <v>2.951878558E7</v>
      </c>
    </row>
    <row r="118">
      <c r="B118" t="s">
        <v>286</v>
      </c>
      <c r="C118" t="s">
        <v>519</v>
      </c>
      <c r="D118" t="s">
        <v>520</v>
      </c>
      <c r="E118" t="n">
        <v>0.0</v>
      </c>
      <c r="F118" t="n">
        <v>0.0</v>
      </c>
    </row>
    <row r="119">
      <c r="B119" t="s">
        <v>286</v>
      </c>
      <c r="C119" t="s">
        <v>521</v>
      </c>
      <c r="D119" t="s">
        <v>522</v>
      </c>
      <c r="E119" t="n">
        <v>0.0</v>
      </c>
      <c r="F119" t="n">
        <v>0.0</v>
      </c>
    </row>
    <row r="120">
      <c r="B120" t="s">
        <v>286</v>
      </c>
      <c r="C120" t="s">
        <v>523</v>
      </c>
      <c r="D120" t="s">
        <v>524</v>
      </c>
      <c r="E120" t="n">
        <v>0.0</v>
      </c>
      <c r="F120" t="n">
        <v>1.2120987360000001E7</v>
      </c>
    </row>
    <row r="121">
      <c r="B121" t="s">
        <v>286</v>
      </c>
      <c r="C121" t="s">
        <v>525</v>
      </c>
      <c r="D121" t="s">
        <v>526</v>
      </c>
      <c r="E121" t="n">
        <v>0.0</v>
      </c>
      <c r="F121" t="n">
        <v>1.519473458E7</v>
      </c>
    </row>
    <row r="122">
      <c r="B122" t="s">
        <v>286</v>
      </c>
      <c r="C122" t="s">
        <v>527</v>
      </c>
      <c r="D122" t="s">
        <v>528</v>
      </c>
      <c r="E122" t="n">
        <v>9.729943973E7</v>
      </c>
      <c r="F122" t="n">
        <v>0.0</v>
      </c>
    </row>
    <row r="123">
      <c r="B123" t="s">
        <v>286</v>
      </c>
      <c r="C123" t="s">
        <v>529</v>
      </c>
      <c r="D123" t="s">
        <v>530</v>
      </c>
      <c r="E123" t="n">
        <v>2.601935064E7</v>
      </c>
      <c r="F123" t="n">
        <v>0.0</v>
      </c>
    </row>
    <row r="124">
      <c r="B124" t="s">
        <v>286</v>
      </c>
      <c r="C124" t="s">
        <v>531</v>
      </c>
      <c r="D124" t="s">
        <v>532</v>
      </c>
      <c r="E124" t="n">
        <v>0.0</v>
      </c>
      <c r="F124" t="n">
        <v>0.0</v>
      </c>
    </row>
    <row r="125">
      <c r="B125" t="s">
        <v>286</v>
      </c>
      <c r="C125" t="s">
        <v>533</v>
      </c>
      <c r="D125" t="s">
        <v>534</v>
      </c>
      <c r="E125" t="n">
        <v>0.0</v>
      </c>
      <c r="F125" t="n">
        <v>9740995.770000001</v>
      </c>
    </row>
    <row r="126">
      <c r="B126" t="s">
        <v>286</v>
      </c>
      <c r="C126" t="s">
        <v>535</v>
      </c>
      <c r="D126" t="s">
        <v>536</v>
      </c>
      <c r="E126" t="n">
        <v>0.0</v>
      </c>
      <c r="F126" t="n">
        <v>86352.11</v>
      </c>
    </row>
    <row r="127">
      <c r="B127" t="s">
        <v>286</v>
      </c>
      <c r="C127" t="s">
        <v>537</v>
      </c>
      <c r="D127" t="s">
        <v>538</v>
      </c>
      <c r="E127" t="n">
        <v>7561804.29</v>
      </c>
      <c r="F127" t="n">
        <v>0.0</v>
      </c>
    </row>
    <row r="128">
      <c r="B128" t="s">
        <v>286</v>
      </c>
      <c r="C128" t="s">
        <v>539</v>
      </c>
      <c r="D128" t="s">
        <v>540</v>
      </c>
      <c r="E128" t="n">
        <v>3178901.02</v>
      </c>
      <c r="F128" t="n">
        <v>0.0</v>
      </c>
    </row>
    <row r="129">
      <c r="B129" t="s">
        <v>286</v>
      </c>
      <c r="C129" t="s">
        <v>541</v>
      </c>
      <c r="D129" t="s">
        <v>542</v>
      </c>
      <c r="E129" t="n">
        <v>0.0</v>
      </c>
      <c r="F129" t="n">
        <v>0.0</v>
      </c>
    </row>
    <row r="130">
      <c r="B130" t="s">
        <v>286</v>
      </c>
      <c r="C130" t="s">
        <v>543</v>
      </c>
      <c r="D130" t="s">
        <v>544</v>
      </c>
      <c r="E130" t="n">
        <v>1745214.4699999997</v>
      </c>
      <c r="F130" t="n">
        <v>0.0</v>
      </c>
    </row>
    <row r="131">
      <c r="B131" t="s">
        <v>286</v>
      </c>
      <c r="C131" t="s">
        <v>545</v>
      </c>
      <c r="D131" t="s">
        <v>546</v>
      </c>
      <c r="E131" t="n">
        <v>1975663.2999999998</v>
      </c>
      <c r="F131" t="n">
        <v>0.0</v>
      </c>
    </row>
    <row r="132">
      <c r="B132" t="s">
        <v>286</v>
      </c>
      <c r="C132" t="s">
        <v>547</v>
      </c>
      <c r="D132" t="s">
        <v>548</v>
      </c>
      <c r="E132" t="n">
        <v>0.0</v>
      </c>
      <c r="F132" t="n">
        <v>0.0</v>
      </c>
    </row>
    <row r="133">
      <c r="B133" t="s">
        <v>286</v>
      </c>
      <c r="C133" t="s">
        <v>549</v>
      </c>
      <c r="D133" t="s">
        <v>550</v>
      </c>
      <c r="E133" t="n">
        <v>1054967.72</v>
      </c>
      <c r="F133" t="n">
        <v>0.0</v>
      </c>
    </row>
    <row r="134">
      <c r="B134" t="s">
        <v>286</v>
      </c>
      <c r="C134" t="s">
        <v>551</v>
      </c>
      <c r="D134" t="s">
        <v>552</v>
      </c>
      <c r="E134" t="n">
        <v>506491.09</v>
      </c>
      <c r="F134" t="n">
        <v>0.0</v>
      </c>
    </row>
    <row r="135">
      <c r="B135" t="s">
        <v>286</v>
      </c>
      <c r="C135" t="s">
        <v>553</v>
      </c>
      <c r="D135" t="s">
        <v>554</v>
      </c>
      <c r="E135" t="n">
        <v>0.0</v>
      </c>
      <c r="F135" t="n">
        <v>1791907.64</v>
      </c>
    </row>
    <row r="136">
      <c r="B136" t="s">
        <v>286</v>
      </c>
      <c r="C136" t="s">
        <v>555</v>
      </c>
      <c r="D136" t="s">
        <v>556</v>
      </c>
      <c r="E136" t="n">
        <v>5562132.5</v>
      </c>
      <c r="F136" t="n">
        <v>0.0</v>
      </c>
    </row>
    <row r="137">
      <c r="B137" t="s">
        <v>286</v>
      </c>
      <c r="C137" t="s">
        <v>557</v>
      </c>
      <c r="D137" t="s">
        <v>558</v>
      </c>
      <c r="E137" t="n">
        <v>1.458843443E7</v>
      </c>
      <c r="F137" t="n">
        <v>0.0</v>
      </c>
    </row>
    <row r="138">
      <c r="B138" t="s">
        <v>286</v>
      </c>
      <c r="C138" t="s">
        <v>559</v>
      </c>
      <c r="D138" t="s">
        <v>560</v>
      </c>
      <c r="E138" t="n">
        <v>5.688831764E8</v>
      </c>
      <c r="F138" t="n">
        <v>0.0</v>
      </c>
    </row>
    <row r="139">
      <c r="B139" t="s">
        <v>286</v>
      </c>
      <c r="C139" t="s">
        <v>561</v>
      </c>
      <c r="D139" t="s">
        <v>562</v>
      </c>
      <c r="E139" t="n">
        <v>0.0</v>
      </c>
      <c r="F139" t="n">
        <v>4.313292381E7</v>
      </c>
    </row>
    <row r="140">
      <c r="B140" t="s">
        <v>286</v>
      </c>
      <c r="C140" t="s">
        <v>563</v>
      </c>
      <c r="D140" t="s">
        <v>564</v>
      </c>
      <c r="E140" t="n">
        <v>0.0</v>
      </c>
      <c r="F140" t="n">
        <v>644996.67</v>
      </c>
    </row>
    <row r="141">
      <c r="B141" t="s">
        <v>286</v>
      </c>
      <c r="C141" t="s">
        <v>565</v>
      </c>
      <c r="D141" t="s">
        <v>566</v>
      </c>
      <c r="E141" t="n">
        <v>0.0</v>
      </c>
      <c r="F141" t="n">
        <v>6.395320637E8</v>
      </c>
    </row>
    <row r="142">
      <c r="B142" t="s">
        <v>286</v>
      </c>
      <c r="C142" t="s">
        <v>567</v>
      </c>
      <c r="D142" t="s">
        <v>568</v>
      </c>
      <c r="E142" t="n">
        <v>0.0</v>
      </c>
      <c r="F142" t="n">
        <v>9157874.61</v>
      </c>
    </row>
    <row r="143">
      <c r="B143" t="s">
        <v>286</v>
      </c>
      <c r="C143" t="s">
        <v>569</v>
      </c>
      <c r="D143" t="s">
        <v>570</v>
      </c>
      <c r="E143" t="n">
        <v>0.0</v>
      </c>
      <c r="F143" t="n">
        <v>92676.02</v>
      </c>
    </row>
    <row r="144">
      <c r="B144" t="s">
        <v>286</v>
      </c>
      <c r="C144" t="s">
        <v>571</v>
      </c>
      <c r="D144" t="s">
        <v>572</v>
      </c>
      <c r="E144" t="n">
        <v>0.0</v>
      </c>
      <c r="F144" t="n">
        <v>0.0</v>
      </c>
    </row>
    <row r="145">
      <c r="B145" t="s">
        <v>286</v>
      </c>
      <c r="C145" t="s">
        <v>573</v>
      </c>
      <c r="D145" t="s">
        <v>574</v>
      </c>
      <c r="E145" t="n">
        <v>0.0</v>
      </c>
      <c r="F145" t="n">
        <v>4.0674098878E8</v>
      </c>
    </row>
    <row r="146">
      <c r="B146" t="s">
        <v>286</v>
      </c>
      <c r="C146" t="s">
        <v>575</v>
      </c>
      <c r="D146" t="s">
        <v>576</v>
      </c>
      <c r="E146" t="n">
        <v>0.0</v>
      </c>
      <c r="F146" t="n">
        <v>1527958.13</v>
      </c>
    </row>
    <row r="147">
      <c r="B147" t="s">
        <v>286</v>
      </c>
      <c r="C147" t="s">
        <v>577</v>
      </c>
      <c r="D147" t="s">
        <v>578</v>
      </c>
      <c r="E147" t="n">
        <v>0.0</v>
      </c>
      <c r="F147" t="n">
        <v>42500.0</v>
      </c>
    </row>
    <row r="148">
      <c r="B148" t="s">
        <v>286</v>
      </c>
      <c r="C148" t="s">
        <v>579</v>
      </c>
      <c r="D148" t="s">
        <v>580</v>
      </c>
      <c r="E148" t="n">
        <v>0.0</v>
      </c>
      <c r="F148" t="n">
        <v>16618.18</v>
      </c>
    </row>
    <row r="149">
      <c r="B149" t="s">
        <v>286</v>
      </c>
      <c r="C149" t="s">
        <v>581</v>
      </c>
      <c r="D149" t="s">
        <v>582</v>
      </c>
      <c r="E149" t="n">
        <v>0.0</v>
      </c>
      <c r="F149" t="n">
        <v>6231870.71</v>
      </c>
    </row>
    <row r="150">
      <c r="B150" t="s">
        <v>286</v>
      </c>
      <c r="C150" t="s">
        <v>583</v>
      </c>
      <c r="D150" t="s">
        <v>584</v>
      </c>
      <c r="E150" t="n">
        <v>0.0</v>
      </c>
      <c r="F150" t="n">
        <v>3802225.97</v>
      </c>
    </row>
    <row r="151">
      <c r="B151" t="s">
        <v>286</v>
      </c>
      <c r="C151" t="s">
        <v>585</v>
      </c>
      <c r="D151" t="s">
        <v>586</v>
      </c>
      <c r="E151" t="n">
        <v>0.0</v>
      </c>
      <c r="F151" t="n">
        <v>142919.28999999998</v>
      </c>
    </row>
    <row r="152">
      <c r="B152" t="s">
        <v>286</v>
      </c>
      <c r="C152" t="s">
        <v>587</v>
      </c>
      <c r="D152" t="s">
        <v>588</v>
      </c>
      <c r="E152" t="n">
        <v>0.0</v>
      </c>
      <c r="F152" t="n">
        <v>0.0</v>
      </c>
    </row>
    <row r="153">
      <c r="B153" t="s">
        <v>286</v>
      </c>
      <c r="C153" t="s">
        <v>589</v>
      </c>
      <c r="D153" t="s">
        <v>97</v>
      </c>
      <c r="E153" t="n">
        <v>0.0</v>
      </c>
      <c r="F153" t="n">
        <v>1.617928827E7</v>
      </c>
    </row>
    <row r="154">
      <c r="B154" t="s">
        <v>286</v>
      </c>
      <c r="C154" t="s">
        <v>590</v>
      </c>
      <c r="D154" t="s">
        <v>591</v>
      </c>
      <c r="E154" t="n">
        <v>0.0</v>
      </c>
      <c r="F154" t="n">
        <v>151635.61</v>
      </c>
    </row>
    <row r="155">
      <c r="B155" t="s">
        <v>286</v>
      </c>
      <c r="C155" t="s">
        <v>592</v>
      </c>
      <c r="D155" t="s">
        <v>593</v>
      </c>
      <c r="E155" t="n">
        <v>0.0</v>
      </c>
      <c r="F155" t="n">
        <v>746292.35</v>
      </c>
    </row>
    <row r="156">
      <c r="B156" t="s">
        <v>286</v>
      </c>
      <c r="C156" t="s">
        <v>594</v>
      </c>
      <c r="D156" t="s">
        <v>595</v>
      </c>
      <c r="E156" t="n">
        <v>0.0</v>
      </c>
      <c r="F156" t="n">
        <v>0.0</v>
      </c>
    </row>
    <row r="157">
      <c r="B157" t="s">
        <v>286</v>
      </c>
      <c r="C157" t="s">
        <v>596</v>
      </c>
      <c r="D157" t="s">
        <v>597</v>
      </c>
      <c r="E157" t="n">
        <v>0.0</v>
      </c>
      <c r="F157" t="n">
        <v>117439.62</v>
      </c>
    </row>
    <row r="158">
      <c r="B158" t="s">
        <v>286</v>
      </c>
      <c r="C158" t="s">
        <v>598</v>
      </c>
      <c r="D158" t="s">
        <v>599</v>
      </c>
      <c r="E158" t="n">
        <v>0.0</v>
      </c>
      <c r="F158" t="n">
        <v>6239299.2</v>
      </c>
    </row>
    <row r="159">
      <c r="B159" t="s">
        <v>286</v>
      </c>
      <c r="C159" t="s">
        <v>600</v>
      </c>
      <c r="D159" t="s">
        <v>601</v>
      </c>
      <c r="E159" t="n">
        <v>0.0</v>
      </c>
      <c r="F159" t="n">
        <v>2051780.1800000002</v>
      </c>
    </row>
    <row r="160">
      <c r="B160" t="s">
        <v>286</v>
      </c>
      <c r="C160" t="s">
        <v>602</v>
      </c>
      <c r="D160" t="s">
        <v>603</v>
      </c>
      <c r="E160" t="n">
        <v>0.0</v>
      </c>
      <c r="F160" t="n">
        <v>5.6608927662E8</v>
      </c>
    </row>
    <row r="161">
      <c r="B161" t="s">
        <v>286</v>
      </c>
      <c r="C161" t="s">
        <v>604</v>
      </c>
      <c r="D161" t="s">
        <v>605</v>
      </c>
      <c r="E161" t="n">
        <v>0.0</v>
      </c>
      <c r="F161" t="n">
        <v>1.4917115E8</v>
      </c>
    </row>
    <row r="162">
      <c r="B162" t="s">
        <v>286</v>
      </c>
      <c r="C162" t="s">
        <v>606</v>
      </c>
      <c r="D162" t="s">
        <v>607</v>
      </c>
      <c r="E162" t="n">
        <v>0.0</v>
      </c>
      <c r="F162" t="n">
        <v>6.2038722010000005E7</v>
      </c>
    </row>
    <row r="163">
      <c r="B163" t="s">
        <v>286</v>
      </c>
      <c r="C163" t="s">
        <v>608</v>
      </c>
      <c r="D163" t="s">
        <v>609</v>
      </c>
      <c r="E163" t="n">
        <v>0.0</v>
      </c>
      <c r="F163" t="n">
        <v>0.0</v>
      </c>
    </row>
    <row r="164">
      <c r="B164" t="s">
        <v>286</v>
      </c>
      <c r="C164" t="s">
        <v>610</v>
      </c>
      <c r="D164" t="s">
        <v>611</v>
      </c>
      <c r="E164" t="n">
        <v>0.0</v>
      </c>
      <c r="F164" t="n">
        <v>26808.739999999998</v>
      </c>
    </row>
    <row r="165">
      <c r="B165" t="s">
        <v>286</v>
      </c>
      <c r="C165" t="s">
        <v>612</v>
      </c>
      <c r="D165" t="s">
        <v>613</v>
      </c>
      <c r="E165" t="n">
        <v>0.0</v>
      </c>
      <c r="F165" t="n">
        <v>0.0</v>
      </c>
    </row>
    <row r="166">
      <c r="B166" t="s">
        <v>286</v>
      </c>
      <c r="C166" t="s">
        <v>614</v>
      </c>
      <c r="D166" t="s">
        <v>615</v>
      </c>
      <c r="E166" t="n">
        <v>0.0</v>
      </c>
      <c r="F166" t="n">
        <v>515051.98</v>
      </c>
    </row>
    <row r="167">
      <c r="B167" t="s">
        <v>286</v>
      </c>
      <c r="C167" t="s">
        <v>616</v>
      </c>
      <c r="D167" t="s">
        <v>617</v>
      </c>
      <c r="E167" t="n">
        <v>0.0</v>
      </c>
      <c r="F167" t="n">
        <v>5699939.08</v>
      </c>
    </row>
    <row r="168">
      <c r="B168" t="s">
        <v>286</v>
      </c>
      <c r="C168" t="s">
        <v>618</v>
      </c>
      <c r="D168" t="s">
        <v>619</v>
      </c>
      <c r="E168" t="n">
        <v>0.0</v>
      </c>
      <c r="F168" t="n">
        <v>309458.25</v>
      </c>
    </row>
    <row r="169">
      <c r="B169" t="s">
        <v>286</v>
      </c>
      <c r="C169" t="s">
        <v>620</v>
      </c>
      <c r="D169" t="s">
        <v>621</v>
      </c>
      <c r="E169" t="n">
        <v>0.0</v>
      </c>
      <c r="F169" t="n">
        <v>6185.88</v>
      </c>
    </row>
    <row r="170">
      <c r="B170" t="s">
        <v>286</v>
      </c>
      <c r="C170" t="s">
        <v>622</v>
      </c>
      <c r="D170" t="s">
        <v>623</v>
      </c>
      <c r="E170" t="n">
        <v>0.0</v>
      </c>
      <c r="F170" t="n">
        <v>1966232.03</v>
      </c>
    </row>
    <row r="171">
      <c r="B171" t="s">
        <v>286</v>
      </c>
      <c r="C171" t="s">
        <v>624</v>
      </c>
      <c r="D171" t="s">
        <v>625</v>
      </c>
      <c r="E171" t="n">
        <v>0.0</v>
      </c>
      <c r="F171" t="n">
        <v>99932.04</v>
      </c>
    </row>
    <row r="172">
      <c r="B172" t="s">
        <v>286</v>
      </c>
      <c r="C172" t="s">
        <v>626</v>
      </c>
      <c r="D172" t="s">
        <v>627</v>
      </c>
      <c r="E172" t="n">
        <v>0.0</v>
      </c>
      <c r="F172" t="n">
        <v>0.0</v>
      </c>
    </row>
    <row r="173">
      <c r="B173" t="s">
        <v>286</v>
      </c>
      <c r="C173" t="s">
        <v>628</v>
      </c>
      <c r="D173" t="s">
        <v>629</v>
      </c>
      <c r="E173" t="n">
        <v>0.0</v>
      </c>
      <c r="F173" t="n">
        <v>484419.36</v>
      </c>
    </row>
    <row r="174">
      <c r="B174" t="s">
        <v>286</v>
      </c>
      <c r="C174" t="s">
        <v>630</v>
      </c>
      <c r="D174" t="s">
        <v>631</v>
      </c>
      <c r="E174" t="n">
        <v>0.0</v>
      </c>
      <c r="F174" t="n">
        <v>0.0</v>
      </c>
    </row>
    <row r="175">
      <c r="B175" t="s">
        <v>286</v>
      </c>
      <c r="C175" t="s">
        <v>632</v>
      </c>
      <c r="D175" t="s">
        <v>633</v>
      </c>
      <c r="E175" t="n">
        <v>0.0</v>
      </c>
      <c r="F175" t="n">
        <v>73678.12999999999</v>
      </c>
    </row>
    <row r="176">
      <c r="B176" t="s">
        <v>286</v>
      </c>
      <c r="C176" t="s">
        <v>634</v>
      </c>
      <c r="D176" t="s">
        <v>635</v>
      </c>
      <c r="E176" t="n">
        <v>0.0</v>
      </c>
      <c r="F176" t="n">
        <v>3685720.13</v>
      </c>
    </row>
    <row r="177">
      <c r="B177" t="s">
        <v>286</v>
      </c>
      <c r="C177" t="s">
        <v>636</v>
      </c>
      <c r="D177" t="s">
        <v>637</v>
      </c>
      <c r="E177" t="n">
        <v>0.0</v>
      </c>
      <c r="F177" t="n">
        <v>302387.67</v>
      </c>
    </row>
    <row r="178">
      <c r="B178" t="s">
        <v>286</v>
      </c>
      <c r="C178" t="s">
        <v>638</v>
      </c>
      <c r="D178" t="s">
        <v>639</v>
      </c>
      <c r="E178" t="n">
        <v>0.0</v>
      </c>
      <c r="F178" t="n">
        <v>256988.41000000003</v>
      </c>
    </row>
    <row r="179">
      <c r="B179" t="s">
        <v>286</v>
      </c>
      <c r="C179" t="s">
        <v>640</v>
      </c>
      <c r="D179" t="s">
        <v>641</v>
      </c>
      <c r="E179" t="n">
        <v>0.0</v>
      </c>
      <c r="F179" t="n">
        <v>3177135.54</v>
      </c>
    </row>
    <row r="180">
      <c r="B180" t="s">
        <v>286</v>
      </c>
      <c r="C180" t="s">
        <v>642</v>
      </c>
      <c r="D180" t="s">
        <v>643</v>
      </c>
      <c r="E180" t="n">
        <v>0.0</v>
      </c>
      <c r="F180" t="n">
        <v>0.0</v>
      </c>
    </row>
    <row r="181">
      <c r="B181" t="s">
        <v>286</v>
      </c>
      <c r="C181" t="s">
        <v>644</v>
      </c>
      <c r="D181" t="s">
        <v>645</v>
      </c>
      <c r="E181" t="n">
        <v>0.0</v>
      </c>
      <c r="F181" t="n">
        <v>464425.34</v>
      </c>
    </row>
    <row r="182">
      <c r="B182" t="s">
        <v>286</v>
      </c>
      <c r="C182" t="s">
        <v>646</v>
      </c>
      <c r="D182" t="s">
        <v>647</v>
      </c>
      <c r="E182" t="n">
        <v>0.0</v>
      </c>
      <c r="F182" t="n">
        <v>0.0</v>
      </c>
    </row>
    <row r="183">
      <c r="B183" t="s">
        <v>286</v>
      </c>
      <c r="C183" t="s">
        <v>648</v>
      </c>
      <c r="D183" t="s">
        <v>649</v>
      </c>
      <c r="E183" t="n">
        <v>0.0</v>
      </c>
      <c r="F183" t="n">
        <v>0.0</v>
      </c>
    </row>
    <row r="184">
      <c r="B184" t="s">
        <v>286</v>
      </c>
      <c r="C184" t="s">
        <v>650</v>
      </c>
      <c r="D184" t="s">
        <v>651</v>
      </c>
      <c r="E184" t="n">
        <v>0.0</v>
      </c>
      <c r="F184" t="n">
        <v>0.0</v>
      </c>
    </row>
    <row r="185">
      <c r="B185" t="s">
        <v>286</v>
      </c>
      <c r="C185" t="s">
        <v>652</v>
      </c>
      <c r="D185" t="s">
        <v>653</v>
      </c>
      <c r="E185" t="n">
        <v>0.0</v>
      </c>
      <c r="F185" t="n">
        <v>110812.34</v>
      </c>
    </row>
    <row r="186">
      <c r="B186" t="s">
        <v>286</v>
      </c>
      <c r="C186" t="s">
        <v>654</v>
      </c>
      <c r="D186" t="s">
        <v>655</v>
      </c>
      <c r="E186" t="n">
        <v>0.0</v>
      </c>
      <c r="F186" t="n">
        <v>0.0</v>
      </c>
    </row>
    <row r="187">
      <c r="B187" t="s">
        <v>286</v>
      </c>
      <c r="C187" t="s">
        <v>656</v>
      </c>
      <c r="D187" t="s">
        <v>657</v>
      </c>
      <c r="E187" t="n">
        <v>0.0</v>
      </c>
      <c r="F187" t="n">
        <v>0.0</v>
      </c>
    </row>
    <row r="188">
      <c r="B188" t="s">
        <v>286</v>
      </c>
      <c r="C188" t="s">
        <v>658</v>
      </c>
      <c r="D188" t="s">
        <v>659</v>
      </c>
      <c r="E188" t="n">
        <v>0.0</v>
      </c>
      <c r="F188" t="n">
        <v>2035181.91</v>
      </c>
    </row>
    <row r="189">
      <c r="B189" t="s">
        <v>286</v>
      </c>
      <c r="C189" t="s">
        <v>660</v>
      </c>
      <c r="D189" t="s">
        <v>661</v>
      </c>
      <c r="E189" t="n">
        <v>0.0</v>
      </c>
      <c r="F189" t="n">
        <v>173805.65</v>
      </c>
    </row>
    <row r="190">
      <c r="B190" t="s">
        <v>286</v>
      </c>
      <c r="C190" t="s">
        <v>662</v>
      </c>
      <c r="D190" t="s">
        <v>663</v>
      </c>
      <c r="E190" t="n">
        <v>0.0</v>
      </c>
      <c r="F190" t="n">
        <v>21052.65</v>
      </c>
    </row>
    <row r="191">
      <c r="B191" t="s">
        <v>286</v>
      </c>
      <c r="C191" t="s">
        <v>664</v>
      </c>
      <c r="D191" t="s">
        <v>665</v>
      </c>
      <c r="E191" t="n">
        <v>0.0</v>
      </c>
      <c r="F191" t="n">
        <v>0.0</v>
      </c>
    </row>
    <row r="192">
      <c r="B192" t="s">
        <v>286</v>
      </c>
      <c r="C192" t="s">
        <v>666</v>
      </c>
      <c r="D192" t="s">
        <v>667</v>
      </c>
      <c r="E192" t="n">
        <v>0.0</v>
      </c>
      <c r="F192" t="n">
        <v>0.0</v>
      </c>
    </row>
    <row r="193">
      <c r="B193" t="s">
        <v>286</v>
      </c>
      <c r="C193" t="s">
        <v>668</v>
      </c>
      <c r="D193" t="s">
        <v>669</v>
      </c>
      <c r="E193" t="n">
        <v>0.0</v>
      </c>
      <c r="F193" t="n">
        <v>0.0</v>
      </c>
    </row>
    <row r="194">
      <c r="B194" t="s">
        <v>286</v>
      </c>
      <c r="C194" t="s">
        <v>670</v>
      </c>
      <c r="D194" t="s">
        <v>671</v>
      </c>
      <c r="E194" t="n">
        <v>0.0</v>
      </c>
      <c r="F194" t="n">
        <v>0.0</v>
      </c>
    </row>
    <row r="195">
      <c r="B195" t="s">
        <v>286</v>
      </c>
      <c r="C195" t="s">
        <v>672</v>
      </c>
      <c r="D195" t="s">
        <v>673</v>
      </c>
      <c r="E195" t="n">
        <v>0.0</v>
      </c>
      <c r="F195" t="n">
        <v>85041.36</v>
      </c>
    </row>
    <row r="196">
      <c r="B196" t="s">
        <v>286</v>
      </c>
      <c r="C196" t="s">
        <v>674</v>
      </c>
      <c r="D196" t="s">
        <v>675</v>
      </c>
      <c r="E196" t="n">
        <v>0.0</v>
      </c>
      <c r="F196" t="n">
        <v>4881.9</v>
      </c>
    </row>
    <row r="197">
      <c r="B197" t="s">
        <v>286</v>
      </c>
      <c r="C197" t="s">
        <v>676</v>
      </c>
      <c r="D197" t="s">
        <v>677</v>
      </c>
      <c r="E197" t="n">
        <v>0.0</v>
      </c>
      <c r="F197" t="n">
        <v>854.87</v>
      </c>
    </row>
    <row r="198">
      <c r="B198" t="s">
        <v>286</v>
      </c>
      <c r="C198" t="s">
        <v>678</v>
      </c>
      <c r="D198" t="s">
        <v>679</v>
      </c>
      <c r="E198" t="n">
        <v>0.0</v>
      </c>
      <c r="F198" t="n">
        <v>699097.84</v>
      </c>
    </row>
    <row r="199">
      <c r="B199" t="s">
        <v>286</v>
      </c>
      <c r="C199" t="s">
        <v>680</v>
      </c>
      <c r="D199" t="s">
        <v>681</v>
      </c>
      <c r="E199" t="n">
        <v>0.0</v>
      </c>
      <c r="F199" t="n">
        <v>39792.350000000006</v>
      </c>
    </row>
    <row r="200">
      <c r="B200" t="s">
        <v>286</v>
      </c>
      <c r="C200" t="s">
        <v>682</v>
      </c>
      <c r="D200" t="s">
        <v>683</v>
      </c>
      <c r="E200" t="n">
        <v>0.0</v>
      </c>
      <c r="F200" t="n">
        <v>16126.83</v>
      </c>
    </row>
    <row r="201">
      <c r="B201" t="s">
        <v>286</v>
      </c>
      <c r="C201" t="s">
        <v>684</v>
      </c>
      <c r="D201" t="s">
        <v>685</v>
      </c>
      <c r="E201" t="n">
        <v>0.0</v>
      </c>
      <c r="F201" t="n">
        <v>2319203.3600000003</v>
      </c>
    </row>
    <row r="202">
      <c r="B202" t="s">
        <v>286</v>
      </c>
      <c r="C202" t="s">
        <v>686</v>
      </c>
      <c r="D202" t="s">
        <v>687</v>
      </c>
      <c r="E202" t="n">
        <v>0.0</v>
      </c>
      <c r="F202" t="n">
        <v>270890.74</v>
      </c>
    </row>
    <row r="203">
      <c r="B203" t="s">
        <v>286</v>
      </c>
      <c r="C203" t="s">
        <v>688</v>
      </c>
      <c r="D203" t="s">
        <v>689</v>
      </c>
      <c r="E203" t="n">
        <v>0.0</v>
      </c>
      <c r="F203" t="n">
        <v>277284.42</v>
      </c>
    </row>
    <row r="204">
      <c r="B204" t="s">
        <v>286</v>
      </c>
      <c r="C204" t="s">
        <v>690</v>
      </c>
      <c r="D204" t="s">
        <v>691</v>
      </c>
      <c r="E204" t="n">
        <v>0.0</v>
      </c>
      <c r="F204" t="n">
        <v>0.0</v>
      </c>
    </row>
    <row r="205">
      <c r="B205" t="s">
        <v>286</v>
      </c>
      <c r="C205" t="s">
        <v>692</v>
      </c>
      <c r="D205" t="s">
        <v>693</v>
      </c>
      <c r="E205" t="n">
        <v>0.0</v>
      </c>
      <c r="F205" t="n">
        <v>0.0</v>
      </c>
    </row>
    <row r="206">
      <c r="B206" t="s">
        <v>286</v>
      </c>
      <c r="C206" t="s">
        <v>694</v>
      </c>
      <c r="D206" t="s">
        <v>695</v>
      </c>
      <c r="E206" t="n">
        <v>0.0</v>
      </c>
      <c r="F206" t="n">
        <v>0.0</v>
      </c>
    </row>
    <row r="207">
      <c r="B207" t="s">
        <v>286</v>
      </c>
      <c r="C207" t="s">
        <v>696</v>
      </c>
      <c r="D207" t="s">
        <v>697</v>
      </c>
      <c r="E207" t="n">
        <v>0.0</v>
      </c>
      <c r="F207" t="n">
        <v>0.0</v>
      </c>
    </row>
    <row r="208">
      <c r="B208" t="s">
        <v>286</v>
      </c>
      <c r="C208" t="s">
        <v>698</v>
      </c>
      <c r="D208" t="s">
        <v>699</v>
      </c>
      <c r="E208" t="n">
        <v>0.0</v>
      </c>
      <c r="F208" t="n">
        <v>0.0</v>
      </c>
    </row>
    <row r="209">
      <c r="B209" t="s">
        <v>286</v>
      </c>
      <c r="C209" t="s">
        <v>700</v>
      </c>
      <c r="D209" t="s">
        <v>701</v>
      </c>
      <c r="E209" t="n">
        <v>0.0</v>
      </c>
      <c r="F209" t="n">
        <v>0.0</v>
      </c>
    </row>
    <row r="210">
      <c r="B210" t="s">
        <v>286</v>
      </c>
      <c r="C210" t="s">
        <v>702</v>
      </c>
      <c r="D210" t="s">
        <v>703</v>
      </c>
      <c r="E210" t="n">
        <v>0.0</v>
      </c>
      <c r="F210" t="n">
        <v>0.0</v>
      </c>
    </row>
    <row r="211">
      <c r="B211" t="s">
        <v>286</v>
      </c>
      <c r="C211" t="s">
        <v>704</v>
      </c>
      <c r="D211" t="s">
        <v>705</v>
      </c>
      <c r="E211" t="n">
        <v>0.0</v>
      </c>
      <c r="F211" t="n">
        <v>0.0</v>
      </c>
    </row>
    <row r="212">
      <c r="B212" t="s">
        <v>286</v>
      </c>
      <c r="C212" t="s">
        <v>706</v>
      </c>
      <c r="D212" t="s">
        <v>707</v>
      </c>
      <c r="E212" t="n">
        <v>0.0</v>
      </c>
      <c r="F212" t="n">
        <v>77192.76</v>
      </c>
    </row>
    <row r="213">
      <c r="B213" t="s">
        <v>286</v>
      </c>
      <c r="C213" t="s">
        <v>708</v>
      </c>
      <c r="D213" t="s">
        <v>709</v>
      </c>
      <c r="E213" t="n">
        <v>0.0</v>
      </c>
      <c r="F213" t="n">
        <v>1038289.17</v>
      </c>
    </row>
    <row r="214">
      <c r="B214" t="s">
        <v>286</v>
      </c>
      <c r="C214" t="s">
        <v>710</v>
      </c>
      <c r="D214" t="s">
        <v>711</v>
      </c>
      <c r="E214" t="n">
        <v>0.0</v>
      </c>
      <c r="F214" t="n">
        <v>5388943.87</v>
      </c>
    </row>
    <row r="215">
      <c r="B215" t="s">
        <v>286</v>
      </c>
      <c r="C215" t="s">
        <v>712</v>
      </c>
      <c r="D215" t="s">
        <v>713</v>
      </c>
      <c r="E215" t="n">
        <v>0.0</v>
      </c>
      <c r="F215" t="n">
        <v>0.0</v>
      </c>
    </row>
    <row r="216">
      <c r="B216" t="s">
        <v>286</v>
      </c>
      <c r="C216" t="s">
        <v>714</v>
      </c>
      <c r="D216" t="s">
        <v>715</v>
      </c>
      <c r="E216" t="n">
        <v>0.0</v>
      </c>
      <c r="F216" t="n">
        <v>0.0</v>
      </c>
    </row>
    <row r="217">
      <c r="B217" t="s">
        <v>286</v>
      </c>
      <c r="C217" t="s">
        <v>716</v>
      </c>
      <c r="D217" t="s">
        <v>717</v>
      </c>
      <c r="E217" t="n">
        <v>0.0</v>
      </c>
      <c r="F217" t="n">
        <v>4209781.61</v>
      </c>
    </row>
    <row r="218">
      <c r="B218" t="s">
        <v>286</v>
      </c>
      <c r="C218" t="s">
        <v>718</v>
      </c>
      <c r="D218" t="s">
        <v>719</v>
      </c>
      <c r="E218" t="n">
        <v>0.0</v>
      </c>
      <c r="F218" t="n">
        <v>3288414.2399999998</v>
      </c>
    </row>
    <row r="219">
      <c r="B219" t="s">
        <v>286</v>
      </c>
      <c r="C219" t="s">
        <v>720</v>
      </c>
      <c r="D219" t="s">
        <v>721</v>
      </c>
      <c r="E219" t="n">
        <v>0.0</v>
      </c>
      <c r="F219" t="n">
        <v>0.0</v>
      </c>
    </row>
    <row r="220">
      <c r="B220" t="s">
        <v>286</v>
      </c>
      <c r="C220" t="s">
        <v>722</v>
      </c>
      <c r="D220" t="s">
        <v>723</v>
      </c>
      <c r="E220" t="n">
        <v>1748826.62</v>
      </c>
      <c r="F220" t="n">
        <v>0.0</v>
      </c>
    </row>
    <row r="221">
      <c r="B221" t="s">
        <v>286</v>
      </c>
      <c r="C221" t="s">
        <v>724</v>
      </c>
      <c r="D221" t="s">
        <v>725</v>
      </c>
      <c r="E221" t="n">
        <v>0.0</v>
      </c>
      <c r="F221" t="n">
        <v>0.0</v>
      </c>
    </row>
    <row r="222">
      <c r="B222" t="s">
        <v>286</v>
      </c>
      <c r="C222" t="s">
        <v>726</v>
      </c>
      <c r="D222" t="s">
        <v>727</v>
      </c>
      <c r="E222" t="n">
        <v>0.0</v>
      </c>
      <c r="F222" t="n">
        <v>0.0</v>
      </c>
    </row>
    <row r="223">
      <c r="B223" t="s">
        <v>286</v>
      </c>
      <c r="C223" t="s">
        <v>728</v>
      </c>
      <c r="D223" t="s">
        <v>729</v>
      </c>
      <c r="E223" t="n">
        <v>0.0</v>
      </c>
      <c r="F223" t="n">
        <v>0.0</v>
      </c>
    </row>
    <row r="224">
      <c r="B224" t="s">
        <v>286</v>
      </c>
      <c r="C224" t="s">
        <v>730</v>
      </c>
      <c r="D224" t="s">
        <v>731</v>
      </c>
      <c r="E224" t="n">
        <v>2388551.21</v>
      </c>
      <c r="F224" t="n">
        <v>0.0</v>
      </c>
    </row>
    <row r="225">
      <c r="B225" t="s">
        <v>286</v>
      </c>
      <c r="C225" t="s">
        <v>732</v>
      </c>
      <c r="D225" t="s">
        <v>733</v>
      </c>
      <c r="E225" t="n">
        <v>0.0</v>
      </c>
      <c r="F225" t="n">
        <v>0.0</v>
      </c>
    </row>
    <row r="226">
      <c r="B226" t="s">
        <v>286</v>
      </c>
      <c r="C226" t="s">
        <v>734</v>
      </c>
      <c r="D226" t="s">
        <v>735</v>
      </c>
      <c r="E226" t="n">
        <v>0.0</v>
      </c>
      <c r="F226" t="n">
        <v>0.0</v>
      </c>
    </row>
    <row r="227">
      <c r="B227" t="s">
        <v>286</v>
      </c>
      <c r="C227" t="s">
        <v>736</v>
      </c>
      <c r="D227" t="s">
        <v>737</v>
      </c>
      <c r="E227" t="n">
        <v>0.0</v>
      </c>
      <c r="F227" t="n">
        <v>0.0</v>
      </c>
    </row>
    <row r="228">
      <c r="B228" t="s">
        <v>286</v>
      </c>
      <c r="C228" t="s">
        <v>738</v>
      </c>
      <c r="D228" t="s">
        <v>739</v>
      </c>
      <c r="E228" t="n">
        <v>0.0</v>
      </c>
      <c r="F228" t="n">
        <v>0.0</v>
      </c>
    </row>
    <row r="229">
      <c r="B229" t="s">
        <v>286</v>
      </c>
      <c r="C229" t="s">
        <v>740</v>
      </c>
      <c r="D229" t="s">
        <v>741</v>
      </c>
      <c r="E229" t="n">
        <v>0.0</v>
      </c>
      <c r="F229" t="n">
        <v>0.0</v>
      </c>
    </row>
    <row r="230">
      <c r="B230" t="s">
        <v>286</v>
      </c>
      <c r="C230" t="s">
        <v>742</v>
      </c>
      <c r="D230" t="s">
        <v>743</v>
      </c>
      <c r="E230" t="n">
        <v>0.0</v>
      </c>
      <c r="F230" t="n">
        <v>0.0</v>
      </c>
    </row>
    <row r="231">
      <c r="B231" t="s">
        <v>286</v>
      </c>
      <c r="C231" t="s">
        <v>744</v>
      </c>
      <c r="D231" t="s">
        <v>745</v>
      </c>
      <c r="E231" t="n">
        <v>626536.39</v>
      </c>
      <c r="F231" t="n">
        <v>0.0</v>
      </c>
    </row>
    <row r="232">
      <c r="B232" t="s">
        <v>286</v>
      </c>
      <c r="C232" t="s">
        <v>746</v>
      </c>
      <c r="D232" t="s">
        <v>747</v>
      </c>
      <c r="E232" t="n">
        <v>41119.920000000006</v>
      </c>
      <c r="F232" t="n">
        <v>0.0</v>
      </c>
    </row>
    <row r="233">
      <c r="B233" t="s">
        <v>286</v>
      </c>
      <c r="C233" t="s">
        <v>748</v>
      </c>
      <c r="D233" t="s">
        <v>749</v>
      </c>
      <c r="E233" t="n">
        <v>5957769.66</v>
      </c>
      <c r="F233" t="n">
        <v>0.0</v>
      </c>
    </row>
    <row r="234">
      <c r="B234" t="s">
        <v>286</v>
      </c>
      <c r="C234" t="s">
        <v>750</v>
      </c>
      <c r="D234" t="s">
        <v>751</v>
      </c>
      <c r="E234" t="n">
        <v>1721231.11</v>
      </c>
      <c r="F234" t="n">
        <v>0.0</v>
      </c>
    </row>
    <row r="235">
      <c r="B235" t="s">
        <v>286</v>
      </c>
      <c r="C235" t="s">
        <v>752</v>
      </c>
      <c r="D235" t="s">
        <v>753</v>
      </c>
      <c r="E235" t="n">
        <v>636532.0900000001</v>
      </c>
      <c r="F235" t="n">
        <v>0.0</v>
      </c>
    </row>
    <row r="236">
      <c r="B236" t="s">
        <v>286</v>
      </c>
      <c r="C236" t="s">
        <v>754</v>
      </c>
      <c r="D236" t="s">
        <v>755</v>
      </c>
      <c r="E236" t="n">
        <v>516964.45000000007</v>
      </c>
      <c r="F236" t="n">
        <v>0.0</v>
      </c>
    </row>
    <row r="237">
      <c r="B237" t="s">
        <v>286</v>
      </c>
      <c r="C237" t="s">
        <v>756</v>
      </c>
      <c r="D237" t="s">
        <v>757</v>
      </c>
      <c r="E237" t="n">
        <v>500346.09</v>
      </c>
      <c r="F237" t="n">
        <v>0.0</v>
      </c>
    </row>
    <row r="238">
      <c r="B238" t="s">
        <v>286</v>
      </c>
      <c r="C238" t="s">
        <v>758</v>
      </c>
      <c r="D238" t="s">
        <v>759</v>
      </c>
      <c r="E238" t="n">
        <v>228800.0</v>
      </c>
      <c r="F238" t="n">
        <v>0.0</v>
      </c>
    </row>
    <row r="239">
      <c r="B239" t="s">
        <v>286</v>
      </c>
      <c r="C239" t="s">
        <v>760</v>
      </c>
      <c r="D239" t="s">
        <v>105</v>
      </c>
      <c r="E239" t="n">
        <v>2078532.39</v>
      </c>
      <c r="F239" t="n">
        <v>0.0</v>
      </c>
    </row>
    <row r="240">
      <c r="B240" t="s">
        <v>286</v>
      </c>
      <c r="C240" t="s">
        <v>761</v>
      </c>
      <c r="D240" t="s">
        <v>762</v>
      </c>
      <c r="E240" t="n">
        <v>572492.5</v>
      </c>
      <c r="F240" t="n">
        <v>0.0</v>
      </c>
    </row>
    <row r="241">
      <c r="B241" t="s">
        <v>286</v>
      </c>
      <c r="C241" t="s">
        <v>763</v>
      </c>
      <c r="D241" t="s">
        <v>764</v>
      </c>
      <c r="E241" t="n">
        <v>240000.0</v>
      </c>
      <c r="F241" t="n">
        <v>0.0</v>
      </c>
    </row>
    <row r="242">
      <c r="B242" t="s">
        <v>286</v>
      </c>
      <c r="C242" t="s">
        <v>765</v>
      </c>
      <c r="D242" t="s">
        <v>766</v>
      </c>
      <c r="E242" t="n">
        <v>0.0</v>
      </c>
      <c r="F242" t="n">
        <v>0.0</v>
      </c>
    </row>
    <row r="243">
      <c r="B243" t="s">
        <v>286</v>
      </c>
      <c r="C243" t="s">
        <v>767</v>
      </c>
      <c r="D243" t="s">
        <v>768</v>
      </c>
      <c r="E243" t="n">
        <v>475861.45999999996</v>
      </c>
      <c r="F243" t="n">
        <v>0.0</v>
      </c>
    </row>
    <row r="244">
      <c r="B244" t="s">
        <v>286</v>
      </c>
      <c r="C244" t="s">
        <v>769</v>
      </c>
      <c r="D244" t="s">
        <v>93</v>
      </c>
      <c r="E244" t="n">
        <v>222777.78</v>
      </c>
      <c r="F244" t="n">
        <v>0.0</v>
      </c>
    </row>
    <row r="245">
      <c r="B245" t="s">
        <v>286</v>
      </c>
      <c r="C245" t="s">
        <v>770</v>
      </c>
      <c r="D245" t="s">
        <v>771</v>
      </c>
      <c r="E245" t="n">
        <v>2579209.04</v>
      </c>
      <c r="F245" t="n">
        <v>0.0</v>
      </c>
    </row>
    <row r="246">
      <c r="B246" t="s">
        <v>286</v>
      </c>
      <c r="C246" t="s">
        <v>772</v>
      </c>
      <c r="D246" t="s">
        <v>97</v>
      </c>
      <c r="E246" t="n">
        <v>0.0</v>
      </c>
      <c r="F246" t="n">
        <v>0.0</v>
      </c>
    </row>
    <row r="247">
      <c r="B247" t="s">
        <v>286</v>
      </c>
      <c r="C247" t="s">
        <v>773</v>
      </c>
      <c r="D247" t="s">
        <v>774</v>
      </c>
      <c r="E247" t="n">
        <v>3391075.0</v>
      </c>
      <c r="F247" t="n">
        <v>0.0</v>
      </c>
    </row>
    <row r="248">
      <c r="B248" t="s">
        <v>286</v>
      </c>
      <c r="C248" t="s">
        <v>775</v>
      </c>
      <c r="D248" t="s">
        <v>776</v>
      </c>
      <c r="E248" t="n">
        <v>0.0</v>
      </c>
      <c r="F248" t="n"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activeCell="B2" sqref="B2"/>
    </sheetView>
  </sheetViews>
  <sheetFormatPr defaultRowHeight="12.75" x14ac:dyDescent="0.2"/>
  <cols>
    <col min="1" max="1" customWidth="true" width="4.85546875" collapsed="true"/>
    <col min="2" max="2" customWidth="true" width="12.85546875" collapsed="true"/>
    <col min="3" max="3" customWidth="true" width="31.5703125" collapsed="true"/>
    <col min="4" max="4" customWidth="true" width="90.7109375" collapsed="true"/>
    <col min="5" max="5" customWidth="true" width="23.28515625" collapsed="true"/>
    <col min="6" max="6" customWidth="true" width="22.42578125" collapsed="true"/>
  </cols>
  <sheetData>
    <row r="1" spans="2:6" x14ac:dyDescent="0.2">
      <c r="B1" t="s">
        <v>281</v>
      </c>
      <c r="C1" t="s">
        <v>282</v>
      </c>
      <c r="D1" t="s">
        <v>283</v>
      </c>
      <c r="E1" t="s">
        <v>284</v>
      </c>
      <c r="F1" t="s">
        <v>285</v>
      </c>
    </row>
    <row r="2">
      <c r="B2" t="s">
        <v>777</v>
      </c>
      <c r="C2" t="s">
        <v>287</v>
      </c>
      <c r="D2" t="s">
        <v>288</v>
      </c>
      <c r="E2" t="n">
        <v>4.768266052E7</v>
      </c>
      <c r="F2" t="n">
        <v>0.0</v>
      </c>
    </row>
    <row r="3">
      <c r="B3" t="s">
        <v>777</v>
      </c>
      <c r="C3" t="s">
        <v>289</v>
      </c>
      <c r="D3" t="s">
        <v>290</v>
      </c>
      <c r="E3" t="n">
        <v>881801.4600000001</v>
      </c>
      <c r="F3" t="n">
        <v>0.0</v>
      </c>
    </row>
    <row r="4">
      <c r="B4" t="s">
        <v>777</v>
      </c>
      <c r="C4" t="s">
        <v>291</v>
      </c>
      <c r="D4" t="s">
        <v>292</v>
      </c>
      <c r="E4" t="n">
        <v>1.999831351E7</v>
      </c>
      <c r="F4" t="n">
        <v>0.0</v>
      </c>
    </row>
    <row r="5">
      <c r="B5" t="s">
        <v>777</v>
      </c>
      <c r="C5" t="s">
        <v>293</v>
      </c>
      <c r="D5" t="s">
        <v>294</v>
      </c>
      <c r="E5" t="n">
        <v>1.4737550634E8</v>
      </c>
      <c r="F5" t="n">
        <v>0.0</v>
      </c>
    </row>
    <row r="6">
      <c r="B6" t="s">
        <v>777</v>
      </c>
      <c r="C6" t="s">
        <v>295</v>
      </c>
      <c r="D6" t="s">
        <v>296</v>
      </c>
      <c r="E6" t="n">
        <v>2.6E7</v>
      </c>
      <c r="F6" t="n">
        <v>0.0</v>
      </c>
    </row>
    <row r="7">
      <c r="B7" t="s">
        <v>777</v>
      </c>
      <c r="C7" t="s">
        <v>297</v>
      </c>
      <c r="D7" t="s">
        <v>298</v>
      </c>
      <c r="E7" t="n">
        <v>0.0</v>
      </c>
      <c r="F7" t="n">
        <v>175214.53</v>
      </c>
    </row>
    <row r="8">
      <c r="B8" t="s">
        <v>777</v>
      </c>
      <c r="C8" t="s">
        <v>299</v>
      </c>
      <c r="D8" t="s">
        <v>300</v>
      </c>
      <c r="E8" t="n">
        <v>1.017500001E7</v>
      </c>
      <c r="F8" t="n">
        <v>0.0</v>
      </c>
    </row>
    <row r="9">
      <c r="B9" t="s">
        <v>777</v>
      </c>
      <c r="C9" t="s">
        <v>301</v>
      </c>
      <c r="D9" t="s">
        <v>302</v>
      </c>
      <c r="E9" t="n">
        <v>2.1762992966000003E8</v>
      </c>
      <c r="F9" t="n">
        <v>0.0</v>
      </c>
    </row>
    <row r="10">
      <c r="B10" t="s">
        <v>777</v>
      </c>
      <c r="C10" t="s">
        <v>303</v>
      </c>
      <c r="D10" t="s">
        <v>304</v>
      </c>
      <c r="E10" t="n">
        <v>0.0</v>
      </c>
      <c r="F10" t="n">
        <v>0.0</v>
      </c>
    </row>
    <row r="11">
      <c r="B11" t="s">
        <v>777</v>
      </c>
      <c r="C11" t="s">
        <v>305</v>
      </c>
      <c r="D11" t="s">
        <v>306</v>
      </c>
      <c r="E11" t="n">
        <v>2.401131316E7</v>
      </c>
      <c r="F11" t="n">
        <v>0.0</v>
      </c>
    </row>
    <row r="12">
      <c r="B12" t="s">
        <v>777</v>
      </c>
      <c r="C12" t="s">
        <v>307</v>
      </c>
      <c r="D12" t="s">
        <v>308</v>
      </c>
      <c r="E12" t="n">
        <v>0.0</v>
      </c>
      <c r="F12" t="n">
        <v>0.0</v>
      </c>
    </row>
    <row r="13">
      <c r="B13" t="s">
        <v>777</v>
      </c>
      <c r="C13" t="s">
        <v>309</v>
      </c>
      <c r="D13" t="s">
        <v>310</v>
      </c>
      <c r="E13" t="n">
        <v>0.0</v>
      </c>
      <c r="F13" t="n">
        <v>0.0</v>
      </c>
    </row>
    <row r="14">
      <c r="B14" t="s">
        <v>777</v>
      </c>
      <c r="C14" t="s">
        <v>311</v>
      </c>
      <c r="D14" t="s">
        <v>312</v>
      </c>
      <c r="E14" t="n">
        <v>0.0</v>
      </c>
      <c r="F14" t="n">
        <v>1.2405833169999998E7</v>
      </c>
    </row>
    <row r="15">
      <c r="B15" t="s">
        <v>777</v>
      </c>
      <c r="C15" t="s">
        <v>313</v>
      </c>
      <c r="D15" t="s">
        <v>314</v>
      </c>
      <c r="E15" t="n">
        <v>0.0</v>
      </c>
      <c r="F15" t="n">
        <v>763358.38</v>
      </c>
    </row>
    <row r="16">
      <c r="B16" t="s">
        <v>777</v>
      </c>
      <c r="C16" t="s">
        <v>315</v>
      </c>
      <c r="D16" t="s">
        <v>316</v>
      </c>
      <c r="E16" t="n">
        <v>1.1127906219E8</v>
      </c>
      <c r="F16" t="n">
        <v>0.0</v>
      </c>
    </row>
    <row r="17">
      <c r="B17" t="s">
        <v>777</v>
      </c>
      <c r="C17" t="s">
        <v>317</v>
      </c>
      <c r="D17" t="s">
        <v>318</v>
      </c>
      <c r="E17" t="n">
        <v>899750.0</v>
      </c>
      <c r="F17" t="n">
        <v>0.0</v>
      </c>
    </row>
    <row r="18">
      <c r="B18" t="s">
        <v>777</v>
      </c>
      <c r="C18" t="s">
        <v>319</v>
      </c>
      <c r="D18" t="s">
        <v>320</v>
      </c>
      <c r="E18" t="n">
        <v>3577601.11</v>
      </c>
      <c r="F18" t="n">
        <v>0.0</v>
      </c>
    </row>
    <row r="19">
      <c r="B19" t="s">
        <v>777</v>
      </c>
      <c r="C19" t="s">
        <v>321</v>
      </c>
      <c r="D19" t="s">
        <v>322</v>
      </c>
      <c r="E19" t="n">
        <v>0.0</v>
      </c>
      <c r="F19" t="n">
        <v>0.0</v>
      </c>
    </row>
    <row r="20">
      <c r="B20" t="s">
        <v>777</v>
      </c>
      <c r="C20" t="s">
        <v>323</v>
      </c>
      <c r="D20" t="s">
        <v>324</v>
      </c>
      <c r="E20" t="n">
        <v>0.0</v>
      </c>
      <c r="F20" t="n">
        <v>968093.87</v>
      </c>
    </row>
    <row r="21">
      <c r="B21" t="s">
        <v>777</v>
      </c>
      <c r="C21" t="s">
        <v>325</v>
      </c>
      <c r="D21" t="s">
        <v>326</v>
      </c>
      <c r="E21" t="n">
        <v>0.0</v>
      </c>
      <c r="F21" t="n">
        <v>150000.0</v>
      </c>
    </row>
    <row r="22">
      <c r="B22" t="s">
        <v>777</v>
      </c>
      <c r="C22" t="s">
        <v>327</v>
      </c>
      <c r="D22" t="s">
        <v>328</v>
      </c>
      <c r="E22" t="n">
        <v>1.859093832E7</v>
      </c>
      <c r="F22" t="n">
        <v>0.0</v>
      </c>
    </row>
    <row r="23">
      <c r="B23" t="s">
        <v>777</v>
      </c>
      <c r="C23" t="s">
        <v>329</v>
      </c>
      <c r="D23" t="s">
        <v>330</v>
      </c>
      <c r="E23" t="n">
        <v>102811.12</v>
      </c>
      <c r="F23" t="n">
        <v>0.0</v>
      </c>
    </row>
    <row r="24">
      <c r="B24" t="s">
        <v>777</v>
      </c>
      <c r="C24" t="s">
        <v>331</v>
      </c>
      <c r="D24" t="s">
        <v>332</v>
      </c>
      <c r="E24" t="n">
        <v>7922802.17</v>
      </c>
      <c r="F24" t="n">
        <v>0.0</v>
      </c>
    </row>
    <row r="25">
      <c r="B25" t="s">
        <v>777</v>
      </c>
      <c r="C25" t="s">
        <v>333</v>
      </c>
      <c r="D25" t="s">
        <v>334</v>
      </c>
      <c r="E25" t="n">
        <v>0.0</v>
      </c>
      <c r="F25" t="n">
        <v>0.0</v>
      </c>
    </row>
    <row r="26">
      <c r="B26" t="s">
        <v>777</v>
      </c>
      <c r="C26" t="s">
        <v>335</v>
      </c>
      <c r="D26" t="s">
        <v>336</v>
      </c>
      <c r="E26" t="n">
        <v>0.0</v>
      </c>
      <c r="F26" t="n">
        <v>495091.72</v>
      </c>
    </row>
    <row r="27">
      <c r="B27" t="s">
        <v>777</v>
      </c>
      <c r="C27" t="s">
        <v>337</v>
      </c>
      <c r="D27" t="s">
        <v>338</v>
      </c>
      <c r="E27" t="n">
        <v>0.0</v>
      </c>
      <c r="F27" t="n">
        <v>387474.24</v>
      </c>
    </row>
    <row r="28">
      <c r="B28" t="s">
        <v>777</v>
      </c>
      <c r="C28" t="s">
        <v>339</v>
      </c>
      <c r="D28" t="s">
        <v>340</v>
      </c>
      <c r="E28" t="n">
        <v>0.0</v>
      </c>
      <c r="F28" t="n">
        <v>0.0</v>
      </c>
    </row>
    <row r="29">
      <c r="B29" t="s">
        <v>777</v>
      </c>
      <c r="C29" t="s">
        <v>341</v>
      </c>
      <c r="D29" t="s">
        <v>342</v>
      </c>
      <c r="E29" t="n">
        <v>0.0</v>
      </c>
      <c r="F29" t="n">
        <v>0.0</v>
      </c>
    </row>
    <row r="30">
      <c r="B30" t="s">
        <v>777</v>
      </c>
      <c r="C30" t="s">
        <v>343</v>
      </c>
      <c r="D30" t="s">
        <v>344</v>
      </c>
      <c r="E30" t="n">
        <v>1.2464399396E8</v>
      </c>
      <c r="F30" t="n">
        <v>0.0</v>
      </c>
    </row>
    <row r="31">
      <c r="B31" t="s">
        <v>777</v>
      </c>
      <c r="C31" t="s">
        <v>345</v>
      </c>
      <c r="D31" t="s">
        <v>346</v>
      </c>
      <c r="E31" t="n">
        <v>1788146.02</v>
      </c>
      <c r="F31" t="n">
        <v>0.0</v>
      </c>
    </row>
    <row r="32">
      <c r="B32" t="s">
        <v>777</v>
      </c>
      <c r="C32" t="s">
        <v>347</v>
      </c>
      <c r="D32" t="s">
        <v>348</v>
      </c>
      <c r="E32" t="n">
        <v>8426025.13</v>
      </c>
      <c r="F32" t="n">
        <v>0.0</v>
      </c>
    </row>
    <row r="33">
      <c r="B33" t="s">
        <v>777</v>
      </c>
      <c r="C33" t="s">
        <v>349</v>
      </c>
      <c r="D33" t="s">
        <v>350</v>
      </c>
      <c r="E33" t="n">
        <v>0.0</v>
      </c>
      <c r="F33" t="n">
        <v>0.0</v>
      </c>
    </row>
    <row r="34">
      <c r="B34" t="s">
        <v>777</v>
      </c>
      <c r="C34" t="s">
        <v>351</v>
      </c>
      <c r="D34" t="s">
        <v>352</v>
      </c>
      <c r="E34" t="n">
        <v>0.0</v>
      </c>
      <c r="F34" t="n">
        <v>831126.98</v>
      </c>
    </row>
    <row r="35">
      <c r="B35" t="s">
        <v>777</v>
      </c>
      <c r="C35" t="s">
        <v>353</v>
      </c>
      <c r="D35" t="s">
        <v>354</v>
      </c>
      <c r="E35" t="n">
        <v>0.0</v>
      </c>
      <c r="F35" t="n">
        <v>1.249091949E7</v>
      </c>
    </row>
    <row r="36">
      <c r="B36" t="s">
        <v>777</v>
      </c>
      <c r="C36" t="s">
        <v>355</v>
      </c>
      <c r="D36" t="s">
        <v>356</v>
      </c>
      <c r="E36" t="n">
        <v>1.1923544431E8</v>
      </c>
      <c r="F36" t="n">
        <v>0.0</v>
      </c>
    </row>
    <row r="37">
      <c r="B37" t="s">
        <v>777</v>
      </c>
      <c r="C37" t="s">
        <v>357</v>
      </c>
      <c r="D37" t="s">
        <v>358</v>
      </c>
      <c r="E37" t="n">
        <v>1000000.0</v>
      </c>
      <c r="F37" t="n">
        <v>0.0</v>
      </c>
    </row>
    <row r="38">
      <c r="B38" t="s">
        <v>777</v>
      </c>
      <c r="C38" t="s">
        <v>359</v>
      </c>
      <c r="D38" t="s">
        <v>360</v>
      </c>
      <c r="E38" t="n">
        <v>0.0</v>
      </c>
      <c r="F38" t="n">
        <v>0.0</v>
      </c>
    </row>
    <row r="39">
      <c r="B39" t="s">
        <v>777</v>
      </c>
      <c r="C39" t="s">
        <v>361</v>
      </c>
      <c r="D39" t="s">
        <v>362</v>
      </c>
      <c r="E39" t="n">
        <v>0.0</v>
      </c>
      <c r="F39" t="n">
        <v>0.0</v>
      </c>
    </row>
    <row r="40">
      <c r="B40" t="s">
        <v>777</v>
      </c>
      <c r="C40" t="s">
        <v>363</v>
      </c>
      <c r="D40" t="s">
        <v>364</v>
      </c>
      <c r="E40" t="n">
        <v>0.0</v>
      </c>
      <c r="F40" t="n">
        <v>7970.470000000001</v>
      </c>
    </row>
    <row r="41">
      <c r="B41" t="s">
        <v>777</v>
      </c>
      <c r="C41" t="s">
        <v>365</v>
      </c>
      <c r="D41" t="s">
        <v>366</v>
      </c>
      <c r="E41" t="n">
        <v>0.0</v>
      </c>
      <c r="F41" t="n">
        <v>8043750.61</v>
      </c>
    </row>
    <row r="42">
      <c r="B42" t="s">
        <v>777</v>
      </c>
      <c r="C42" t="s">
        <v>367</v>
      </c>
      <c r="D42" t="s">
        <v>368</v>
      </c>
      <c r="E42" t="n">
        <v>0.0</v>
      </c>
      <c r="F42" t="n">
        <v>0.0</v>
      </c>
    </row>
    <row r="43">
      <c r="B43" t="s">
        <v>777</v>
      </c>
      <c r="C43" t="s">
        <v>369</v>
      </c>
      <c r="D43" t="s">
        <v>370</v>
      </c>
      <c r="E43" t="n">
        <v>0.0</v>
      </c>
      <c r="F43" t="n">
        <v>0.0</v>
      </c>
    </row>
    <row r="44">
      <c r="B44" t="s">
        <v>777</v>
      </c>
      <c r="C44" t="s">
        <v>371</v>
      </c>
      <c r="D44" t="s">
        <v>372</v>
      </c>
      <c r="E44" t="n">
        <v>0.0</v>
      </c>
      <c r="F44" t="n">
        <v>0.0</v>
      </c>
    </row>
    <row r="45">
      <c r="B45" t="s">
        <v>777</v>
      </c>
      <c r="C45" t="s">
        <v>373</v>
      </c>
      <c r="D45" t="s">
        <v>374</v>
      </c>
      <c r="E45" t="n">
        <v>0.0</v>
      </c>
      <c r="F45" t="n">
        <v>0.0</v>
      </c>
    </row>
    <row r="46">
      <c r="B46" t="s">
        <v>777</v>
      </c>
      <c r="C46" t="s">
        <v>375</v>
      </c>
      <c r="D46" t="s">
        <v>376</v>
      </c>
      <c r="E46" t="n">
        <v>0.0</v>
      </c>
      <c r="F46" t="n">
        <v>0.0</v>
      </c>
    </row>
    <row r="47">
      <c r="B47" t="s">
        <v>777</v>
      </c>
      <c r="C47" t="s">
        <v>377</v>
      </c>
      <c r="D47" t="s">
        <v>378</v>
      </c>
      <c r="E47" t="n">
        <v>5960000.0</v>
      </c>
      <c r="F47" t="n">
        <v>0.0</v>
      </c>
    </row>
    <row r="48">
      <c r="B48" t="s">
        <v>777</v>
      </c>
      <c r="C48" t="s">
        <v>379</v>
      </c>
      <c r="D48" t="s">
        <v>380</v>
      </c>
      <c r="E48" t="n">
        <v>0.0</v>
      </c>
      <c r="F48" t="n">
        <v>0.0</v>
      </c>
    </row>
    <row r="49">
      <c r="B49" t="s">
        <v>777</v>
      </c>
      <c r="C49" t="s">
        <v>381</v>
      </c>
      <c r="D49" t="s">
        <v>382</v>
      </c>
      <c r="E49" t="n">
        <v>0.0</v>
      </c>
      <c r="F49" t="n">
        <v>0.0</v>
      </c>
    </row>
    <row r="50">
      <c r="B50" t="s">
        <v>777</v>
      </c>
      <c r="C50" t="s">
        <v>383</v>
      </c>
      <c r="D50" t="s">
        <v>384</v>
      </c>
      <c r="E50" t="n">
        <v>0.0</v>
      </c>
      <c r="F50" t="n">
        <v>0.0</v>
      </c>
    </row>
    <row r="51">
      <c r="B51" t="s">
        <v>777</v>
      </c>
      <c r="C51" t="s">
        <v>385</v>
      </c>
      <c r="D51" t="s">
        <v>386</v>
      </c>
      <c r="E51" t="n">
        <v>0.0</v>
      </c>
      <c r="F51" t="n">
        <v>0.0</v>
      </c>
    </row>
    <row r="52">
      <c r="B52" t="s">
        <v>777</v>
      </c>
      <c r="C52" t="s">
        <v>387</v>
      </c>
      <c r="D52" t="s">
        <v>388</v>
      </c>
      <c r="E52" t="n">
        <v>1.429711625E7</v>
      </c>
      <c r="F52" t="n">
        <v>0.0</v>
      </c>
    </row>
    <row r="53">
      <c r="B53" t="s">
        <v>777</v>
      </c>
      <c r="C53" t="s">
        <v>389</v>
      </c>
      <c r="D53" t="s">
        <v>390</v>
      </c>
      <c r="E53" t="n">
        <v>0.0</v>
      </c>
      <c r="F53" t="n">
        <v>0.0</v>
      </c>
    </row>
    <row r="54">
      <c r="B54" t="s">
        <v>777</v>
      </c>
      <c r="C54" t="s">
        <v>391</v>
      </c>
      <c r="D54" t="s">
        <v>392</v>
      </c>
      <c r="E54" t="n">
        <v>50001.0</v>
      </c>
      <c r="F54" t="n">
        <v>0.0</v>
      </c>
    </row>
    <row r="55">
      <c r="B55" t="s">
        <v>777</v>
      </c>
      <c r="C55" t="s">
        <v>393</v>
      </c>
      <c r="D55" t="s">
        <v>394</v>
      </c>
      <c r="E55" t="n">
        <v>0.0</v>
      </c>
      <c r="F55" t="n">
        <v>0.0</v>
      </c>
    </row>
    <row r="56">
      <c r="B56" t="s">
        <v>777</v>
      </c>
      <c r="C56" t="s">
        <v>395</v>
      </c>
      <c r="D56" t="s">
        <v>396</v>
      </c>
      <c r="E56" t="n">
        <v>0.0</v>
      </c>
      <c r="F56" t="n">
        <v>12447.39</v>
      </c>
    </row>
    <row r="57">
      <c r="B57" t="s">
        <v>777</v>
      </c>
      <c r="C57" t="s">
        <v>397</v>
      </c>
      <c r="D57" t="s">
        <v>398</v>
      </c>
      <c r="E57" t="n">
        <v>0.0</v>
      </c>
      <c r="F57" t="n">
        <v>363437.92</v>
      </c>
    </row>
    <row r="58">
      <c r="B58" t="s">
        <v>777</v>
      </c>
      <c r="C58" t="s">
        <v>399</v>
      </c>
      <c r="D58" t="s">
        <v>400</v>
      </c>
      <c r="E58" t="n">
        <v>0.0</v>
      </c>
      <c r="F58" t="n">
        <v>0.0</v>
      </c>
    </row>
    <row r="59">
      <c r="B59" t="s">
        <v>777</v>
      </c>
      <c r="C59" t="s">
        <v>401</v>
      </c>
      <c r="D59" t="s">
        <v>402</v>
      </c>
      <c r="E59" t="n">
        <v>0.0</v>
      </c>
      <c r="F59" t="n">
        <v>0.0</v>
      </c>
    </row>
    <row r="60">
      <c r="B60" t="s">
        <v>777</v>
      </c>
      <c r="C60" t="s">
        <v>403</v>
      </c>
      <c r="D60" t="s">
        <v>404</v>
      </c>
      <c r="E60" t="n">
        <v>0.0</v>
      </c>
      <c r="F60" t="n">
        <v>0.0</v>
      </c>
    </row>
    <row r="61">
      <c r="B61" t="s">
        <v>777</v>
      </c>
      <c r="C61" t="s">
        <v>405</v>
      </c>
      <c r="D61" t="s">
        <v>406</v>
      </c>
      <c r="E61" t="n">
        <v>0.0</v>
      </c>
      <c r="F61" t="n">
        <v>0.0</v>
      </c>
    </row>
    <row r="62">
      <c r="B62" t="s">
        <v>777</v>
      </c>
      <c r="C62" t="s">
        <v>407</v>
      </c>
      <c r="D62" t="s">
        <v>408</v>
      </c>
      <c r="E62" t="n">
        <v>0.0</v>
      </c>
      <c r="F62" t="n">
        <v>0.0</v>
      </c>
    </row>
    <row r="63">
      <c r="B63" t="s">
        <v>777</v>
      </c>
      <c r="C63" t="s">
        <v>409</v>
      </c>
      <c r="D63" t="s">
        <v>410</v>
      </c>
      <c r="E63" t="n">
        <v>0.0</v>
      </c>
      <c r="F63" t="n">
        <v>0.0</v>
      </c>
    </row>
    <row r="64">
      <c r="B64" t="s">
        <v>777</v>
      </c>
      <c r="C64" t="s">
        <v>411</v>
      </c>
      <c r="D64" t="s">
        <v>412</v>
      </c>
      <c r="E64" t="n">
        <v>0.0</v>
      </c>
      <c r="F64" t="n">
        <v>0.0</v>
      </c>
    </row>
    <row r="65">
      <c r="B65" t="s">
        <v>777</v>
      </c>
      <c r="C65" t="s">
        <v>413</v>
      </c>
      <c r="D65" t="s">
        <v>414</v>
      </c>
      <c r="E65" t="n">
        <v>0.0</v>
      </c>
      <c r="F65" t="n">
        <v>0.0</v>
      </c>
    </row>
    <row r="66">
      <c r="B66" t="s">
        <v>777</v>
      </c>
      <c r="C66" t="s">
        <v>415</v>
      </c>
      <c r="D66" t="s">
        <v>416</v>
      </c>
      <c r="E66" t="n">
        <v>0.0</v>
      </c>
      <c r="F66" t="n">
        <v>0.0</v>
      </c>
    </row>
    <row r="67">
      <c r="B67" t="s">
        <v>777</v>
      </c>
      <c r="C67" t="s">
        <v>417</v>
      </c>
      <c r="D67" t="s">
        <v>418</v>
      </c>
      <c r="E67" t="n">
        <v>0.0</v>
      </c>
      <c r="F67" t="n">
        <v>0.0</v>
      </c>
    </row>
    <row r="68">
      <c r="B68" t="s">
        <v>777</v>
      </c>
      <c r="C68" t="s">
        <v>419</v>
      </c>
      <c r="D68" t="s">
        <v>420</v>
      </c>
      <c r="E68" t="n">
        <v>0.0</v>
      </c>
      <c r="F68" t="n">
        <v>0.0</v>
      </c>
    </row>
    <row r="69">
      <c r="B69" t="s">
        <v>777</v>
      </c>
      <c r="C69" t="s">
        <v>421</v>
      </c>
      <c r="D69" t="s">
        <v>422</v>
      </c>
      <c r="E69" t="n">
        <v>0.0</v>
      </c>
      <c r="F69" t="n">
        <v>0.0</v>
      </c>
    </row>
    <row r="70">
      <c r="B70" t="s">
        <v>777</v>
      </c>
      <c r="C70" t="s">
        <v>423</v>
      </c>
      <c r="D70" t="s">
        <v>424</v>
      </c>
      <c r="E70" t="n">
        <v>0.0</v>
      </c>
      <c r="F70" t="n">
        <v>0.0</v>
      </c>
    </row>
    <row r="71">
      <c r="B71" t="s">
        <v>777</v>
      </c>
      <c r="C71" t="s">
        <v>425</v>
      </c>
      <c r="D71" t="s">
        <v>426</v>
      </c>
      <c r="E71" t="n">
        <v>0.0</v>
      </c>
      <c r="F71" t="n">
        <v>0.0</v>
      </c>
    </row>
    <row r="72">
      <c r="B72" t="s">
        <v>777</v>
      </c>
      <c r="C72" t="s">
        <v>427</v>
      </c>
      <c r="D72" t="s">
        <v>428</v>
      </c>
      <c r="E72" t="n">
        <v>0.0</v>
      </c>
      <c r="F72" t="n">
        <v>0.0</v>
      </c>
    </row>
    <row r="73">
      <c r="B73" t="s">
        <v>777</v>
      </c>
      <c r="C73" t="s">
        <v>429</v>
      </c>
      <c r="D73" t="s">
        <v>430</v>
      </c>
      <c r="E73" t="n">
        <v>0.0</v>
      </c>
      <c r="F73" t="n">
        <v>0.0</v>
      </c>
    </row>
    <row r="74">
      <c r="B74" t="s">
        <v>777</v>
      </c>
      <c r="C74" t="s">
        <v>431</v>
      </c>
      <c r="D74" t="s">
        <v>432</v>
      </c>
      <c r="E74" t="n">
        <v>0.0</v>
      </c>
      <c r="F74" t="n">
        <v>0.0</v>
      </c>
    </row>
    <row r="75">
      <c r="B75" t="s">
        <v>777</v>
      </c>
      <c r="C75" t="s">
        <v>433</v>
      </c>
      <c r="D75" t="s">
        <v>434</v>
      </c>
      <c r="E75" t="n">
        <v>0.0</v>
      </c>
      <c r="F75" t="n">
        <v>0.0</v>
      </c>
    </row>
    <row r="76">
      <c r="B76" t="s">
        <v>777</v>
      </c>
      <c r="C76" t="s">
        <v>435</v>
      </c>
      <c r="D76" t="s">
        <v>436</v>
      </c>
      <c r="E76" t="n">
        <v>0.0</v>
      </c>
      <c r="F76" t="n">
        <v>0.0</v>
      </c>
    </row>
    <row r="77">
      <c r="B77" t="s">
        <v>777</v>
      </c>
      <c r="C77" t="s">
        <v>437</v>
      </c>
      <c r="D77" t="s">
        <v>438</v>
      </c>
      <c r="E77" t="n">
        <v>0.0</v>
      </c>
      <c r="F77" t="n">
        <v>0.0</v>
      </c>
    </row>
    <row r="78">
      <c r="B78" t="s">
        <v>777</v>
      </c>
      <c r="C78" t="s">
        <v>439</v>
      </c>
      <c r="D78" t="s">
        <v>440</v>
      </c>
      <c r="E78" t="n">
        <v>0.0</v>
      </c>
      <c r="F78" t="n">
        <v>0.0</v>
      </c>
    </row>
    <row r="79">
      <c r="B79" t="s">
        <v>777</v>
      </c>
      <c r="C79" t="s">
        <v>441</v>
      </c>
      <c r="D79" t="s">
        <v>442</v>
      </c>
      <c r="E79" t="n">
        <v>0.0</v>
      </c>
      <c r="F79" t="n">
        <v>0.0</v>
      </c>
    </row>
    <row r="80">
      <c r="B80" t="s">
        <v>777</v>
      </c>
      <c r="C80" t="s">
        <v>443</v>
      </c>
      <c r="D80" t="s">
        <v>444</v>
      </c>
      <c r="E80" t="n">
        <v>0.0</v>
      </c>
      <c r="F80" t="n">
        <v>0.0</v>
      </c>
    </row>
    <row r="81">
      <c r="B81" t="s">
        <v>777</v>
      </c>
      <c r="C81" t="s">
        <v>445</v>
      </c>
      <c r="D81" t="s">
        <v>446</v>
      </c>
      <c r="E81" t="n">
        <v>0.0</v>
      </c>
      <c r="F81" t="n">
        <v>0.0</v>
      </c>
    </row>
    <row r="82">
      <c r="B82" t="s">
        <v>777</v>
      </c>
      <c r="C82" t="s">
        <v>447</v>
      </c>
      <c r="D82" t="s">
        <v>448</v>
      </c>
      <c r="E82" t="n">
        <v>4.188129014E7</v>
      </c>
      <c r="F82" t="n">
        <v>0.0</v>
      </c>
    </row>
    <row r="83">
      <c r="B83" t="s">
        <v>777</v>
      </c>
      <c r="C83" t="s">
        <v>449</v>
      </c>
      <c r="D83" t="s">
        <v>450</v>
      </c>
      <c r="E83" t="n">
        <v>2285976.81</v>
      </c>
      <c r="F83" t="n">
        <v>0.0</v>
      </c>
    </row>
    <row r="84">
      <c r="B84" t="s">
        <v>777</v>
      </c>
      <c r="C84" t="s">
        <v>451</v>
      </c>
      <c r="D84" t="s">
        <v>452</v>
      </c>
      <c r="E84" t="n">
        <v>7176729.88</v>
      </c>
      <c r="F84" t="n">
        <v>0.0</v>
      </c>
    </row>
    <row r="85">
      <c r="B85" t="s">
        <v>777</v>
      </c>
      <c r="C85" t="s">
        <v>453</v>
      </c>
      <c r="D85" t="s">
        <v>454</v>
      </c>
      <c r="E85" t="n">
        <v>0.0</v>
      </c>
      <c r="F85" t="n">
        <v>0.0</v>
      </c>
    </row>
    <row r="86">
      <c r="B86" t="s">
        <v>777</v>
      </c>
      <c r="C86" t="s">
        <v>455</v>
      </c>
      <c r="D86" t="s">
        <v>456</v>
      </c>
      <c r="E86" t="n">
        <v>0.0</v>
      </c>
      <c r="F86" t="n">
        <v>134816.48</v>
      </c>
    </row>
    <row r="87">
      <c r="B87" t="s">
        <v>777</v>
      </c>
      <c r="C87" t="s">
        <v>457</v>
      </c>
      <c r="D87" t="s">
        <v>458</v>
      </c>
      <c r="E87" t="n">
        <v>0.0</v>
      </c>
      <c r="F87" t="n">
        <v>31619.77</v>
      </c>
    </row>
    <row r="88">
      <c r="B88" t="s">
        <v>777</v>
      </c>
      <c r="C88" t="s">
        <v>459</v>
      </c>
      <c r="D88" t="s">
        <v>460</v>
      </c>
      <c r="E88" t="n">
        <v>7.667302113E7</v>
      </c>
      <c r="F88" t="n">
        <v>0.0</v>
      </c>
    </row>
    <row r="89">
      <c r="B89" t="s">
        <v>777</v>
      </c>
      <c r="C89" t="s">
        <v>461</v>
      </c>
      <c r="D89" t="s">
        <v>462</v>
      </c>
      <c r="E89" t="n">
        <v>3760347.0</v>
      </c>
      <c r="F89" t="n">
        <v>0.0</v>
      </c>
    </row>
    <row r="90">
      <c r="B90" t="s">
        <v>777</v>
      </c>
      <c r="C90" t="s">
        <v>463</v>
      </c>
      <c r="D90" t="s">
        <v>464</v>
      </c>
      <c r="E90" t="n">
        <v>6022975.24</v>
      </c>
      <c r="F90" t="n">
        <v>0.0</v>
      </c>
    </row>
    <row r="91">
      <c r="B91" t="s">
        <v>777</v>
      </c>
      <c r="C91" t="s">
        <v>465</v>
      </c>
      <c r="D91" t="s">
        <v>466</v>
      </c>
      <c r="E91" t="n">
        <v>0.0</v>
      </c>
      <c r="F91" t="n">
        <v>0.0</v>
      </c>
    </row>
    <row r="92">
      <c r="B92" t="s">
        <v>777</v>
      </c>
      <c r="C92" t="s">
        <v>467</v>
      </c>
      <c r="D92" t="s">
        <v>468</v>
      </c>
      <c r="E92" t="n">
        <v>0.0</v>
      </c>
      <c r="F92" t="n">
        <v>439159.92000000004</v>
      </c>
    </row>
    <row r="93">
      <c r="B93" t="s">
        <v>777</v>
      </c>
      <c r="C93" t="s">
        <v>469</v>
      </c>
      <c r="D93" t="s">
        <v>470</v>
      </c>
      <c r="E93" t="n">
        <v>0.0</v>
      </c>
      <c r="F93" t="n">
        <v>1960608.42</v>
      </c>
    </row>
    <row r="94">
      <c r="B94" t="s">
        <v>777</v>
      </c>
      <c r="C94" t="s">
        <v>471</v>
      </c>
      <c r="D94" t="s">
        <v>472</v>
      </c>
      <c r="E94" t="n">
        <v>1.0</v>
      </c>
      <c r="F94" t="n">
        <v>0.0</v>
      </c>
    </row>
    <row r="95">
      <c r="B95" t="s">
        <v>777</v>
      </c>
      <c r="C95" t="s">
        <v>473</v>
      </c>
      <c r="D95" t="s">
        <v>474</v>
      </c>
      <c r="E95" t="n">
        <v>4.0</v>
      </c>
      <c r="F95" t="n">
        <v>0.0</v>
      </c>
    </row>
    <row r="96">
      <c r="B96" t="s">
        <v>777</v>
      </c>
      <c r="C96" t="s">
        <v>475</v>
      </c>
      <c r="D96" t="s">
        <v>476</v>
      </c>
      <c r="E96" t="n">
        <v>0.0</v>
      </c>
      <c r="F96" t="n">
        <v>1.0</v>
      </c>
    </row>
    <row r="97">
      <c r="B97" t="s">
        <v>777</v>
      </c>
      <c r="C97" t="s">
        <v>477</v>
      </c>
      <c r="D97" t="s">
        <v>478</v>
      </c>
      <c r="E97" t="n">
        <v>0.0</v>
      </c>
      <c r="F97" t="n">
        <v>1.0</v>
      </c>
    </row>
    <row r="98">
      <c r="B98" t="s">
        <v>777</v>
      </c>
      <c r="C98" t="s">
        <v>479</v>
      </c>
      <c r="D98" t="s">
        <v>480</v>
      </c>
      <c r="E98" t="n">
        <v>0.0</v>
      </c>
      <c r="F98" t="n">
        <v>0.0</v>
      </c>
    </row>
    <row r="99">
      <c r="B99" t="s">
        <v>777</v>
      </c>
      <c r="C99" t="s">
        <v>481</v>
      </c>
      <c r="D99" t="s">
        <v>482</v>
      </c>
      <c r="E99" t="n">
        <v>0.0</v>
      </c>
      <c r="F99" t="n">
        <v>0.0</v>
      </c>
    </row>
    <row r="100">
      <c r="B100" t="s">
        <v>777</v>
      </c>
      <c r="C100" t="s">
        <v>483</v>
      </c>
      <c r="D100" t="s">
        <v>484</v>
      </c>
      <c r="E100" t="n">
        <v>13.0</v>
      </c>
      <c r="F100" t="n">
        <v>0.0</v>
      </c>
    </row>
    <row r="101">
      <c r="B101" t="s">
        <v>777</v>
      </c>
      <c r="C101" t="s">
        <v>485</v>
      </c>
      <c r="D101" t="s">
        <v>486</v>
      </c>
      <c r="E101" t="n">
        <v>0.0</v>
      </c>
      <c r="F101" t="n">
        <v>1.0</v>
      </c>
    </row>
    <row r="102">
      <c r="B102" t="s">
        <v>777</v>
      </c>
      <c r="C102" t="s">
        <v>487</v>
      </c>
      <c r="D102" t="s">
        <v>488</v>
      </c>
      <c r="E102" t="n">
        <v>0.0</v>
      </c>
      <c r="F102" t="n">
        <v>7184346.14</v>
      </c>
    </row>
    <row r="103">
      <c r="B103" t="s">
        <v>777</v>
      </c>
      <c r="C103" t="s">
        <v>489</v>
      </c>
      <c r="D103" t="s">
        <v>490</v>
      </c>
      <c r="E103" t="n">
        <v>2.027354833E7</v>
      </c>
      <c r="F103" t="n">
        <v>0.0</v>
      </c>
    </row>
    <row r="104">
      <c r="B104" t="s">
        <v>777</v>
      </c>
      <c r="C104" t="s">
        <v>491</v>
      </c>
      <c r="D104" t="s">
        <v>492</v>
      </c>
      <c r="E104" t="n">
        <v>0.0</v>
      </c>
      <c r="F104" t="n">
        <v>0.0</v>
      </c>
    </row>
    <row r="105">
      <c r="B105" t="s">
        <v>777</v>
      </c>
      <c r="C105" t="s">
        <v>493</v>
      </c>
      <c r="D105" t="s">
        <v>494</v>
      </c>
      <c r="E105" t="n">
        <v>0.0</v>
      </c>
      <c r="F105" t="n">
        <v>384416.47</v>
      </c>
    </row>
    <row r="106">
      <c r="B106" t="s">
        <v>777</v>
      </c>
      <c r="C106" t="s">
        <v>495</v>
      </c>
      <c r="D106" t="s">
        <v>496</v>
      </c>
      <c r="E106" t="n">
        <v>0.0</v>
      </c>
      <c r="F106" t="n">
        <v>0.0</v>
      </c>
    </row>
    <row r="107">
      <c r="B107" t="s">
        <v>777</v>
      </c>
      <c r="C107" t="s">
        <v>497</v>
      </c>
      <c r="D107" t="s">
        <v>498</v>
      </c>
      <c r="E107" t="n">
        <v>14388.93</v>
      </c>
      <c r="F107" t="n">
        <v>0.0</v>
      </c>
    </row>
    <row r="108">
      <c r="B108" t="s">
        <v>777</v>
      </c>
      <c r="C108" t="s">
        <v>499</v>
      </c>
      <c r="D108" t="s">
        <v>500</v>
      </c>
      <c r="E108" t="n">
        <v>1.369425275E7</v>
      </c>
      <c r="F108" t="n">
        <v>0.0</v>
      </c>
    </row>
    <row r="109">
      <c r="B109" t="s">
        <v>777</v>
      </c>
      <c r="C109" t="s">
        <v>501</v>
      </c>
      <c r="D109" t="s">
        <v>502</v>
      </c>
      <c r="E109" t="n">
        <v>4.117546228E7</v>
      </c>
      <c r="F109" t="n">
        <v>0.0</v>
      </c>
    </row>
    <row r="110">
      <c r="B110" t="s">
        <v>777</v>
      </c>
      <c r="C110" t="s">
        <v>503</v>
      </c>
      <c r="D110" t="s">
        <v>504</v>
      </c>
      <c r="E110" t="n">
        <v>3.294888615E7</v>
      </c>
      <c r="F110" t="n">
        <v>0.0</v>
      </c>
    </row>
    <row r="111">
      <c r="B111" t="s">
        <v>777</v>
      </c>
      <c r="C111" t="s">
        <v>505</v>
      </c>
      <c r="D111" t="s">
        <v>506</v>
      </c>
      <c r="E111" t="n">
        <v>0.0</v>
      </c>
      <c r="F111" t="n">
        <v>0.0</v>
      </c>
    </row>
    <row r="112">
      <c r="B112" t="s">
        <v>777</v>
      </c>
      <c r="C112" t="s">
        <v>507</v>
      </c>
      <c r="D112" t="s">
        <v>508</v>
      </c>
      <c r="E112" t="n">
        <v>0.0</v>
      </c>
      <c r="F112" t="n">
        <v>0.0</v>
      </c>
    </row>
    <row r="113">
      <c r="B113" t="s">
        <v>777</v>
      </c>
      <c r="C113" t="s">
        <v>509</v>
      </c>
      <c r="D113" t="s">
        <v>510</v>
      </c>
      <c r="E113" t="n">
        <v>1.477602844E7</v>
      </c>
      <c r="F113" t="n">
        <v>0.0</v>
      </c>
    </row>
    <row r="114">
      <c r="B114" t="s">
        <v>777</v>
      </c>
      <c r="C114" t="s">
        <v>511</v>
      </c>
      <c r="D114" t="s">
        <v>512</v>
      </c>
      <c r="E114" t="n">
        <v>3.198062903E7</v>
      </c>
      <c r="F114" t="n">
        <v>0.0</v>
      </c>
    </row>
    <row r="115">
      <c r="B115" t="s">
        <v>777</v>
      </c>
      <c r="C115" t="s">
        <v>513</v>
      </c>
      <c r="D115" t="s">
        <v>514</v>
      </c>
      <c r="E115" t="n">
        <v>0.0</v>
      </c>
      <c r="F115" t="n">
        <v>0.0</v>
      </c>
    </row>
    <row r="116">
      <c r="B116" t="s">
        <v>777</v>
      </c>
      <c r="C116" t="s">
        <v>515</v>
      </c>
      <c r="D116" t="s">
        <v>516</v>
      </c>
      <c r="E116" t="n">
        <v>0.0</v>
      </c>
      <c r="F116" t="n">
        <v>1.142955874E7</v>
      </c>
    </row>
    <row r="117">
      <c r="B117" t="s">
        <v>777</v>
      </c>
      <c r="C117" t="s">
        <v>517</v>
      </c>
      <c r="D117" t="s">
        <v>518</v>
      </c>
      <c r="E117" t="n">
        <v>0.0</v>
      </c>
      <c r="F117" t="n">
        <v>2.51766262E7</v>
      </c>
    </row>
    <row r="118">
      <c r="B118" t="s">
        <v>777</v>
      </c>
      <c r="C118" t="s">
        <v>519</v>
      </c>
      <c r="D118" t="s">
        <v>520</v>
      </c>
      <c r="E118" t="n">
        <v>0.0</v>
      </c>
      <c r="F118" t="n">
        <v>0.0</v>
      </c>
    </row>
    <row r="119">
      <c r="B119" t="s">
        <v>777</v>
      </c>
      <c r="C119" t="s">
        <v>521</v>
      </c>
      <c r="D119" t="s">
        <v>522</v>
      </c>
      <c r="E119" t="n">
        <v>0.0</v>
      </c>
      <c r="F119" t="n">
        <v>0.0</v>
      </c>
    </row>
    <row r="120">
      <c r="B120" t="s">
        <v>777</v>
      </c>
      <c r="C120" t="s">
        <v>523</v>
      </c>
      <c r="D120" t="s">
        <v>524</v>
      </c>
      <c r="E120" t="n">
        <v>0.0</v>
      </c>
      <c r="F120" t="n">
        <v>1.04007695E7</v>
      </c>
    </row>
    <row r="121">
      <c r="B121" t="s">
        <v>777</v>
      </c>
      <c r="C121" t="s">
        <v>525</v>
      </c>
      <c r="D121" t="s">
        <v>526</v>
      </c>
      <c r="E121" t="n">
        <v>0.0</v>
      </c>
      <c r="F121" t="n">
        <v>1.615854413E7</v>
      </c>
    </row>
    <row r="122">
      <c r="B122" t="s">
        <v>777</v>
      </c>
      <c r="C122" t="s">
        <v>527</v>
      </c>
      <c r="D122" t="s">
        <v>528</v>
      </c>
      <c r="E122" t="n">
        <v>1.0386361348E8</v>
      </c>
      <c r="F122" t="n">
        <v>0.0</v>
      </c>
    </row>
    <row r="123">
      <c r="B123" t="s">
        <v>777</v>
      </c>
      <c r="C123" t="s">
        <v>529</v>
      </c>
      <c r="D123" t="s">
        <v>530</v>
      </c>
      <c r="E123" t="n">
        <v>3.033607032E7</v>
      </c>
      <c r="F123" t="n">
        <v>0.0</v>
      </c>
    </row>
    <row r="124">
      <c r="B124" t="s">
        <v>777</v>
      </c>
      <c r="C124" t="s">
        <v>531</v>
      </c>
      <c r="D124" t="s">
        <v>532</v>
      </c>
      <c r="E124" t="n">
        <v>0.0</v>
      </c>
      <c r="F124" t="n">
        <v>0.0</v>
      </c>
    </row>
    <row r="125">
      <c r="B125" t="s">
        <v>777</v>
      </c>
      <c r="C125" t="s">
        <v>533</v>
      </c>
      <c r="D125" t="s">
        <v>534</v>
      </c>
      <c r="E125" t="n">
        <v>0.0</v>
      </c>
      <c r="F125" t="n">
        <v>8460655.11</v>
      </c>
    </row>
    <row r="126">
      <c r="B126" t="s">
        <v>777</v>
      </c>
      <c r="C126" t="s">
        <v>535</v>
      </c>
      <c r="D126" t="s">
        <v>536</v>
      </c>
      <c r="E126" t="n">
        <v>0.0</v>
      </c>
      <c r="F126" t="n">
        <v>86352.11</v>
      </c>
    </row>
    <row r="127">
      <c r="B127" t="s">
        <v>777</v>
      </c>
      <c r="C127" t="s">
        <v>537</v>
      </c>
      <c r="D127" t="s">
        <v>538</v>
      </c>
      <c r="E127" t="n">
        <v>7358705.31</v>
      </c>
      <c r="F127" t="n">
        <v>0.0</v>
      </c>
    </row>
    <row r="128">
      <c r="B128" t="s">
        <v>777</v>
      </c>
      <c r="C128" t="s">
        <v>539</v>
      </c>
      <c r="D128" t="s">
        <v>540</v>
      </c>
      <c r="E128" t="n">
        <v>3087521.7</v>
      </c>
      <c r="F128" t="n">
        <v>0.0</v>
      </c>
    </row>
    <row r="129">
      <c r="B129" t="s">
        <v>777</v>
      </c>
      <c r="C129" t="s">
        <v>541</v>
      </c>
      <c r="D129" t="s">
        <v>542</v>
      </c>
      <c r="E129" t="n">
        <v>0.0</v>
      </c>
      <c r="F129" t="n">
        <v>0.0</v>
      </c>
    </row>
    <row r="130">
      <c r="B130" t="s">
        <v>777</v>
      </c>
      <c r="C130" t="s">
        <v>543</v>
      </c>
      <c r="D130" t="s">
        <v>544</v>
      </c>
      <c r="E130" t="n">
        <v>2342530.34</v>
      </c>
      <c r="F130" t="n">
        <v>0.0</v>
      </c>
    </row>
    <row r="131">
      <c r="B131" t="s">
        <v>777</v>
      </c>
      <c r="C131" t="s">
        <v>545</v>
      </c>
      <c r="D131" t="s">
        <v>546</v>
      </c>
      <c r="E131" t="n">
        <v>2857611.79</v>
      </c>
      <c r="F131" t="n">
        <v>0.0</v>
      </c>
    </row>
    <row r="132">
      <c r="B132" t="s">
        <v>777</v>
      </c>
      <c r="C132" t="s">
        <v>547</v>
      </c>
      <c r="D132" t="s">
        <v>548</v>
      </c>
      <c r="E132" t="n">
        <v>0.0</v>
      </c>
      <c r="F132" t="n">
        <v>0.0</v>
      </c>
    </row>
    <row r="133">
      <c r="B133" t="s">
        <v>777</v>
      </c>
      <c r="C133" t="s">
        <v>549</v>
      </c>
      <c r="D133" t="s">
        <v>550</v>
      </c>
      <c r="E133" t="n">
        <v>849025.5700000001</v>
      </c>
      <c r="F133" t="n">
        <v>0.0</v>
      </c>
    </row>
    <row r="134">
      <c r="B134" t="s">
        <v>777</v>
      </c>
      <c r="C134" t="s">
        <v>551</v>
      </c>
      <c r="D134" t="s">
        <v>552</v>
      </c>
      <c r="E134" t="n">
        <v>587001.4400000001</v>
      </c>
      <c r="F134" t="n">
        <v>0.0</v>
      </c>
    </row>
    <row r="135">
      <c r="B135" t="s">
        <v>777</v>
      </c>
      <c r="C135" t="s">
        <v>553</v>
      </c>
      <c r="D135" t="s">
        <v>554</v>
      </c>
      <c r="E135" t="n">
        <v>0.0</v>
      </c>
      <c r="F135" t="n">
        <v>1951108.46</v>
      </c>
    </row>
    <row r="136">
      <c r="B136" t="s">
        <v>777</v>
      </c>
      <c r="C136" t="s">
        <v>555</v>
      </c>
      <c r="D136" t="s">
        <v>556</v>
      </c>
      <c r="E136" t="n">
        <v>4037911.7600000002</v>
      </c>
      <c r="F136" t="n">
        <v>0.0</v>
      </c>
    </row>
    <row r="137">
      <c r="B137" t="s">
        <v>777</v>
      </c>
      <c r="C137" t="s">
        <v>557</v>
      </c>
      <c r="D137" t="s">
        <v>558</v>
      </c>
      <c r="E137" t="n">
        <v>1.357699839E7</v>
      </c>
      <c r="F137" t="n">
        <v>0.0</v>
      </c>
    </row>
    <row r="138">
      <c r="B138" t="s">
        <v>777</v>
      </c>
      <c r="C138" t="s">
        <v>559</v>
      </c>
      <c r="D138" t="s">
        <v>560</v>
      </c>
      <c r="E138" t="n">
        <v>4.4181500028E8</v>
      </c>
      <c r="F138" t="n">
        <v>0.0</v>
      </c>
    </row>
    <row r="139">
      <c r="B139" t="s">
        <v>777</v>
      </c>
      <c r="C139" t="s">
        <v>561</v>
      </c>
      <c r="D139" t="s">
        <v>562</v>
      </c>
      <c r="E139" t="n">
        <v>0.0</v>
      </c>
      <c r="F139" t="n">
        <v>3.0136209169999998E7</v>
      </c>
    </row>
    <row r="140">
      <c r="B140" t="s">
        <v>777</v>
      </c>
      <c r="C140" t="s">
        <v>563</v>
      </c>
      <c r="D140" t="s">
        <v>564</v>
      </c>
      <c r="E140" t="n">
        <v>0.0</v>
      </c>
      <c r="F140" t="n">
        <v>712903.7</v>
      </c>
    </row>
    <row r="141">
      <c r="B141" t="s">
        <v>777</v>
      </c>
      <c r="C141" t="s">
        <v>565</v>
      </c>
      <c r="D141" t="s">
        <v>566</v>
      </c>
      <c r="E141" t="n">
        <v>0.0</v>
      </c>
      <c r="F141" t="n">
        <v>5.4370381712E8</v>
      </c>
    </row>
    <row r="142">
      <c r="B142" t="s">
        <v>777</v>
      </c>
      <c r="C142" t="s">
        <v>567</v>
      </c>
      <c r="D142" t="s">
        <v>568</v>
      </c>
      <c r="E142" t="n">
        <v>0.0</v>
      </c>
      <c r="F142" t="n">
        <v>6691093.08</v>
      </c>
    </row>
    <row r="143">
      <c r="B143" t="s">
        <v>777</v>
      </c>
      <c r="C143" t="s">
        <v>569</v>
      </c>
      <c r="D143" t="s">
        <v>570</v>
      </c>
      <c r="E143" t="n">
        <v>0.0</v>
      </c>
      <c r="F143" t="n">
        <v>92676.02</v>
      </c>
    </row>
    <row r="144">
      <c r="B144" t="s">
        <v>777</v>
      </c>
      <c r="C144" t="s">
        <v>571</v>
      </c>
      <c r="D144" t="s">
        <v>572</v>
      </c>
      <c r="E144" t="n">
        <v>0.0</v>
      </c>
      <c r="F144" t="n">
        <v>0.0</v>
      </c>
    </row>
    <row r="145">
      <c r="B145" t="s">
        <v>777</v>
      </c>
      <c r="C145" t="s">
        <v>573</v>
      </c>
      <c r="D145" t="s">
        <v>574</v>
      </c>
      <c r="E145" t="n">
        <v>0.0</v>
      </c>
      <c r="F145" t="n">
        <v>3.2844156004E8</v>
      </c>
    </row>
    <row r="146">
      <c r="B146" t="s">
        <v>777</v>
      </c>
      <c r="C146" t="s">
        <v>575</v>
      </c>
      <c r="D146" t="s">
        <v>576</v>
      </c>
      <c r="E146" t="n">
        <v>0.0</v>
      </c>
      <c r="F146" t="n">
        <v>1655606.0</v>
      </c>
    </row>
    <row r="147">
      <c r="B147" t="s">
        <v>777</v>
      </c>
      <c r="C147" t="s">
        <v>577</v>
      </c>
      <c r="D147" t="s">
        <v>578</v>
      </c>
      <c r="E147" t="n">
        <v>0.0</v>
      </c>
      <c r="F147" t="n">
        <v>0.0</v>
      </c>
    </row>
    <row r="148">
      <c r="B148" t="s">
        <v>777</v>
      </c>
      <c r="C148" t="s">
        <v>579</v>
      </c>
      <c r="D148" t="s">
        <v>580</v>
      </c>
      <c r="E148" t="n">
        <v>0.0</v>
      </c>
      <c r="F148" t="n">
        <v>0.0</v>
      </c>
    </row>
    <row r="149">
      <c r="B149" t="s">
        <v>777</v>
      </c>
      <c r="C149" t="s">
        <v>581</v>
      </c>
      <c r="D149" t="s">
        <v>582</v>
      </c>
      <c r="E149" t="n">
        <v>0.0</v>
      </c>
      <c r="F149" t="n">
        <v>5903056.18</v>
      </c>
    </row>
    <row r="150">
      <c r="B150" t="s">
        <v>777</v>
      </c>
      <c r="C150" t="s">
        <v>583</v>
      </c>
      <c r="D150" t="s">
        <v>584</v>
      </c>
      <c r="E150" t="n">
        <v>0.0</v>
      </c>
      <c r="F150" t="n">
        <v>4094028.25</v>
      </c>
    </row>
    <row r="151">
      <c r="B151" t="s">
        <v>777</v>
      </c>
      <c r="C151" t="s">
        <v>585</v>
      </c>
      <c r="D151" t="s">
        <v>586</v>
      </c>
      <c r="E151" t="n">
        <v>0.0</v>
      </c>
      <c r="F151" t="n">
        <v>127807.04000000001</v>
      </c>
    </row>
    <row r="152">
      <c r="B152" t="s">
        <v>777</v>
      </c>
      <c r="C152" t="s">
        <v>587</v>
      </c>
      <c r="D152" t="s">
        <v>588</v>
      </c>
      <c r="E152" t="n">
        <v>0.0</v>
      </c>
      <c r="F152" t="n">
        <v>0.0</v>
      </c>
    </row>
    <row r="153">
      <c r="B153" t="s">
        <v>777</v>
      </c>
      <c r="C153" t="s">
        <v>589</v>
      </c>
      <c r="D153" t="s">
        <v>97</v>
      </c>
      <c r="E153" t="n">
        <v>0.0</v>
      </c>
      <c r="F153" t="n">
        <v>1.564376077E7</v>
      </c>
    </row>
    <row r="154">
      <c r="B154" t="s">
        <v>777</v>
      </c>
      <c r="C154" t="s">
        <v>590</v>
      </c>
      <c r="D154" t="s">
        <v>591</v>
      </c>
      <c r="E154" t="n">
        <v>0.0</v>
      </c>
      <c r="F154" t="n">
        <v>264177.16000000003</v>
      </c>
    </row>
    <row r="155">
      <c r="B155" t="s">
        <v>777</v>
      </c>
      <c r="C155" t="s">
        <v>592</v>
      </c>
      <c r="D155" t="s">
        <v>593</v>
      </c>
      <c r="E155" t="n">
        <v>0.0</v>
      </c>
      <c r="F155" t="n">
        <v>689926.47</v>
      </c>
    </row>
    <row r="156">
      <c r="B156" t="s">
        <v>777</v>
      </c>
      <c r="C156" t="s">
        <v>594</v>
      </c>
      <c r="D156" t="s">
        <v>595</v>
      </c>
      <c r="E156" t="n">
        <v>0.0</v>
      </c>
      <c r="F156" t="n">
        <v>0.0</v>
      </c>
    </row>
    <row r="157">
      <c r="B157" t="s">
        <v>777</v>
      </c>
      <c r="C157" t="s">
        <v>596</v>
      </c>
      <c r="D157" t="s">
        <v>597</v>
      </c>
      <c r="E157" t="n">
        <v>0.0</v>
      </c>
      <c r="F157" t="n">
        <v>45887.03</v>
      </c>
    </row>
    <row r="158">
      <c r="B158" t="s">
        <v>777</v>
      </c>
      <c r="C158" t="s">
        <v>598</v>
      </c>
      <c r="D158" t="s">
        <v>599</v>
      </c>
      <c r="E158" t="n">
        <v>0.0</v>
      </c>
      <c r="F158" t="n">
        <v>8070699.31</v>
      </c>
    </row>
    <row r="159">
      <c r="B159" t="s">
        <v>777</v>
      </c>
      <c r="C159" t="s">
        <v>600</v>
      </c>
      <c r="D159" t="s">
        <v>601</v>
      </c>
      <c r="E159" t="n">
        <v>0.0</v>
      </c>
      <c r="F159" t="n">
        <v>0.0</v>
      </c>
    </row>
    <row r="160">
      <c r="B160" t="s">
        <v>777</v>
      </c>
      <c r="C160" t="s">
        <v>602</v>
      </c>
      <c r="D160" t="s">
        <v>603</v>
      </c>
      <c r="E160" t="n">
        <v>0.0</v>
      </c>
      <c r="F160" t="n">
        <v>4.4181500028E8</v>
      </c>
    </row>
    <row r="161">
      <c r="B161" t="s">
        <v>777</v>
      </c>
      <c r="C161" t="s">
        <v>604</v>
      </c>
      <c r="D161" t="s">
        <v>605</v>
      </c>
      <c r="E161" t="n">
        <v>0.0</v>
      </c>
      <c r="F161" t="n">
        <v>1.3804555E8</v>
      </c>
    </row>
    <row r="162">
      <c r="B162" t="s">
        <v>777</v>
      </c>
      <c r="C162" t="s">
        <v>606</v>
      </c>
      <c r="D162" t="s">
        <v>607</v>
      </c>
      <c r="E162" t="n">
        <v>0.0</v>
      </c>
      <c r="F162" t="n">
        <v>5.017840858E7</v>
      </c>
    </row>
    <row r="163">
      <c r="B163" t="s">
        <v>777</v>
      </c>
      <c r="C163" t="s">
        <v>608</v>
      </c>
      <c r="D163" t="s">
        <v>609</v>
      </c>
      <c r="E163" t="n">
        <v>0.0</v>
      </c>
      <c r="F163" t="n">
        <v>0.0</v>
      </c>
    </row>
    <row r="164">
      <c r="B164" t="s">
        <v>777</v>
      </c>
      <c r="C164" t="s">
        <v>610</v>
      </c>
      <c r="D164" t="s">
        <v>611</v>
      </c>
      <c r="E164" t="n">
        <v>0.0</v>
      </c>
      <c r="F164" t="n">
        <v>125622.15999999999</v>
      </c>
    </row>
    <row r="165">
      <c r="B165" t="s">
        <v>777</v>
      </c>
      <c r="C165" t="s">
        <v>612</v>
      </c>
      <c r="D165" t="s">
        <v>613</v>
      </c>
      <c r="E165" t="n">
        <v>0.0</v>
      </c>
      <c r="F165" t="n">
        <v>0.0</v>
      </c>
    </row>
    <row r="166">
      <c r="B166" t="s">
        <v>777</v>
      </c>
      <c r="C166" t="s">
        <v>614</v>
      </c>
      <c r="D166" t="s">
        <v>615</v>
      </c>
      <c r="E166" t="n">
        <v>0.0</v>
      </c>
      <c r="F166" t="n">
        <v>62338.229999999996</v>
      </c>
    </row>
    <row r="167">
      <c r="B167" t="s">
        <v>777</v>
      </c>
      <c r="C167" t="s">
        <v>616</v>
      </c>
      <c r="D167" t="s">
        <v>617</v>
      </c>
      <c r="E167" t="n">
        <v>0.0</v>
      </c>
      <c r="F167" t="n">
        <v>8715723.870000001</v>
      </c>
    </row>
    <row r="168">
      <c r="B168" t="s">
        <v>777</v>
      </c>
      <c r="C168" t="s">
        <v>618</v>
      </c>
      <c r="D168" t="s">
        <v>619</v>
      </c>
      <c r="E168" t="n">
        <v>0.0</v>
      </c>
      <c r="F168" t="n">
        <v>24636.97</v>
      </c>
    </row>
    <row r="169">
      <c r="B169" t="s">
        <v>777</v>
      </c>
      <c r="C169" t="s">
        <v>620</v>
      </c>
      <c r="D169" t="s">
        <v>621</v>
      </c>
      <c r="E169" t="n">
        <v>0.0</v>
      </c>
      <c r="F169" t="n">
        <v>21646.96</v>
      </c>
    </row>
    <row r="170">
      <c r="B170" t="s">
        <v>777</v>
      </c>
      <c r="C170" t="s">
        <v>622</v>
      </c>
      <c r="D170" t="s">
        <v>623</v>
      </c>
      <c r="E170" t="n">
        <v>0.0</v>
      </c>
      <c r="F170" t="n">
        <v>1969798.9500000002</v>
      </c>
    </row>
    <row r="171">
      <c r="B171" t="s">
        <v>777</v>
      </c>
      <c r="C171" t="s">
        <v>624</v>
      </c>
      <c r="D171" t="s">
        <v>625</v>
      </c>
      <c r="E171" t="n">
        <v>0.0</v>
      </c>
      <c r="F171" t="n">
        <v>411247.56</v>
      </c>
    </row>
    <row r="172">
      <c r="B172" t="s">
        <v>777</v>
      </c>
      <c r="C172" t="s">
        <v>626</v>
      </c>
      <c r="D172" t="s">
        <v>627</v>
      </c>
      <c r="E172" t="n">
        <v>0.0</v>
      </c>
      <c r="F172" t="n">
        <v>22133.34</v>
      </c>
    </row>
    <row r="173">
      <c r="B173" t="s">
        <v>777</v>
      </c>
      <c r="C173" t="s">
        <v>628</v>
      </c>
      <c r="D173" t="s">
        <v>629</v>
      </c>
      <c r="E173" t="n">
        <v>0.0</v>
      </c>
      <c r="F173" t="n">
        <v>778796.7899999999</v>
      </c>
    </row>
    <row r="174">
      <c r="B174" t="s">
        <v>777</v>
      </c>
      <c r="C174" t="s">
        <v>630</v>
      </c>
      <c r="D174" t="s">
        <v>631</v>
      </c>
      <c r="E174" t="n">
        <v>0.0</v>
      </c>
      <c r="F174" t="n">
        <v>0.0</v>
      </c>
    </row>
    <row r="175">
      <c r="B175" t="s">
        <v>777</v>
      </c>
      <c r="C175" t="s">
        <v>632</v>
      </c>
      <c r="D175" t="s">
        <v>633</v>
      </c>
      <c r="E175" t="n">
        <v>0.0</v>
      </c>
      <c r="F175" t="n">
        <v>60836.63</v>
      </c>
    </row>
    <row r="176">
      <c r="B176" t="s">
        <v>777</v>
      </c>
      <c r="C176" t="s">
        <v>634</v>
      </c>
      <c r="D176" t="s">
        <v>635</v>
      </c>
      <c r="E176" t="n">
        <v>0.0</v>
      </c>
      <c r="F176" t="n">
        <v>2611388.5300000003</v>
      </c>
    </row>
    <row r="177">
      <c r="B177" t="s">
        <v>777</v>
      </c>
      <c r="C177" t="s">
        <v>636</v>
      </c>
      <c r="D177" t="s">
        <v>637</v>
      </c>
      <c r="E177" t="n">
        <v>0.0</v>
      </c>
      <c r="F177" t="n">
        <v>103456.07999999999</v>
      </c>
    </row>
    <row r="178">
      <c r="B178" t="s">
        <v>777</v>
      </c>
      <c r="C178" t="s">
        <v>638</v>
      </c>
      <c r="D178" t="s">
        <v>639</v>
      </c>
      <c r="E178" t="n">
        <v>0.0</v>
      </c>
      <c r="F178" t="n">
        <v>166425.84</v>
      </c>
    </row>
    <row r="179">
      <c r="B179" t="s">
        <v>777</v>
      </c>
      <c r="C179" t="s">
        <v>640</v>
      </c>
      <c r="D179" t="s">
        <v>641</v>
      </c>
      <c r="E179" t="n">
        <v>0.0</v>
      </c>
      <c r="F179" t="n">
        <v>2767140.62</v>
      </c>
    </row>
    <row r="180">
      <c r="B180" t="s">
        <v>777</v>
      </c>
      <c r="C180" t="s">
        <v>642</v>
      </c>
      <c r="D180" t="s">
        <v>643</v>
      </c>
      <c r="E180" t="n">
        <v>0.0</v>
      </c>
      <c r="F180" t="n">
        <v>0.0</v>
      </c>
    </row>
    <row r="181">
      <c r="B181" t="s">
        <v>777</v>
      </c>
      <c r="C181" t="s">
        <v>644</v>
      </c>
      <c r="D181" t="s">
        <v>645</v>
      </c>
      <c r="E181" t="n">
        <v>0.0</v>
      </c>
      <c r="F181" t="n">
        <v>92851.39</v>
      </c>
    </row>
    <row r="182">
      <c r="B182" t="s">
        <v>777</v>
      </c>
      <c r="C182" t="s">
        <v>646</v>
      </c>
      <c r="D182" t="s">
        <v>647</v>
      </c>
      <c r="E182" t="n">
        <v>0.0</v>
      </c>
      <c r="F182" t="n">
        <v>0.0</v>
      </c>
    </row>
    <row r="183">
      <c r="B183" t="s">
        <v>777</v>
      </c>
      <c r="C183" t="s">
        <v>648</v>
      </c>
      <c r="D183" t="s">
        <v>649</v>
      </c>
      <c r="E183" t="n">
        <v>0.0</v>
      </c>
      <c r="F183" t="n">
        <v>0.0</v>
      </c>
    </row>
    <row r="184">
      <c r="B184" t="s">
        <v>777</v>
      </c>
      <c r="C184" t="s">
        <v>650</v>
      </c>
      <c r="D184" t="s">
        <v>651</v>
      </c>
      <c r="E184" t="n">
        <v>0.0</v>
      </c>
      <c r="F184" t="n">
        <v>0.0</v>
      </c>
    </row>
    <row r="185">
      <c r="B185" t="s">
        <v>777</v>
      </c>
      <c r="C185" t="s">
        <v>652</v>
      </c>
      <c r="D185" t="s">
        <v>653</v>
      </c>
      <c r="E185" t="n">
        <v>0.0</v>
      </c>
      <c r="F185" t="n">
        <v>172101.25</v>
      </c>
    </row>
    <row r="186">
      <c r="B186" t="s">
        <v>777</v>
      </c>
      <c r="C186" t="s">
        <v>654</v>
      </c>
      <c r="D186" t="s">
        <v>655</v>
      </c>
      <c r="E186" t="n">
        <v>0.0</v>
      </c>
      <c r="F186" t="n">
        <v>0.0</v>
      </c>
    </row>
    <row r="187">
      <c r="B187" t="s">
        <v>777</v>
      </c>
      <c r="C187" t="s">
        <v>656</v>
      </c>
      <c r="D187" t="s">
        <v>657</v>
      </c>
      <c r="E187" t="n">
        <v>0.0</v>
      </c>
      <c r="F187" t="n">
        <v>0.0</v>
      </c>
    </row>
    <row r="188">
      <c r="B188" t="s">
        <v>777</v>
      </c>
      <c r="C188" t="s">
        <v>658</v>
      </c>
      <c r="D188" t="s">
        <v>659</v>
      </c>
      <c r="E188" t="n">
        <v>0.0</v>
      </c>
      <c r="F188" t="n">
        <v>305330.24</v>
      </c>
    </row>
    <row r="189">
      <c r="B189" t="s">
        <v>777</v>
      </c>
      <c r="C189" t="s">
        <v>660</v>
      </c>
      <c r="D189" t="s">
        <v>661</v>
      </c>
      <c r="E189" t="n">
        <v>0.0</v>
      </c>
      <c r="F189" t="n">
        <v>10306.18</v>
      </c>
    </row>
    <row r="190">
      <c r="B190" t="s">
        <v>777</v>
      </c>
      <c r="C190" t="s">
        <v>662</v>
      </c>
      <c r="D190" t="s">
        <v>663</v>
      </c>
      <c r="E190" t="n">
        <v>0.0</v>
      </c>
      <c r="F190" t="n">
        <v>28934.79</v>
      </c>
    </row>
    <row r="191">
      <c r="B191" t="s">
        <v>777</v>
      </c>
      <c r="C191" t="s">
        <v>664</v>
      </c>
      <c r="D191" t="s">
        <v>665</v>
      </c>
      <c r="E191" t="n">
        <v>0.0</v>
      </c>
      <c r="F191" t="n">
        <v>0.0</v>
      </c>
    </row>
    <row r="192">
      <c r="B192" t="s">
        <v>777</v>
      </c>
      <c r="C192" t="s">
        <v>666</v>
      </c>
      <c r="D192" t="s">
        <v>667</v>
      </c>
      <c r="E192" t="n">
        <v>0.0</v>
      </c>
      <c r="F192" t="n">
        <v>0.0</v>
      </c>
    </row>
    <row r="193">
      <c r="B193" t="s">
        <v>777</v>
      </c>
      <c r="C193" t="s">
        <v>668</v>
      </c>
      <c r="D193" t="s">
        <v>669</v>
      </c>
      <c r="E193" t="n">
        <v>0.0</v>
      </c>
      <c r="F193" t="n">
        <v>0.0</v>
      </c>
    </row>
    <row r="194">
      <c r="B194" t="s">
        <v>777</v>
      </c>
      <c r="C194" t="s">
        <v>670</v>
      </c>
      <c r="D194" t="s">
        <v>671</v>
      </c>
      <c r="E194" t="n">
        <v>0.0</v>
      </c>
      <c r="F194" t="n">
        <v>0.0</v>
      </c>
    </row>
    <row r="195">
      <c r="B195" t="s">
        <v>777</v>
      </c>
      <c r="C195" t="s">
        <v>672</v>
      </c>
      <c r="D195" t="s">
        <v>673</v>
      </c>
      <c r="E195" t="n">
        <v>0.0</v>
      </c>
      <c r="F195" t="n">
        <v>0.0</v>
      </c>
    </row>
    <row r="196">
      <c r="B196" t="s">
        <v>777</v>
      </c>
      <c r="C196" t="s">
        <v>674</v>
      </c>
      <c r="D196" t="s">
        <v>675</v>
      </c>
      <c r="E196" t="n">
        <v>0.0</v>
      </c>
      <c r="F196" t="n">
        <v>0.0</v>
      </c>
    </row>
    <row r="197">
      <c r="B197" t="s">
        <v>777</v>
      </c>
      <c r="C197" t="s">
        <v>676</v>
      </c>
      <c r="D197" t="s">
        <v>677</v>
      </c>
      <c r="E197" t="n">
        <v>0.0</v>
      </c>
      <c r="F197" t="n">
        <v>0.0</v>
      </c>
    </row>
    <row r="198">
      <c r="B198" t="s">
        <v>777</v>
      </c>
      <c r="C198" t="s">
        <v>678</v>
      </c>
      <c r="D198" t="s">
        <v>679</v>
      </c>
      <c r="E198" t="n">
        <v>0.0</v>
      </c>
      <c r="F198" t="n">
        <v>1251817.5</v>
      </c>
    </row>
    <row r="199">
      <c r="B199" t="s">
        <v>777</v>
      </c>
      <c r="C199" t="s">
        <v>680</v>
      </c>
      <c r="D199" t="s">
        <v>681</v>
      </c>
      <c r="E199" t="n">
        <v>0.0</v>
      </c>
      <c r="F199" t="n">
        <v>105510.7</v>
      </c>
    </row>
    <row r="200">
      <c r="B200" t="s">
        <v>777</v>
      </c>
      <c r="C200" t="s">
        <v>682</v>
      </c>
      <c r="D200" t="s">
        <v>683</v>
      </c>
      <c r="E200" t="n">
        <v>0.0</v>
      </c>
      <c r="F200" t="n">
        <v>55661.829999999994</v>
      </c>
    </row>
    <row r="201">
      <c r="B201" t="s">
        <v>777</v>
      </c>
      <c r="C201" t="s">
        <v>684</v>
      </c>
      <c r="D201" t="s">
        <v>685</v>
      </c>
      <c r="E201" t="n">
        <v>0.0</v>
      </c>
      <c r="F201" t="n">
        <v>2299316.15</v>
      </c>
    </row>
    <row r="202">
      <c r="B202" t="s">
        <v>777</v>
      </c>
      <c r="C202" t="s">
        <v>686</v>
      </c>
      <c r="D202" t="s">
        <v>687</v>
      </c>
      <c r="E202" t="n">
        <v>0.0</v>
      </c>
      <c r="F202" t="n">
        <v>152469.71</v>
      </c>
    </row>
    <row r="203">
      <c r="B203" t="s">
        <v>777</v>
      </c>
      <c r="C203" t="s">
        <v>688</v>
      </c>
      <c r="D203" t="s">
        <v>689</v>
      </c>
      <c r="E203" t="n">
        <v>0.0</v>
      </c>
      <c r="F203" t="n">
        <v>69194.79000000001</v>
      </c>
    </row>
    <row r="204">
      <c r="B204" t="s">
        <v>777</v>
      </c>
      <c r="C204" t="s">
        <v>690</v>
      </c>
      <c r="D204" t="s">
        <v>691</v>
      </c>
      <c r="E204" t="n">
        <v>0.0</v>
      </c>
      <c r="F204" t="n">
        <v>0.0</v>
      </c>
    </row>
    <row r="205">
      <c r="B205" t="s">
        <v>777</v>
      </c>
      <c r="C205" t="s">
        <v>692</v>
      </c>
      <c r="D205" t="s">
        <v>693</v>
      </c>
      <c r="E205" t="n">
        <v>0.0</v>
      </c>
      <c r="F205" t="n">
        <v>0.0</v>
      </c>
    </row>
    <row r="206">
      <c r="B206" t="s">
        <v>777</v>
      </c>
      <c r="C206" t="s">
        <v>694</v>
      </c>
      <c r="D206" t="s">
        <v>695</v>
      </c>
      <c r="E206" t="n">
        <v>0.0</v>
      </c>
      <c r="F206" t="n">
        <v>0.0</v>
      </c>
    </row>
    <row r="207">
      <c r="B207" t="s">
        <v>777</v>
      </c>
      <c r="C207" t="s">
        <v>696</v>
      </c>
      <c r="D207" t="s">
        <v>697</v>
      </c>
      <c r="E207" t="n">
        <v>0.0</v>
      </c>
      <c r="F207" t="n">
        <v>0.0</v>
      </c>
    </row>
    <row r="208">
      <c r="B208" t="s">
        <v>777</v>
      </c>
      <c r="C208" t="s">
        <v>698</v>
      </c>
      <c r="D208" t="s">
        <v>699</v>
      </c>
      <c r="E208" t="n">
        <v>0.0</v>
      </c>
      <c r="F208" t="n">
        <v>0.0</v>
      </c>
    </row>
    <row r="209">
      <c r="B209" t="s">
        <v>777</v>
      </c>
      <c r="C209" t="s">
        <v>700</v>
      </c>
      <c r="D209" t="s">
        <v>701</v>
      </c>
      <c r="E209" t="n">
        <v>0.0</v>
      </c>
      <c r="F209" t="n">
        <v>0.0</v>
      </c>
    </row>
    <row r="210">
      <c r="B210" t="s">
        <v>777</v>
      </c>
      <c r="C210" t="s">
        <v>702</v>
      </c>
      <c r="D210" t="s">
        <v>703</v>
      </c>
      <c r="E210" t="n">
        <v>0.0</v>
      </c>
      <c r="F210" t="n">
        <v>0.0</v>
      </c>
    </row>
    <row r="211">
      <c r="B211" t="s">
        <v>777</v>
      </c>
      <c r="C211" t="s">
        <v>704</v>
      </c>
      <c r="D211" t="s">
        <v>705</v>
      </c>
      <c r="E211" t="n">
        <v>0.0</v>
      </c>
      <c r="F211" t="n">
        <v>0.0</v>
      </c>
    </row>
    <row r="212">
      <c r="B212" t="s">
        <v>777</v>
      </c>
      <c r="C212" t="s">
        <v>706</v>
      </c>
      <c r="D212" t="s">
        <v>707</v>
      </c>
      <c r="E212" t="n">
        <v>0.0</v>
      </c>
      <c r="F212" t="n">
        <v>0.0</v>
      </c>
    </row>
    <row r="213">
      <c r="B213" t="s">
        <v>777</v>
      </c>
      <c r="C213" t="s">
        <v>708</v>
      </c>
      <c r="D213" t="s">
        <v>709</v>
      </c>
      <c r="E213" t="n">
        <v>0.0</v>
      </c>
      <c r="F213" t="n">
        <v>157393.73</v>
      </c>
    </row>
    <row r="214">
      <c r="B214" t="s">
        <v>777</v>
      </c>
      <c r="C214" t="s">
        <v>710</v>
      </c>
      <c r="D214" t="s">
        <v>711</v>
      </c>
      <c r="E214" t="n">
        <v>0.0</v>
      </c>
      <c r="F214" t="n">
        <v>7118705.15</v>
      </c>
    </row>
    <row r="215">
      <c r="B215" t="s">
        <v>777</v>
      </c>
      <c r="C215" t="s">
        <v>712</v>
      </c>
      <c r="D215" t="s">
        <v>713</v>
      </c>
      <c r="E215" t="n">
        <v>0.0</v>
      </c>
      <c r="F215" t="n">
        <v>0.0</v>
      </c>
    </row>
    <row r="216">
      <c r="B216" t="s">
        <v>777</v>
      </c>
      <c r="C216" t="s">
        <v>714</v>
      </c>
      <c r="D216" t="s">
        <v>715</v>
      </c>
      <c r="E216" t="n">
        <v>0.0</v>
      </c>
      <c r="F216" t="n">
        <v>12595.91</v>
      </c>
    </row>
    <row r="217">
      <c r="B217" t="s">
        <v>777</v>
      </c>
      <c r="C217" t="s">
        <v>716</v>
      </c>
      <c r="D217" t="s">
        <v>717</v>
      </c>
      <c r="E217" t="n">
        <v>0.0</v>
      </c>
      <c r="F217" t="n">
        <v>1.329578602E7</v>
      </c>
    </row>
    <row r="218">
      <c r="B218" t="s">
        <v>777</v>
      </c>
      <c r="C218" t="s">
        <v>718</v>
      </c>
      <c r="D218" t="s">
        <v>719</v>
      </c>
      <c r="E218" t="n">
        <v>0.0</v>
      </c>
      <c r="F218" t="n">
        <v>2032894.66</v>
      </c>
    </row>
    <row r="219">
      <c r="B219" t="s">
        <v>777</v>
      </c>
      <c r="C219" t="s">
        <v>720</v>
      </c>
      <c r="D219" t="s">
        <v>721</v>
      </c>
      <c r="E219" t="n">
        <v>0.0</v>
      </c>
      <c r="F219" t="n">
        <v>0.0</v>
      </c>
    </row>
    <row r="220">
      <c r="B220" t="s">
        <v>777</v>
      </c>
      <c r="C220" t="s">
        <v>722</v>
      </c>
      <c r="D220" t="s">
        <v>723</v>
      </c>
      <c r="E220" t="n">
        <v>2751883.48</v>
      </c>
      <c r="F220" t="n">
        <v>0.0</v>
      </c>
    </row>
    <row r="221">
      <c r="B221" t="s">
        <v>777</v>
      </c>
      <c r="C221" t="s">
        <v>724</v>
      </c>
      <c r="D221" t="s">
        <v>725</v>
      </c>
      <c r="E221" t="n">
        <v>0.0</v>
      </c>
      <c r="F221" t="n">
        <v>0.0</v>
      </c>
    </row>
    <row r="222">
      <c r="B222" t="s">
        <v>777</v>
      </c>
      <c r="C222" t="s">
        <v>726</v>
      </c>
      <c r="D222" t="s">
        <v>727</v>
      </c>
      <c r="E222" t="n">
        <v>0.0</v>
      </c>
      <c r="F222" t="n">
        <v>0.0</v>
      </c>
    </row>
    <row r="223">
      <c r="B223" t="s">
        <v>777</v>
      </c>
      <c r="C223" t="s">
        <v>728</v>
      </c>
      <c r="D223" t="s">
        <v>729</v>
      </c>
      <c r="E223" t="n">
        <v>0.0</v>
      </c>
      <c r="F223" t="n">
        <v>0.0</v>
      </c>
    </row>
    <row r="224">
      <c r="B224" t="s">
        <v>777</v>
      </c>
      <c r="C224" t="s">
        <v>730</v>
      </c>
      <c r="D224" t="s">
        <v>731</v>
      </c>
      <c r="E224" t="n">
        <v>2363358.44</v>
      </c>
      <c r="F224" t="n">
        <v>0.0</v>
      </c>
    </row>
    <row r="225">
      <c r="B225" t="s">
        <v>777</v>
      </c>
      <c r="C225" t="s">
        <v>732</v>
      </c>
      <c r="D225" t="s">
        <v>733</v>
      </c>
      <c r="E225" t="n">
        <v>0.0</v>
      </c>
      <c r="F225" t="n">
        <v>0.0</v>
      </c>
    </row>
    <row r="226">
      <c r="B226" t="s">
        <v>777</v>
      </c>
      <c r="C226" t="s">
        <v>734</v>
      </c>
      <c r="D226" t="s">
        <v>735</v>
      </c>
      <c r="E226" t="n">
        <v>581388.88</v>
      </c>
      <c r="F226" t="n">
        <v>0.0</v>
      </c>
    </row>
    <row r="227">
      <c r="B227" t="s">
        <v>777</v>
      </c>
      <c r="C227" t="s">
        <v>736</v>
      </c>
      <c r="D227" t="s">
        <v>737</v>
      </c>
      <c r="E227" t="n">
        <v>0.0</v>
      </c>
      <c r="F227" t="n">
        <v>0.0</v>
      </c>
    </row>
    <row r="228">
      <c r="B228" t="s">
        <v>777</v>
      </c>
      <c r="C228" t="s">
        <v>738</v>
      </c>
      <c r="D228" t="s">
        <v>739</v>
      </c>
      <c r="E228" t="n">
        <v>0.0</v>
      </c>
      <c r="F228" t="n">
        <v>0.0</v>
      </c>
    </row>
    <row r="229">
      <c r="B229" t="s">
        <v>777</v>
      </c>
      <c r="C229" t="s">
        <v>740</v>
      </c>
      <c r="D229" t="s">
        <v>741</v>
      </c>
      <c r="E229" t="n">
        <v>0.0</v>
      </c>
      <c r="F229" t="n">
        <v>0.0</v>
      </c>
    </row>
    <row r="230">
      <c r="B230" t="s">
        <v>777</v>
      </c>
      <c r="C230" t="s">
        <v>742</v>
      </c>
      <c r="D230" t="s">
        <v>743</v>
      </c>
      <c r="E230" t="n">
        <v>0.0</v>
      </c>
      <c r="F230" t="n">
        <v>0.0</v>
      </c>
    </row>
    <row r="231">
      <c r="B231" t="s">
        <v>777</v>
      </c>
      <c r="C231" t="s">
        <v>744</v>
      </c>
      <c r="D231" t="s">
        <v>745</v>
      </c>
      <c r="E231" t="n">
        <v>439402.28</v>
      </c>
      <c r="F231" t="n">
        <v>0.0</v>
      </c>
    </row>
    <row r="232">
      <c r="B232" t="s">
        <v>777</v>
      </c>
      <c r="C232" t="s">
        <v>746</v>
      </c>
      <c r="D232" t="s">
        <v>747</v>
      </c>
      <c r="E232" t="n">
        <v>52943.51</v>
      </c>
      <c r="F232" t="n">
        <v>0.0</v>
      </c>
    </row>
    <row r="233">
      <c r="B233" t="s">
        <v>777</v>
      </c>
      <c r="C233" t="s">
        <v>748</v>
      </c>
      <c r="D233" t="s">
        <v>749</v>
      </c>
      <c r="E233" t="n">
        <v>5111692.71</v>
      </c>
      <c r="F233" t="n">
        <v>0.0</v>
      </c>
    </row>
    <row r="234">
      <c r="B234" t="s">
        <v>777</v>
      </c>
      <c r="C234" t="s">
        <v>750</v>
      </c>
      <c r="D234" t="s">
        <v>751</v>
      </c>
      <c r="E234" t="n">
        <v>3518420.01</v>
      </c>
      <c r="F234" t="n">
        <v>0.0</v>
      </c>
    </row>
    <row r="235">
      <c r="B235" t="s">
        <v>777</v>
      </c>
      <c r="C235" t="s">
        <v>752</v>
      </c>
      <c r="D235" t="s">
        <v>753</v>
      </c>
      <c r="E235" t="n">
        <v>438977.71</v>
      </c>
      <c r="F235" t="n">
        <v>0.0</v>
      </c>
    </row>
    <row r="236">
      <c r="B236" t="s">
        <v>777</v>
      </c>
      <c r="C236" t="s">
        <v>754</v>
      </c>
      <c r="D236" t="s">
        <v>755</v>
      </c>
      <c r="E236" t="n">
        <v>445479.01</v>
      </c>
      <c r="F236" t="n">
        <v>0.0</v>
      </c>
    </row>
    <row r="237">
      <c r="B237" t="s">
        <v>777</v>
      </c>
      <c r="C237" t="s">
        <v>756</v>
      </c>
      <c r="D237" t="s">
        <v>757</v>
      </c>
      <c r="E237" t="n">
        <v>15408.14</v>
      </c>
      <c r="F237" t="n">
        <v>0.0</v>
      </c>
    </row>
    <row r="238">
      <c r="B238" t="s">
        <v>777</v>
      </c>
      <c r="C238" t="s">
        <v>758</v>
      </c>
      <c r="D238" t="s">
        <v>759</v>
      </c>
      <c r="E238" t="n">
        <v>102500.0</v>
      </c>
      <c r="F238" t="n">
        <v>0.0</v>
      </c>
    </row>
    <row r="239">
      <c r="B239" t="s">
        <v>777</v>
      </c>
      <c r="C239" t="s">
        <v>760</v>
      </c>
      <c r="D239" t="s">
        <v>105</v>
      </c>
      <c r="E239" t="n">
        <v>2432344.5</v>
      </c>
      <c r="F239" t="n">
        <v>0.0</v>
      </c>
    </row>
    <row r="240">
      <c r="B240" t="s">
        <v>777</v>
      </c>
      <c r="C240" t="s">
        <v>761</v>
      </c>
      <c r="D240" t="s">
        <v>762</v>
      </c>
      <c r="E240" t="n">
        <v>16127.87</v>
      </c>
      <c r="F240" t="n">
        <v>0.0</v>
      </c>
    </row>
    <row r="241">
      <c r="B241" t="s">
        <v>777</v>
      </c>
      <c r="C241" t="s">
        <v>763</v>
      </c>
      <c r="D241" t="s">
        <v>764</v>
      </c>
      <c r="E241" t="n">
        <v>200000.0</v>
      </c>
      <c r="F241" t="n">
        <v>0.0</v>
      </c>
    </row>
    <row r="242">
      <c r="B242" t="s">
        <v>777</v>
      </c>
      <c r="C242" t="s">
        <v>765</v>
      </c>
      <c r="D242" t="s">
        <v>766</v>
      </c>
      <c r="E242" t="n">
        <v>0.0</v>
      </c>
      <c r="F242" t="n">
        <v>0.0</v>
      </c>
    </row>
    <row r="243">
      <c r="B243" t="s">
        <v>777</v>
      </c>
      <c r="C243" t="s">
        <v>767</v>
      </c>
      <c r="D243" t="s">
        <v>768</v>
      </c>
      <c r="E243" t="n">
        <v>592244.1499999999</v>
      </c>
      <c r="F243" t="n">
        <v>0.0</v>
      </c>
    </row>
    <row r="244">
      <c r="B244" t="s">
        <v>777</v>
      </c>
      <c r="C244" t="s">
        <v>769</v>
      </c>
      <c r="D244" t="s">
        <v>93</v>
      </c>
      <c r="E244" t="n">
        <v>181133.98</v>
      </c>
      <c r="F244" t="n">
        <v>0.0</v>
      </c>
    </row>
    <row r="245">
      <c r="B245" t="s">
        <v>777</v>
      </c>
      <c r="C245" t="s">
        <v>770</v>
      </c>
      <c r="D245" t="s">
        <v>771</v>
      </c>
      <c r="E245" t="n">
        <v>2007669.93</v>
      </c>
      <c r="F245" t="n">
        <v>0.0</v>
      </c>
    </row>
    <row r="246">
      <c r="B246" t="s">
        <v>777</v>
      </c>
      <c r="C246" t="s">
        <v>772</v>
      </c>
      <c r="D246" t="s">
        <v>97</v>
      </c>
      <c r="E246" t="n">
        <v>0.0</v>
      </c>
      <c r="F246" t="n">
        <v>0.0</v>
      </c>
    </row>
    <row r="247">
      <c r="B247" t="s">
        <v>777</v>
      </c>
      <c r="C247" t="s">
        <v>773</v>
      </c>
      <c r="D247" t="s">
        <v>774</v>
      </c>
      <c r="E247" t="n">
        <v>1420850.0</v>
      </c>
      <c r="F247" t="n">
        <v>0.0</v>
      </c>
    </row>
    <row r="248">
      <c r="B248" t="s">
        <v>777</v>
      </c>
      <c r="C248" t="s">
        <v>775</v>
      </c>
      <c r="D248" t="s">
        <v>776</v>
      </c>
      <c r="E248" t="n">
        <v>0.0</v>
      </c>
      <c r="F248" t="n">
        <v>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Key Ratios</vt:lpstr>
      <vt:lpstr>FS 02.28.19</vt:lpstr>
      <vt:lpstr>FS 02.28.18</vt:lpstr>
      <vt:lpstr>ICBS-TB-Cutoff</vt:lpstr>
      <vt:lpstr>ICBS-TB-Prevyear</vt:lpstr>
      <vt:lpstr>'FS 02.28.18'!Print_Area</vt:lpstr>
      <vt:lpstr>'FS 02.28.19'!Print_Area</vt:lpstr>
      <vt:lpstr>'Key Ratios'!Print_Area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2018-08-03T09:39:09Z</dcterms:created>
  <dc:creator>AccountingPC</dc:creator>
  <cp:lastModifiedBy>JM Marquez</cp:lastModifiedBy>
  <cp:lastPrinted>2018-12-07T01:45:28Z</cp:lastPrinted>
  <dcterms:modified xsi:type="dcterms:W3CDTF">2019-03-15T02:14:09Z</dcterms:modified>
</cp:coreProperties>
</file>