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IGI256/"/>
    </mc:Choice>
  </mc:AlternateContent>
  <xr:revisionPtr revIDLastSave="0" documentId="13_ncr:1_{2E590C96-2189-1546-B9B2-F04DA7E3133E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56" i="1"/>
  <c r="I99" i="1" s="1"/>
  <c r="P99" i="1" l="1"/>
  <c r="N99" i="1"/>
  <c r="M99" i="1"/>
  <c r="L99" i="1"/>
  <c r="O99" i="1"/>
  <c r="H99" i="1"/>
  <c r="K99" i="1"/>
  <c r="R99" i="1"/>
  <c r="J99" i="1"/>
  <c r="Q99" i="1"/>
  <c r="D41" i="1" l="1"/>
  <c r="I159" i="1" l="1"/>
  <c r="J159" i="1"/>
  <c r="K159" i="1"/>
  <c r="L159" i="1"/>
  <c r="M159" i="1"/>
  <c r="N159" i="1"/>
  <c r="O159" i="1"/>
  <c r="P159" i="1"/>
  <c r="Q159" i="1"/>
  <c r="R159" i="1"/>
  <c r="H159" i="1"/>
  <c r="D33" i="1"/>
  <c r="D32" i="1"/>
  <c r="H149" i="1"/>
  <c r="I142" i="1"/>
  <c r="J142" i="1"/>
  <c r="K142" i="1"/>
  <c r="L142" i="1"/>
  <c r="M142" i="1"/>
  <c r="N142" i="1"/>
  <c r="O142" i="1"/>
  <c r="P142" i="1"/>
  <c r="Q142" i="1"/>
  <c r="R142" i="1"/>
  <c r="H142" i="1"/>
  <c r="H139" i="1"/>
  <c r="H141" i="1" s="1"/>
  <c r="D63" i="1"/>
  <c r="D62" i="1" s="1"/>
  <c r="D65" i="1"/>
  <c r="I149" i="1" s="1"/>
  <c r="D75" i="1"/>
  <c r="L75" i="1"/>
  <c r="M75" i="1" s="1"/>
  <c r="N75" i="1" s="1"/>
  <c r="O75" i="1" s="1"/>
  <c r="P75" i="1" s="1"/>
  <c r="Q75" i="1" s="1"/>
  <c r="R75" i="1" s="1"/>
  <c r="H76" i="1"/>
  <c r="I76" i="1" s="1"/>
  <c r="J76" i="1" s="1"/>
  <c r="K76" i="1" s="1"/>
  <c r="D77" i="1"/>
  <c r="N77" i="1"/>
  <c r="O77" i="1" s="1"/>
  <c r="P77" i="1" s="1"/>
  <c r="Q77" i="1" s="1"/>
  <c r="R77" i="1" s="1"/>
  <c r="H156" i="1"/>
  <c r="H78" i="1" l="1"/>
  <c r="H146" i="1" s="1"/>
  <c r="P149" i="1"/>
  <c r="M149" i="1"/>
  <c r="O149" i="1"/>
  <c r="N149" i="1"/>
  <c r="L149" i="1"/>
  <c r="K149" i="1"/>
  <c r="R149" i="1"/>
  <c r="J149" i="1"/>
  <c r="Q149" i="1"/>
  <c r="H147" i="1"/>
  <c r="L76" i="1"/>
  <c r="M76" i="1" s="1"/>
  <c r="N76" i="1" s="1"/>
  <c r="O76" i="1" s="1"/>
  <c r="P76" i="1" s="1"/>
  <c r="Q76" i="1" s="1"/>
  <c r="R76" i="1" s="1"/>
  <c r="D76" i="1"/>
  <c r="H91" i="1" l="1"/>
  <c r="H138" i="1" s="1"/>
  <c r="D78" i="1"/>
  <c r="I78" i="1"/>
  <c r="J78" i="1" s="1"/>
  <c r="H148" i="1"/>
  <c r="H150" i="1" s="1"/>
  <c r="H92" i="1" l="1"/>
  <c r="H95" i="1" s="1"/>
  <c r="I146" i="1"/>
  <c r="I91" i="1"/>
  <c r="I138" i="1" s="1"/>
  <c r="J146" i="1"/>
  <c r="J91" i="1"/>
  <c r="J138" i="1" s="1"/>
  <c r="K78" i="1"/>
  <c r="I92" i="1" l="1"/>
  <c r="K146" i="1"/>
  <c r="K91" i="1"/>
  <c r="K138" i="1" s="1"/>
  <c r="J92" i="1"/>
  <c r="L78" i="1"/>
  <c r="L146" i="1" l="1"/>
  <c r="L91" i="1"/>
  <c r="L138" i="1" s="1"/>
  <c r="K92" i="1"/>
  <c r="M78" i="1"/>
  <c r="M146" i="1" l="1"/>
  <c r="M91" i="1"/>
  <c r="M138" i="1" s="1"/>
  <c r="L92" i="1"/>
  <c r="N78" i="1"/>
  <c r="N146" i="1" l="1"/>
  <c r="N91" i="1"/>
  <c r="N138" i="1" s="1"/>
  <c r="M92" i="1"/>
  <c r="O78" i="1"/>
  <c r="O146" i="1" l="1"/>
  <c r="O91" i="1"/>
  <c r="O138" i="1" s="1"/>
  <c r="N92" i="1"/>
  <c r="P78" i="1"/>
  <c r="P146" i="1" l="1"/>
  <c r="P91" i="1"/>
  <c r="P138" i="1" s="1"/>
  <c r="O92" i="1"/>
  <c r="Q78" i="1"/>
  <c r="Q146" i="1" l="1"/>
  <c r="Q91" i="1"/>
  <c r="Q138" i="1" s="1"/>
  <c r="P92" i="1"/>
  <c r="R78" i="1"/>
  <c r="R91" i="1" s="1"/>
  <c r="R138" i="1" s="1"/>
  <c r="Q92" i="1" l="1"/>
  <c r="R146" i="1"/>
  <c r="R92" i="1" l="1"/>
  <c r="H140" i="1" l="1"/>
  <c r="H143" i="1" s="1"/>
  <c r="D47" i="1"/>
  <c r="H154" i="1" l="1"/>
  <c r="H104" i="1"/>
  <c r="D23" i="1"/>
  <c r="D22" i="1"/>
  <c r="D13" i="1"/>
  <c r="D43" i="1" s="1"/>
  <c r="D38" i="1" l="1"/>
  <c r="D39" i="1" s="1"/>
  <c r="D40" i="1" s="1"/>
  <c r="D54" i="1" s="1"/>
  <c r="D67" i="1"/>
  <c r="H98" i="1" l="1"/>
  <c r="O93" i="1"/>
  <c r="I93" i="1"/>
  <c r="R93" i="1"/>
  <c r="M93" i="1"/>
  <c r="N93" i="1"/>
  <c r="P93" i="1"/>
  <c r="J93" i="1"/>
  <c r="Q93" i="1"/>
  <c r="K93" i="1"/>
  <c r="L93" i="1"/>
  <c r="H155" i="1"/>
  <c r="J109" i="1" l="1"/>
  <c r="R109" i="1"/>
  <c r="O109" i="1"/>
  <c r="P109" i="1"/>
  <c r="I109" i="1"/>
  <c r="Q109" i="1"/>
  <c r="K109" i="1"/>
  <c r="H109" i="1"/>
  <c r="N109" i="1"/>
  <c r="L109" i="1"/>
  <c r="M109" i="1"/>
  <c r="H106" i="1"/>
  <c r="H157" i="1"/>
  <c r="H158" i="1" s="1"/>
  <c r="H160" i="1" s="1"/>
  <c r="H162" i="1" s="1"/>
  <c r="H163" i="1" s="1"/>
  <c r="P94" i="1"/>
  <c r="N94" i="1"/>
  <c r="I94" i="1"/>
  <c r="Q94" i="1"/>
  <c r="J94" i="1"/>
  <c r="M94" i="1"/>
  <c r="R94" i="1"/>
  <c r="L94" i="1"/>
  <c r="K94" i="1"/>
  <c r="O94" i="1"/>
  <c r="I95" i="1" l="1"/>
  <c r="I139" i="1"/>
  <c r="I147" i="1" s="1"/>
  <c r="I148" i="1" s="1"/>
  <c r="I150" i="1" s="1"/>
  <c r="J95" i="1"/>
  <c r="J139" i="1"/>
  <c r="J147" i="1" s="1"/>
  <c r="J148" i="1" s="1"/>
  <c r="J150" i="1" s="1"/>
  <c r="Q95" i="1"/>
  <c r="Q139" i="1"/>
  <c r="Q147" i="1" s="1"/>
  <c r="Q148" i="1" s="1"/>
  <c r="Q150" i="1" s="1"/>
  <c r="L95" i="1"/>
  <c r="L139" i="1"/>
  <c r="L147" i="1" s="1"/>
  <c r="L148" i="1" s="1"/>
  <c r="L150" i="1" s="1"/>
  <c r="R95" i="1"/>
  <c r="R139" i="1"/>
  <c r="R147" i="1" s="1"/>
  <c r="R148" i="1" s="1"/>
  <c r="R150" i="1" s="1"/>
  <c r="M95" i="1"/>
  <c r="M139" i="1"/>
  <c r="M147" i="1" s="1"/>
  <c r="M148" i="1" s="1"/>
  <c r="M150" i="1" s="1"/>
  <c r="N95" i="1"/>
  <c r="N139" i="1"/>
  <c r="N147" i="1" s="1"/>
  <c r="N148" i="1" s="1"/>
  <c r="N150" i="1" s="1"/>
  <c r="O95" i="1"/>
  <c r="O139" i="1"/>
  <c r="O147" i="1" s="1"/>
  <c r="O148" i="1" s="1"/>
  <c r="O150" i="1" s="1"/>
  <c r="K95" i="1"/>
  <c r="K139" i="1"/>
  <c r="K147" i="1" s="1"/>
  <c r="K148" i="1" s="1"/>
  <c r="K150" i="1" s="1"/>
  <c r="P95" i="1"/>
  <c r="P139" i="1"/>
  <c r="P147" i="1" s="1"/>
  <c r="P148" i="1" s="1"/>
  <c r="P150" i="1" s="1"/>
  <c r="L98" i="1"/>
  <c r="N98" i="1"/>
  <c r="Q98" i="1"/>
  <c r="R98" i="1"/>
  <c r="I98" i="1"/>
  <c r="O98" i="1"/>
  <c r="M98" i="1"/>
  <c r="K98" i="1"/>
  <c r="J98" i="1"/>
  <c r="P98" i="1"/>
  <c r="H164" i="1"/>
  <c r="R141" i="1" l="1"/>
  <c r="P141" i="1"/>
  <c r="N141" i="1"/>
  <c r="I140" i="1"/>
  <c r="I141" i="1"/>
  <c r="K140" i="1"/>
  <c r="K141" i="1"/>
  <c r="J140" i="1"/>
  <c r="J141" i="1"/>
  <c r="O141" i="1"/>
  <c r="L140" i="1"/>
  <c r="L141" i="1"/>
  <c r="Q141" i="1"/>
  <c r="M140" i="1"/>
  <c r="M141" i="1"/>
  <c r="N140" i="1"/>
  <c r="O140" i="1"/>
  <c r="H166" i="1"/>
  <c r="I143" i="1" l="1"/>
  <c r="M143" i="1"/>
  <c r="O143" i="1"/>
  <c r="O154" i="1" s="1"/>
  <c r="J143" i="1"/>
  <c r="N143" i="1"/>
  <c r="K143" i="1"/>
  <c r="L143" i="1"/>
  <c r="P140" i="1"/>
  <c r="P143" i="1" s="1"/>
  <c r="P154" i="1" s="1"/>
  <c r="I104" i="1" l="1"/>
  <c r="Q100" i="1"/>
  <c r="Q105" i="1" s="1"/>
  <c r="N154" i="1"/>
  <c r="J104" i="1"/>
  <c r="J154" i="1"/>
  <c r="L154" i="1"/>
  <c r="M154" i="1"/>
  <c r="K154" i="1"/>
  <c r="Q140" i="1"/>
  <c r="Q143" i="1" s="1"/>
  <c r="O155" i="1"/>
  <c r="O157" i="1" s="1"/>
  <c r="O158" i="1" s="1"/>
  <c r="P155" i="1"/>
  <c r="P157" i="1" s="1"/>
  <c r="P158" i="1" s="1"/>
  <c r="R100" i="1"/>
  <c r="R105" i="1" s="1"/>
  <c r="I100" i="1"/>
  <c r="I105" i="1" s="1"/>
  <c r="P100" i="1"/>
  <c r="P105" i="1" s="1"/>
  <c r="N100" i="1"/>
  <c r="N105" i="1" s="1"/>
  <c r="M100" i="1"/>
  <c r="M105" i="1" s="1"/>
  <c r="J100" i="1"/>
  <c r="J105" i="1" s="1"/>
  <c r="O100" i="1"/>
  <c r="O105" i="1" s="1"/>
  <c r="K100" i="1"/>
  <c r="K105" i="1" s="1"/>
  <c r="L100" i="1"/>
  <c r="L105" i="1" s="1"/>
  <c r="H100" i="1"/>
  <c r="H105" i="1" s="1"/>
  <c r="H107" i="1" s="1"/>
  <c r="H108" i="1" s="1"/>
  <c r="I107" i="1" l="1"/>
  <c r="I108" i="1" s="1"/>
  <c r="I110" i="1" s="1"/>
  <c r="I111" i="1" s="1"/>
  <c r="I112" i="1" s="1"/>
  <c r="M155" i="1"/>
  <c r="M157" i="1" s="1"/>
  <c r="M158" i="1" s="1"/>
  <c r="M160" i="1" s="1"/>
  <c r="M161" i="1" s="1"/>
  <c r="M162" i="1" s="1"/>
  <c r="M163" i="1" s="1"/>
  <c r="J155" i="1"/>
  <c r="J157" i="1" s="1"/>
  <c r="J158" i="1" s="1"/>
  <c r="J160" i="1" s="1"/>
  <c r="J161" i="1" s="1"/>
  <c r="J162" i="1" s="1"/>
  <c r="L155" i="1"/>
  <c r="L157" i="1" s="1"/>
  <c r="L158" i="1" s="1"/>
  <c r="L160" i="1" s="1"/>
  <c r="L161" i="1" s="1"/>
  <c r="L162" i="1" s="1"/>
  <c r="L163" i="1" s="1"/>
  <c r="Q155" i="1"/>
  <c r="Q154" i="1"/>
  <c r="I154" i="1"/>
  <c r="N155" i="1"/>
  <c r="N157" i="1" s="1"/>
  <c r="N158" i="1" s="1"/>
  <c r="N160" i="1" s="1"/>
  <c r="N161" i="1" s="1"/>
  <c r="N162" i="1" s="1"/>
  <c r="N163" i="1" s="1"/>
  <c r="K155" i="1"/>
  <c r="K157" i="1" s="1"/>
  <c r="K158" i="1" s="1"/>
  <c r="K160" i="1" s="1"/>
  <c r="K161" i="1" s="1"/>
  <c r="K162" i="1" s="1"/>
  <c r="K163" i="1" s="1"/>
  <c r="R140" i="1"/>
  <c r="R143" i="1" s="1"/>
  <c r="P160" i="1"/>
  <c r="P161" i="1" s="1"/>
  <c r="P162" i="1" s="1"/>
  <c r="P163" i="1" s="1"/>
  <c r="O160" i="1"/>
  <c r="O161" i="1" s="1"/>
  <c r="O162" i="1" s="1"/>
  <c r="O163" i="1" s="1"/>
  <c r="J107" i="1"/>
  <c r="J108" i="1" s="1"/>
  <c r="J110" i="1" s="1"/>
  <c r="J111" i="1" s="1"/>
  <c r="J112" i="1" s="1"/>
  <c r="J113" i="1" s="1"/>
  <c r="K104" i="1"/>
  <c r="K107" i="1" s="1"/>
  <c r="H110" i="1"/>
  <c r="H112" i="1" s="1"/>
  <c r="L104" i="1"/>
  <c r="L107" i="1" s="1"/>
  <c r="L108" i="1" s="1"/>
  <c r="Q157" i="1" l="1"/>
  <c r="Q158" i="1" s="1"/>
  <c r="Q160" i="1" s="1"/>
  <c r="Q161" i="1" s="1"/>
  <c r="Q162" i="1" s="1"/>
  <c r="Q163" i="1" s="1"/>
  <c r="I155" i="1"/>
  <c r="J163" i="1"/>
  <c r="I113" i="1"/>
  <c r="H113" i="1"/>
  <c r="K108" i="1"/>
  <c r="K110" i="1" s="1"/>
  <c r="K111" i="1" s="1"/>
  <c r="K112" i="1" s="1"/>
  <c r="K113" i="1" s="1"/>
  <c r="M104" i="1"/>
  <c r="M107" i="1" s="1"/>
  <c r="L110" i="1"/>
  <c r="L111" i="1" s="1"/>
  <c r="L112" i="1" s="1"/>
  <c r="L113" i="1" s="1"/>
  <c r="I157" i="1" l="1"/>
  <c r="I158" i="1" s="1"/>
  <c r="I160" i="1" s="1"/>
  <c r="I161" i="1" s="1"/>
  <c r="I162" i="1" s="1"/>
  <c r="R154" i="1"/>
  <c r="R155" i="1"/>
  <c r="H114" i="1"/>
  <c r="I114" i="1" s="1"/>
  <c r="M108" i="1"/>
  <c r="M110" i="1" s="1"/>
  <c r="M111" i="1" s="1"/>
  <c r="M112" i="1" s="1"/>
  <c r="M113" i="1" s="1"/>
  <c r="N104" i="1"/>
  <c r="N107" i="1" s="1"/>
  <c r="I163" i="1" l="1"/>
  <c r="R157" i="1"/>
  <c r="R158" i="1" s="1"/>
  <c r="J114" i="1"/>
  <c r="K114" i="1" s="1"/>
  <c r="L114" i="1" s="1"/>
  <c r="M114" i="1" s="1"/>
  <c r="H116" i="1"/>
  <c r="N108" i="1"/>
  <c r="N110" i="1" s="1"/>
  <c r="N111" i="1" s="1"/>
  <c r="N112" i="1" s="1"/>
  <c r="N113" i="1" s="1"/>
  <c r="O104" i="1"/>
  <c r="O107" i="1" s="1"/>
  <c r="R160" i="1" l="1"/>
  <c r="R161" i="1" s="1"/>
  <c r="R162" i="1" s="1"/>
  <c r="F169" i="1" s="1"/>
  <c r="I164" i="1"/>
  <c r="I116" i="1"/>
  <c r="R104" i="1"/>
  <c r="R107" i="1" s="1"/>
  <c r="R108" i="1" s="1"/>
  <c r="N114" i="1"/>
  <c r="O108" i="1"/>
  <c r="O110" i="1" s="1"/>
  <c r="O111" i="1" s="1"/>
  <c r="O112" i="1" s="1"/>
  <c r="P104" i="1"/>
  <c r="P107" i="1" s="1"/>
  <c r="R163" i="1" l="1"/>
  <c r="F172" i="1"/>
  <c r="J164" i="1"/>
  <c r="K164" i="1" s="1"/>
  <c r="L164" i="1" s="1"/>
  <c r="M164" i="1" s="1"/>
  <c r="N164" i="1" s="1"/>
  <c r="O164" i="1" s="1"/>
  <c r="P164" i="1" s="1"/>
  <c r="Q164" i="1" s="1"/>
  <c r="I166" i="1"/>
  <c r="O113" i="1"/>
  <c r="O114" i="1" s="1"/>
  <c r="J116" i="1"/>
  <c r="R110" i="1"/>
  <c r="R111" i="1" s="1"/>
  <c r="R112" i="1" s="1"/>
  <c r="P108" i="1"/>
  <c r="P110" i="1" s="1"/>
  <c r="P111" i="1" s="1"/>
  <c r="P112" i="1" s="1"/>
  <c r="Q104" i="1"/>
  <c r="Q107" i="1" s="1"/>
  <c r="F171" i="1" l="1"/>
  <c r="F179" i="1"/>
  <c r="F180" i="1" s="1"/>
  <c r="R164" i="1"/>
  <c r="J166" i="1"/>
  <c r="K166" i="1" s="1"/>
  <c r="L166" i="1" s="1"/>
  <c r="K116" i="1"/>
  <c r="L116" i="1" s="1"/>
  <c r="M116" i="1" s="1"/>
  <c r="R113" i="1"/>
  <c r="P113" i="1"/>
  <c r="Q108" i="1"/>
  <c r="Q110" i="1" s="1"/>
  <c r="Q111" i="1" s="1"/>
  <c r="Q112" i="1" s="1"/>
  <c r="F119" i="1" s="1"/>
  <c r="M166" i="1" l="1"/>
  <c r="N166" i="1" s="1"/>
  <c r="N116" i="1"/>
  <c r="F122" i="1"/>
  <c r="P114" i="1"/>
  <c r="Q113" i="1"/>
  <c r="F121" i="1" s="1"/>
  <c r="O166" i="1" l="1"/>
  <c r="P166" i="1" s="1"/>
  <c r="Q166" i="1" s="1"/>
  <c r="R166" i="1" s="1"/>
  <c r="O116" i="1"/>
  <c r="Q114" i="1"/>
  <c r="R114" i="1" s="1"/>
  <c r="P116" i="1" l="1"/>
  <c r="Q116" i="1" s="1"/>
  <c r="R116" i="1" s="1"/>
  <c r="F1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54ACE-386E-4E06-8522-8A71CA69E08A}" keepAlive="1" name="Query - gas_prices" description="Connection to the 'gas_prices' query in the workbook." type="5" refreshedVersion="0" background="1">
    <dbPr connection="Provider=Microsoft.Mashup.OleDb.1;Data Source=$Workbook$;Location=gas_prices;Extended Properties=&quot;&quot;" command="SELECT * FROM [gas_prices]"/>
  </connection>
</connections>
</file>

<file path=xl/sharedStrings.xml><?xml version="1.0" encoding="utf-8"?>
<sst xmlns="http://schemas.openxmlformats.org/spreadsheetml/2006/main" count="238" uniqueCount="115">
  <si>
    <t>%</t>
  </si>
  <si>
    <t>IRR via Goal Seek</t>
  </si>
  <si>
    <t>IRR</t>
  </si>
  <si>
    <t>NPV (From Discounted Cashflows)</t>
  </si>
  <si>
    <t>NPV Function</t>
  </si>
  <si>
    <t>NPV</t>
  </si>
  <si>
    <t xml:space="preserve"> </t>
  </si>
  <si>
    <t>Discounted Cashflows</t>
  </si>
  <si>
    <t>Free Cashflows</t>
  </si>
  <si>
    <t>Payable Taxes</t>
  </si>
  <si>
    <t>EBIT (Taxable Income)</t>
  </si>
  <si>
    <t>Depreciation</t>
  </si>
  <si>
    <t>Nominal Flow (EBITDA)</t>
  </si>
  <si>
    <t>Net Cashflows (Real Flow)</t>
  </si>
  <si>
    <t>CAPEX</t>
  </si>
  <si>
    <t>OPEX</t>
  </si>
  <si>
    <t>Revenue</t>
  </si>
  <si>
    <t xml:space="preserve">Year </t>
  </si>
  <si>
    <t>MWh</t>
  </si>
  <si>
    <t>O&amp;M Cost</t>
  </si>
  <si>
    <t xml:space="preserve">OPEX </t>
  </si>
  <si>
    <t>Power Revenue</t>
  </si>
  <si>
    <t>per year</t>
  </si>
  <si>
    <t>Corporate Tax Rate</t>
  </si>
  <si>
    <t>MWh/year</t>
  </si>
  <si>
    <t>hours/year</t>
  </si>
  <si>
    <t>Full Load Hours</t>
  </si>
  <si>
    <t>years</t>
  </si>
  <si>
    <t>Lifetime</t>
  </si>
  <si>
    <t>Inputs</t>
  </si>
  <si>
    <t>kW</t>
  </si>
  <si>
    <t>Heat Price</t>
  </si>
  <si>
    <t>€/kW</t>
  </si>
  <si>
    <t>Needed Installed Capacity</t>
  </si>
  <si>
    <t>Installed Capacity Heat Exchanger</t>
  </si>
  <si>
    <t>k€</t>
  </si>
  <si>
    <t>WACC</t>
  </si>
  <si>
    <t>k€/year</t>
  </si>
  <si>
    <t xml:space="preserve">Financial Model - BP </t>
  </si>
  <si>
    <t>Manufacturing Industries and Energy Communities
STEP 1</t>
  </si>
  <si>
    <t>€/MWh</t>
  </si>
  <si>
    <t>Share of Heat to other industries</t>
  </si>
  <si>
    <t>Heat to other industries</t>
  </si>
  <si>
    <t>Price increase to other industries</t>
  </si>
  <si>
    <t>Heat to Other Industries</t>
  </si>
  <si>
    <t>Heat To District Heating</t>
  </si>
  <si>
    <t>Heat Production</t>
  </si>
  <si>
    <t>Grid Connection Costs</t>
  </si>
  <si>
    <t>PB</t>
  </si>
  <si>
    <t>Pay Back Time</t>
  </si>
  <si>
    <t xml:space="preserve">Cash Flow Calculations </t>
  </si>
  <si>
    <t>Cumulated Discounted Cashflow</t>
  </si>
  <si>
    <t>Heat Delivered to Energy Community</t>
  </si>
  <si>
    <t>kWh/year</t>
  </si>
  <si>
    <t>Heat Delivered from DH to X1</t>
  </si>
  <si>
    <t>Heat Delivered from DH to X2</t>
  </si>
  <si>
    <t>Heat Delivered from DH to X3</t>
  </si>
  <si>
    <t>Total Heat Delivered from DH</t>
  </si>
  <si>
    <t>Cost of Equity</t>
  </si>
  <si>
    <t>Cost of Debt</t>
  </si>
  <si>
    <t>E/V</t>
  </si>
  <si>
    <t>D/V</t>
  </si>
  <si>
    <t>Td</t>
  </si>
  <si>
    <t>Inputs from MESS</t>
  </si>
  <si>
    <t>General Input Data</t>
  </si>
  <si>
    <t>- o/w Power Supply</t>
  </si>
  <si>
    <t>Fixed OPEX</t>
  </si>
  <si>
    <t>Total CAPEX</t>
  </si>
  <si>
    <t>- o/w Heat Exchanger</t>
  </si>
  <si>
    <t>- o/w Mechanical and Hydraulic Connection</t>
  </si>
  <si>
    <t>- o/w Cabling</t>
  </si>
  <si>
    <t>€/kW/year</t>
  </si>
  <si>
    <t>Source</t>
  </si>
  <si>
    <t>Damodoran</t>
  </si>
  <si>
    <t>CAPEX &amp; OPEX Data</t>
  </si>
  <si>
    <t>Saini et al.</t>
  </si>
  <si>
    <t>GSE</t>
  </si>
  <si>
    <t>- o/w Commissioning</t>
  </si>
  <si>
    <t>€/kWh</t>
  </si>
  <si>
    <t>Price Data</t>
  </si>
  <si>
    <t>Average Heat Price</t>
  </si>
  <si>
    <t>Scenarios</t>
  </si>
  <si>
    <t>Scenario Selection</t>
  </si>
  <si>
    <t>Price Evolution</t>
  </si>
  <si>
    <t>Support on Connection Costs</t>
  </si>
  <si>
    <t>TTF Natural Gas Prices</t>
  </si>
  <si>
    <t>TTF</t>
  </si>
  <si>
    <t>IEA</t>
  </si>
  <si>
    <t>Average Electricity Price</t>
  </si>
  <si>
    <t>Electricity Prices EU</t>
  </si>
  <si>
    <t>-</t>
  </si>
  <si>
    <t>Average District Heating Price Year 0</t>
  </si>
  <si>
    <t>Heat Price to Other Industries</t>
  </si>
  <si>
    <t>Contingencies</t>
  </si>
  <si>
    <t>Cost of Grid Connection &amp; Heat Transport</t>
  </si>
  <si>
    <t>FIP</t>
  </si>
  <si>
    <t>FIP VALUE</t>
  </si>
  <si>
    <t>FIC VALUE</t>
  </si>
  <si>
    <t>Calculations Industry</t>
  </si>
  <si>
    <t>Calculations District Heating Operator</t>
  </si>
  <si>
    <t>OPEX &amp; Costs</t>
  </si>
  <si>
    <t>Heat acquired from industry</t>
  </si>
  <si>
    <t>Heat Sold</t>
  </si>
  <si>
    <t>Original Cost of Grid Connection &amp; Heat Transport</t>
  </si>
  <si>
    <t xml:space="preserve">Total Costs of Acquiring Heat </t>
  </si>
  <si>
    <t>Revenues</t>
  </si>
  <si>
    <t>Revenues from Heat Sold</t>
  </si>
  <si>
    <t>Reduction of Heat Price when selling to DH Operator</t>
  </si>
  <si>
    <t>Financial Data Industry</t>
  </si>
  <si>
    <t>Financial Data DH Operator</t>
  </si>
  <si>
    <t>COMBO</t>
  </si>
  <si>
    <t>kWh/y</t>
  </si>
  <si>
    <t>Avg Yearly DCF</t>
  </si>
  <si>
    <t>Average yearly DCF</t>
  </si>
  <si>
    <t>DCF/MWh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</si>
</sst>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_-;\-* #,##0_-;_-* &quot;-&quot;??_-;_-@"/>
    <numFmt numFmtId="166" formatCode="#,##0.00;\ \(#,##0.00\);\ \-"/>
    <numFmt numFmtId="167" formatCode="#,##0.0"/>
    <numFmt numFmtId="168" formatCode="#,##0.000"/>
    <numFmt numFmtId="169" formatCode="_-* #,##0.00_-;\-* #,##0.00_-;_-* &quot;-&quot;??_-;_-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0"/>
      <name val="Arial"/>
      <family val="2"/>
    </font>
    <font>
      <sz val="12"/>
      <name val="Calibri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D794"/>
        <bgColor rgb="FFFFD794"/>
      </patternFill>
    </fill>
    <fill>
      <patternFill patternType="solid">
        <fgColor rgb="FF7F7F7F"/>
        <bgColor rgb="FF7F7F7F"/>
      </patternFill>
    </fill>
    <fill>
      <patternFill patternType="solid">
        <fgColor rgb="FF9B3333"/>
        <bgColor rgb="FF9B3333"/>
      </patternFill>
    </fill>
    <fill>
      <patternFill patternType="solid">
        <fgColor rgb="FFCCECFF"/>
        <bgColor rgb="FFCCECFF"/>
      </patternFill>
    </fill>
    <fill>
      <patternFill patternType="solid">
        <fgColor theme="6" tint="0.59999389629810485"/>
        <bgColor rgb="FFDDD9C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/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165" fontId="3" fillId="0" borderId="4" xfId="0" applyNumberFormat="1" applyFont="1" applyBorder="1"/>
    <xf numFmtId="165" fontId="3" fillId="0" borderId="5" xfId="0" applyNumberFormat="1" applyFont="1" applyBorder="1"/>
    <xf numFmtId="0" fontId="3" fillId="0" borderId="0" xfId="0" applyFont="1"/>
    <xf numFmtId="165" fontId="3" fillId="0" borderId="1" xfId="0" applyNumberFormat="1" applyFont="1" applyBorder="1"/>
    <xf numFmtId="165" fontId="2" fillId="0" borderId="0" xfId="0" applyNumberFormat="1" applyFont="1"/>
    <xf numFmtId="165" fontId="2" fillId="0" borderId="6" xfId="0" applyNumberFormat="1" applyFont="1" applyBorder="1"/>
    <xf numFmtId="0" fontId="2" fillId="0" borderId="6" xfId="0" applyFont="1" applyBorder="1"/>
    <xf numFmtId="165" fontId="3" fillId="0" borderId="2" xfId="0" applyNumberFormat="1" applyFont="1" applyBorder="1"/>
    <xf numFmtId="165" fontId="3" fillId="0" borderId="0" xfId="0" applyNumberFormat="1" applyFont="1"/>
    <xf numFmtId="3" fontId="2" fillId="0" borderId="6" xfId="0" applyNumberFormat="1" applyFont="1" applyBorder="1"/>
    <xf numFmtId="0" fontId="2" fillId="0" borderId="0" xfId="0" quotePrefix="1" applyFont="1"/>
    <xf numFmtId="0" fontId="5" fillId="3" borderId="7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4" borderId="0" xfId="0" applyFont="1" applyFill="1"/>
    <xf numFmtId="3" fontId="2" fillId="0" borderId="0" xfId="0" applyNumberFormat="1" applyFont="1"/>
    <xf numFmtId="0" fontId="3" fillId="0" borderId="0" xfId="0" quotePrefix="1" applyFont="1"/>
    <xf numFmtId="165" fontId="3" fillId="0" borderId="6" xfId="0" applyNumberFormat="1" applyFont="1" applyBorder="1"/>
    <xf numFmtId="0" fontId="10" fillId="4" borderId="0" xfId="0" applyFont="1" applyFill="1"/>
    <xf numFmtId="0" fontId="9" fillId="0" borderId="0" xfId="0" quotePrefix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5" borderId="0" xfId="0" applyFont="1" applyFill="1"/>
    <xf numFmtId="0" fontId="9" fillId="6" borderId="10" xfId="0" applyFont="1" applyFill="1" applyBorder="1" applyAlignment="1">
      <alignment horizontal="center"/>
    </xf>
    <xf numFmtId="9" fontId="9" fillId="6" borderId="10" xfId="1" applyFont="1" applyFill="1" applyBorder="1" applyAlignment="1">
      <alignment horizontal="center"/>
    </xf>
    <xf numFmtId="3" fontId="9" fillId="6" borderId="10" xfId="0" applyNumberFormat="1" applyFont="1" applyFill="1" applyBorder="1" applyAlignment="1">
      <alignment horizontal="center"/>
    </xf>
    <xf numFmtId="3" fontId="9" fillId="7" borderId="10" xfId="0" applyNumberFormat="1" applyFont="1" applyFill="1" applyBorder="1" applyAlignment="1">
      <alignment horizontal="center"/>
    </xf>
    <xf numFmtId="10" fontId="9" fillId="6" borderId="10" xfId="0" applyNumberFormat="1" applyFont="1" applyFill="1" applyBorder="1" applyAlignment="1">
      <alignment horizont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0" borderId="11" xfId="0" applyFont="1" applyBorder="1"/>
    <xf numFmtId="0" fontId="0" fillId="0" borderId="11" xfId="0" applyBorder="1"/>
    <xf numFmtId="166" fontId="2" fillId="0" borderId="0" xfId="0" applyNumberFormat="1" applyFont="1"/>
    <xf numFmtId="166" fontId="2" fillId="0" borderId="11" xfId="0" applyNumberFormat="1" applyFont="1" applyBorder="1"/>
    <xf numFmtId="166" fontId="3" fillId="0" borderId="0" xfId="0" applyNumberFormat="1" applyFont="1"/>
    <xf numFmtId="165" fontId="3" fillId="0" borderId="11" xfId="0" applyNumberFormat="1" applyFont="1" applyBorder="1"/>
    <xf numFmtId="166" fontId="3" fillId="0" borderId="11" xfId="0" applyNumberFormat="1" applyFont="1" applyBorder="1"/>
    <xf numFmtId="0" fontId="3" fillId="0" borderId="13" xfId="0" applyFont="1" applyBorder="1"/>
    <xf numFmtId="0" fontId="3" fillId="0" borderId="12" xfId="0" applyFont="1" applyBorder="1"/>
    <xf numFmtId="0" fontId="2" fillId="0" borderId="12" xfId="0" applyFont="1" applyBorder="1"/>
    <xf numFmtId="2" fontId="3" fillId="0" borderId="14" xfId="0" applyNumberFormat="1" applyFont="1" applyBorder="1"/>
    <xf numFmtId="0" fontId="3" fillId="0" borderId="11" xfId="0" applyFont="1" applyBorder="1"/>
    <xf numFmtId="1" fontId="9" fillId="6" borderId="10" xfId="0" applyNumberFormat="1" applyFont="1" applyFill="1" applyBorder="1" applyAlignment="1">
      <alignment horizontal="center"/>
    </xf>
    <xf numFmtId="0" fontId="16" fillId="0" borderId="11" xfId="0" applyFont="1" applyBorder="1"/>
    <xf numFmtId="3" fontId="9" fillId="6" borderId="16" xfId="0" applyNumberFormat="1" applyFont="1" applyFill="1" applyBorder="1" applyAlignment="1">
      <alignment horizontal="center"/>
    </xf>
    <xf numFmtId="0" fontId="14" fillId="0" borderId="0" xfId="0" applyFont="1"/>
    <xf numFmtId="3" fontId="17" fillId="6" borderId="15" xfId="0" applyNumberFormat="1" applyFont="1" applyFill="1" applyBorder="1" applyAlignment="1">
      <alignment horizontal="center"/>
    </xf>
    <xf numFmtId="10" fontId="9" fillId="6" borderId="10" xfId="1" applyNumberFormat="1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9" fillId="0" borderId="0" xfId="0" quotePrefix="1" applyFont="1" applyAlignment="1">
      <alignment horizontal="left" indent="1"/>
    </xf>
    <xf numFmtId="167" fontId="9" fillId="6" borderId="10" xfId="0" applyNumberFormat="1" applyFont="1" applyFill="1" applyBorder="1" applyAlignment="1">
      <alignment horizontal="center"/>
    </xf>
    <xf numFmtId="0" fontId="15" fillId="0" borderId="0" xfId="2"/>
    <xf numFmtId="0" fontId="17" fillId="0" borderId="0" xfId="0" applyFont="1"/>
    <xf numFmtId="9" fontId="9" fillId="6" borderId="0" xfId="1" applyFon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168" fontId="9" fillId="6" borderId="10" xfId="0" applyNumberFormat="1" applyFont="1" applyFill="1" applyBorder="1" applyAlignment="1">
      <alignment horizontal="center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0" fontId="5" fillId="9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9" fontId="9" fillId="0" borderId="0" xfId="1" applyFont="1" applyFill="1" applyBorder="1" applyAlignment="1">
      <alignment horizontal="center"/>
    </xf>
    <xf numFmtId="2" fontId="2" fillId="0" borderId="0" xfId="0" applyNumberFormat="1" applyFont="1"/>
    <xf numFmtId="4" fontId="9" fillId="6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169" fontId="3" fillId="0" borderId="5" xfId="0" applyNumberFormat="1" applyFont="1" applyBorder="1"/>
    <xf numFmtId="169" fontId="3" fillId="0" borderId="1" xfId="0" applyNumberFormat="1" applyFont="1" applyBorder="1"/>
    <xf numFmtId="164" fontId="0" fillId="0" borderId="0" xfId="1" applyNumberFormat="1" applyFont="1"/>
    <xf numFmtId="0" fontId="5" fillId="3" borderId="9" xfId="0" applyFont="1" applyFill="1" applyBorder="1" applyAlignment="1">
      <alignment horizontal="right"/>
    </xf>
    <xf numFmtId="0" fontId="6" fillId="0" borderId="8" xfId="0" applyFont="1" applyBorder="1"/>
    <xf numFmtId="0" fontId="11" fillId="0" borderId="0" xfId="0" applyFont="1" applyAlignment="1">
      <alignment horizontal="center" wrapText="1"/>
    </xf>
    <xf numFmtId="0" fontId="0" fillId="0" borderId="0" xfId="0"/>
    <xf numFmtId="0" fontId="5" fillId="3" borderId="8" xfId="0" applyFont="1" applyFill="1" applyBorder="1" applyAlignment="1">
      <alignment horizontal="right"/>
    </xf>
    <xf numFmtId="3" fontId="0" fillId="0" borderId="0" xfId="0" applyNumberFormat="1"/>
    <xf numFmtId="9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8823005777?ref=pdf_download&amp;fr=RR-2&amp;rr=84c0a7f96f29a25e" TargetMode="External"/><Relationship Id="rId2" Type="http://schemas.openxmlformats.org/officeDocument/2006/relationships/hyperlink" Target="https://www.sciencedirect.com/science/article/pii/S0378778823005777?ref=pdf_download&amp;fr=RR-2&amp;rr=84c0a7f96f29a25e" TargetMode="External"/><Relationship Id="rId1" Type="http://schemas.openxmlformats.org/officeDocument/2006/relationships/hyperlink" Target="https://www.sciencedirect.com/science/article/pii/S0378778823005777?ref=pdf_download&amp;fr=RR-2&amp;rr=84c0a7f96f29a25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83"/>
  <sheetViews>
    <sheetView showGridLines="0" tabSelected="1" topLeftCell="A135" zoomScale="70" zoomScaleNormal="70" workbookViewId="0">
      <pane xSplit="7" topLeftCell="H1" activePane="topRight" state="frozen"/>
      <selection pane="topRight" activeCell="D83" sqref="D83"/>
    </sheetView>
  </sheetViews>
  <sheetFormatPr baseColWidth="10" defaultColWidth="11.1640625" defaultRowHeight="15" customHeight="1" outlineLevelRow="1" x14ac:dyDescent="0.2"/>
  <cols>
    <col min="1" max="1" width="2.1640625" customWidth="1"/>
    <col min="2" max="2" width="4.6640625" customWidth="1"/>
    <col min="3" max="3" width="47.6640625" customWidth="1"/>
    <col min="4" max="4" width="14" customWidth="1"/>
    <col min="5" max="5" width="2" customWidth="1"/>
    <col min="6" max="6" width="20.83203125" customWidth="1"/>
    <col min="7" max="7" width="11.33203125" bestFit="1" customWidth="1"/>
    <col min="8" max="8" width="13.5" customWidth="1"/>
    <col min="9" max="22" width="12.5" customWidth="1"/>
    <col min="23" max="27" width="12" customWidth="1"/>
  </cols>
  <sheetData>
    <row r="1" spans="1:27" ht="15.75" customHeight="1" x14ac:dyDescent="0.2">
      <c r="A1" s="1"/>
      <c r="B1" s="33" t="s">
        <v>38</v>
      </c>
      <c r="C1" s="33"/>
      <c r="D1" s="33"/>
      <c r="E1" s="33"/>
      <c r="F1" s="33"/>
      <c r="G1" s="20"/>
      <c r="H1" s="20"/>
      <c r="I1" s="20"/>
      <c r="J1" s="20"/>
      <c r="K1" s="20"/>
      <c r="L1" s="20"/>
      <c r="M1" s="2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1.5" customHeight="1" x14ac:dyDescent="0.2">
      <c r="A3" s="31"/>
      <c r="B3" s="20"/>
      <c r="C3" s="85" t="s">
        <v>39</v>
      </c>
      <c r="D3" s="86"/>
      <c r="E3" s="86"/>
      <c r="F3" s="86"/>
      <c r="G3" s="86"/>
      <c r="H3" s="32"/>
      <c r="I3" s="32"/>
      <c r="J3" s="32"/>
      <c r="K3" s="32"/>
      <c r="L3" s="32"/>
      <c r="M3" s="32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41" customFormat="1" ht="25" customHeight="1" x14ac:dyDescent="0.2">
      <c r="A6" s="39"/>
      <c r="B6" s="40" t="s">
        <v>29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61" customFormat="1" ht="15.75" customHeight="1" outlineLevel="1" x14ac:dyDescent="0.2">
      <c r="A8" s="60"/>
      <c r="B8" s="62" t="s">
        <v>63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ht="15.75" customHeight="1" outlineLevel="1" x14ac:dyDescent="0.2">
      <c r="A9" s="1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outlineLevel="1" x14ac:dyDescent="0.2">
      <c r="C10" t="s">
        <v>54</v>
      </c>
      <c r="D10" s="36">
        <v>66458.513999999675</v>
      </c>
      <c r="F10" t="s">
        <v>111</v>
      </c>
    </row>
    <row r="11" spans="1:27" ht="16" outlineLevel="1" x14ac:dyDescent="0.2">
      <c r="C11" t="s">
        <v>55</v>
      </c>
      <c r="D11" s="36">
        <v>63330.169000001297</v>
      </c>
      <c r="F11" t="s">
        <v>111</v>
      </c>
    </row>
    <row r="12" spans="1:27" ht="16" outlineLevel="1" x14ac:dyDescent="0.2">
      <c r="C12" s="55" t="s">
        <v>56</v>
      </c>
      <c r="D12" s="56">
        <v>180689.93499999747</v>
      </c>
      <c r="E12" s="43"/>
      <c r="F12" s="43" t="s">
        <v>111</v>
      </c>
    </row>
    <row r="13" spans="1:27" ht="16" outlineLevel="1" x14ac:dyDescent="0.2">
      <c r="C13" s="57" t="s">
        <v>57</v>
      </c>
      <c r="D13" s="58">
        <f>SUM(D10:D12)</f>
        <v>310478.61799999845</v>
      </c>
      <c r="E13" s="57"/>
      <c r="F13" s="57" t="s">
        <v>111</v>
      </c>
    </row>
    <row r="14" spans="1:27" ht="15.75" customHeight="1" outlineLevel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61" customFormat="1" ht="15.75" customHeight="1" outlineLevel="1" x14ac:dyDescent="0.2">
      <c r="A15" s="60"/>
      <c r="B15" s="62" t="s">
        <v>108</v>
      </c>
      <c r="C15" s="60"/>
      <c r="D15" s="60"/>
      <c r="E15" s="60"/>
      <c r="F15" s="60"/>
      <c r="G15" s="60" t="s">
        <v>72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5.75" customHeight="1" outlineLevel="1" x14ac:dyDescent="0.2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outlineLevel="1" x14ac:dyDescent="0.2">
      <c r="C17" t="s">
        <v>58</v>
      </c>
      <c r="D17" s="59">
        <v>0.107</v>
      </c>
      <c r="G17" t="s">
        <v>73</v>
      </c>
    </row>
    <row r="18" spans="1:27" ht="16" outlineLevel="1" x14ac:dyDescent="0.2">
      <c r="C18" t="s">
        <v>59</v>
      </c>
      <c r="D18" s="59">
        <v>6.0499999999999998E-2</v>
      </c>
      <c r="G18" t="s">
        <v>73</v>
      </c>
    </row>
    <row r="19" spans="1:27" ht="16" outlineLevel="1" x14ac:dyDescent="0.2">
      <c r="C19" t="s">
        <v>60</v>
      </c>
      <c r="D19" s="59">
        <v>0.73529999999999995</v>
      </c>
      <c r="G19" t="s">
        <v>73</v>
      </c>
    </row>
    <row r="20" spans="1:27" ht="16" outlineLevel="1" x14ac:dyDescent="0.2">
      <c r="C20" t="s">
        <v>61</v>
      </c>
      <c r="D20" s="59">
        <v>0.26469999999999999</v>
      </c>
      <c r="G20" t="s">
        <v>73</v>
      </c>
    </row>
    <row r="21" spans="1:27" ht="16" outlineLevel="1" x14ac:dyDescent="0.2">
      <c r="C21" t="s">
        <v>62</v>
      </c>
      <c r="D21" s="35">
        <v>0.24</v>
      </c>
      <c r="G21" t="s">
        <v>73</v>
      </c>
    </row>
    <row r="22" spans="1:27" ht="16" outlineLevel="1" x14ac:dyDescent="0.2">
      <c r="C22" s="21" t="s">
        <v>36</v>
      </c>
      <c r="D22" s="38">
        <f>D19*D17+D20*D18*(1-D21)</f>
        <v>9.0848005999999995E-2</v>
      </c>
      <c r="E22" s="21"/>
      <c r="F22" s="21" t="s">
        <v>22</v>
      </c>
    </row>
    <row r="23" spans="1:27" ht="16" outlineLevel="1" x14ac:dyDescent="0.2">
      <c r="C23" s="21" t="s">
        <v>23</v>
      </c>
      <c r="D23" s="38">
        <f>D21</f>
        <v>0.24</v>
      </c>
      <c r="E23" s="21"/>
      <c r="F23" s="21"/>
    </row>
    <row r="24" spans="1:27" ht="15.75" customHeight="1" outlineLevel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1" customFormat="1" ht="15.75" customHeight="1" outlineLevel="1" x14ac:dyDescent="0.2">
      <c r="A25" s="60"/>
      <c r="B25" s="62" t="s">
        <v>109</v>
      </c>
      <c r="C25" s="60"/>
      <c r="D25" s="60"/>
      <c r="E25" s="60"/>
      <c r="F25" s="60"/>
      <c r="G25" s="60" t="s">
        <v>72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15.75" customHeight="1" outlineLevel="1" x14ac:dyDescent="0.2">
      <c r="A26" s="1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" outlineLevel="1" x14ac:dyDescent="0.2">
      <c r="C27" t="s">
        <v>58</v>
      </c>
      <c r="D27" s="59">
        <v>8.9399999999999993E-2</v>
      </c>
      <c r="G27" t="s">
        <v>73</v>
      </c>
    </row>
    <row r="28" spans="1:27" ht="16" outlineLevel="1" x14ac:dyDescent="0.2">
      <c r="C28" t="s">
        <v>59</v>
      </c>
      <c r="D28" s="59">
        <v>5.7500000000000002E-2</v>
      </c>
      <c r="G28" t="s">
        <v>73</v>
      </c>
    </row>
    <row r="29" spans="1:27" ht="16" outlineLevel="1" x14ac:dyDescent="0.2">
      <c r="C29" t="s">
        <v>60</v>
      </c>
      <c r="D29" s="59">
        <v>0.52649999999999997</v>
      </c>
      <c r="G29" t="s">
        <v>73</v>
      </c>
    </row>
    <row r="30" spans="1:27" ht="16" outlineLevel="1" x14ac:dyDescent="0.2">
      <c r="C30" t="s">
        <v>61</v>
      </c>
      <c r="D30" s="59">
        <v>0.47349999999999998</v>
      </c>
      <c r="G30" t="s">
        <v>73</v>
      </c>
    </row>
    <row r="31" spans="1:27" ht="16" outlineLevel="1" x14ac:dyDescent="0.2">
      <c r="C31" t="s">
        <v>62</v>
      </c>
      <c r="D31" s="35">
        <v>0.24</v>
      </c>
      <c r="G31" t="s">
        <v>73</v>
      </c>
    </row>
    <row r="32" spans="1:27" ht="16" outlineLevel="1" x14ac:dyDescent="0.2">
      <c r="C32" s="21" t="s">
        <v>36</v>
      </c>
      <c r="D32" s="38">
        <f>D29*D27+D30*D28*(1-D31)</f>
        <v>6.7761049999999989E-2</v>
      </c>
      <c r="E32" s="21"/>
      <c r="F32" s="21" t="s">
        <v>22</v>
      </c>
    </row>
    <row r="33" spans="1:27" ht="16" outlineLevel="1" x14ac:dyDescent="0.2">
      <c r="C33" s="21" t="s">
        <v>23</v>
      </c>
      <c r="D33" s="38">
        <f>D31</f>
        <v>0.24</v>
      </c>
      <c r="E33" s="21"/>
      <c r="F33" s="21"/>
    </row>
    <row r="34" spans="1:27" ht="15.75" customHeight="1" outlineLevel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1" customFormat="1" ht="15.75" customHeight="1" outlineLevel="1" x14ac:dyDescent="0.2">
      <c r="A35" s="60"/>
      <c r="B35" s="62" t="s">
        <v>64</v>
      </c>
      <c r="C35" s="60"/>
      <c r="D35" s="60"/>
      <c r="E35" s="60"/>
      <c r="F35" s="60"/>
      <c r="G35" s="60" t="s">
        <v>72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ht="15.75" customHeight="1" outlineLevel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outlineLevel="1" x14ac:dyDescent="0.2">
      <c r="A37" s="21"/>
      <c r="B37" s="21"/>
      <c r="C37" s="21" t="s">
        <v>28</v>
      </c>
      <c r="D37" s="34">
        <v>10</v>
      </c>
      <c r="E37" s="29"/>
      <c r="F37" s="29" t="s">
        <v>27</v>
      </c>
      <c r="G37" s="20"/>
      <c r="H37" s="21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outlineLevel="1" x14ac:dyDescent="0.2">
      <c r="A38" s="21"/>
      <c r="B38" s="21"/>
      <c r="C38" s="21" t="s">
        <v>33</v>
      </c>
      <c r="D38" s="54">
        <f>D43*1000/D41</f>
        <v>72.332172677289734</v>
      </c>
      <c r="E38" s="29"/>
      <c r="F38" s="29" t="s">
        <v>30</v>
      </c>
      <c r="G38" s="20"/>
      <c r="H38" s="21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outlineLevel="1" x14ac:dyDescent="0.2">
      <c r="A39" s="21"/>
      <c r="B39" s="21"/>
      <c r="C39" s="21" t="s">
        <v>34</v>
      </c>
      <c r="D39" s="54">
        <f>ROUND(D38*1.3,0)</f>
        <v>94</v>
      </c>
      <c r="E39" s="29"/>
      <c r="F39" s="29" t="s">
        <v>30</v>
      </c>
      <c r="G39" s="20"/>
      <c r="H39" s="21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outlineLevel="1" x14ac:dyDescent="0.2">
      <c r="A40" s="21"/>
      <c r="B40" s="21"/>
      <c r="C40" s="21" t="s">
        <v>34</v>
      </c>
      <c r="D40" s="54">
        <f>ROUND(D39/10,0)*10</f>
        <v>90</v>
      </c>
      <c r="E40" s="29"/>
      <c r="F40" s="28" t="s">
        <v>30</v>
      </c>
      <c r="G40" s="20"/>
      <c r="H40" s="30"/>
      <c r="I40" s="3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outlineLevel="1" x14ac:dyDescent="0.2">
      <c r="A41" s="21"/>
      <c r="B41" s="21"/>
      <c r="C41" s="21" t="s">
        <v>26</v>
      </c>
      <c r="D41" s="36">
        <f>8760*0.7</f>
        <v>6132</v>
      </c>
      <c r="E41" s="29"/>
      <c r="F41" s="28" t="s">
        <v>25</v>
      </c>
      <c r="G41" s="20"/>
      <c r="H41" s="1"/>
      <c r="I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outlineLevel="1" x14ac:dyDescent="0.2">
      <c r="A42" s="21"/>
      <c r="B42" s="21"/>
      <c r="C42" s="21" t="s">
        <v>52</v>
      </c>
      <c r="D42" s="36">
        <f>D13</f>
        <v>310478.61799999845</v>
      </c>
      <c r="E42" s="29"/>
      <c r="F42" s="28" t="s">
        <v>53</v>
      </c>
      <c r="G42" s="20"/>
      <c r="H42" s="1"/>
      <c r="I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outlineLevel="1" x14ac:dyDescent="0.2">
      <c r="A43" s="21"/>
      <c r="B43" s="21"/>
      <c r="C43" s="21" t="s">
        <v>46</v>
      </c>
      <c r="D43" s="37">
        <f>(D42/(1-D66))/1000</f>
        <v>443.54088285714067</v>
      </c>
      <c r="E43" s="29"/>
      <c r="F43" s="28" t="s">
        <v>24</v>
      </c>
      <c r="G43" s="20"/>
      <c r="H43" s="1"/>
      <c r="J43" s="88"/>
      <c r="K43" s="82"/>
      <c r="M43" s="8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outlineLevel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61" customFormat="1" ht="15.75" customHeight="1" outlineLevel="1" x14ac:dyDescent="0.2">
      <c r="A45" s="60"/>
      <c r="B45" s="62" t="s">
        <v>74</v>
      </c>
      <c r="C45" s="60"/>
      <c r="D45" s="60"/>
      <c r="E45" s="60"/>
      <c r="F45" s="60"/>
      <c r="G45" s="60" t="s">
        <v>72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ht="15.75" customHeight="1" outlineLevel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outlineLevel="1" x14ac:dyDescent="0.2">
      <c r="A47" s="21"/>
      <c r="B47" s="21"/>
      <c r="C47" s="21" t="s">
        <v>67</v>
      </c>
      <c r="D47" s="37">
        <f>SUM(D48:D52)</f>
        <v>310</v>
      </c>
      <c r="E47" s="29"/>
      <c r="F47" s="28" t="s">
        <v>32</v>
      </c>
      <c r="G47" s="20"/>
      <c r="H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outlineLevel="1" x14ac:dyDescent="0.2">
      <c r="A48" s="21"/>
      <c r="B48" s="21"/>
      <c r="C48" s="63" t="s">
        <v>68</v>
      </c>
      <c r="D48" s="36">
        <v>90</v>
      </c>
      <c r="E48" s="29"/>
      <c r="F48" s="28" t="s">
        <v>32</v>
      </c>
      <c r="G48" s="65" t="s">
        <v>75</v>
      </c>
      <c r="H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outlineLevel="1" x14ac:dyDescent="0.2">
      <c r="A49" s="21"/>
      <c r="B49" s="21"/>
      <c r="C49" s="63" t="s">
        <v>69</v>
      </c>
      <c r="D49" s="36">
        <v>105</v>
      </c>
      <c r="E49" s="29"/>
      <c r="F49" s="28" t="s">
        <v>32</v>
      </c>
      <c r="G49" s="20"/>
      <c r="H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outlineLevel="1" x14ac:dyDescent="0.2">
      <c r="A50" s="21"/>
      <c r="B50" s="21"/>
      <c r="C50" s="63" t="s">
        <v>65</v>
      </c>
      <c r="D50" s="36">
        <v>45</v>
      </c>
      <c r="E50" s="29"/>
      <c r="F50" s="28" t="s">
        <v>32</v>
      </c>
      <c r="G50" s="20"/>
      <c r="H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outlineLevel="1" x14ac:dyDescent="0.2">
      <c r="A51" s="21"/>
      <c r="B51" s="21"/>
      <c r="C51" s="63" t="s">
        <v>70</v>
      </c>
      <c r="D51" s="36">
        <v>35</v>
      </c>
      <c r="E51" s="29"/>
      <c r="F51" s="28" t="s">
        <v>32</v>
      </c>
      <c r="G51" s="20"/>
      <c r="H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outlineLevel="1" x14ac:dyDescent="0.2">
      <c r="A52" s="21"/>
      <c r="B52" s="21"/>
      <c r="C52" s="63" t="s">
        <v>77</v>
      </c>
      <c r="D52" s="36">
        <v>35</v>
      </c>
      <c r="E52" s="29"/>
      <c r="F52" s="28" t="s">
        <v>32</v>
      </c>
      <c r="G52" s="20"/>
      <c r="H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outlineLevel="1" x14ac:dyDescent="0.2">
      <c r="A53" s="21"/>
      <c r="B53" s="21"/>
      <c r="C53" s="63" t="s">
        <v>93</v>
      </c>
      <c r="D53" s="35">
        <v>0.1</v>
      </c>
      <c r="E53" s="29"/>
      <c r="F53" s="28" t="s">
        <v>90</v>
      </c>
      <c r="G53" s="20"/>
      <c r="H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outlineLevel="1" x14ac:dyDescent="0.2">
      <c r="A54" s="21"/>
      <c r="B54" s="21"/>
      <c r="C54" s="66" t="s">
        <v>67</v>
      </c>
      <c r="D54" s="36">
        <f>(D47*D40/1000)*(1+D53)</f>
        <v>30.69</v>
      </c>
      <c r="E54" s="21"/>
      <c r="F54" s="27" t="s">
        <v>35</v>
      </c>
      <c r="G54" s="20"/>
      <c r="H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outlineLevel="1" x14ac:dyDescent="0.2">
      <c r="A55" s="21"/>
      <c r="B55" s="21"/>
      <c r="C55" s="21" t="s">
        <v>103</v>
      </c>
      <c r="D55" s="36">
        <v>10</v>
      </c>
      <c r="E55" s="21"/>
      <c r="F55" s="28" t="s">
        <v>37</v>
      </c>
      <c r="G55" s="20" t="s">
        <v>76</v>
      </c>
      <c r="H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outlineLevel="1" x14ac:dyDescent="0.2">
      <c r="A56" s="21"/>
      <c r="B56" s="21"/>
      <c r="C56" s="21" t="s">
        <v>94</v>
      </c>
      <c r="D56" s="36">
        <f>IF(OR(D84="FIC",D84="COMBO"),0,D55)</f>
        <v>0</v>
      </c>
      <c r="E56" s="29"/>
      <c r="F56" s="28" t="s">
        <v>37</v>
      </c>
      <c r="G56" s="20" t="s">
        <v>76</v>
      </c>
      <c r="H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outlineLevel="1" x14ac:dyDescent="0.2">
      <c r="A57" s="21"/>
      <c r="B57" s="21"/>
      <c r="C57" s="21" t="s">
        <v>66</v>
      </c>
      <c r="D57" s="36">
        <v>3.5</v>
      </c>
      <c r="E57" s="21"/>
      <c r="F57" s="21" t="s">
        <v>71</v>
      </c>
      <c r="G57" s="65" t="s">
        <v>75</v>
      </c>
      <c r="H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outlineLevel="1" x14ac:dyDescent="0.2">
      <c r="A58" s="21"/>
      <c r="B58" s="21"/>
      <c r="C58" s="21" t="s">
        <v>15</v>
      </c>
      <c r="D58" s="64">
        <v>2.5</v>
      </c>
      <c r="E58" s="21"/>
      <c r="F58" s="27" t="s">
        <v>40</v>
      </c>
      <c r="G58" s="65" t="s">
        <v>75</v>
      </c>
      <c r="H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outlineLevel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s="61" customFormat="1" ht="15.75" customHeight="1" outlineLevel="1" x14ac:dyDescent="0.2">
      <c r="A60" s="60"/>
      <c r="B60" s="62" t="s">
        <v>79</v>
      </c>
      <c r="C60" s="60"/>
      <c r="D60" s="60"/>
      <c r="E60" s="60"/>
      <c r="F60" s="60"/>
      <c r="G60" s="60" t="s">
        <v>72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15.75" customHeight="1" outlineLevel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outlineLevel="1" x14ac:dyDescent="0.2">
      <c r="A62" s="1"/>
      <c r="B62" s="1"/>
      <c r="C62" s="21" t="s">
        <v>91</v>
      </c>
      <c r="D62" s="69">
        <f>0.0560958904038811*(1+D63)</f>
        <v>6.4510273964463252E-2</v>
      </c>
      <c r="E62" s="21"/>
      <c r="F62" s="27" t="s">
        <v>78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outlineLevel="1" x14ac:dyDescent="0.2">
      <c r="A63" s="1"/>
      <c r="B63" s="1"/>
      <c r="C63" s="21" t="s">
        <v>95</v>
      </c>
      <c r="D63" s="69">
        <f>IF(OR(D84="FIP",D84="COMBO"),D82,0)</f>
        <v>0.15</v>
      </c>
      <c r="E63" s="21"/>
      <c r="F63" s="2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outlineLevel="1" x14ac:dyDescent="0.2">
      <c r="A64" s="1"/>
      <c r="B64" s="1"/>
      <c r="C64" s="21" t="s">
        <v>88</v>
      </c>
      <c r="D64" s="69">
        <v>0.30399999999999999</v>
      </c>
      <c r="E64" s="21"/>
      <c r="F64" s="27" t="s">
        <v>78</v>
      </c>
      <c r="G64" s="1"/>
      <c r="H64" s="1">
        <v>3.8889321999999997E-2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8" ht="15.75" customHeight="1" outlineLevel="1" x14ac:dyDescent="0.2">
      <c r="A65" s="1"/>
      <c r="B65" s="1"/>
      <c r="C65" s="21" t="s">
        <v>84</v>
      </c>
      <c r="D65" s="35">
        <f>IF(OR(D84="FIC",D84="COMBO"), D83,0%)</f>
        <v>0.6</v>
      </c>
      <c r="E65" s="21"/>
      <c r="F65" s="2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8" ht="15.75" customHeight="1" outlineLevel="1" x14ac:dyDescent="0.2">
      <c r="A66" s="21"/>
      <c r="B66" s="21"/>
      <c r="C66" s="21" t="s">
        <v>41</v>
      </c>
      <c r="D66" s="35">
        <v>0.3</v>
      </c>
      <c r="E66" s="21"/>
      <c r="F66" s="27"/>
      <c r="G66" s="21"/>
      <c r="H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8" ht="15.75" customHeight="1" outlineLevel="1" x14ac:dyDescent="0.2">
      <c r="A67" s="21"/>
      <c r="B67" s="21"/>
      <c r="C67" s="21" t="s">
        <v>42</v>
      </c>
      <c r="D67" s="36">
        <f>D43*D66</f>
        <v>133.0622648571422</v>
      </c>
      <c r="E67" s="21"/>
      <c r="F67" s="27" t="s">
        <v>24</v>
      </c>
      <c r="G67" s="21"/>
      <c r="H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8" ht="15.75" customHeight="1" outlineLevel="1" x14ac:dyDescent="0.2">
      <c r="A68" s="21"/>
      <c r="B68" s="21"/>
      <c r="C68" s="21" t="s">
        <v>43</v>
      </c>
      <c r="D68" s="35">
        <v>0</v>
      </c>
      <c r="E68" s="21"/>
      <c r="F68" s="27"/>
      <c r="G68" s="2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8" ht="15.75" customHeight="1" outlineLevel="1" x14ac:dyDescent="0.2">
      <c r="A69" s="21"/>
      <c r="B69" s="21"/>
      <c r="C69" s="21" t="s">
        <v>107</v>
      </c>
      <c r="D69" s="67">
        <v>0.35</v>
      </c>
      <c r="E69" s="21"/>
      <c r="F69" s="27"/>
      <c r="G69" s="2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8" ht="15.75" customHeight="1" x14ac:dyDescent="0.2">
      <c r="A70" s="21"/>
      <c r="B70" s="21"/>
      <c r="C70" s="21"/>
      <c r="D70" s="75"/>
      <c r="E70" s="21"/>
      <c r="F70" s="27"/>
      <c r="G70" s="2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8" ht="15.75" customHeight="1" x14ac:dyDescent="0.2">
      <c r="A71" s="21"/>
      <c r="B71" s="21"/>
      <c r="G71" s="2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8" s="71" customFormat="1" ht="22" customHeight="1" x14ac:dyDescent="0.2">
      <c r="A72" s="70"/>
      <c r="B72" s="73" t="s">
        <v>83</v>
      </c>
      <c r="G72" s="70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spans="1:28" ht="16" x14ac:dyDescent="0.2">
      <c r="A73" s="21"/>
      <c r="B73" s="74"/>
      <c r="G73" s="2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8" ht="16" x14ac:dyDescent="0.2">
      <c r="A74" s="21"/>
      <c r="B74" s="74"/>
      <c r="G74" s="21"/>
      <c r="H74" s="18">
        <v>2022</v>
      </c>
      <c r="I74" s="18">
        <v>2023</v>
      </c>
      <c r="J74" s="18">
        <v>2024</v>
      </c>
      <c r="K74" s="18">
        <v>2025</v>
      </c>
      <c r="L74" s="18">
        <v>2026</v>
      </c>
      <c r="M74" s="18">
        <v>2027</v>
      </c>
      <c r="N74" s="18">
        <v>2028</v>
      </c>
      <c r="O74" s="18">
        <v>2029</v>
      </c>
      <c r="P74" s="18">
        <v>2030</v>
      </c>
      <c r="Q74" s="18">
        <v>2031</v>
      </c>
      <c r="R74" s="18">
        <v>2032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ht="16" x14ac:dyDescent="0.2">
      <c r="A75" s="21"/>
      <c r="B75" s="74"/>
      <c r="C75" t="s">
        <v>89</v>
      </c>
      <c r="D75" s="68">
        <f>I75</f>
        <v>116.125</v>
      </c>
      <c r="F75" t="s">
        <v>40</v>
      </c>
      <c r="G75" s="21" t="s">
        <v>87</v>
      </c>
      <c r="H75" s="76">
        <v>281.375</v>
      </c>
      <c r="I75" s="76">
        <v>116.125</v>
      </c>
      <c r="J75" s="76">
        <v>82</v>
      </c>
      <c r="K75" s="76">
        <v>84.875</v>
      </c>
      <c r="L75" s="76">
        <f>K75*(L77/K77)</f>
        <v>77.911571207430342</v>
      </c>
      <c r="M75" s="76">
        <f>L75*(M77/L77)</f>
        <v>71.355437306501557</v>
      </c>
      <c r="N75" s="76">
        <f>M75</f>
        <v>71.355437306501557</v>
      </c>
      <c r="O75" s="76">
        <f t="shared" ref="O75:R75" si="0">N75</f>
        <v>71.355437306501557</v>
      </c>
      <c r="P75" s="76">
        <f t="shared" si="0"/>
        <v>71.355437306501557</v>
      </c>
      <c r="Q75" s="76">
        <f t="shared" si="0"/>
        <v>71.355437306501557</v>
      </c>
      <c r="R75" s="76">
        <f t="shared" si="0"/>
        <v>71.355437306501557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ht="16" x14ac:dyDescent="0.2">
      <c r="A76" s="21"/>
      <c r="B76" s="74"/>
      <c r="C76" t="s">
        <v>83</v>
      </c>
      <c r="D76" s="68">
        <f>H76</f>
        <v>304</v>
      </c>
      <c r="F76" t="s">
        <v>40</v>
      </c>
      <c r="G76" s="21"/>
      <c r="H76" s="76">
        <f>D64*1000</f>
        <v>304</v>
      </c>
      <c r="I76" s="76">
        <f>H76*I75/H75</f>
        <v>125.46246112838739</v>
      </c>
      <c r="J76" s="76">
        <f t="shared" ref="J76:R76" si="1">I76*J75/I75</f>
        <v>88.593513993780547</v>
      </c>
      <c r="K76" s="76">
        <f t="shared" si="1"/>
        <v>91.699689027099069</v>
      </c>
      <c r="L76" s="76">
        <f t="shared" si="1"/>
        <v>84.176339927352544</v>
      </c>
      <c r="M76" s="76">
        <f t="shared" si="1"/>
        <v>77.093035774949698</v>
      </c>
      <c r="N76" s="76">
        <f t="shared" si="1"/>
        <v>77.093035774949698</v>
      </c>
      <c r="O76" s="76">
        <f t="shared" si="1"/>
        <v>77.093035774949698</v>
      </c>
      <c r="P76" s="76">
        <f t="shared" si="1"/>
        <v>77.093035774949698</v>
      </c>
      <c r="Q76" s="76">
        <f t="shared" si="1"/>
        <v>77.093035774949698</v>
      </c>
      <c r="R76" s="76">
        <f t="shared" si="1"/>
        <v>77.093035774949698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ht="16" x14ac:dyDescent="0.2">
      <c r="A77" s="21"/>
      <c r="B77" s="74"/>
      <c r="C77" t="s">
        <v>85</v>
      </c>
      <c r="D77" s="68">
        <f>I77</f>
        <v>37.670999999999999</v>
      </c>
      <c r="F77" t="s">
        <v>40</v>
      </c>
      <c r="G77" s="21" t="s">
        <v>86</v>
      </c>
      <c r="H77" s="76">
        <v>138.07499999999999</v>
      </c>
      <c r="I77" s="76">
        <v>37.670999999999999</v>
      </c>
      <c r="J77" s="76">
        <v>29.66</v>
      </c>
      <c r="K77" s="76">
        <v>32.299999999999997</v>
      </c>
      <c r="L77" s="76">
        <v>29.65</v>
      </c>
      <c r="M77" s="76">
        <v>27.155000000000001</v>
      </c>
      <c r="N77" s="76">
        <f>M77</f>
        <v>27.155000000000001</v>
      </c>
      <c r="O77" s="76">
        <f t="shared" ref="O77:R77" si="2">N77</f>
        <v>27.155000000000001</v>
      </c>
      <c r="P77" s="76">
        <f t="shared" si="2"/>
        <v>27.155000000000001</v>
      </c>
      <c r="Q77" s="76">
        <f t="shared" si="2"/>
        <v>27.155000000000001</v>
      </c>
      <c r="R77" s="76">
        <f t="shared" si="2"/>
        <v>27.155000000000001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ht="16" x14ac:dyDescent="0.2">
      <c r="A78" s="21"/>
      <c r="B78" s="74"/>
      <c r="C78" t="s">
        <v>80</v>
      </c>
      <c r="D78" s="77">
        <f>H78</f>
        <v>64.510273964463252</v>
      </c>
      <c r="F78" t="s">
        <v>40</v>
      </c>
      <c r="G78" s="21"/>
      <c r="H78" s="76">
        <f>D62*1000</f>
        <v>64.510273964463252</v>
      </c>
      <c r="I78" s="78">
        <f>H78</f>
        <v>64.510273964463252</v>
      </c>
      <c r="J78" s="76">
        <f>I78*J77/I77</f>
        <v>50.791715796925487</v>
      </c>
      <c r="K78" s="76">
        <f t="shared" ref="K78:R78" si="3">J78*K77/J77</f>
        <v>55.312623743786013</v>
      </c>
      <c r="L78" s="76">
        <f t="shared" si="3"/>
        <v>50.774591145611623</v>
      </c>
      <c r="M78" s="76">
        <f t="shared" si="3"/>
        <v>46.501990642802149</v>
      </c>
      <c r="N78" s="76">
        <f t="shared" si="3"/>
        <v>46.501990642802149</v>
      </c>
      <c r="O78" s="76">
        <f t="shared" si="3"/>
        <v>46.501990642802149</v>
      </c>
      <c r="P78" s="76">
        <f t="shared" si="3"/>
        <v>46.501990642802149</v>
      </c>
      <c r="Q78" s="76">
        <f t="shared" si="3"/>
        <v>46.501990642802149</v>
      </c>
      <c r="R78" s="76">
        <f t="shared" si="3"/>
        <v>46.501990642802149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">
      <c r="A79" s="21"/>
      <c r="B79" s="21"/>
      <c r="G79" s="2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8" s="71" customFormat="1" ht="22" customHeight="1" x14ac:dyDescent="0.2">
      <c r="A80" s="70"/>
      <c r="B80" s="73" t="s">
        <v>81</v>
      </c>
      <c r="G80" s="70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 ht="16" x14ac:dyDescent="0.2">
      <c r="A81" s="21"/>
      <c r="B81" s="74"/>
      <c r="G81" s="2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" x14ac:dyDescent="0.2">
      <c r="A82" s="21"/>
      <c r="B82" s="74"/>
      <c r="C82" t="s">
        <v>96</v>
      </c>
      <c r="D82" s="35">
        <v>0.15</v>
      </c>
      <c r="G82" s="2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" x14ac:dyDescent="0.2">
      <c r="A83" s="21"/>
      <c r="B83" s="74"/>
      <c r="C83" t="s">
        <v>97</v>
      </c>
      <c r="D83" s="35">
        <v>0.6</v>
      </c>
      <c r="G83" s="2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" x14ac:dyDescent="0.2">
      <c r="A84" s="21"/>
      <c r="B84" s="74"/>
      <c r="C84" t="s">
        <v>82</v>
      </c>
      <c r="D84" s="36" t="s">
        <v>110</v>
      </c>
      <c r="G84" s="2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21"/>
      <c r="B85" s="21"/>
      <c r="C85" s="19"/>
      <c r="D85" s="21"/>
      <c r="E85" s="21"/>
      <c r="F85" s="21"/>
      <c r="G85" s="2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22"/>
      <c r="B86" s="26" t="s">
        <v>98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9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21"/>
      <c r="B88" s="21"/>
      <c r="C88" s="20"/>
      <c r="D88" s="19"/>
      <c r="E88" s="19"/>
      <c r="F88" s="83" t="s">
        <v>17</v>
      </c>
      <c r="G88" s="87"/>
      <c r="H88" s="18">
        <v>0</v>
      </c>
      <c r="I88" s="18">
        <v>1</v>
      </c>
      <c r="J88" s="18">
        <v>2</v>
      </c>
      <c r="K88" s="18">
        <v>3</v>
      </c>
      <c r="L88" s="18">
        <v>4</v>
      </c>
      <c r="M88" s="18">
        <v>5</v>
      </c>
      <c r="N88" s="18">
        <v>6</v>
      </c>
      <c r="O88" s="18">
        <v>7</v>
      </c>
      <c r="P88" s="18">
        <v>8</v>
      </c>
      <c r="Q88" s="18">
        <v>9</v>
      </c>
      <c r="R88" s="18">
        <v>10</v>
      </c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9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6" t="s">
        <v>16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 t="s">
        <v>31</v>
      </c>
      <c r="D91" s="1" t="s">
        <v>40</v>
      </c>
      <c r="E91" s="1"/>
      <c r="F91" s="1"/>
      <c r="G91" s="1"/>
      <c r="H91" s="44">
        <f>IF(OR($D$84="FIC",$D$84="COMBO"),H78*(1-$D$69),H78)</f>
        <v>41.931678076901115</v>
      </c>
      <c r="I91" s="44">
        <f t="shared" ref="I91:R91" si="4">IF(OR($D$84="FIC",$D$84="COMBO"),I78*(1-$D$69),I78)</f>
        <v>41.931678076901115</v>
      </c>
      <c r="J91" s="44">
        <f t="shared" si="4"/>
        <v>33.01461526800157</v>
      </c>
      <c r="K91" s="44">
        <f t="shared" si="4"/>
        <v>35.953205433460909</v>
      </c>
      <c r="L91" s="44">
        <f t="shared" si="4"/>
        <v>33.003484244647559</v>
      </c>
      <c r="M91" s="44">
        <f t="shared" si="4"/>
        <v>30.226293917821398</v>
      </c>
      <c r="N91" s="44">
        <f t="shared" si="4"/>
        <v>30.226293917821398</v>
      </c>
      <c r="O91" s="44">
        <f t="shared" si="4"/>
        <v>30.226293917821398</v>
      </c>
      <c r="P91" s="44">
        <f t="shared" si="4"/>
        <v>30.226293917821398</v>
      </c>
      <c r="Q91" s="44">
        <f t="shared" si="4"/>
        <v>30.226293917821398</v>
      </c>
      <c r="R91" s="44">
        <f t="shared" si="4"/>
        <v>30.226293917821398</v>
      </c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5.75" customHeight="1" x14ac:dyDescent="0.2">
      <c r="A92" s="1"/>
      <c r="B92" s="1"/>
      <c r="C92" s="1" t="s">
        <v>92</v>
      </c>
      <c r="D92" s="1" t="s">
        <v>40</v>
      </c>
      <c r="E92" s="1"/>
      <c r="F92" s="1"/>
      <c r="G92" s="1"/>
      <c r="H92" s="44">
        <f>H91*(1+$D$68)</f>
        <v>41.931678076901115</v>
      </c>
      <c r="I92" s="44">
        <f t="shared" ref="I92:R92" si="5">I91*(1+$D$68)</f>
        <v>41.931678076901115</v>
      </c>
      <c r="J92" s="44">
        <f t="shared" si="5"/>
        <v>33.01461526800157</v>
      </c>
      <c r="K92" s="44">
        <f t="shared" si="5"/>
        <v>35.953205433460909</v>
      </c>
      <c r="L92" s="44">
        <f t="shared" si="5"/>
        <v>33.003484244647559</v>
      </c>
      <c r="M92" s="44">
        <f t="shared" si="5"/>
        <v>30.226293917821398</v>
      </c>
      <c r="N92" s="44">
        <f t="shared" si="5"/>
        <v>30.226293917821398</v>
      </c>
      <c r="O92" s="44">
        <f t="shared" si="5"/>
        <v>30.226293917821398</v>
      </c>
      <c r="P92" s="44">
        <f t="shared" si="5"/>
        <v>30.226293917821398</v>
      </c>
      <c r="Q92" s="44">
        <f t="shared" si="5"/>
        <v>30.226293917821398</v>
      </c>
      <c r="R92" s="44">
        <f t="shared" si="5"/>
        <v>30.226293917821398</v>
      </c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5.75" customHeight="1" x14ac:dyDescent="0.2">
      <c r="A93" s="1"/>
      <c r="B93" s="1"/>
      <c r="C93" s="1" t="s">
        <v>44</v>
      </c>
      <c r="D93" s="1" t="s">
        <v>18</v>
      </c>
      <c r="E93" s="1"/>
      <c r="F93" s="1"/>
      <c r="G93" s="1"/>
      <c r="H93" s="44"/>
      <c r="I93" s="44">
        <f>$D$67</f>
        <v>133.0622648571422</v>
      </c>
      <c r="J93" s="44">
        <f t="shared" ref="J93:R93" si="6">$D$67</f>
        <v>133.0622648571422</v>
      </c>
      <c r="K93" s="44">
        <f t="shared" si="6"/>
        <v>133.0622648571422</v>
      </c>
      <c r="L93" s="44">
        <f t="shared" si="6"/>
        <v>133.0622648571422</v>
      </c>
      <c r="M93" s="44">
        <f t="shared" si="6"/>
        <v>133.0622648571422</v>
      </c>
      <c r="N93" s="44">
        <f t="shared" si="6"/>
        <v>133.0622648571422</v>
      </c>
      <c r="O93" s="44">
        <f t="shared" si="6"/>
        <v>133.0622648571422</v>
      </c>
      <c r="P93" s="44">
        <f t="shared" si="6"/>
        <v>133.0622648571422</v>
      </c>
      <c r="Q93" s="44">
        <f t="shared" si="6"/>
        <v>133.0622648571422</v>
      </c>
      <c r="R93" s="44">
        <f t="shared" si="6"/>
        <v>133.0622648571422</v>
      </c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5.75" customHeight="1" x14ac:dyDescent="0.2">
      <c r="A94" s="1"/>
      <c r="B94" s="1"/>
      <c r="C94" s="42" t="s">
        <v>45</v>
      </c>
      <c r="D94" s="42" t="s">
        <v>18</v>
      </c>
      <c r="E94" s="43"/>
      <c r="F94" s="43"/>
      <c r="G94" s="43"/>
      <c r="H94" s="45"/>
      <c r="I94" s="45">
        <f>$D$43-I93</f>
        <v>310.47861799999851</v>
      </c>
      <c r="J94" s="45">
        <f t="shared" ref="J94:R94" si="7">$D$43-J93</f>
        <v>310.47861799999851</v>
      </c>
      <c r="K94" s="45">
        <f t="shared" si="7"/>
        <v>310.47861799999851</v>
      </c>
      <c r="L94" s="45">
        <f t="shared" si="7"/>
        <v>310.47861799999851</v>
      </c>
      <c r="M94" s="45">
        <f t="shared" si="7"/>
        <v>310.47861799999851</v>
      </c>
      <c r="N94" s="45">
        <f t="shared" si="7"/>
        <v>310.47861799999851</v>
      </c>
      <c r="O94" s="45">
        <f t="shared" si="7"/>
        <v>310.47861799999851</v>
      </c>
      <c r="P94" s="45">
        <f t="shared" si="7"/>
        <v>310.47861799999851</v>
      </c>
      <c r="Q94" s="45">
        <f t="shared" si="7"/>
        <v>310.47861799999851</v>
      </c>
      <c r="R94" s="45">
        <f t="shared" si="7"/>
        <v>310.47861799999851</v>
      </c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5.75" customHeight="1" x14ac:dyDescent="0.2">
      <c r="A95" s="9"/>
      <c r="B95" s="9"/>
      <c r="C95" s="9" t="s">
        <v>21</v>
      </c>
      <c r="D95" s="24" t="s">
        <v>35</v>
      </c>
      <c r="E95" s="9"/>
      <c r="F95" s="9"/>
      <c r="G95" s="9"/>
      <c r="H95" s="46">
        <f>(H94*H91+H93*H92)/1000</f>
        <v>0</v>
      </c>
      <c r="I95" s="46">
        <f>(I94*I91+I93*I92)/1000</f>
        <v>18.598413513910131</v>
      </c>
      <c r="J95" s="46">
        <f t="shared" ref="J95:R95" si="8">(J94*J91+J93*J92)/1000</f>
        <v>14.643331603158252</v>
      </c>
      <c r="K95" s="46">
        <f t="shared" si="8"/>
        <v>15.946716479501399</v>
      </c>
      <c r="L95" s="46">
        <f t="shared" si="8"/>
        <v>14.638394539232712</v>
      </c>
      <c r="M95" s="46">
        <f t="shared" si="8"/>
        <v>13.406597089809926</v>
      </c>
      <c r="N95" s="46">
        <f t="shared" si="8"/>
        <v>13.406597089809926</v>
      </c>
      <c r="O95" s="46">
        <f t="shared" si="8"/>
        <v>13.406597089809926</v>
      </c>
      <c r="P95" s="46">
        <f t="shared" si="8"/>
        <v>13.406597089809926</v>
      </c>
      <c r="Q95" s="46">
        <f t="shared" si="8"/>
        <v>13.406597089809926</v>
      </c>
      <c r="R95" s="46">
        <f t="shared" si="8"/>
        <v>13.406597089809926</v>
      </c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6" t="s">
        <v>20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 t="s">
        <v>19</v>
      </c>
      <c r="D98" s="1" t="s">
        <v>35</v>
      </c>
      <c r="E98" s="1"/>
      <c r="F98" s="1"/>
      <c r="G98" s="1"/>
      <c r="H98" s="44">
        <f>-($D$58*(H93+H94)/1000)-($D$57*$D$39/1000)</f>
        <v>-0.32900000000000001</v>
      </c>
      <c r="I98" s="44">
        <f>-($D$58*(I93+I94)/1000)-($D$57*$D$39/1000)</f>
        <v>-1.4378522071428517</v>
      </c>
      <c r="J98" s="44">
        <f>-($D$58*(J93+J94)/1000)-($D$57*$D$39/1000)</f>
        <v>-1.4378522071428517</v>
      </c>
      <c r="K98" s="44">
        <f>-($D$58*(K93+K94)/1000)-($D$57*$D$39/1000)</f>
        <v>-1.4378522071428517</v>
      </c>
      <c r="L98" s="44">
        <f>-($D$58*(L93+L94)/1000)-($D$57*$D$39/1000)</f>
        <v>-1.4378522071428517</v>
      </c>
      <c r="M98" s="44">
        <f>-($D$58*(M93+M94)/1000)-($D$57*$D$39/1000)</f>
        <v>-1.4378522071428517</v>
      </c>
      <c r="N98" s="44">
        <f>-($D$58*(N93+N94)/1000)-($D$57*$D$39/1000)</f>
        <v>-1.4378522071428517</v>
      </c>
      <c r="O98" s="44">
        <f>-($D$58*(O93+O94)/1000)-($D$57*$D$39/1000)</f>
        <v>-1.4378522071428517</v>
      </c>
      <c r="P98" s="44">
        <f>-($D$58*(P93+P94)/1000)-($D$57*$D$39/1000)</f>
        <v>-1.4378522071428517</v>
      </c>
      <c r="Q98" s="44">
        <f>-($D$58*(Q93+Q94)/1000)-($D$57*$D$39/1000)</f>
        <v>-1.4378522071428517</v>
      </c>
      <c r="R98" s="44">
        <f>-($D$58*(R93+R94)/1000)-($D$57*$D$39/1000)</f>
        <v>-1.4378522071428517</v>
      </c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5.75" customHeight="1" x14ac:dyDescent="0.2">
      <c r="A99" s="1"/>
      <c r="B99" s="1"/>
      <c r="C99" s="42" t="s">
        <v>47</v>
      </c>
      <c r="D99" s="42" t="s">
        <v>35</v>
      </c>
      <c r="E99" s="42"/>
      <c r="F99" s="42"/>
      <c r="G99" s="42"/>
      <c r="H99" s="45">
        <f>-$D$56</f>
        <v>0</v>
      </c>
      <c r="I99" s="45">
        <f t="shared" ref="I99:R99" si="9">-$D$56</f>
        <v>0</v>
      </c>
      <c r="J99" s="45">
        <f t="shared" si="9"/>
        <v>0</v>
      </c>
      <c r="K99" s="45">
        <f t="shared" si="9"/>
        <v>0</v>
      </c>
      <c r="L99" s="45">
        <f t="shared" si="9"/>
        <v>0</v>
      </c>
      <c r="M99" s="45">
        <f t="shared" si="9"/>
        <v>0</v>
      </c>
      <c r="N99" s="45">
        <f t="shared" si="9"/>
        <v>0</v>
      </c>
      <c r="O99" s="45">
        <f t="shared" si="9"/>
        <v>0</v>
      </c>
      <c r="P99" s="45">
        <f t="shared" si="9"/>
        <v>0</v>
      </c>
      <c r="Q99" s="45">
        <f t="shared" si="9"/>
        <v>0</v>
      </c>
      <c r="R99" s="45">
        <f t="shared" si="9"/>
        <v>0</v>
      </c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">
      <c r="A100" s="9"/>
      <c r="B100" s="9"/>
      <c r="C100" s="9" t="s">
        <v>15</v>
      </c>
      <c r="D100" s="9" t="s">
        <v>35</v>
      </c>
      <c r="E100" s="9"/>
      <c r="F100" s="9"/>
      <c r="G100" s="9"/>
      <c r="H100" s="46">
        <f>SUM(H98:H99)</f>
        <v>-0.32900000000000001</v>
      </c>
      <c r="I100" s="46">
        <f>SUM(I98:I99)</f>
        <v>-1.4378522071428517</v>
      </c>
      <c r="J100" s="46">
        <f t="shared" ref="J100:Q100" si="10">SUM(J98:J99)</f>
        <v>-1.4378522071428517</v>
      </c>
      <c r="K100" s="46">
        <f t="shared" si="10"/>
        <v>-1.4378522071428517</v>
      </c>
      <c r="L100" s="46">
        <f t="shared" si="10"/>
        <v>-1.4378522071428517</v>
      </c>
      <c r="M100" s="46">
        <f t="shared" si="10"/>
        <v>-1.4378522071428517</v>
      </c>
      <c r="N100" s="46">
        <f t="shared" si="10"/>
        <v>-1.4378522071428517</v>
      </c>
      <c r="O100" s="46">
        <f t="shared" si="10"/>
        <v>-1.4378522071428517</v>
      </c>
      <c r="P100" s="46">
        <f t="shared" si="10"/>
        <v>-1.4378522071428517</v>
      </c>
      <c r="Q100" s="46">
        <f t="shared" si="10"/>
        <v>-1.4378522071428517</v>
      </c>
      <c r="R100" s="46">
        <f t="shared" ref="R100" si="11">SUM(R98:R99)</f>
        <v>-1.4378522071428517</v>
      </c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6" t="s">
        <v>50</v>
      </c>
      <c r="C103" s="1"/>
      <c r="D103" s="1"/>
      <c r="E103" s="1"/>
      <c r="F103" s="83" t="s">
        <v>17</v>
      </c>
      <c r="G103" s="84"/>
      <c r="H103" s="18">
        <v>0</v>
      </c>
      <c r="I103" s="18">
        <v>1</v>
      </c>
      <c r="J103" s="18">
        <v>2</v>
      </c>
      <c r="K103" s="18">
        <v>3</v>
      </c>
      <c r="L103" s="18">
        <v>4</v>
      </c>
      <c r="M103" s="18">
        <v>5</v>
      </c>
      <c r="N103" s="18">
        <v>6</v>
      </c>
      <c r="O103" s="18">
        <v>7</v>
      </c>
      <c r="P103" s="18">
        <v>8</v>
      </c>
      <c r="Q103" s="18">
        <v>9</v>
      </c>
      <c r="R103" s="18">
        <v>10</v>
      </c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 t="s">
        <v>16</v>
      </c>
      <c r="D104" s="1" t="s">
        <v>35</v>
      </c>
      <c r="E104" s="1"/>
      <c r="F104" s="1"/>
      <c r="G104" s="1"/>
      <c r="H104" s="44">
        <f>H95</f>
        <v>0</v>
      </c>
      <c r="I104" s="44">
        <f t="shared" ref="I104:Q104" si="12">I95</f>
        <v>18.598413513910131</v>
      </c>
      <c r="J104" s="44">
        <f t="shared" si="12"/>
        <v>14.643331603158252</v>
      </c>
      <c r="K104" s="44">
        <f t="shared" si="12"/>
        <v>15.946716479501399</v>
      </c>
      <c r="L104" s="44">
        <f t="shared" si="12"/>
        <v>14.638394539232712</v>
      </c>
      <c r="M104" s="44">
        <f t="shared" si="12"/>
        <v>13.406597089809926</v>
      </c>
      <c r="N104" s="44">
        <f t="shared" si="12"/>
        <v>13.406597089809926</v>
      </c>
      <c r="O104" s="44">
        <f t="shared" si="12"/>
        <v>13.406597089809926</v>
      </c>
      <c r="P104" s="44">
        <f t="shared" si="12"/>
        <v>13.406597089809926</v>
      </c>
      <c r="Q104" s="44">
        <f t="shared" si="12"/>
        <v>13.406597089809926</v>
      </c>
      <c r="R104" s="44">
        <f t="shared" ref="R104" si="13">R95</f>
        <v>13.406597089809926</v>
      </c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">
      <c r="A105" s="1"/>
      <c r="B105" s="1"/>
      <c r="C105" s="1" t="s">
        <v>15</v>
      </c>
      <c r="D105" s="17" t="s">
        <v>35</v>
      </c>
      <c r="E105" s="1"/>
      <c r="F105" s="1"/>
      <c r="G105" s="1"/>
      <c r="H105" s="44">
        <f t="shared" ref="H105" si="14">H100</f>
        <v>-0.32900000000000001</v>
      </c>
      <c r="I105" s="44">
        <f t="shared" ref="I105:Q105" si="15">I100</f>
        <v>-1.4378522071428517</v>
      </c>
      <c r="J105" s="44">
        <f t="shared" si="15"/>
        <v>-1.4378522071428517</v>
      </c>
      <c r="K105" s="44">
        <f t="shared" si="15"/>
        <v>-1.4378522071428517</v>
      </c>
      <c r="L105" s="44">
        <f t="shared" si="15"/>
        <v>-1.4378522071428517</v>
      </c>
      <c r="M105" s="44">
        <f t="shared" si="15"/>
        <v>-1.4378522071428517</v>
      </c>
      <c r="N105" s="44">
        <f t="shared" si="15"/>
        <v>-1.4378522071428517</v>
      </c>
      <c r="O105" s="44">
        <f t="shared" si="15"/>
        <v>-1.4378522071428517</v>
      </c>
      <c r="P105" s="44">
        <f t="shared" si="15"/>
        <v>-1.4378522071428517</v>
      </c>
      <c r="Q105" s="44">
        <f t="shared" si="15"/>
        <v>-1.4378522071428517</v>
      </c>
      <c r="R105" s="44">
        <f t="shared" ref="R105" si="16">R100</f>
        <v>-1.4378522071428517</v>
      </c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">
      <c r="A106" s="1"/>
      <c r="B106" s="1"/>
      <c r="C106" s="13" t="s">
        <v>14</v>
      </c>
      <c r="D106" s="13" t="s">
        <v>35</v>
      </c>
      <c r="E106" s="13"/>
      <c r="F106" s="13"/>
      <c r="G106" s="13"/>
      <c r="H106" s="45">
        <f>-D54</f>
        <v>-30.69</v>
      </c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2"/>
      <c r="T106" s="42"/>
      <c r="U106" s="42"/>
      <c r="V106" s="13"/>
      <c r="W106" s="13"/>
      <c r="X106" s="13"/>
      <c r="Y106" s="13"/>
      <c r="Z106" s="13"/>
      <c r="AA106" s="13"/>
    </row>
    <row r="107" spans="1:27" ht="15.75" customHeight="1" x14ac:dyDescent="0.2">
      <c r="A107" s="9"/>
      <c r="B107" s="9"/>
      <c r="C107" s="9" t="s">
        <v>13</v>
      </c>
      <c r="D107" s="9" t="s">
        <v>35</v>
      </c>
      <c r="E107" s="9"/>
      <c r="F107" s="9"/>
      <c r="G107" s="53"/>
      <c r="H107" s="48">
        <f>SUM(H104:H106)</f>
        <v>-31.019000000000002</v>
      </c>
      <c r="I107" s="48">
        <f t="shared" ref="I107:Q107" si="17">SUM(I104:I105)</f>
        <v>17.160561306767278</v>
      </c>
      <c r="J107" s="48">
        <f t="shared" si="17"/>
        <v>13.2054793960154</v>
      </c>
      <c r="K107" s="48">
        <f t="shared" si="17"/>
        <v>14.508864272358547</v>
      </c>
      <c r="L107" s="48">
        <f t="shared" si="17"/>
        <v>13.20054233208986</v>
      </c>
      <c r="M107" s="48">
        <f t="shared" si="17"/>
        <v>11.968744882667075</v>
      </c>
      <c r="N107" s="48">
        <f t="shared" si="17"/>
        <v>11.968744882667075</v>
      </c>
      <c r="O107" s="48">
        <f t="shared" si="17"/>
        <v>11.968744882667075</v>
      </c>
      <c r="P107" s="48">
        <f t="shared" si="17"/>
        <v>11.968744882667075</v>
      </c>
      <c r="Q107" s="48">
        <f t="shared" si="17"/>
        <v>11.968744882667075</v>
      </c>
      <c r="R107" s="48">
        <f t="shared" ref="R107" si="18">SUM(R104:R105)</f>
        <v>11.968744882667075</v>
      </c>
      <c r="S107" s="47"/>
      <c r="T107" s="47"/>
      <c r="U107" s="15"/>
      <c r="V107" s="15"/>
      <c r="W107" s="15"/>
      <c r="X107" s="15"/>
      <c r="Y107" s="15"/>
      <c r="Z107" s="15"/>
      <c r="AA107" s="15"/>
    </row>
    <row r="108" spans="1:27" ht="15.75" customHeight="1" x14ac:dyDescent="0.2">
      <c r="A108" s="9"/>
      <c r="B108" s="9"/>
      <c r="C108" s="4" t="s">
        <v>12</v>
      </c>
      <c r="D108" s="4" t="s">
        <v>35</v>
      </c>
      <c r="E108" s="4"/>
      <c r="F108" s="4"/>
      <c r="G108" s="53"/>
      <c r="H108" s="48">
        <f>H107</f>
        <v>-31.019000000000002</v>
      </c>
      <c r="I108" s="48">
        <f t="shared" ref="I108:R108" si="19">I107</f>
        <v>17.160561306767278</v>
      </c>
      <c r="J108" s="48">
        <f t="shared" si="19"/>
        <v>13.2054793960154</v>
      </c>
      <c r="K108" s="48">
        <f t="shared" si="19"/>
        <v>14.508864272358547</v>
      </c>
      <c r="L108" s="48">
        <f t="shared" si="19"/>
        <v>13.20054233208986</v>
      </c>
      <c r="M108" s="48">
        <f t="shared" si="19"/>
        <v>11.968744882667075</v>
      </c>
      <c r="N108" s="48">
        <f t="shared" si="19"/>
        <v>11.968744882667075</v>
      </c>
      <c r="O108" s="48">
        <f t="shared" si="19"/>
        <v>11.968744882667075</v>
      </c>
      <c r="P108" s="48">
        <f t="shared" si="19"/>
        <v>11.968744882667075</v>
      </c>
      <c r="Q108" s="48">
        <f t="shared" si="19"/>
        <v>11.968744882667075</v>
      </c>
      <c r="R108" s="48">
        <f t="shared" si="19"/>
        <v>11.968744882667075</v>
      </c>
      <c r="S108" s="25"/>
      <c r="T108" s="25"/>
      <c r="U108" s="14"/>
      <c r="V108" s="14"/>
      <c r="W108" s="14"/>
      <c r="X108" s="14"/>
      <c r="Y108" s="14"/>
      <c r="Z108" s="14"/>
      <c r="AA108" s="14"/>
    </row>
    <row r="109" spans="1:27" ht="15.75" customHeight="1" x14ac:dyDescent="0.2">
      <c r="A109" s="11"/>
      <c r="B109" s="11"/>
      <c r="C109" s="11" t="s">
        <v>11</v>
      </c>
      <c r="D109" s="11" t="s">
        <v>35</v>
      </c>
      <c r="E109" s="11"/>
      <c r="F109" s="11"/>
      <c r="G109" s="11"/>
      <c r="H109" s="44">
        <f>-$D$54/$D$37</f>
        <v>-3.069</v>
      </c>
      <c r="I109" s="44">
        <f t="shared" ref="I109:R109" si="20">-$D$54/$D$37</f>
        <v>-3.069</v>
      </c>
      <c r="J109" s="44">
        <f t="shared" si="20"/>
        <v>-3.069</v>
      </c>
      <c r="K109" s="44">
        <f t="shared" si="20"/>
        <v>-3.069</v>
      </c>
      <c r="L109" s="44">
        <f t="shared" si="20"/>
        <v>-3.069</v>
      </c>
      <c r="M109" s="44">
        <f t="shared" si="20"/>
        <v>-3.069</v>
      </c>
      <c r="N109" s="44">
        <f t="shared" si="20"/>
        <v>-3.069</v>
      </c>
      <c r="O109" s="44">
        <f t="shared" si="20"/>
        <v>-3.069</v>
      </c>
      <c r="P109" s="44">
        <f t="shared" si="20"/>
        <v>-3.069</v>
      </c>
      <c r="Q109" s="44">
        <f t="shared" si="20"/>
        <v>-3.069</v>
      </c>
      <c r="R109" s="44">
        <f t="shared" si="20"/>
        <v>-3.069</v>
      </c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">
      <c r="A110" s="1"/>
      <c r="B110" s="1"/>
      <c r="C110" s="1" t="s">
        <v>10</v>
      </c>
      <c r="D110" s="1" t="s">
        <v>35</v>
      </c>
      <c r="E110" s="1"/>
      <c r="F110" s="1"/>
      <c r="G110" s="1"/>
      <c r="H110" s="44">
        <f t="shared" ref="H110" si="21">SUM(H108:H109)</f>
        <v>-34.088000000000001</v>
      </c>
      <c r="I110" s="44">
        <f t="shared" ref="I110:Q110" si="22">SUM(I108:I109)</f>
        <v>14.091561306767279</v>
      </c>
      <c r="J110" s="44">
        <f t="shared" si="22"/>
        <v>10.1364793960154</v>
      </c>
      <c r="K110" s="44">
        <f t="shared" si="22"/>
        <v>11.439864272358548</v>
      </c>
      <c r="L110" s="44">
        <f t="shared" si="22"/>
        <v>10.131542332089861</v>
      </c>
      <c r="M110" s="44">
        <f t="shared" si="22"/>
        <v>8.8997448826670755</v>
      </c>
      <c r="N110" s="44">
        <f t="shared" si="22"/>
        <v>8.8997448826670755</v>
      </c>
      <c r="O110" s="44">
        <f t="shared" si="22"/>
        <v>8.8997448826670755</v>
      </c>
      <c r="P110" s="44">
        <f t="shared" si="22"/>
        <v>8.8997448826670755</v>
      </c>
      <c r="Q110" s="44">
        <f t="shared" si="22"/>
        <v>8.8997448826670755</v>
      </c>
      <c r="R110" s="44">
        <f t="shared" ref="R110" si="23">SUM(R108:R109)</f>
        <v>8.8997448826670755</v>
      </c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">
      <c r="A111" s="1"/>
      <c r="B111" s="1"/>
      <c r="C111" s="13" t="s">
        <v>9</v>
      </c>
      <c r="D111" s="13" t="s">
        <v>35</v>
      </c>
      <c r="E111" s="13"/>
      <c r="F111" s="13"/>
      <c r="G111" s="42"/>
      <c r="H111" s="45"/>
      <c r="I111" s="45">
        <f t="shared" ref="I111:R111" si="24">-I110*$D$23</f>
        <v>-3.3819747136241469</v>
      </c>
      <c r="J111" s="45">
        <f t="shared" si="24"/>
        <v>-2.4327550550436956</v>
      </c>
      <c r="K111" s="45">
        <f t="shared" si="24"/>
        <v>-2.7455674253660516</v>
      </c>
      <c r="L111" s="45">
        <f t="shared" si="24"/>
        <v>-2.4315701597015664</v>
      </c>
      <c r="M111" s="45">
        <f t="shared" si="24"/>
        <v>-2.1359387718400979</v>
      </c>
      <c r="N111" s="45">
        <f t="shared" si="24"/>
        <v>-2.1359387718400979</v>
      </c>
      <c r="O111" s="45">
        <f t="shared" si="24"/>
        <v>-2.1359387718400979</v>
      </c>
      <c r="P111" s="45">
        <f t="shared" si="24"/>
        <v>-2.1359387718400979</v>
      </c>
      <c r="Q111" s="45">
        <f t="shared" si="24"/>
        <v>-2.1359387718400979</v>
      </c>
      <c r="R111" s="45">
        <f t="shared" si="24"/>
        <v>-2.1359387718400979</v>
      </c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 x14ac:dyDescent="0.2">
      <c r="A112" s="1"/>
      <c r="B112" s="1"/>
      <c r="C112" s="9" t="s">
        <v>8</v>
      </c>
      <c r="D112" s="9" t="s">
        <v>35</v>
      </c>
      <c r="E112" s="9"/>
      <c r="F112" s="1"/>
      <c r="G112" s="1"/>
      <c r="H112" s="46">
        <f>H110</f>
        <v>-34.088000000000001</v>
      </c>
      <c r="I112" s="46">
        <f t="shared" ref="I112:Q112" si="25">SUM(I108,I111)</f>
        <v>13.778586593143132</v>
      </c>
      <c r="J112" s="46">
        <f t="shared" si="25"/>
        <v>10.772724340971704</v>
      </c>
      <c r="K112" s="46">
        <f t="shared" si="25"/>
        <v>11.763296846992496</v>
      </c>
      <c r="L112" s="46">
        <f t="shared" si="25"/>
        <v>10.768972172388294</v>
      </c>
      <c r="M112" s="46">
        <f t="shared" si="25"/>
        <v>9.8328061108269758</v>
      </c>
      <c r="N112" s="46">
        <f t="shared" si="25"/>
        <v>9.8328061108269758</v>
      </c>
      <c r="O112" s="46">
        <f t="shared" si="25"/>
        <v>9.8328061108269758</v>
      </c>
      <c r="P112" s="46">
        <f t="shared" si="25"/>
        <v>9.8328061108269758</v>
      </c>
      <c r="Q112" s="46">
        <f t="shared" si="25"/>
        <v>9.8328061108269758</v>
      </c>
      <c r="R112" s="46">
        <f t="shared" ref="R112" si="26">SUM(R108,R111)</f>
        <v>9.8328061108269758</v>
      </c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">
      <c r="A113" s="1"/>
      <c r="B113" s="1"/>
      <c r="C113" s="1" t="s">
        <v>7</v>
      </c>
      <c r="D113" s="1" t="s">
        <v>35</v>
      </c>
      <c r="E113" s="1"/>
      <c r="F113" s="1"/>
      <c r="G113" s="1"/>
      <c r="H113" s="44">
        <f t="shared" ref="H113:R113" si="27">H112/(1+$D$22)^H88</f>
        <v>-34.088000000000001</v>
      </c>
      <c r="I113" s="44">
        <f t="shared" si="27"/>
        <v>12.631078314629224</v>
      </c>
      <c r="J113" s="44">
        <f t="shared" si="27"/>
        <v>9.0530946884804173</v>
      </c>
      <c r="K113" s="44">
        <f t="shared" si="27"/>
        <v>9.0622560803584982</v>
      </c>
      <c r="L113" s="44">
        <f t="shared" si="27"/>
        <v>7.6053163966111974</v>
      </c>
      <c r="M113" s="44">
        <f t="shared" si="27"/>
        <v>6.3658480067075729</v>
      </c>
      <c r="N113" s="44">
        <f t="shared" si="27"/>
        <v>5.8356874392155893</v>
      </c>
      <c r="O113" s="44">
        <f t="shared" si="27"/>
        <v>5.3496797052545455</v>
      </c>
      <c r="P113" s="44">
        <f t="shared" si="27"/>
        <v>4.9041476684466199</v>
      </c>
      <c r="Q113" s="44">
        <f t="shared" si="27"/>
        <v>4.4957204316937807</v>
      </c>
      <c r="R113" s="44">
        <f t="shared" si="27"/>
        <v>4.1213078329574175</v>
      </c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">
      <c r="A114" s="1"/>
      <c r="B114" s="1"/>
      <c r="C114" s="1" t="s">
        <v>51</v>
      </c>
      <c r="D114" s="1" t="s">
        <v>35</v>
      </c>
      <c r="E114" s="1"/>
      <c r="F114" s="1"/>
      <c r="G114" s="1"/>
      <c r="H114" s="44">
        <f>H113</f>
        <v>-34.088000000000001</v>
      </c>
      <c r="I114" s="44">
        <f>H114+I113</f>
        <v>-21.456921685370776</v>
      </c>
      <c r="J114" s="44">
        <f t="shared" ref="J114:R114" si="28">I114+J113</f>
        <v>-12.403826996890359</v>
      </c>
      <c r="K114" s="44">
        <f t="shared" si="28"/>
        <v>-3.341570916531861</v>
      </c>
      <c r="L114" s="44">
        <f t="shared" si="28"/>
        <v>4.2637454800793364</v>
      </c>
      <c r="M114" s="44">
        <f t="shared" si="28"/>
        <v>10.629593486786909</v>
      </c>
      <c r="N114" s="44">
        <f t="shared" si="28"/>
        <v>16.465280926002499</v>
      </c>
      <c r="O114" s="44">
        <f t="shared" si="28"/>
        <v>21.814960631257044</v>
      </c>
      <c r="P114" s="44">
        <f t="shared" si="28"/>
        <v>26.719108299703663</v>
      </c>
      <c r="Q114" s="44">
        <f t="shared" si="28"/>
        <v>31.214828731397443</v>
      </c>
      <c r="R114" s="44">
        <f t="shared" si="28"/>
        <v>35.33613656435486</v>
      </c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44">
        <f>IF(H114&lt;0,(13-6)/12,0)</f>
        <v>0.58333333333333337</v>
      </c>
      <c r="I116" s="44">
        <f>IF(COUNTIF($H116:H116,"=0")=COUNTA($H116:H116),IF(I114&lt;0,(13-6)/12,0),IF(I114&lt;0,1,IF(I114=0,IF(H114&gt;=0,0,1),IF(H114&lt;0,-H114/I113,0))))</f>
        <v>1</v>
      </c>
      <c r="J116" s="44">
        <f>IF(COUNTIF($H116:I116,"=0")=COUNTA($H116:I116),IF(J114&lt;0,(13-6)/12,0),IF(J114&lt;0,1,IF(J114=0,IF(I114&gt;=0,0,1),IF(I114&lt;0,-I114/J113,0))))</f>
        <v>1</v>
      </c>
      <c r="K116" s="44">
        <f>IF(COUNTIF($H116:J116,"=0")=COUNTA($H116:J116),IF(K114&lt;0,(13-6)/12,0),IF(K114&lt;0,1,IF(K114=0,IF(J114&gt;=0,0,1),IF(J114&lt;0,-J114/K113,0))))</f>
        <v>1</v>
      </c>
      <c r="L116" s="44">
        <f>IF(COUNTIF($H116:K116,"=0")=COUNTA($H116:K116),IF(L114&lt;0,(13-6)/12,0),IF(L114&lt;0,1,IF(L114=0,IF(K114&gt;=0,0,1),IF(K114&lt;0,-K114/L113,0))))</f>
        <v>0.43937303095250707</v>
      </c>
      <c r="M116" s="44">
        <f>IF(COUNTIF($H116:L116,"=0")=COUNTA($H116:L116),IF(M114&lt;0,(13-6)/12,0),IF(M114&lt;0,1,IF(M114=0,IF(L114&gt;=0,0,1),IF(L114&lt;0,-L114/M113,0))))</f>
        <v>0</v>
      </c>
      <c r="N116" s="44">
        <f>IF(COUNTIF($H116:M116,"=0")=COUNTA($H116:M116),IF(N114&lt;0,(13-6)/12,0),IF(N114&lt;0,1,IF(N114=0,IF(M114&gt;=0,0,1),IF(M114&lt;0,-M114/N113,0))))</f>
        <v>0</v>
      </c>
      <c r="O116" s="44">
        <f>IF(COUNTIF($H116:N116,"=0")=COUNTA($H116:N116),IF(O114&lt;0,(13-6)/12,0),IF(O114&lt;0,1,IF(O114=0,IF(N114&gt;=0,0,1),IF(N114&lt;0,-N114/O113,0))))</f>
        <v>0</v>
      </c>
      <c r="P116" s="44">
        <f>IF(COUNTIF($H116:O116,"=0")=COUNTA($H116:O116),IF(P114&lt;0,(13-6)/12,0),IF(P114&lt;0,1,IF(P114=0,IF(O114&gt;=0,0,1),IF(O114&lt;0,-O114/P113,0))))</f>
        <v>0</v>
      </c>
      <c r="Q116" s="44">
        <f>IF(COUNTIF($H116:P116,"=0")=COUNTA($H116:P116),IF(Q114&lt;0,(13-6)/12,0),IF(Q114&lt;0,1,IF(Q114=0,IF(P114&gt;=0,0,1),IF(P114&lt;0,-P114/Q113,0))))</f>
        <v>0</v>
      </c>
      <c r="R116" s="44">
        <f>IF(COUNTIF($H116:Q116,"=0")=COUNTA($H116:Q116),IF(R114&lt;0,(13-6)/12,0),IF(R114&lt;0,1,IF(R114=0,IF(Q114&gt;=0,0,1),IF(Q114&lt;0,-Q114/R113,0))))</f>
        <v>0</v>
      </c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">
      <c r="A117" s="1"/>
      <c r="B117" s="1"/>
      <c r="C117" s="1"/>
      <c r="D117" s="1" t="s">
        <v>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6" t="s">
        <v>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5" t="s">
        <v>4</v>
      </c>
      <c r="D119" s="4" t="s">
        <v>35</v>
      </c>
      <c r="E119" s="3"/>
      <c r="F119" s="81">
        <f>NPV(D22,I112:R112)+H112</f>
        <v>35.336136564354867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9"/>
      <c r="C121" s="5" t="s">
        <v>3</v>
      </c>
      <c r="D121" s="4" t="s">
        <v>35</v>
      </c>
      <c r="E121" s="3"/>
      <c r="F121" s="80">
        <f>SUM(H113:R113)</f>
        <v>35.33613656435486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7">
        <f>NPV(F125,I112:R112)+H112</f>
        <v>33.749134790898303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6" t="s">
        <v>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5" t="s">
        <v>1</v>
      </c>
      <c r="D125" s="4" t="s">
        <v>0</v>
      </c>
      <c r="E125" s="3"/>
      <c r="F125" s="2">
        <v>9.6473474225974631E-2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6" t="s">
        <v>48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49" t="s">
        <v>49</v>
      </c>
      <c r="D129" s="50" t="s">
        <v>27</v>
      </c>
      <c r="E129" s="51"/>
      <c r="F129" s="52">
        <f>IF(SUM(H116:R116)=0,0,SUM(H116:R116))</f>
        <v>4.0227063642858409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22"/>
      <c r="B133" s="26" t="s">
        <v>99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21"/>
      <c r="B135" s="21"/>
      <c r="C135" s="20"/>
      <c r="D135" s="19"/>
      <c r="E135" s="19"/>
      <c r="F135" s="83" t="s">
        <v>17</v>
      </c>
      <c r="G135" s="84"/>
      <c r="H135" s="18">
        <v>0</v>
      </c>
      <c r="I135" s="18">
        <v>1</v>
      </c>
      <c r="J135" s="18">
        <v>2</v>
      </c>
      <c r="K135" s="18">
        <v>3</v>
      </c>
      <c r="L135" s="18">
        <v>4</v>
      </c>
      <c r="M135" s="18">
        <v>5</v>
      </c>
      <c r="N135" s="18">
        <v>6</v>
      </c>
      <c r="O135" s="18">
        <v>7</v>
      </c>
      <c r="P135" s="18">
        <v>8</v>
      </c>
      <c r="Q135" s="18">
        <v>9</v>
      </c>
      <c r="R135" s="18">
        <v>10</v>
      </c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9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6" t="s">
        <v>100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 t="s">
        <v>31</v>
      </c>
      <c r="D138" s="1" t="s">
        <v>40</v>
      </c>
      <c r="E138" s="1"/>
      <c r="F138" s="1"/>
      <c r="G138" s="1"/>
      <c r="H138" s="44">
        <f>H91*(1-$D$63)</f>
        <v>35.641926365365947</v>
      </c>
      <c r="I138" s="44">
        <f t="shared" ref="I138:R138" si="29">I91*(1-$D$63)</f>
        <v>35.641926365365947</v>
      </c>
      <c r="J138" s="44">
        <f t="shared" si="29"/>
        <v>28.062422977801333</v>
      </c>
      <c r="K138" s="44">
        <f t="shared" si="29"/>
        <v>30.560224618441772</v>
      </c>
      <c r="L138" s="44">
        <f t="shared" si="29"/>
        <v>28.052961607950426</v>
      </c>
      <c r="M138" s="44">
        <f t="shared" si="29"/>
        <v>25.692349830148189</v>
      </c>
      <c r="N138" s="44">
        <f t="shared" si="29"/>
        <v>25.692349830148189</v>
      </c>
      <c r="O138" s="44">
        <f t="shared" si="29"/>
        <v>25.692349830148189</v>
      </c>
      <c r="P138" s="44">
        <f t="shared" si="29"/>
        <v>25.692349830148189</v>
      </c>
      <c r="Q138" s="44">
        <f t="shared" si="29"/>
        <v>25.692349830148189</v>
      </c>
      <c r="R138" s="44">
        <f t="shared" si="29"/>
        <v>25.692349830148189</v>
      </c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5.75" customHeight="1" x14ac:dyDescent="0.2">
      <c r="A139" s="1"/>
      <c r="B139" s="1"/>
      <c r="C139" s="1" t="s">
        <v>101</v>
      </c>
      <c r="D139" s="1" t="s">
        <v>18</v>
      </c>
      <c r="E139" s="1"/>
      <c r="F139" s="1"/>
      <c r="G139" s="1"/>
      <c r="H139" s="44">
        <f>IF(OR($D$84="BASE",$D$84="FIP"),0,H94+H93)</f>
        <v>0</v>
      </c>
      <c r="I139" s="44">
        <f>IF(OR($D$84="BASE",$D$84="FIP"),0,I94+I93)</f>
        <v>443.54088285714067</v>
      </c>
      <c r="J139" s="44">
        <f t="shared" ref="J139:R139" si="30">IF(OR($D$84="BASE",$D$84="FIP"),0,J94+J93)</f>
        <v>443.54088285714067</v>
      </c>
      <c r="K139" s="44">
        <f t="shared" si="30"/>
        <v>443.54088285714067</v>
      </c>
      <c r="L139" s="44">
        <f t="shared" si="30"/>
        <v>443.54088285714067</v>
      </c>
      <c r="M139" s="44">
        <f t="shared" si="30"/>
        <v>443.54088285714067</v>
      </c>
      <c r="N139" s="44">
        <f t="shared" si="30"/>
        <v>443.54088285714067</v>
      </c>
      <c r="O139" s="44">
        <f t="shared" si="30"/>
        <v>443.54088285714067</v>
      </c>
      <c r="P139" s="44">
        <f t="shared" si="30"/>
        <v>443.54088285714067</v>
      </c>
      <c r="Q139" s="44">
        <f t="shared" si="30"/>
        <v>443.54088285714067</v>
      </c>
      <c r="R139" s="44">
        <f t="shared" si="30"/>
        <v>443.54088285714067</v>
      </c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5.75" customHeight="1" x14ac:dyDescent="0.2">
      <c r="A140" s="1"/>
      <c r="B140" s="1"/>
      <c r="C140" s="1" t="s">
        <v>104</v>
      </c>
      <c r="D140" s="79" t="s">
        <v>35</v>
      </c>
      <c r="E140" s="1"/>
      <c r="F140" s="1"/>
      <c r="G140" s="1"/>
      <c r="H140" s="44">
        <f>-H138*H139/1000</f>
        <v>0</v>
      </c>
      <c r="I140" s="44">
        <f t="shared" ref="I140:R140" si="31">-I138*I139/1000</f>
        <v>-15.808651486823612</v>
      </c>
      <c r="J140" s="44">
        <f t="shared" si="31"/>
        <v>-12.446831862684514</v>
      </c>
      <c r="K140" s="44">
        <f t="shared" si="31"/>
        <v>-13.554709007576188</v>
      </c>
      <c r="L140" s="44">
        <f t="shared" si="31"/>
        <v>-12.442635358347804</v>
      </c>
      <c r="M140" s="44">
        <f t="shared" si="31"/>
        <v>-11.395607526338436</v>
      </c>
      <c r="N140" s="44">
        <f t="shared" si="31"/>
        <v>-11.395607526338436</v>
      </c>
      <c r="O140" s="44">
        <f t="shared" si="31"/>
        <v>-11.395607526338436</v>
      </c>
      <c r="P140" s="44">
        <f t="shared" si="31"/>
        <v>-11.395607526338436</v>
      </c>
      <c r="Q140" s="44">
        <f t="shared" si="31"/>
        <v>-11.395607526338436</v>
      </c>
      <c r="R140" s="44">
        <f t="shared" si="31"/>
        <v>-11.395607526338436</v>
      </c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5.75" customHeight="1" x14ac:dyDescent="0.2">
      <c r="A141" s="1"/>
      <c r="B141" s="1"/>
      <c r="C141" s="1" t="s">
        <v>15</v>
      </c>
      <c r="D141" s="79" t="s">
        <v>35</v>
      </c>
      <c r="E141" s="1"/>
      <c r="F141" s="1"/>
      <c r="G141" s="1"/>
      <c r="H141" s="44">
        <f>-($D$58*H139/1000)</f>
        <v>0</v>
      </c>
      <c r="I141" s="44">
        <f t="shared" ref="I141:R141" si="32">-($D$58*I139/1000)</f>
        <v>-1.1088522071428517</v>
      </c>
      <c r="J141" s="44">
        <f t="shared" si="32"/>
        <v>-1.1088522071428517</v>
      </c>
      <c r="K141" s="44">
        <f t="shared" si="32"/>
        <v>-1.1088522071428517</v>
      </c>
      <c r="L141" s="44">
        <f t="shared" si="32"/>
        <v>-1.1088522071428517</v>
      </c>
      <c r="M141" s="44">
        <f t="shared" si="32"/>
        <v>-1.1088522071428517</v>
      </c>
      <c r="N141" s="44">
        <f t="shared" si="32"/>
        <v>-1.1088522071428517</v>
      </c>
      <c r="O141" s="44">
        <f t="shared" si="32"/>
        <v>-1.1088522071428517</v>
      </c>
      <c r="P141" s="44">
        <f t="shared" si="32"/>
        <v>-1.1088522071428517</v>
      </c>
      <c r="Q141" s="44">
        <f t="shared" si="32"/>
        <v>-1.1088522071428517</v>
      </c>
      <c r="R141" s="44">
        <f t="shared" si="32"/>
        <v>-1.1088522071428517</v>
      </c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5.75" customHeight="1" x14ac:dyDescent="0.2">
      <c r="A142" s="1"/>
      <c r="B142" s="1"/>
      <c r="C142" s="42" t="s">
        <v>47</v>
      </c>
      <c r="D142" s="42" t="s">
        <v>35</v>
      </c>
      <c r="E142" s="43"/>
      <c r="F142" s="43"/>
      <c r="G142" s="43"/>
      <c r="H142" s="45">
        <f>IF(H135=0,0,IF(OR($D$84="FIC",$D$84="COMBO"),-$D$55,0))</f>
        <v>0</v>
      </c>
      <c r="I142" s="45">
        <f>IF(I135=0,0,IF(OR($D$84="FIC",$D$84="COMBO"),-$D$55,0))</f>
        <v>-10</v>
      </c>
      <c r="J142" s="45">
        <f>IF(J135=0,0,IF(OR($D$84="FIC",$D$84="COMBO"),-$D$55,0))</f>
        <v>-10</v>
      </c>
      <c r="K142" s="45">
        <f>IF(K135=0,0,IF(OR($D$84="FIC",$D$84="COMBO"),-$D$55,0))</f>
        <v>-10</v>
      </c>
      <c r="L142" s="45">
        <f>IF(L135=0,0,IF(OR($D$84="FIC",$D$84="COMBO"),-$D$55,0))</f>
        <v>-10</v>
      </c>
      <c r="M142" s="45">
        <f>IF(M135=0,0,IF(OR($D$84="FIC",$D$84="COMBO"),-$D$55,0))</f>
        <v>-10</v>
      </c>
      <c r="N142" s="45">
        <f>IF(N135=0,0,IF(OR($D$84="FIC",$D$84="COMBO"),-$D$55,0))</f>
        <v>-10</v>
      </c>
      <c r="O142" s="45">
        <f>IF(O135=0,0,IF(OR($D$84="FIC",$D$84="COMBO"),-$D$55,0))</f>
        <v>-10</v>
      </c>
      <c r="P142" s="45">
        <f>IF(P135=0,0,IF(OR($D$84="FIC",$D$84="COMBO"),-$D$55,0))</f>
        <v>-10</v>
      </c>
      <c r="Q142" s="45">
        <f>IF(Q135=0,0,IF(OR($D$84="FIC",$D$84="COMBO"),-$D$55,0))</f>
        <v>-10</v>
      </c>
      <c r="R142" s="45">
        <f>IF(R135=0,0,IF(OR($D$84="FIC",$D$84="COMBO"),-$D$55,0))</f>
        <v>-10</v>
      </c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5.75" customHeight="1" x14ac:dyDescent="0.2">
      <c r="A143" s="9"/>
      <c r="B143" s="9"/>
      <c r="C143" s="9" t="s">
        <v>15</v>
      </c>
      <c r="D143" s="24" t="s">
        <v>35</v>
      </c>
      <c r="E143" s="9"/>
      <c r="F143" s="9"/>
      <c r="G143" s="9"/>
      <c r="H143" s="46">
        <f>H140+H141+H142</f>
        <v>0</v>
      </c>
      <c r="I143" s="46">
        <f t="shared" ref="I143:R143" si="33">I140+I141+I142</f>
        <v>-26.917503693966463</v>
      </c>
      <c r="J143" s="46">
        <f t="shared" si="33"/>
        <v>-23.555684069827365</v>
      </c>
      <c r="K143" s="46">
        <f t="shared" si="33"/>
        <v>-24.663561214719039</v>
      </c>
      <c r="L143" s="46">
        <f t="shared" si="33"/>
        <v>-23.551487565490653</v>
      </c>
      <c r="M143" s="46">
        <f t="shared" si="33"/>
        <v>-22.504459733481287</v>
      </c>
      <c r="N143" s="46">
        <f t="shared" si="33"/>
        <v>-22.504459733481287</v>
      </c>
      <c r="O143" s="46">
        <f t="shared" si="33"/>
        <v>-22.504459733481287</v>
      </c>
      <c r="P143" s="46">
        <f t="shared" si="33"/>
        <v>-22.504459733481287</v>
      </c>
      <c r="Q143" s="46">
        <f t="shared" si="33"/>
        <v>-22.504459733481287</v>
      </c>
      <c r="R143" s="46">
        <f t="shared" si="33"/>
        <v>-22.504459733481287</v>
      </c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6" t="s">
        <v>105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 t="s">
        <v>31</v>
      </c>
      <c r="D146" s="1" t="s">
        <v>40</v>
      </c>
      <c r="E146" s="1"/>
      <c r="F146" s="1"/>
      <c r="G146" s="1"/>
      <c r="H146" s="44">
        <f>H78</f>
        <v>64.510273964463252</v>
      </c>
      <c r="I146" s="44">
        <f t="shared" ref="I146:R146" si="34">I78</f>
        <v>64.510273964463252</v>
      </c>
      <c r="J146" s="44">
        <f t="shared" si="34"/>
        <v>50.791715796925487</v>
      </c>
      <c r="K146" s="44">
        <f t="shared" si="34"/>
        <v>55.312623743786013</v>
      </c>
      <c r="L146" s="44">
        <f t="shared" si="34"/>
        <v>50.774591145611623</v>
      </c>
      <c r="M146" s="44">
        <f t="shared" si="34"/>
        <v>46.501990642802149</v>
      </c>
      <c r="N146" s="44">
        <f t="shared" si="34"/>
        <v>46.501990642802149</v>
      </c>
      <c r="O146" s="44">
        <f t="shared" si="34"/>
        <v>46.501990642802149</v>
      </c>
      <c r="P146" s="44">
        <f t="shared" si="34"/>
        <v>46.501990642802149</v>
      </c>
      <c r="Q146" s="44">
        <f t="shared" si="34"/>
        <v>46.501990642802149</v>
      </c>
      <c r="R146" s="44">
        <f t="shared" si="34"/>
        <v>46.501990642802149</v>
      </c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5.75" customHeight="1" x14ac:dyDescent="0.2">
      <c r="A147" s="1"/>
      <c r="B147" s="1"/>
      <c r="C147" s="1" t="s">
        <v>102</v>
      </c>
      <c r="D147" s="1" t="s">
        <v>18</v>
      </c>
      <c r="E147" s="1"/>
      <c r="F147" s="1"/>
      <c r="G147" s="1"/>
      <c r="H147" s="44">
        <f>H139</f>
        <v>0</v>
      </c>
      <c r="I147" s="44">
        <f t="shared" ref="I147:R147" si="35">I139</f>
        <v>443.54088285714067</v>
      </c>
      <c r="J147" s="44">
        <f t="shared" si="35"/>
        <v>443.54088285714067</v>
      </c>
      <c r="K147" s="44">
        <f t="shared" si="35"/>
        <v>443.54088285714067</v>
      </c>
      <c r="L147" s="44">
        <f t="shared" si="35"/>
        <v>443.54088285714067</v>
      </c>
      <c r="M147" s="44">
        <f t="shared" si="35"/>
        <v>443.54088285714067</v>
      </c>
      <c r="N147" s="44">
        <f t="shared" si="35"/>
        <v>443.54088285714067</v>
      </c>
      <c r="O147" s="44">
        <f t="shared" si="35"/>
        <v>443.54088285714067</v>
      </c>
      <c r="P147" s="44">
        <f t="shared" si="35"/>
        <v>443.54088285714067</v>
      </c>
      <c r="Q147" s="44">
        <f t="shared" si="35"/>
        <v>443.54088285714067</v>
      </c>
      <c r="R147" s="44">
        <f t="shared" si="35"/>
        <v>443.54088285714067</v>
      </c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5.75" customHeight="1" x14ac:dyDescent="0.2">
      <c r="A148" s="1"/>
      <c r="B148" s="1"/>
      <c r="C148" s="1" t="s">
        <v>106</v>
      </c>
      <c r="D148" s="1" t="s">
        <v>35</v>
      </c>
      <c r="E148" s="1"/>
      <c r="F148" s="1"/>
      <c r="G148" s="1"/>
      <c r="H148" s="44">
        <f>H146*H147/1000</f>
        <v>0</v>
      </c>
      <c r="I148" s="44">
        <f t="shared" ref="I148:R148" si="36">I146*I147/1000</f>
        <v>28.612943867554048</v>
      </c>
      <c r="J148" s="44">
        <f t="shared" si="36"/>
        <v>22.52820246639731</v>
      </c>
      <c r="K148" s="44">
        <f t="shared" si="36"/>
        <v>24.53340996846369</v>
      </c>
      <c r="L148" s="44">
        <f t="shared" si="36"/>
        <v>22.520606983434938</v>
      </c>
      <c r="M148" s="44">
        <f t="shared" si="36"/>
        <v>20.62553398432296</v>
      </c>
      <c r="N148" s="44">
        <f t="shared" si="36"/>
        <v>20.62553398432296</v>
      </c>
      <c r="O148" s="44">
        <f t="shared" si="36"/>
        <v>20.62553398432296</v>
      </c>
      <c r="P148" s="44">
        <f t="shared" si="36"/>
        <v>20.62553398432296</v>
      </c>
      <c r="Q148" s="44">
        <f t="shared" si="36"/>
        <v>20.62553398432296</v>
      </c>
      <c r="R148" s="44">
        <f t="shared" si="36"/>
        <v>20.62553398432296</v>
      </c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5.75" customHeight="1" x14ac:dyDescent="0.2">
      <c r="A149" s="1"/>
      <c r="B149" s="1"/>
      <c r="C149" s="42" t="s">
        <v>47</v>
      </c>
      <c r="D149" s="42" t="s">
        <v>35</v>
      </c>
      <c r="E149" s="42"/>
      <c r="F149" s="42"/>
      <c r="G149" s="42"/>
      <c r="H149" s="45">
        <f>IF(H135=0,0,IF(OR($D$84="FIC",$D$84="COMBO"),+$D$55*$D$65,0))</f>
        <v>0</v>
      </c>
      <c r="I149" s="45">
        <f>IF(I135=0,0,IF(OR($D$84="FIC",$D$84="COMBO"),+$D$55*$D$65,0))</f>
        <v>6</v>
      </c>
      <c r="J149" s="45">
        <f>IF(J135=0,0,IF(OR($D$84="FIC",$D$84="COMBO"),+$D$55*$D$65,0))</f>
        <v>6</v>
      </c>
      <c r="K149" s="45">
        <f>IF(K135=0,0,IF(OR($D$84="FIC",$D$84="COMBO"),+$D$55*$D$65,0))</f>
        <v>6</v>
      </c>
      <c r="L149" s="45">
        <f>IF(L135=0,0,IF(OR($D$84="FIC",$D$84="COMBO"),+$D$55*$D$65,0))</f>
        <v>6</v>
      </c>
      <c r="M149" s="45">
        <f>IF(M135=0,0,IF(OR($D$84="FIC",$D$84="COMBO"),+$D$55*$D$65,0))</f>
        <v>6</v>
      </c>
      <c r="N149" s="45">
        <f>IF(N135=0,0,IF(OR($D$84="FIC",$D$84="COMBO"),+$D$55*$D$65,0))</f>
        <v>6</v>
      </c>
      <c r="O149" s="45">
        <f>IF(O135=0,0,IF(OR($D$84="FIC",$D$84="COMBO"),+$D$55*$D$65,0))</f>
        <v>6</v>
      </c>
      <c r="P149" s="45">
        <f>IF(P135=0,0,IF(OR($D$84="FIC",$D$84="COMBO"),+$D$55*$D$65,0))</f>
        <v>6</v>
      </c>
      <c r="Q149" s="45">
        <f>IF(Q135=0,0,IF(OR($D$84="FIC",$D$84="COMBO"),+$D$55*$D$65,0))</f>
        <v>6</v>
      </c>
      <c r="R149" s="45">
        <f>IF(R135=0,0,IF(OR($D$84="FIC",$D$84="COMBO"),+$D$55*$D$65,0))</f>
        <v>6</v>
      </c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">
      <c r="A150" s="9"/>
      <c r="B150" s="9"/>
      <c r="C150" s="9" t="s">
        <v>21</v>
      </c>
      <c r="D150" s="9" t="s">
        <v>35</v>
      </c>
      <c r="E150" s="9"/>
      <c r="F150" s="9"/>
      <c r="G150" s="9"/>
      <c r="H150" s="46">
        <f>H148+H149</f>
        <v>0</v>
      </c>
      <c r="I150" s="46">
        <f>I148+I149</f>
        <v>34.612943867554051</v>
      </c>
      <c r="J150" s="46">
        <f t="shared" ref="J150:R150" si="37">J148+J149</f>
        <v>28.52820246639731</v>
      </c>
      <c r="K150" s="46">
        <f t="shared" si="37"/>
        <v>30.53340996846369</v>
      </c>
      <c r="L150" s="46">
        <f t="shared" si="37"/>
        <v>28.520606983434938</v>
      </c>
      <c r="M150" s="46">
        <f t="shared" si="37"/>
        <v>26.62553398432296</v>
      </c>
      <c r="N150" s="46">
        <f t="shared" si="37"/>
        <v>26.62553398432296</v>
      </c>
      <c r="O150" s="46">
        <f t="shared" si="37"/>
        <v>26.62553398432296</v>
      </c>
      <c r="P150" s="46">
        <f t="shared" si="37"/>
        <v>26.62553398432296</v>
      </c>
      <c r="Q150" s="46">
        <f t="shared" si="37"/>
        <v>26.62553398432296</v>
      </c>
      <c r="R150" s="46">
        <f t="shared" si="37"/>
        <v>26.62553398432296</v>
      </c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6" t="s">
        <v>50</v>
      </c>
      <c r="C153" s="1"/>
      <c r="D153" s="1"/>
      <c r="E153" s="1"/>
      <c r="F153" s="83" t="s">
        <v>17</v>
      </c>
      <c r="G153" s="84"/>
      <c r="H153" s="18">
        <v>0</v>
      </c>
      <c r="I153" s="18">
        <v>1</v>
      </c>
      <c r="J153" s="18">
        <v>2</v>
      </c>
      <c r="K153" s="18">
        <v>3</v>
      </c>
      <c r="L153" s="18">
        <v>4</v>
      </c>
      <c r="M153" s="18">
        <v>5</v>
      </c>
      <c r="N153" s="18">
        <v>6</v>
      </c>
      <c r="O153" s="18">
        <v>7</v>
      </c>
      <c r="P153" s="18">
        <v>8</v>
      </c>
      <c r="Q153" s="18">
        <v>9</v>
      </c>
      <c r="R153" s="18">
        <v>10</v>
      </c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 t="s">
        <v>16</v>
      </c>
      <c r="D154" s="1" t="s">
        <v>35</v>
      </c>
      <c r="E154" s="1"/>
      <c r="F154" s="1"/>
      <c r="G154" s="1"/>
      <c r="H154" s="44">
        <f>H143</f>
        <v>0</v>
      </c>
      <c r="I154" s="44">
        <f t="shared" ref="I154:R154" si="38">I143</f>
        <v>-26.917503693966463</v>
      </c>
      <c r="J154" s="44">
        <f t="shared" si="38"/>
        <v>-23.555684069827365</v>
      </c>
      <c r="K154" s="44">
        <f t="shared" si="38"/>
        <v>-24.663561214719039</v>
      </c>
      <c r="L154" s="44">
        <f t="shared" si="38"/>
        <v>-23.551487565490653</v>
      </c>
      <c r="M154" s="44">
        <f t="shared" si="38"/>
        <v>-22.504459733481287</v>
      </c>
      <c r="N154" s="44">
        <f t="shared" si="38"/>
        <v>-22.504459733481287</v>
      </c>
      <c r="O154" s="44">
        <f t="shared" si="38"/>
        <v>-22.504459733481287</v>
      </c>
      <c r="P154" s="44">
        <f t="shared" si="38"/>
        <v>-22.504459733481287</v>
      </c>
      <c r="Q154" s="44">
        <f t="shared" si="38"/>
        <v>-22.504459733481287</v>
      </c>
      <c r="R154" s="44">
        <f t="shared" si="38"/>
        <v>-22.504459733481287</v>
      </c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">
      <c r="A155" s="1"/>
      <c r="B155" s="1"/>
      <c r="C155" s="1" t="s">
        <v>15</v>
      </c>
      <c r="D155" s="17" t="s">
        <v>35</v>
      </c>
      <c r="E155" s="1"/>
      <c r="F155" s="1"/>
      <c r="G155" s="1"/>
      <c r="H155" s="44">
        <f t="shared" ref="H155:R155" si="39">H150</f>
        <v>0</v>
      </c>
      <c r="I155" s="44">
        <f t="shared" si="39"/>
        <v>34.612943867554051</v>
      </c>
      <c r="J155" s="44">
        <f t="shared" si="39"/>
        <v>28.52820246639731</v>
      </c>
      <c r="K155" s="44">
        <f t="shared" si="39"/>
        <v>30.53340996846369</v>
      </c>
      <c r="L155" s="44">
        <f t="shared" si="39"/>
        <v>28.520606983434938</v>
      </c>
      <c r="M155" s="44">
        <f t="shared" si="39"/>
        <v>26.62553398432296</v>
      </c>
      <c r="N155" s="44">
        <f t="shared" si="39"/>
        <v>26.62553398432296</v>
      </c>
      <c r="O155" s="44">
        <f t="shared" si="39"/>
        <v>26.62553398432296</v>
      </c>
      <c r="P155" s="44">
        <f t="shared" si="39"/>
        <v>26.62553398432296</v>
      </c>
      <c r="Q155" s="44">
        <f t="shared" si="39"/>
        <v>26.62553398432296</v>
      </c>
      <c r="R155" s="44">
        <f t="shared" si="39"/>
        <v>26.62553398432296</v>
      </c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">
      <c r="A156" s="1"/>
      <c r="B156" s="1"/>
      <c r="C156" s="13" t="s">
        <v>14</v>
      </c>
      <c r="D156" s="13" t="s">
        <v>35</v>
      </c>
      <c r="E156" s="13"/>
      <c r="F156" s="13"/>
      <c r="G156" s="13"/>
      <c r="H156" s="45">
        <f>-D103</f>
        <v>0</v>
      </c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2"/>
      <c r="T156" s="42"/>
      <c r="U156" s="42"/>
      <c r="V156" s="13"/>
      <c r="W156" s="13"/>
      <c r="X156" s="13"/>
      <c r="Y156" s="13"/>
      <c r="Z156" s="13"/>
      <c r="AA156" s="13"/>
    </row>
    <row r="157" spans="1:27" ht="15.75" customHeight="1" x14ac:dyDescent="0.2">
      <c r="A157" s="9"/>
      <c r="B157" s="9"/>
      <c r="C157" s="9" t="s">
        <v>13</v>
      </c>
      <c r="D157" s="9" t="s">
        <v>35</v>
      </c>
      <c r="E157" s="9"/>
      <c r="F157" s="9"/>
      <c r="G157" s="53"/>
      <c r="H157" s="48">
        <f>SUM(H154:H156)</f>
        <v>0</v>
      </c>
      <c r="I157" s="48">
        <f>SUM(I154:I155)</f>
        <v>7.6954401735875884</v>
      </c>
      <c r="J157" s="48">
        <f t="shared" ref="J157:R157" si="40">SUM(J154:J155)</f>
        <v>4.9725183965699458</v>
      </c>
      <c r="K157" s="48">
        <f t="shared" si="40"/>
        <v>5.8698487537446518</v>
      </c>
      <c r="L157" s="48">
        <f t="shared" si="40"/>
        <v>4.9691194179442846</v>
      </c>
      <c r="M157" s="48">
        <f t="shared" si="40"/>
        <v>4.1210742508416729</v>
      </c>
      <c r="N157" s="48">
        <f t="shared" si="40"/>
        <v>4.1210742508416729</v>
      </c>
      <c r="O157" s="48">
        <f t="shared" si="40"/>
        <v>4.1210742508416729</v>
      </c>
      <c r="P157" s="48">
        <f t="shared" si="40"/>
        <v>4.1210742508416729</v>
      </c>
      <c r="Q157" s="48">
        <f t="shared" si="40"/>
        <v>4.1210742508416729</v>
      </c>
      <c r="R157" s="48">
        <f t="shared" si="40"/>
        <v>4.1210742508416729</v>
      </c>
      <c r="S157" s="47"/>
      <c r="T157" s="47"/>
      <c r="U157" s="15"/>
      <c r="V157" s="15"/>
      <c r="W157" s="15"/>
      <c r="X157" s="15"/>
      <c r="Y157" s="15"/>
      <c r="Z157" s="15"/>
      <c r="AA157" s="15"/>
    </row>
    <row r="158" spans="1:27" ht="15.75" customHeight="1" x14ac:dyDescent="0.2">
      <c r="A158" s="9"/>
      <c r="B158" s="9"/>
      <c r="C158" s="4" t="s">
        <v>12</v>
      </c>
      <c r="D158" s="4" t="s">
        <v>35</v>
      </c>
      <c r="E158" s="4"/>
      <c r="F158" s="4"/>
      <c r="G158" s="53"/>
      <c r="H158" s="48">
        <f>H157</f>
        <v>0</v>
      </c>
      <c r="I158" s="48">
        <f t="shared" ref="I158:R158" si="41">I157</f>
        <v>7.6954401735875884</v>
      </c>
      <c r="J158" s="48">
        <f t="shared" si="41"/>
        <v>4.9725183965699458</v>
      </c>
      <c r="K158" s="48">
        <f t="shared" si="41"/>
        <v>5.8698487537446518</v>
      </c>
      <c r="L158" s="48">
        <f t="shared" si="41"/>
        <v>4.9691194179442846</v>
      </c>
      <c r="M158" s="48">
        <f t="shared" si="41"/>
        <v>4.1210742508416729</v>
      </c>
      <c r="N158" s="48">
        <f t="shared" si="41"/>
        <v>4.1210742508416729</v>
      </c>
      <c r="O158" s="48">
        <f t="shared" si="41"/>
        <v>4.1210742508416729</v>
      </c>
      <c r="P158" s="48">
        <f t="shared" si="41"/>
        <v>4.1210742508416729</v>
      </c>
      <c r="Q158" s="48">
        <f t="shared" si="41"/>
        <v>4.1210742508416729</v>
      </c>
      <c r="R158" s="48">
        <f t="shared" si="41"/>
        <v>4.1210742508416729</v>
      </c>
      <c r="S158" s="25"/>
      <c r="T158" s="25"/>
      <c r="U158" s="14"/>
      <c r="V158" s="14"/>
      <c r="W158" s="14"/>
      <c r="X158" s="14"/>
      <c r="Y158" s="14"/>
      <c r="Z158" s="14"/>
      <c r="AA158" s="14"/>
    </row>
    <row r="159" spans="1:27" ht="15.75" customHeight="1" x14ac:dyDescent="0.2">
      <c r="A159" s="11"/>
      <c r="B159" s="11"/>
      <c r="C159" s="11" t="s">
        <v>11</v>
      </c>
      <c r="D159" s="11" t="s">
        <v>35</v>
      </c>
      <c r="E159" s="11"/>
      <c r="F159" s="11"/>
      <c r="G159" s="11"/>
      <c r="H159" s="44">
        <f>0</f>
        <v>0</v>
      </c>
      <c r="I159" s="44">
        <f>0</f>
        <v>0</v>
      </c>
      <c r="J159" s="44">
        <f>0</f>
        <v>0</v>
      </c>
      <c r="K159" s="44">
        <f>0</f>
        <v>0</v>
      </c>
      <c r="L159" s="44">
        <f>0</f>
        <v>0</v>
      </c>
      <c r="M159" s="44">
        <f>0</f>
        <v>0</v>
      </c>
      <c r="N159" s="44">
        <f>0</f>
        <v>0</v>
      </c>
      <c r="O159" s="44">
        <f>0</f>
        <v>0</v>
      </c>
      <c r="P159" s="44">
        <f>0</f>
        <v>0</v>
      </c>
      <c r="Q159" s="44">
        <f>0</f>
        <v>0</v>
      </c>
      <c r="R159" s="44">
        <f>0</f>
        <v>0</v>
      </c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">
      <c r="A160" s="1"/>
      <c r="B160" s="1"/>
      <c r="C160" s="1" t="s">
        <v>10</v>
      </c>
      <c r="D160" s="1" t="s">
        <v>35</v>
      </c>
      <c r="E160" s="1"/>
      <c r="F160" s="1"/>
      <c r="G160" s="1"/>
      <c r="H160" s="44">
        <f t="shared" ref="H160:R160" si="42">SUM(H158:H159)</f>
        <v>0</v>
      </c>
      <c r="I160" s="44">
        <f t="shared" si="42"/>
        <v>7.6954401735875884</v>
      </c>
      <c r="J160" s="44">
        <f t="shared" si="42"/>
        <v>4.9725183965699458</v>
      </c>
      <c r="K160" s="44">
        <f t="shared" si="42"/>
        <v>5.8698487537446518</v>
      </c>
      <c r="L160" s="44">
        <f t="shared" si="42"/>
        <v>4.9691194179442846</v>
      </c>
      <c r="M160" s="44">
        <f t="shared" si="42"/>
        <v>4.1210742508416729</v>
      </c>
      <c r="N160" s="44">
        <f t="shared" si="42"/>
        <v>4.1210742508416729</v>
      </c>
      <c r="O160" s="44">
        <f t="shared" si="42"/>
        <v>4.1210742508416729</v>
      </c>
      <c r="P160" s="44">
        <f t="shared" si="42"/>
        <v>4.1210742508416729</v>
      </c>
      <c r="Q160" s="44">
        <f t="shared" si="42"/>
        <v>4.1210742508416729</v>
      </c>
      <c r="R160" s="44">
        <f t="shared" si="42"/>
        <v>4.1210742508416729</v>
      </c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">
      <c r="A161" s="1"/>
      <c r="B161" s="1"/>
      <c r="C161" s="13" t="s">
        <v>9</v>
      </c>
      <c r="D161" s="13" t="s">
        <v>35</v>
      </c>
      <c r="E161" s="13"/>
      <c r="F161" s="13"/>
      <c r="G161" s="42"/>
      <c r="H161" s="45"/>
      <c r="I161" s="45">
        <f t="shared" ref="I161:R161" si="43">-I160*$D$23</f>
        <v>-1.8469056416610212</v>
      </c>
      <c r="J161" s="45">
        <f t="shared" si="43"/>
        <v>-1.1934044151767869</v>
      </c>
      <c r="K161" s="45">
        <f t="shared" si="43"/>
        <v>-1.4087637008987164</v>
      </c>
      <c r="L161" s="45">
        <f t="shared" si="43"/>
        <v>-1.1925886603066282</v>
      </c>
      <c r="M161" s="45">
        <f t="shared" si="43"/>
        <v>-0.9890578202020015</v>
      </c>
      <c r="N161" s="45">
        <f t="shared" si="43"/>
        <v>-0.9890578202020015</v>
      </c>
      <c r="O161" s="45">
        <f t="shared" si="43"/>
        <v>-0.9890578202020015</v>
      </c>
      <c r="P161" s="45">
        <f t="shared" si="43"/>
        <v>-0.9890578202020015</v>
      </c>
      <c r="Q161" s="45">
        <f t="shared" si="43"/>
        <v>-0.9890578202020015</v>
      </c>
      <c r="R161" s="45">
        <f t="shared" si="43"/>
        <v>-0.9890578202020015</v>
      </c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 x14ac:dyDescent="0.2">
      <c r="A162" s="1"/>
      <c r="B162" s="1"/>
      <c r="C162" s="9" t="s">
        <v>8</v>
      </c>
      <c r="D162" s="9" t="s">
        <v>35</v>
      </c>
      <c r="E162" s="9"/>
      <c r="F162" s="1"/>
      <c r="G162" s="1"/>
      <c r="H162" s="46">
        <f>H160</f>
        <v>0</v>
      </c>
      <c r="I162" s="46">
        <f t="shared" ref="I162:R162" si="44">SUM(I158,I161)</f>
        <v>5.8485345319265676</v>
      </c>
      <c r="J162" s="46">
        <f t="shared" si="44"/>
        <v>3.7791139813931589</v>
      </c>
      <c r="K162" s="46">
        <f t="shared" si="44"/>
        <v>4.4610850528459354</v>
      </c>
      <c r="L162" s="46">
        <f t="shared" si="44"/>
        <v>3.7765307576376563</v>
      </c>
      <c r="M162" s="46">
        <f t="shared" si="44"/>
        <v>3.1320164306396716</v>
      </c>
      <c r="N162" s="46">
        <f t="shared" si="44"/>
        <v>3.1320164306396716</v>
      </c>
      <c r="O162" s="46">
        <f t="shared" si="44"/>
        <v>3.1320164306396716</v>
      </c>
      <c r="P162" s="46">
        <f t="shared" si="44"/>
        <v>3.1320164306396716</v>
      </c>
      <c r="Q162" s="46">
        <f t="shared" si="44"/>
        <v>3.1320164306396716</v>
      </c>
      <c r="R162" s="46">
        <f t="shared" si="44"/>
        <v>3.1320164306396716</v>
      </c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">
      <c r="A163" s="1"/>
      <c r="B163" s="1"/>
      <c r="C163" s="1" t="s">
        <v>7</v>
      </c>
      <c r="D163" s="1" t="s">
        <v>35</v>
      </c>
      <c r="E163" s="1"/>
      <c r="F163" s="1"/>
      <c r="G163" s="1"/>
      <c r="H163" s="44">
        <f t="shared" ref="H163:R163" si="45">H162/(1+$D$22)^H135</f>
        <v>0</v>
      </c>
      <c r="I163" s="44">
        <f t="shared" si="45"/>
        <v>5.3614568663625235</v>
      </c>
      <c r="J163" s="44">
        <f t="shared" si="45"/>
        <v>3.1758611498107348</v>
      </c>
      <c r="K163" s="44">
        <f t="shared" si="45"/>
        <v>3.4367486998753694</v>
      </c>
      <c r="L163" s="44">
        <f t="shared" si="45"/>
        <v>2.6670800921011577</v>
      </c>
      <c r="M163" s="44">
        <f t="shared" si="45"/>
        <v>2.0276958914108056</v>
      </c>
      <c r="N163" s="44">
        <f t="shared" si="45"/>
        <v>1.8588253177874952</v>
      </c>
      <c r="O163" s="44">
        <f t="shared" si="45"/>
        <v>1.7040186236426917</v>
      </c>
      <c r="P163" s="44">
        <f t="shared" si="45"/>
        <v>1.5621045409351846</v>
      </c>
      <c r="Q163" s="44">
        <f t="shared" si="45"/>
        <v>1.4320093471713093</v>
      </c>
      <c r="R163" s="44">
        <f t="shared" si="45"/>
        <v>1.3127487416164458</v>
      </c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">
      <c r="A164" s="1"/>
      <c r="B164" s="1"/>
      <c r="C164" s="1" t="s">
        <v>51</v>
      </c>
      <c r="D164" s="1" t="s">
        <v>35</v>
      </c>
      <c r="E164" s="1"/>
      <c r="F164" s="1"/>
      <c r="G164" s="1"/>
      <c r="H164" s="44">
        <f>H163</f>
        <v>0</v>
      </c>
      <c r="I164" s="44">
        <f>H164+I163</f>
        <v>5.3614568663625235</v>
      </c>
      <c r="J164" s="44">
        <f t="shared" ref="J164" si="46">I164+J163</f>
        <v>8.5373180161732591</v>
      </c>
      <c r="K164" s="44">
        <f t="shared" ref="K164" si="47">J164+K163</f>
        <v>11.974066716048629</v>
      </c>
      <c r="L164" s="44">
        <f t="shared" ref="L164" si="48">K164+L163</f>
        <v>14.641146808149786</v>
      </c>
      <c r="M164" s="44">
        <f t="shared" ref="M164" si="49">L164+M163</f>
        <v>16.668842699560592</v>
      </c>
      <c r="N164" s="44">
        <f t="shared" ref="N164" si="50">M164+N163</f>
        <v>18.527668017348088</v>
      </c>
      <c r="O164" s="44">
        <f t="shared" ref="O164" si="51">N164+O163</f>
        <v>20.23168664099078</v>
      </c>
      <c r="P164" s="44">
        <f t="shared" ref="P164" si="52">O164+P163</f>
        <v>21.793791181925965</v>
      </c>
      <c r="Q164" s="44">
        <f t="shared" ref="Q164" si="53">P164+Q163</f>
        <v>23.225800529097274</v>
      </c>
      <c r="R164" s="44">
        <f t="shared" ref="R164" si="54">Q164+R163</f>
        <v>24.53854927071372</v>
      </c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44">
        <f>IF(H164&lt;0,(13-6)/12,0)</f>
        <v>0</v>
      </c>
      <c r="I166" s="44">
        <f>IF(COUNTIF($H166:H166,"=0")=COUNTA($H166:H166),IF(I164&lt;0,(13-6)/12,0),IF(I164&lt;0,1,IF(I164=0,IF(H164&gt;=0,0,1),IF(H164&lt;0,-H164/I163,0))))</f>
        <v>0</v>
      </c>
      <c r="J166" s="44">
        <f>IF(COUNTIF($H166:I166,"=0")=COUNTA($H166:I166),IF(J164&lt;0,(13-6)/12,0),IF(J164&lt;0,1,IF(J164=0,IF(I164&gt;=0,0,1),IF(I164&lt;0,-I164/J163,0))))</f>
        <v>0</v>
      </c>
      <c r="K166" s="44">
        <f>IF(COUNTIF($H166:J166,"=0")=COUNTA($H166:J166),IF(K164&lt;0,(13-6)/12,0),IF(K164&lt;0,1,IF(K164=0,IF(J164&gt;=0,0,1),IF(J164&lt;0,-J164/K163,0))))</f>
        <v>0</v>
      </c>
      <c r="L166" s="44">
        <f>IF(COUNTIF($H166:K166,"=0")=COUNTA($H166:K166),IF(L164&lt;0,(13-6)/12,0),IF(L164&lt;0,1,IF(L164=0,IF(K164&gt;=0,0,1),IF(K164&lt;0,-K164/L163,0))))</f>
        <v>0</v>
      </c>
      <c r="M166" s="44">
        <f>IF(COUNTIF($H166:L166,"=0")=COUNTA($H166:L166),IF(M164&lt;0,(13-6)/12,0),IF(M164&lt;0,1,IF(M164=0,IF(L164&gt;=0,0,1),IF(L164&lt;0,-L164/M163,0))))</f>
        <v>0</v>
      </c>
      <c r="N166" s="44">
        <f>IF(COUNTIF($H166:M166,"=0")=COUNTA($H166:M166),IF(N164&lt;0,(13-6)/12,0),IF(N164&lt;0,1,IF(N164=0,IF(M164&gt;=0,0,1),IF(M164&lt;0,-M164/N163,0))))</f>
        <v>0</v>
      </c>
      <c r="O166" s="44">
        <f>IF(COUNTIF($H166:N166,"=0")=COUNTA($H166:N166),IF(O164&lt;0,(13-6)/12,0),IF(O164&lt;0,1,IF(O164=0,IF(N164&gt;=0,0,1),IF(N164&lt;0,-N164/O163,0))))</f>
        <v>0</v>
      </c>
      <c r="P166" s="44">
        <f>IF(COUNTIF($H166:O166,"=0")=COUNTA($H166:O166),IF(P164&lt;0,(13-6)/12,0),IF(P164&lt;0,1,IF(P164=0,IF(O164&gt;=0,0,1),IF(O164&lt;0,-O164/P163,0))))</f>
        <v>0</v>
      </c>
      <c r="Q166" s="44">
        <f>IF(COUNTIF($H166:P166,"=0")=COUNTA($H166:P166),IF(Q164&lt;0,(13-6)/12,0),IF(Q164&lt;0,1,IF(Q164=0,IF(P164&gt;=0,0,1),IF(P164&lt;0,-P164/Q163,0))))</f>
        <v>0</v>
      </c>
      <c r="R166" s="44">
        <f>IF(COUNTIF($H166:Q166,"=0")=COUNTA($H166:Q166),IF(R164&lt;0,(13-6)/12,0),IF(R164&lt;0,1,IF(R164=0,IF(Q164&gt;=0,0,1),IF(Q164&lt;0,-Q164/R163,0))))</f>
        <v>0</v>
      </c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">
      <c r="A167" s="1"/>
      <c r="B167" s="1"/>
      <c r="C167" s="1"/>
      <c r="D167" s="1" t="s">
        <v>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6" t="s">
        <v>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5" t="s">
        <v>4</v>
      </c>
      <c r="D169" s="4" t="s">
        <v>35</v>
      </c>
      <c r="E169" s="3"/>
      <c r="F169" s="10">
        <f>NPV(D81,I162:R162)+H162</f>
        <v>36.657362907641357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9"/>
      <c r="C171" s="5" t="s">
        <v>3</v>
      </c>
      <c r="D171" s="4" t="s">
        <v>35</v>
      </c>
      <c r="E171" s="3"/>
      <c r="F171" s="8">
        <f>SUM(H163:R163)</f>
        <v>24.53854927071372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7">
        <f>NPV(F175,I162:R162)+H162</f>
        <v>12.907618335534067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6" t="s">
        <v>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5" t="s">
        <v>1</v>
      </c>
      <c r="D175" s="4" t="s">
        <v>0</v>
      </c>
      <c r="E175" s="3"/>
      <c r="F175" s="2">
        <v>0.30256107521085068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6" t="s">
        <v>112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49" t="s">
        <v>113</v>
      </c>
      <c r="D179" s="50" t="s">
        <v>35</v>
      </c>
      <c r="E179" s="51"/>
      <c r="F179" s="52">
        <f>AVERAGE(I163:R163)</f>
        <v>2.4538549270713719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49" t="s">
        <v>114</v>
      </c>
      <c r="D180" s="50" t="s">
        <v>40</v>
      </c>
      <c r="E180" s="51"/>
      <c r="F180" s="52">
        <f>F179*1000/I147</f>
        <v>5.5324210730349517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5.7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5.7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5.75" customHeight="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5.75" customHeight="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5.75" customHeight="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5.75" customHeight="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5.75" customHeight="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5.75" customHeight="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5.75" customHeight="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5.75" customHeight="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5.75" customHeight="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5.75" customHeight="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5.75" customHeight="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5.75" customHeight="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5.75" customHeight="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5.75" customHeight="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5.75" customHeight="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5.75" customHeight="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5.75" customHeight="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5.75" customHeight="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5.75" customHeight="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5.75" customHeight="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5.75" customHeight="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5.75" customHeight="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5.75" customHeight="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5.75" customHeight="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5.75" customHeight="1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5.75" customHeight="1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5.75" customHeight="1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5.75" customHeight="1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5.75" customHeight="1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5.75" customHeight="1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5.75" customHeight="1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5.75" customHeight="1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5.75" customHeight="1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5.75" customHeight="1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5.75" customHeight="1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</sheetData>
  <mergeCells count="5">
    <mergeCell ref="F153:G153"/>
    <mergeCell ref="C3:G3"/>
    <mergeCell ref="F88:G88"/>
    <mergeCell ref="F103:G103"/>
    <mergeCell ref="F135:G135"/>
  </mergeCells>
  <dataValidations count="3">
    <dataValidation type="list" allowBlank="1" showInputMessage="1" showErrorMessage="1" sqref="D84" xr:uid="{00000000-0002-0000-0000-000000000000}">
      <formula1>"BASE,FIP,FIC,COMBO"</formula1>
    </dataValidation>
    <dataValidation type="list" allowBlank="1" showInputMessage="1" showErrorMessage="1" sqref="D82" xr:uid="{00000000-0002-0000-0000-000001000000}">
      <formula1>"0.05,0.1,0.15,0.2,0.25"</formula1>
    </dataValidation>
    <dataValidation type="list" allowBlank="1" showInputMessage="1" showErrorMessage="1" sqref="D83" xr:uid="{00000000-0002-0000-0000-000002000000}">
      <formula1>"0.5,0.55,0.6,0.65,0.7"</formula1>
    </dataValidation>
  </dataValidations>
  <hyperlinks>
    <hyperlink ref="G48" r:id="rId1" xr:uid="{00000000-0004-0000-0000-000000000000}"/>
    <hyperlink ref="G58" r:id="rId2" xr:uid="{00000000-0004-0000-0000-000001000000}"/>
    <hyperlink ref="G57" r:id="rId3" xr:uid="{00000000-0004-0000-0000-000002000000}"/>
  </hyperlink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0 X p T W C 9 w + 2 i l A A A A 9 w A A A B I A H A B D b 2 5 m a W c v U G F j a 2 F n Z S 5 4 b W w g o h g A K K A U A A A A A A A A A A A A A A A A A A A A A A A A A A A A h Y + 9 D o I w G E V f h X S n f z g Y 8 l E G J x N J T D T G t a k V G q E Y W i z v 5 u A j + Q p i F H V z v O e e 4 d 7 7 9 Q b 5 0 N T R R X f O t D Z D D F M U a a v a g 7 F l h n p / j O c o F 7 C W 6 i R L H Y 2 y d e n g D h m q v D + n h I Q Q c E h w 2 5 W E U 8 r I v l h t V K U b i T 6 y + S / H x j o v r d J I w O 4 1 R n D M 2 A x z z h N M g U w U C m O / B h 8 H P 9 s f C I u + 9 n 2 n h f H x c g t k i k D e J 8 Q D U E s D B B Q A A g A I A N F 6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l N Y E y N G 5 w Y B A A C Z A Q A A E w A c A E Z v c m 1 1 b G F z L 1 N l Y 3 R p b 2 4 x L m 0 g o h g A K K A U A A A A A A A A A A A A A A A A A A A A A A A A A A A A b V D L a s M w E L w b / A + L e r F B m K S 0 O T T o U J y U 9 l J a 7 F t S i i p v H Y E e Q Z I D w f j f K 2 O D e 4 g u 0 s 6 M Z m f X o w j S G q i m e 7 1 N k z T x J + 6 w g Z b 7 7 7 O T A j 0 w U B j S B O K p b O c E R q T 0 l 2 J n R a f R h O x F K i x K a 0 I s f E b 2 T 8 f l d y H 8 h e T 0 s E M l t Q z o G K G E Q m l V p 4 1 n 9 x T 2 R t h G m p Z t H l e r N Y X P z g a s w l U h W 5 7 F u z X 4 l d M p x h 3 5 c F Z H r o F X 5 A 0 6 T 2 K m m v 9 E 4 c z M e D Y l p n C Y 8 W e l K s E V d 5 4 F 1 / 2 3 L E / c t N G x v p 5 x s a s d N / 7 X O j 0 l H k m f 3 e h P + 5 4 E q T H O F q I G G h 5 w r A c K f V S P q 4 j U m w m b h 2 I 0 G Y Y 8 T a S 5 2 X z 7 B 1 B L A Q I t A B Q A A g A I A N F 6 U 1 g v c P t o p Q A A A P c A A A A S A A A A A A A A A A A A A A A A A A A A A A B D b 2 5 m a W c v U G F j a 2 F n Z S 5 4 b W x Q S w E C L Q A U A A I A C A D R e l N Y D 8 r p q 6 Q A A A D p A A A A E w A A A A A A A A A A A A A A A A D x A A A A W 0 N v b n R l b n R f V H l w Z X N d L n h t b F B L A Q I t A B Q A A g A I A N F 6 U 1 g T I 0 b n B g E A A J k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I A A A A A A A A 2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h c 1 9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E w O j Q 3 O j M y L j A 1 M z A z N D V a I i A v P j x F b n R y e S B U e X B l P S J G a W x s Q 2 9 s d W 1 u V H l w Z X M i I F Z h b H V l P S J z Q n d N P S I g L z 4 8 R W 5 0 c n k g V H l w Z T 0 i R m l s b E N v b H V t b k 5 h b W V z I i B W Y W x 1 Z T 0 i c 1 s m c X V v d D t 0 a W 1 l J n F 1 b 3 Q 7 L C Z x d W 9 0 O 1 B y a W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c 1 9 w c m l j Z X M v Q X V 0 b 1 J l b W 9 2 Z W R D b 2 x 1 b W 5 z M S 5 7 d G l t Z S w w f S Z x d W 9 0 O y w m c X V v d D t T Z W N 0 a W 9 u M S 9 n Y X N f c H J p Y 2 V z L 0 F 1 d G 9 S Z W 1 v d m V k Q 2 9 s d W 1 u c z E u e 1 B y a W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f c H J p Y 2 V z L 0 F 1 d G 9 S Z W 1 v d m V k Q 2 9 s d W 1 u c z E u e 3 R p b W U s M H 0 m c X V v d D s s J n F 1 b 3 Q 7 U 2 V j d G l v b j E v Z 2 F z X 3 B y a W N l c y 9 B d X R v U m V t b 3 Z l Z E N v b H V t b n M x L n t Q c m l j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c 1 9 w c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a W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p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O m G y o e T N A u y i C b f z b B T c A A A A A A g A A A A A A A 2 Y A A M A A A A A Q A A A A c Z G 2 k W T d 5 u I n + L z a U 2 o 6 0 w A A A A A E g A A A o A A A A B A A A A C B t c + V k l T 5 U Y X C V F 4 p T y X z U A A A A F n 8 E p A 3 M O V a S F e h r 7 U g V E Y Z / Y q 0 m z A D d r 0 P / i V R H f Y S H F 8 0 b f E F F E j l s i M m 1 H c U m E N I R o d T g 5 r v r 2 d I Z I i O i I X M m R g 8 I I q g 3 b y O 7 7 4 7 n H H V F A A A A B j 0 L 9 G c H B 0 K D C k K d p B r 5 0 v h z T H + < / D a t a M a s h u p > 
</file>

<file path=customXml/itemProps1.xml><?xml version="1.0" encoding="utf-8"?>
<ds:datastoreItem xmlns:ds="http://schemas.openxmlformats.org/officeDocument/2006/customXml" ds:itemID="{B80A2468-53C8-4973-8BEE-953EA8733E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2022-12-17T09:56:30Z</dcterms:created>
  <dcterms:modified xsi:type="dcterms:W3CDTF">2024-03-10T18:35:55Z</dcterms:modified>
</cp:coreProperties>
</file>